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6.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xml" ContentType="application/vnd.openxmlformats-officedocument.themeOverride+xml"/>
  <Override PartName="/xl/drawings/drawing17.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0.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1.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2.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3.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4.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5.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6.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7.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28.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9.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0.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3.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4.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5.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6.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7.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38.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39.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0.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45.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46.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47.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48.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49.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50.xml" ContentType="application/vnd.openxmlformats-officedocument.drawingml.chartshapes+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51.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52.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53.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54.xml" ContentType="application/vnd.openxmlformats-officedocument.drawingml.chartshapes+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55.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58.xml" ContentType="application/vnd.openxmlformats-officedocument.drawingml.chartshapes+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5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Z:\Suicide\Suicide Facts 2015\SuicideAutomated\Sign-off\"/>
    </mc:Choice>
  </mc:AlternateContent>
  <bookViews>
    <workbookView xWindow="0" yWindow="0" windowWidth="20295" windowHeight="9195"/>
  </bookViews>
  <sheets>
    <sheet name="Intro" sheetId="18" r:id="rId1"/>
    <sheet name="Contents" sheetId="15" r:id="rId2"/>
    <sheet name="Quick facts" sheetId="16" r:id="rId3"/>
    <sheet name="Key findings" sheetId="5" r:id="rId4"/>
    <sheet name="Māori Non-Māori" sheetId="2" r:id="rId5"/>
    <sheet name="Age Sex" sheetId="1" r:id="rId6"/>
    <sheet name="Deprivation" sheetId="8" r:id="rId7"/>
    <sheet name="Methods" sheetId="10" r:id="rId8"/>
    <sheet name="DHB region" sheetId="26" r:id="rId9"/>
    <sheet name="Urban Rural" sheetId="14" r:id="rId10"/>
    <sheet name="Ethnic group" sheetId="24" r:id="rId11"/>
    <sheet name="International" sheetId="17" r:id="rId12"/>
    <sheet name="About" sheetId="23" r:id="rId13"/>
    <sheet name="Codes" sheetId="22" r:id="rId14"/>
    <sheet name="Data" sheetId="7" state="hidden" r:id="rId15"/>
    <sheet name="ref" sheetId="4" state="hidden" r:id="rId16"/>
  </sheets>
  <externalReferences>
    <externalReference r:id="rId17"/>
  </externalReferences>
  <definedNames>
    <definedName name="_xlnm._FilterDatabase" localSheetId="14" hidden="1">Data!$BS$3:$BZ$363</definedName>
    <definedName name="_xlnm._FilterDatabase" localSheetId="11" hidden="1">International!$P$7:$R$41</definedName>
    <definedName name="_Toc126059762" localSheetId="12">About!$E$63</definedName>
    <definedName name="_Toc462301296" localSheetId="13">Codes!$C$5</definedName>
    <definedName name="agesextable">Data!$A:$H</definedName>
    <definedName name="deptable">Data!$J:$R</definedName>
    <definedName name="DHB5yr">Data!$AD:$AN</definedName>
    <definedName name="Methodstable">Data!$T:$AB</definedName>
    <definedName name="MPAO5yr">Data!$BK:$BQ</definedName>
    <definedName name="MPAOdep5yr">Data!$BS:$BZ</definedName>
    <definedName name="mpaopercmethods">Data!$CB:$CI</definedName>
    <definedName name="Percalldeaths">Data!$AZ:$BI</definedName>
    <definedName name="_xlnm.Print_Area" localSheetId="12">About!$A$1:$O$84</definedName>
    <definedName name="_xlnm.Print_Area" localSheetId="5">'Age Sex'!$A$1:$AL$79</definedName>
    <definedName name="_xlnm.Print_Area" localSheetId="13">Codes!$A$1:$I$37</definedName>
    <definedName name="_xlnm.Print_Area" localSheetId="1">Contents!$A$1:$F$38</definedName>
    <definedName name="_xlnm.Print_Area" localSheetId="6">Deprivation!$A$1:$AB$130</definedName>
    <definedName name="_xlnm.Print_Area" localSheetId="8">'DHB region'!$A$1:$AC$133</definedName>
    <definedName name="_xlnm.Print_Area" localSheetId="10">'Ethnic group'!$A$1:$AA$180</definedName>
    <definedName name="_xlnm.Print_Area" localSheetId="0">Intro!$A$1:$P$34</definedName>
    <definedName name="_xlnm.Print_Area" localSheetId="3">'Key findings'!$A$1:$F$68</definedName>
    <definedName name="_xlnm.Print_Area" localSheetId="4">'Māori Non-Māori'!$A$1:$AN$258</definedName>
    <definedName name="_xlnm.Print_Area" localSheetId="7">Methods!$A$1:$AN$107</definedName>
    <definedName name="_xlnm.Print_Area" localSheetId="2">'Quick facts'!$A$1:$AU$140</definedName>
    <definedName name="UnkDep">Data!$CL:$CQ</definedName>
    <definedName name="URtable">Data!$AQ:$AX</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C104" i="26" l="1"/>
  <c r="BC105" i="26"/>
  <c r="BS4" i="7"/>
  <c r="BS5" i="7"/>
  <c r="BS6" i="7"/>
  <c r="BS7" i="7"/>
  <c r="BS8" i="7"/>
  <c r="BS9" i="7"/>
  <c r="BS10" i="7"/>
  <c r="BS11" i="7"/>
  <c r="BS12" i="7"/>
  <c r="BS13" i="7"/>
  <c r="BS14" i="7"/>
  <c r="BS15" i="7"/>
  <c r="BS16" i="7"/>
  <c r="BS17" i="7"/>
  <c r="BS18" i="7"/>
  <c r="BS19" i="7"/>
  <c r="BS20" i="7"/>
  <c r="BS21" i="7"/>
  <c r="BS22" i="7"/>
  <c r="BS23" i="7"/>
  <c r="BS24" i="7"/>
  <c r="BS25" i="7"/>
  <c r="BS26" i="7"/>
  <c r="BS27" i="7"/>
  <c r="BS28" i="7"/>
  <c r="BS29" i="7"/>
  <c r="BS30" i="7"/>
  <c r="BS31" i="7"/>
  <c r="BS32" i="7"/>
  <c r="BS33" i="7"/>
  <c r="BS34" i="7"/>
  <c r="BS35" i="7"/>
  <c r="BS36" i="7"/>
  <c r="BS37" i="7"/>
  <c r="BS38" i="7"/>
  <c r="BS39" i="7"/>
  <c r="BS40" i="7"/>
  <c r="BS41" i="7"/>
  <c r="BS42" i="7"/>
  <c r="BS43" i="7"/>
  <c r="BS44" i="7"/>
  <c r="BS45" i="7"/>
  <c r="BS46" i="7"/>
  <c r="BS47" i="7"/>
  <c r="BS48" i="7"/>
  <c r="BS49" i="7"/>
  <c r="BS50" i="7"/>
  <c r="BS51" i="7"/>
  <c r="BS52" i="7"/>
  <c r="BS53" i="7"/>
  <c r="BS54" i="7"/>
  <c r="BS55" i="7"/>
  <c r="BS56" i="7"/>
  <c r="BS57" i="7"/>
  <c r="BS58" i="7"/>
  <c r="BS59" i="7"/>
  <c r="BS60" i="7"/>
  <c r="BS61" i="7"/>
  <c r="BS62" i="7"/>
  <c r="BS63" i="7"/>
  <c r="BS64" i="7"/>
  <c r="BS65" i="7"/>
  <c r="BS66" i="7"/>
  <c r="BS67" i="7"/>
  <c r="BS68" i="7"/>
  <c r="BS69" i="7"/>
  <c r="BS70" i="7"/>
  <c r="BS71" i="7"/>
  <c r="BS72" i="7"/>
  <c r="BS73" i="7"/>
  <c r="BS74" i="7"/>
  <c r="BS75" i="7"/>
  <c r="BS76" i="7"/>
  <c r="BS77" i="7"/>
  <c r="BS78" i="7"/>
  <c r="BS79" i="7"/>
  <c r="BS80" i="7"/>
  <c r="BS81" i="7"/>
  <c r="BS82" i="7"/>
  <c r="BS83" i="7"/>
  <c r="BS84" i="7"/>
  <c r="BS85" i="7"/>
  <c r="BS86" i="7"/>
  <c r="BS87" i="7"/>
  <c r="BS88" i="7"/>
  <c r="BS89" i="7"/>
  <c r="BS90" i="7"/>
  <c r="BS91" i="7"/>
  <c r="BS92" i="7"/>
  <c r="BS93" i="7"/>
  <c r="BS94" i="7"/>
  <c r="BS95" i="7"/>
  <c r="BS96" i="7"/>
  <c r="BS97" i="7"/>
  <c r="BS98" i="7"/>
  <c r="BS99" i="7"/>
  <c r="BS100" i="7"/>
  <c r="BS101" i="7"/>
  <c r="BS102" i="7"/>
  <c r="BS103" i="7"/>
  <c r="BS104" i="7"/>
  <c r="BS105" i="7"/>
  <c r="BS106" i="7"/>
  <c r="BS107" i="7"/>
  <c r="BS108" i="7"/>
  <c r="BS109" i="7"/>
  <c r="BS110" i="7"/>
  <c r="BS111" i="7"/>
  <c r="BS112" i="7"/>
  <c r="BS113" i="7"/>
  <c r="BS114" i="7"/>
  <c r="BS115" i="7"/>
  <c r="BS116" i="7"/>
  <c r="BS117" i="7"/>
  <c r="BS118" i="7"/>
  <c r="BS119" i="7"/>
  <c r="BS120" i="7"/>
  <c r="BS121" i="7"/>
  <c r="BS122" i="7"/>
  <c r="BS123" i="7"/>
  <c r="BS124" i="7"/>
  <c r="BS125" i="7"/>
  <c r="BS126" i="7"/>
  <c r="BS127" i="7"/>
  <c r="BS128" i="7"/>
  <c r="BS129" i="7"/>
  <c r="BS130" i="7"/>
  <c r="BS131" i="7"/>
  <c r="BS132" i="7"/>
  <c r="BS133" i="7"/>
  <c r="BS134" i="7"/>
  <c r="BS135" i="7"/>
  <c r="BS136" i="7"/>
  <c r="BS137" i="7"/>
  <c r="BS138" i="7"/>
  <c r="BS139" i="7"/>
  <c r="BS140" i="7"/>
  <c r="BS141" i="7"/>
  <c r="BS142" i="7"/>
  <c r="BS143" i="7"/>
  <c r="BS144" i="7"/>
  <c r="BS145" i="7"/>
  <c r="BS146" i="7"/>
  <c r="BS147" i="7"/>
  <c r="BS148" i="7"/>
  <c r="BS149" i="7"/>
  <c r="BS150" i="7"/>
  <c r="BS151" i="7"/>
  <c r="BS152" i="7"/>
  <c r="BS153" i="7"/>
  <c r="BS154" i="7"/>
  <c r="BS155" i="7"/>
  <c r="BS156" i="7"/>
  <c r="BS157" i="7"/>
  <c r="BS158" i="7"/>
  <c r="BS159" i="7"/>
  <c r="BS160" i="7"/>
  <c r="BS161" i="7"/>
  <c r="BS162" i="7"/>
  <c r="BS163" i="7"/>
  <c r="BS164" i="7"/>
  <c r="BS165" i="7"/>
  <c r="BS166" i="7"/>
  <c r="BS167" i="7"/>
  <c r="BS168" i="7"/>
  <c r="BS169" i="7"/>
  <c r="BS170" i="7"/>
  <c r="BS171" i="7"/>
  <c r="BS172" i="7"/>
  <c r="BS173" i="7"/>
  <c r="BS174" i="7"/>
  <c r="BS175" i="7"/>
  <c r="BS176" i="7"/>
  <c r="BS177" i="7"/>
  <c r="BS178" i="7"/>
  <c r="BS179" i="7"/>
  <c r="BS180" i="7"/>
  <c r="BS181" i="7"/>
  <c r="BS182" i="7"/>
  <c r="BS183" i="7"/>
  <c r="BS184" i="7"/>
  <c r="BS185" i="7"/>
  <c r="BS186" i="7"/>
  <c r="BS187" i="7"/>
  <c r="BS188" i="7"/>
  <c r="BS189" i="7"/>
  <c r="BS190" i="7"/>
  <c r="BS191" i="7"/>
  <c r="BS192" i="7"/>
  <c r="BS193" i="7"/>
  <c r="BS194" i="7"/>
  <c r="BS195" i="7"/>
  <c r="BS196" i="7"/>
  <c r="BS197" i="7"/>
  <c r="BS198" i="7"/>
  <c r="BS199" i="7"/>
  <c r="BS200" i="7"/>
  <c r="BS201" i="7"/>
  <c r="BS202" i="7"/>
  <c r="BS203" i="7"/>
  <c r="BS204" i="7"/>
  <c r="BS205" i="7"/>
  <c r="BS206" i="7"/>
  <c r="BS207" i="7"/>
  <c r="BS208" i="7"/>
  <c r="BS209" i="7"/>
  <c r="BS210" i="7"/>
  <c r="BS211" i="7"/>
  <c r="BS212" i="7"/>
  <c r="BS213" i="7"/>
  <c r="BS214" i="7"/>
  <c r="BS215" i="7"/>
  <c r="BS216" i="7"/>
  <c r="BS217" i="7"/>
  <c r="BS218" i="7"/>
  <c r="BS219" i="7"/>
  <c r="BS220" i="7"/>
  <c r="BS221" i="7"/>
  <c r="BS222" i="7"/>
  <c r="BS223" i="7"/>
  <c r="BS224" i="7"/>
  <c r="BS225" i="7"/>
  <c r="BS226" i="7"/>
  <c r="BS227" i="7"/>
  <c r="BS228" i="7"/>
  <c r="BS229" i="7"/>
  <c r="BS230" i="7"/>
  <c r="BS231" i="7"/>
  <c r="BS232" i="7"/>
  <c r="BS233" i="7"/>
  <c r="BS234" i="7"/>
  <c r="BS235" i="7"/>
  <c r="BS236" i="7"/>
  <c r="BS237" i="7"/>
  <c r="BS238" i="7"/>
  <c r="BS239" i="7"/>
  <c r="BS240" i="7"/>
  <c r="BS241" i="7"/>
  <c r="BS242" i="7"/>
  <c r="BS243" i="7"/>
  <c r="BS244" i="7"/>
  <c r="BS245" i="7"/>
  <c r="BS246" i="7"/>
  <c r="BS247" i="7"/>
  <c r="BS248" i="7"/>
  <c r="BS249" i="7"/>
  <c r="BS250" i="7"/>
  <c r="BS251" i="7"/>
  <c r="BS252" i="7"/>
  <c r="BS253" i="7"/>
  <c r="BS254" i="7"/>
  <c r="BS255" i="7"/>
  <c r="BS256" i="7"/>
  <c r="BS257" i="7"/>
  <c r="BS258" i="7"/>
  <c r="BS259" i="7"/>
  <c r="BS260" i="7"/>
  <c r="BS261" i="7"/>
  <c r="BS262" i="7"/>
  <c r="BS263" i="7"/>
  <c r="BS264" i="7"/>
  <c r="BS265" i="7"/>
  <c r="BS266" i="7"/>
  <c r="BS267" i="7"/>
  <c r="BS268" i="7"/>
  <c r="BS269" i="7"/>
  <c r="BS270" i="7"/>
  <c r="BS271" i="7"/>
  <c r="BS272" i="7"/>
  <c r="BS273" i="7"/>
  <c r="BS274" i="7"/>
  <c r="BS275" i="7"/>
  <c r="BS276" i="7"/>
  <c r="BS277" i="7"/>
  <c r="BS278" i="7"/>
  <c r="BS279" i="7"/>
  <c r="BS280" i="7"/>
  <c r="BS281" i="7"/>
  <c r="BS282" i="7"/>
  <c r="BS283" i="7"/>
  <c r="BS284" i="7"/>
  <c r="BS285" i="7"/>
  <c r="BS286" i="7"/>
  <c r="BS287" i="7"/>
  <c r="BS288" i="7"/>
  <c r="BS289" i="7"/>
  <c r="BS290" i="7"/>
  <c r="BS291" i="7"/>
  <c r="BS292" i="7"/>
  <c r="BS293" i="7"/>
  <c r="BS294" i="7"/>
  <c r="BS295" i="7"/>
  <c r="BS296" i="7"/>
  <c r="BS297" i="7"/>
  <c r="BS298" i="7"/>
  <c r="BS299" i="7"/>
  <c r="BS300" i="7"/>
  <c r="BS301" i="7"/>
  <c r="BS302" i="7"/>
  <c r="BS303" i="7"/>
  <c r="BS304" i="7"/>
  <c r="BS305" i="7"/>
  <c r="BS306" i="7"/>
  <c r="BS307" i="7"/>
  <c r="BS308" i="7"/>
  <c r="BS309" i="7"/>
  <c r="BS310" i="7"/>
  <c r="BS311" i="7"/>
  <c r="BS312" i="7"/>
  <c r="BS313" i="7"/>
  <c r="BS314" i="7"/>
  <c r="BS315" i="7"/>
  <c r="BS316" i="7"/>
  <c r="BS317" i="7"/>
  <c r="BS318" i="7"/>
  <c r="BS319" i="7"/>
  <c r="BS320" i="7"/>
  <c r="BS321" i="7"/>
  <c r="BS322" i="7"/>
  <c r="BS323" i="7"/>
  <c r="BS324" i="7"/>
  <c r="BS325" i="7"/>
  <c r="BS326" i="7"/>
  <c r="BS327" i="7"/>
  <c r="BS328" i="7"/>
  <c r="BS329" i="7"/>
  <c r="BS330" i="7"/>
  <c r="BS331" i="7"/>
  <c r="BS332" i="7"/>
  <c r="BS333" i="7"/>
  <c r="BS334" i="7"/>
  <c r="BS335" i="7"/>
  <c r="BS336" i="7"/>
  <c r="BS337" i="7"/>
  <c r="BS338" i="7"/>
  <c r="BS339" i="7"/>
  <c r="BS340" i="7"/>
  <c r="BS341" i="7"/>
  <c r="BS342" i="7"/>
  <c r="BS343" i="7"/>
  <c r="BS344" i="7"/>
  <c r="BS345" i="7"/>
  <c r="BS346" i="7"/>
  <c r="BS347" i="7"/>
  <c r="BS348" i="7"/>
  <c r="BS349" i="7"/>
  <c r="BS350" i="7"/>
  <c r="BS351" i="7"/>
  <c r="BS352" i="7"/>
  <c r="BS353" i="7"/>
  <c r="BS354" i="7"/>
  <c r="BS355" i="7"/>
  <c r="BS356" i="7"/>
  <c r="BS357" i="7"/>
  <c r="BS358" i="7"/>
  <c r="BS359" i="7"/>
  <c r="BS360" i="7"/>
  <c r="BS361" i="7"/>
  <c r="BS362" i="7"/>
  <c r="BS363" i="7"/>
  <c r="CL5" i="7"/>
  <c r="CL6" i="7"/>
  <c r="CL7" i="7"/>
  <c r="CL8" i="7"/>
  <c r="CL9" i="7"/>
  <c r="CL10" i="7"/>
  <c r="CL11" i="7"/>
  <c r="CL12" i="7"/>
  <c r="CL13" i="7"/>
  <c r="CL14" i="7"/>
  <c r="CL15" i="7"/>
  <c r="CL16" i="7"/>
  <c r="CL17" i="7"/>
  <c r="CL18" i="7"/>
  <c r="CL19" i="7"/>
  <c r="CL20" i="7"/>
  <c r="CL21" i="7"/>
  <c r="CL22" i="7"/>
  <c r="CL23" i="7"/>
  <c r="CL24" i="7"/>
  <c r="CL25" i="7"/>
  <c r="CL26" i="7"/>
  <c r="CL27" i="7"/>
  <c r="CL28" i="7"/>
  <c r="CL29" i="7"/>
  <c r="CL30" i="7"/>
  <c r="CL31" i="7"/>
  <c r="CL32" i="7"/>
  <c r="CL33" i="7"/>
  <c r="CL34" i="7"/>
  <c r="CL35" i="7"/>
  <c r="CL36" i="7"/>
  <c r="CL37" i="7"/>
  <c r="CL38" i="7"/>
  <c r="CL39" i="7"/>
  <c r="CL40" i="7"/>
  <c r="CL41" i="7"/>
  <c r="CL42" i="7"/>
  <c r="CL43" i="7"/>
  <c r="CL44" i="7"/>
  <c r="CL45" i="7"/>
  <c r="CL46" i="7"/>
  <c r="CL47" i="7"/>
  <c r="CL48" i="7"/>
  <c r="CL49" i="7"/>
  <c r="CL50" i="7"/>
  <c r="CL51" i="7"/>
  <c r="CL52" i="7"/>
  <c r="CL53" i="7"/>
  <c r="CL54" i="7"/>
  <c r="CL55" i="7"/>
  <c r="CL56" i="7"/>
  <c r="CL57" i="7"/>
  <c r="CL58" i="7"/>
  <c r="CL59" i="7"/>
  <c r="CL60" i="7"/>
  <c r="CL61" i="7"/>
  <c r="CL62" i="7"/>
  <c r="CL63" i="7"/>
  <c r="CL64" i="7"/>
  <c r="CL65" i="7"/>
  <c r="CL66" i="7"/>
  <c r="CL67" i="7"/>
  <c r="CL68" i="7"/>
  <c r="CL69" i="7"/>
  <c r="CL70" i="7"/>
  <c r="CL71" i="7"/>
  <c r="CL72" i="7"/>
  <c r="CL73" i="7"/>
  <c r="CL74" i="7"/>
  <c r="CL75" i="7"/>
  <c r="CL76" i="7"/>
  <c r="CL77" i="7"/>
  <c r="CL78" i="7"/>
  <c r="CL79" i="7"/>
  <c r="CL80" i="7"/>
  <c r="CL81" i="7"/>
  <c r="CL82" i="7"/>
  <c r="CL83" i="7"/>
  <c r="CL84" i="7"/>
  <c r="CL85" i="7"/>
  <c r="CL86" i="7"/>
  <c r="CL87" i="7"/>
  <c r="CL88" i="7"/>
  <c r="CL89" i="7"/>
  <c r="CL90" i="7"/>
  <c r="CL91" i="7"/>
  <c r="CL92" i="7"/>
  <c r="CL93" i="7"/>
  <c r="CL94" i="7"/>
  <c r="CL95" i="7"/>
  <c r="CL96" i="7"/>
  <c r="CL97" i="7"/>
  <c r="CL98" i="7"/>
  <c r="CL99" i="7"/>
  <c r="CL100" i="7"/>
  <c r="CL101" i="7"/>
  <c r="CL102" i="7"/>
  <c r="CL103" i="7"/>
  <c r="CL104" i="7"/>
  <c r="CL105" i="7"/>
  <c r="CL106" i="7"/>
  <c r="CL107" i="7"/>
  <c r="CL108" i="7"/>
  <c r="CL109" i="7"/>
  <c r="CL110" i="7"/>
  <c r="CL111" i="7"/>
  <c r="CL112" i="7"/>
  <c r="CL113" i="7"/>
  <c r="CL114" i="7"/>
  <c r="CL115" i="7"/>
  <c r="CL116" i="7"/>
  <c r="CL117" i="7"/>
  <c r="CL118" i="7"/>
  <c r="CL119" i="7"/>
  <c r="CL120" i="7"/>
  <c r="CL121" i="7"/>
  <c r="CL122" i="7"/>
  <c r="CL4" i="7"/>
  <c r="V141" i="2"/>
  <c r="Z141" i="2"/>
  <c r="W141" i="2"/>
  <c r="S141" i="2"/>
  <c r="AA141" i="2"/>
  <c r="U141" i="2"/>
  <c r="T141" i="2"/>
  <c r="X141" i="2"/>
  <c r="AB141" i="2"/>
  <c r="Y141" i="2"/>
  <c r="T158" i="2"/>
  <c r="X158" i="2"/>
  <c r="AB158" i="2"/>
  <c r="S30" i="8"/>
  <c r="W30" i="8"/>
  <c r="Q23" i="8"/>
  <c r="U23" i="8"/>
  <c r="Y23" i="8"/>
  <c r="S16" i="8"/>
  <c r="W16" i="8"/>
  <c r="V30" i="8"/>
  <c r="X23" i="8"/>
  <c r="U158" i="2"/>
  <c r="Y158" i="2"/>
  <c r="S158" i="2"/>
  <c r="T30" i="8"/>
  <c r="X30" i="8"/>
  <c r="R23" i="8"/>
  <c r="V23" i="8"/>
  <c r="P23" i="8"/>
  <c r="T16" i="8"/>
  <c r="X16" i="8"/>
  <c r="R30" i="8"/>
  <c r="T23" i="8"/>
  <c r="V16" i="8"/>
  <c r="V158" i="2"/>
  <c r="Z158" i="2"/>
  <c r="Q30" i="8"/>
  <c r="U30" i="8"/>
  <c r="Y30" i="8"/>
  <c r="S23" i="8"/>
  <c r="W23" i="8"/>
  <c r="Q16" i="8"/>
  <c r="U16" i="8"/>
  <c r="Y16" i="8"/>
  <c r="W158" i="2"/>
  <c r="AA158" i="2"/>
  <c r="P30" i="8"/>
  <c r="R16" i="8"/>
  <c r="P16" i="8"/>
  <c r="CB5" i="7"/>
  <c r="CB6" i="7"/>
  <c r="CB7" i="7"/>
  <c r="CB8" i="7"/>
  <c r="CB9" i="7"/>
  <c r="CB10" i="7"/>
  <c r="CB11" i="7"/>
  <c r="CB12" i="7"/>
  <c r="CB13" i="7"/>
  <c r="CB14" i="7"/>
  <c r="CB15" i="7"/>
  <c r="CB16" i="7"/>
  <c r="CB17" i="7"/>
  <c r="CB18" i="7"/>
  <c r="CB19" i="7"/>
  <c r="CB20" i="7"/>
  <c r="CB21" i="7"/>
  <c r="CB22" i="7"/>
  <c r="CB23" i="7"/>
  <c r="CB24" i="7"/>
  <c r="CB25" i="7"/>
  <c r="CB26" i="7"/>
  <c r="CB27" i="7"/>
  <c r="CB28" i="7"/>
  <c r="CB29" i="7"/>
  <c r="CB30" i="7"/>
  <c r="CB31" i="7"/>
  <c r="CB32" i="7"/>
  <c r="CB33" i="7"/>
  <c r="CB34" i="7"/>
  <c r="CB35" i="7"/>
  <c r="CB36" i="7"/>
  <c r="CB37" i="7"/>
  <c r="CB38" i="7"/>
  <c r="CB39" i="7"/>
  <c r="CB40" i="7"/>
  <c r="CB41" i="7"/>
  <c r="CB42" i="7"/>
  <c r="CB43" i="7"/>
  <c r="CB44" i="7"/>
  <c r="CB45" i="7"/>
  <c r="CB46" i="7"/>
  <c r="CB47" i="7"/>
  <c r="CB48" i="7"/>
  <c r="CB49" i="7"/>
  <c r="CB50" i="7"/>
  <c r="CB51" i="7"/>
  <c r="CB52" i="7"/>
  <c r="CB53" i="7"/>
  <c r="CB54" i="7"/>
  <c r="CB55" i="7"/>
  <c r="CB56" i="7"/>
  <c r="CB57" i="7"/>
  <c r="CB58" i="7"/>
  <c r="CB59" i="7"/>
  <c r="CB60" i="7"/>
  <c r="CB61" i="7"/>
  <c r="CB62" i="7"/>
  <c r="CB63" i="7"/>
  <c r="CB64" i="7"/>
  <c r="CB65" i="7"/>
  <c r="CB66" i="7"/>
  <c r="CB67" i="7"/>
  <c r="CB68" i="7"/>
  <c r="CB69" i="7"/>
  <c r="CB70" i="7"/>
  <c r="CB71" i="7"/>
  <c r="CB72" i="7"/>
  <c r="CB73" i="7"/>
  <c r="CB74" i="7"/>
  <c r="CB75" i="7"/>
  <c r="CB76" i="7"/>
  <c r="CB77" i="7"/>
  <c r="CB78" i="7"/>
  <c r="CB79" i="7"/>
  <c r="CB80" i="7"/>
  <c r="CB81" i="7"/>
  <c r="CB82" i="7"/>
  <c r="CB83" i="7"/>
  <c r="CB84" i="7"/>
  <c r="CB85" i="7"/>
  <c r="CB86" i="7"/>
  <c r="CB87" i="7"/>
  <c r="CB88" i="7"/>
  <c r="CB89" i="7"/>
  <c r="CB90" i="7"/>
  <c r="CB91" i="7"/>
  <c r="CB92" i="7"/>
  <c r="CB93" i="7"/>
  <c r="CB94" i="7"/>
  <c r="CB95" i="7"/>
  <c r="CB96" i="7"/>
  <c r="CB97" i="7"/>
  <c r="CB98" i="7"/>
  <c r="CB99" i="7"/>
  <c r="CB100" i="7"/>
  <c r="CB101" i="7"/>
  <c r="CB102" i="7"/>
  <c r="CB103" i="7"/>
  <c r="CB104" i="7"/>
  <c r="CB105" i="7"/>
  <c r="CB106" i="7"/>
  <c r="CB107" i="7"/>
  <c r="CB108" i="7"/>
  <c r="CB109" i="7"/>
  <c r="CB110" i="7"/>
  <c r="CB111" i="7"/>
  <c r="CB112" i="7"/>
  <c r="CB113" i="7"/>
  <c r="CB114" i="7"/>
  <c r="CB115" i="7"/>
  <c r="CB116" i="7"/>
  <c r="CB117" i="7"/>
  <c r="CB118" i="7"/>
  <c r="CB119" i="7"/>
  <c r="CB120" i="7"/>
  <c r="CB121" i="7"/>
  <c r="CB122" i="7"/>
  <c r="CB123" i="7"/>
  <c r="CB124" i="7"/>
  <c r="CB125" i="7"/>
  <c r="CB126" i="7"/>
  <c r="CB127" i="7"/>
  <c r="CB128" i="7"/>
  <c r="CB129" i="7"/>
  <c r="CB130" i="7"/>
  <c r="CB131" i="7"/>
  <c r="CB132" i="7"/>
  <c r="CB133" i="7"/>
  <c r="CB134" i="7"/>
  <c r="CB135" i="7"/>
  <c r="CB136" i="7"/>
  <c r="CB137" i="7"/>
  <c r="CB138" i="7"/>
  <c r="CB139" i="7"/>
  <c r="CB140" i="7"/>
  <c r="CB141" i="7"/>
  <c r="CB142" i="7"/>
  <c r="CB143" i="7"/>
  <c r="CB144" i="7"/>
  <c r="CB145" i="7"/>
  <c r="CB146" i="7"/>
  <c r="CB147" i="7"/>
  <c r="CB148" i="7"/>
  <c r="CB149" i="7"/>
  <c r="CB150" i="7"/>
  <c r="CB151" i="7"/>
  <c r="CB152" i="7"/>
  <c r="CB153" i="7"/>
  <c r="CB154" i="7"/>
  <c r="CB155" i="7"/>
  <c r="CB156" i="7"/>
  <c r="CB157" i="7"/>
  <c r="CB158" i="7"/>
  <c r="CB159" i="7"/>
  <c r="CB160" i="7"/>
  <c r="CB161" i="7"/>
  <c r="CB162" i="7"/>
  <c r="CB163" i="7"/>
  <c r="CB164" i="7"/>
  <c r="CB165" i="7"/>
  <c r="CB166" i="7"/>
  <c r="CB167" i="7"/>
  <c r="CB168" i="7"/>
  <c r="CB169" i="7"/>
  <c r="CB170" i="7"/>
  <c r="CB171" i="7"/>
  <c r="CB172" i="7"/>
  <c r="CB173" i="7"/>
  <c r="CB174" i="7"/>
  <c r="CB175" i="7"/>
  <c r="CB176" i="7"/>
  <c r="CB177" i="7"/>
  <c r="CB178" i="7"/>
  <c r="CB179" i="7"/>
  <c r="CB180" i="7"/>
  <c r="CB181" i="7"/>
  <c r="CB182" i="7"/>
  <c r="CB183" i="7"/>
  <c r="CB184" i="7"/>
  <c r="CB185" i="7"/>
  <c r="CB186" i="7"/>
  <c r="CB187" i="7"/>
  <c r="CB188" i="7"/>
  <c r="CB189" i="7"/>
  <c r="CB190" i="7"/>
  <c r="CB191" i="7"/>
  <c r="CB192" i="7"/>
  <c r="CB193" i="7"/>
  <c r="CB194" i="7"/>
  <c r="CB195" i="7"/>
  <c r="CB196" i="7"/>
  <c r="CB197" i="7"/>
  <c r="CB198" i="7"/>
  <c r="CB199" i="7"/>
  <c r="CB200" i="7"/>
  <c r="CB201" i="7"/>
  <c r="CB202" i="7"/>
  <c r="CB203" i="7"/>
  <c r="CB204" i="7"/>
  <c r="CB205" i="7"/>
  <c r="CB206" i="7"/>
  <c r="CB207" i="7"/>
  <c r="CB208" i="7"/>
  <c r="CB209" i="7"/>
  <c r="CB210" i="7"/>
  <c r="CB211" i="7"/>
  <c r="CB212" i="7"/>
  <c r="CB213" i="7"/>
  <c r="CB214" i="7"/>
  <c r="CB215" i="7"/>
  <c r="CB216" i="7"/>
  <c r="CB217" i="7"/>
  <c r="CB218" i="7"/>
  <c r="CB219" i="7"/>
  <c r="CB220" i="7"/>
  <c r="CB221" i="7"/>
  <c r="CB222" i="7"/>
  <c r="CB223" i="7"/>
  <c r="CB224" i="7"/>
  <c r="CB225" i="7"/>
  <c r="CB226" i="7"/>
  <c r="CB227" i="7"/>
  <c r="CB228" i="7"/>
  <c r="CB229" i="7"/>
  <c r="CB230" i="7"/>
  <c r="CB231" i="7"/>
  <c r="CB232" i="7"/>
  <c r="CB233" i="7"/>
  <c r="CB234" i="7"/>
  <c r="CB235" i="7"/>
  <c r="CB236" i="7"/>
  <c r="CB237" i="7"/>
  <c r="CB238" i="7"/>
  <c r="CB239" i="7"/>
  <c r="CB240" i="7"/>
  <c r="CB241" i="7"/>
  <c r="CB242" i="7"/>
  <c r="CB243" i="7"/>
  <c r="CB244" i="7"/>
  <c r="CB245" i="7"/>
  <c r="CB246" i="7"/>
  <c r="CB247" i="7"/>
  <c r="CB248" i="7"/>
  <c r="CB249" i="7"/>
  <c r="CB250" i="7"/>
  <c r="CB251" i="7"/>
  <c r="CB252" i="7"/>
  <c r="CB253" i="7"/>
  <c r="CB254" i="7"/>
  <c r="CB255" i="7"/>
  <c r="CB256" i="7"/>
  <c r="CB257" i="7"/>
  <c r="CB258" i="7"/>
  <c r="CB259" i="7"/>
  <c r="CB260" i="7"/>
  <c r="CB261" i="7"/>
  <c r="CB262" i="7"/>
  <c r="CB263" i="7"/>
  <c r="CB264" i="7"/>
  <c r="CB265" i="7"/>
  <c r="CB266" i="7"/>
  <c r="CB267" i="7"/>
  <c r="CB268" i="7"/>
  <c r="CB269" i="7"/>
  <c r="CB270" i="7"/>
  <c r="CB271" i="7"/>
  <c r="CB272" i="7"/>
  <c r="CB273" i="7"/>
  <c r="CB274" i="7"/>
  <c r="CB275" i="7"/>
  <c r="CB276" i="7"/>
  <c r="CB277" i="7"/>
  <c r="CB278" i="7"/>
  <c r="CB279" i="7"/>
  <c r="CB280" i="7"/>
  <c r="CB281" i="7"/>
  <c r="CB282" i="7"/>
  <c r="CB283" i="7"/>
  <c r="CB284" i="7"/>
  <c r="CB285" i="7"/>
  <c r="CB286" i="7"/>
  <c r="CB287" i="7"/>
  <c r="CB288" i="7"/>
  <c r="CB289" i="7"/>
  <c r="CB290" i="7"/>
  <c r="CB291" i="7"/>
  <c r="CB292" i="7"/>
  <c r="CB293" i="7"/>
  <c r="CB294" i="7"/>
  <c r="CB295" i="7"/>
  <c r="CB296" i="7"/>
  <c r="CB297" i="7"/>
  <c r="CB298" i="7"/>
  <c r="CB299" i="7"/>
  <c r="CB300" i="7"/>
  <c r="CB301" i="7"/>
  <c r="CB302" i="7"/>
  <c r="CB303" i="7"/>
  <c r="CB304" i="7"/>
  <c r="CB305" i="7"/>
  <c r="CB306" i="7"/>
  <c r="CB307" i="7"/>
  <c r="CB308" i="7"/>
  <c r="CB309" i="7"/>
  <c r="CB310" i="7"/>
  <c r="CB311" i="7"/>
  <c r="CB312" i="7"/>
  <c r="CB313" i="7"/>
  <c r="CB314" i="7"/>
  <c r="CB315" i="7"/>
  <c r="CB316" i="7"/>
  <c r="CB317" i="7"/>
  <c r="CB318" i="7"/>
  <c r="CB319" i="7"/>
  <c r="CB320" i="7"/>
  <c r="CB321" i="7"/>
  <c r="CB322" i="7"/>
  <c r="CB323" i="7"/>
  <c r="CB324" i="7"/>
  <c r="CB325" i="7"/>
  <c r="CB326" i="7"/>
  <c r="CB327" i="7"/>
  <c r="CB328" i="7"/>
  <c r="CB329" i="7"/>
  <c r="CB330" i="7"/>
  <c r="CB331" i="7"/>
  <c r="CB332" i="7"/>
  <c r="CB333" i="7"/>
  <c r="CB334" i="7"/>
  <c r="CB335" i="7"/>
  <c r="CB336" i="7"/>
  <c r="CB337" i="7"/>
  <c r="CB338" i="7"/>
  <c r="CB339" i="7"/>
  <c r="CB340" i="7"/>
  <c r="CB341" i="7"/>
  <c r="CB342" i="7"/>
  <c r="CB343" i="7"/>
  <c r="CB344" i="7"/>
  <c r="CB345" i="7"/>
  <c r="CB346" i="7"/>
  <c r="CB347" i="7"/>
  <c r="CB348" i="7"/>
  <c r="CB349" i="7"/>
  <c r="CB350" i="7"/>
  <c r="CB351" i="7"/>
  <c r="CB352" i="7"/>
  <c r="CB353" i="7"/>
  <c r="CB354" i="7"/>
  <c r="CB355" i="7"/>
  <c r="CB356" i="7"/>
  <c r="CB357" i="7"/>
  <c r="CB358" i="7"/>
  <c r="CB359" i="7"/>
  <c r="CB360" i="7"/>
  <c r="CB361" i="7"/>
  <c r="CB362" i="7"/>
  <c r="CB363" i="7"/>
  <c r="CB364" i="7"/>
  <c r="CB365" i="7"/>
  <c r="CB366" i="7"/>
  <c r="CB367" i="7"/>
  <c r="CB368" i="7"/>
  <c r="CB369" i="7"/>
  <c r="CB370" i="7"/>
  <c r="CB371" i="7"/>
  <c r="CB372" i="7"/>
  <c r="CB373" i="7"/>
  <c r="CB374" i="7"/>
  <c r="CB375" i="7"/>
  <c r="CB376" i="7"/>
  <c r="CB377" i="7"/>
  <c r="CB378" i="7"/>
  <c r="CB379" i="7"/>
  <c r="CB380" i="7"/>
  <c r="CB381" i="7"/>
  <c r="CB382" i="7"/>
  <c r="CB383" i="7"/>
  <c r="CB384" i="7"/>
  <c r="CB385" i="7"/>
  <c r="CB386" i="7"/>
  <c r="CB387" i="7"/>
  <c r="CB388" i="7"/>
  <c r="CB389" i="7"/>
  <c r="CB390" i="7"/>
  <c r="CB391" i="7"/>
  <c r="CB392" i="7"/>
  <c r="CB393" i="7"/>
  <c r="CB394" i="7"/>
  <c r="CB395" i="7"/>
  <c r="CB396" i="7"/>
  <c r="CB397" i="7"/>
  <c r="CB398" i="7"/>
  <c r="CB399" i="7"/>
  <c r="CB400" i="7"/>
  <c r="CB401" i="7"/>
  <c r="CB402" i="7"/>
  <c r="CB403" i="7"/>
  <c r="CB404" i="7"/>
  <c r="CB405" i="7"/>
  <c r="CB406" i="7"/>
  <c r="CB407" i="7"/>
  <c r="CB408" i="7"/>
  <c r="CB409" i="7"/>
  <c r="CB410" i="7"/>
  <c r="CB411" i="7"/>
  <c r="CB412" i="7"/>
  <c r="CB413" i="7"/>
  <c r="CB414" i="7"/>
  <c r="CB415" i="7"/>
  <c r="CB416" i="7"/>
  <c r="CB417" i="7"/>
  <c r="CB418" i="7"/>
  <c r="CB419" i="7"/>
  <c r="CB420" i="7"/>
  <c r="CB421" i="7"/>
  <c r="CB422" i="7"/>
  <c r="CB423" i="7"/>
  <c r="CB424" i="7"/>
  <c r="CB425" i="7"/>
  <c r="CB426" i="7"/>
  <c r="CB427" i="7"/>
  <c r="CB428" i="7"/>
  <c r="CB429" i="7"/>
  <c r="CB430" i="7"/>
  <c r="CB431" i="7"/>
  <c r="CB432" i="7"/>
  <c r="CB433" i="7"/>
  <c r="CB434" i="7"/>
  <c r="CB435" i="7"/>
  <c r="CB436" i="7"/>
  <c r="CB437" i="7"/>
  <c r="CB438" i="7"/>
  <c r="CB439" i="7"/>
  <c r="CB440" i="7"/>
  <c r="CB441" i="7"/>
  <c r="CB442" i="7"/>
  <c r="CB443" i="7"/>
  <c r="CB444" i="7"/>
  <c r="CB445" i="7"/>
  <c r="CB446" i="7"/>
  <c r="CB447" i="7"/>
  <c r="CB448" i="7"/>
  <c r="CB449" i="7"/>
  <c r="CB450" i="7"/>
  <c r="CB451" i="7"/>
  <c r="CB452" i="7"/>
  <c r="CB453" i="7"/>
  <c r="CB454" i="7"/>
  <c r="CB455" i="7"/>
  <c r="CB456" i="7"/>
  <c r="CB457" i="7"/>
  <c r="CB458" i="7"/>
  <c r="CB459" i="7"/>
  <c r="CB460" i="7"/>
  <c r="CB461" i="7"/>
  <c r="CB462" i="7"/>
  <c r="CB463" i="7"/>
  <c r="CB464" i="7"/>
  <c r="CB465" i="7"/>
  <c r="CB466" i="7"/>
  <c r="CB467" i="7"/>
  <c r="CB468" i="7"/>
  <c r="CB469" i="7"/>
  <c r="CB470" i="7"/>
  <c r="CB471" i="7"/>
  <c r="CB472" i="7"/>
  <c r="CB473" i="7"/>
  <c r="CB474" i="7"/>
  <c r="CB475" i="7"/>
  <c r="CB476" i="7"/>
  <c r="CB477" i="7"/>
  <c r="CB478" i="7"/>
  <c r="CB479" i="7"/>
  <c r="CB4" i="7"/>
  <c r="V92" i="24"/>
  <c r="V116" i="24"/>
  <c r="V91" i="24"/>
  <c r="V115" i="24"/>
  <c r="U95" i="24"/>
  <c r="U119" i="24"/>
  <c r="T94" i="24"/>
  <c r="V87" i="24"/>
  <c r="V111" i="24"/>
  <c r="U86" i="24"/>
  <c r="U110" i="24"/>
  <c r="U85" i="24"/>
  <c r="U109" i="24"/>
  <c r="T89" i="24"/>
  <c r="V82" i="24"/>
  <c r="V106" i="24"/>
  <c r="U81" i="24"/>
  <c r="U105" i="24"/>
  <c r="T80" i="24"/>
  <c r="T79" i="24"/>
  <c r="V77" i="24"/>
  <c r="V101" i="24"/>
  <c r="U75" i="24"/>
  <c r="U99" i="24"/>
  <c r="T75" i="24"/>
  <c r="U94" i="24"/>
  <c r="U118" i="24"/>
  <c r="V85" i="24"/>
  <c r="V109" i="24"/>
  <c r="T88" i="24"/>
  <c r="U79" i="24"/>
  <c r="U103" i="24"/>
  <c r="U76" i="24"/>
  <c r="U100" i="24"/>
  <c r="V93" i="24"/>
  <c r="V117" i="24"/>
  <c r="U92" i="24"/>
  <c r="U116" i="24"/>
  <c r="U91" i="24"/>
  <c r="U115" i="24"/>
  <c r="T95" i="24"/>
  <c r="V88" i="24"/>
  <c r="V112" i="24"/>
  <c r="U87" i="24"/>
  <c r="U111" i="24"/>
  <c r="T86" i="24"/>
  <c r="T85" i="24"/>
  <c r="V83" i="24"/>
  <c r="V107" i="24"/>
  <c r="U82" i="24"/>
  <c r="U106" i="24"/>
  <c r="T81" i="24"/>
  <c r="V74" i="24"/>
  <c r="V98" i="24"/>
  <c r="V73" i="24"/>
  <c r="V97" i="24"/>
  <c r="U74" i="24"/>
  <c r="U98" i="24"/>
  <c r="T76" i="24"/>
  <c r="T93" i="24"/>
  <c r="U89" i="24"/>
  <c r="U113" i="24"/>
  <c r="U80" i="24"/>
  <c r="U104" i="24"/>
  <c r="V76" i="24"/>
  <c r="V100" i="24"/>
  <c r="T73" i="24"/>
  <c r="V94" i="24"/>
  <c r="V118" i="24"/>
  <c r="U93" i="24"/>
  <c r="U117" i="24"/>
  <c r="T92" i="24"/>
  <c r="T91" i="24"/>
  <c r="V89" i="24"/>
  <c r="V113" i="24"/>
  <c r="U88" i="24"/>
  <c r="U112" i="24"/>
  <c r="T87" i="24"/>
  <c r="V80" i="24"/>
  <c r="V104" i="24"/>
  <c r="V79" i="24"/>
  <c r="V103" i="24"/>
  <c r="U83" i="24"/>
  <c r="U107" i="24"/>
  <c r="T82" i="24"/>
  <c r="V75" i="24"/>
  <c r="V99" i="24"/>
  <c r="U77" i="24"/>
  <c r="U101" i="24"/>
  <c r="U73" i="24"/>
  <c r="U97" i="24"/>
  <c r="T77" i="24"/>
  <c r="V95" i="24"/>
  <c r="V119" i="24"/>
  <c r="V86" i="24"/>
  <c r="V110" i="24"/>
  <c r="V81" i="24"/>
  <c r="V105" i="24"/>
  <c r="T83" i="24"/>
  <c r="T74" i="24"/>
  <c r="V165" i="24"/>
  <c r="V169" i="24"/>
  <c r="V156" i="24"/>
  <c r="V160" i="24"/>
  <c r="V147" i="24"/>
  <c r="V151" i="24"/>
  <c r="V138" i="24"/>
  <c r="V142" i="24"/>
  <c r="V159" i="24"/>
  <c r="V146" i="24"/>
  <c r="V166" i="24"/>
  <c r="V170" i="24"/>
  <c r="V157" i="24"/>
  <c r="V161" i="24"/>
  <c r="V148" i="24"/>
  <c r="V152" i="24"/>
  <c r="V139" i="24"/>
  <c r="V143" i="24"/>
  <c r="V164" i="24"/>
  <c r="V155" i="24"/>
  <c r="V137" i="24"/>
  <c r="V167" i="24"/>
  <c r="V171" i="24"/>
  <c r="V158" i="24"/>
  <c r="V162" i="24"/>
  <c r="V149" i="24"/>
  <c r="V153" i="24"/>
  <c r="V140" i="24"/>
  <c r="V144" i="24"/>
  <c r="V168" i="24"/>
  <c r="V150" i="24"/>
  <c r="V141" i="24"/>
  <c r="AD5" i="7"/>
  <c r="AD6" i="7"/>
  <c r="AD7" i="7"/>
  <c r="AD8" i="7"/>
  <c r="AD9" i="7"/>
  <c r="AD10" i="7"/>
  <c r="AD11" i="7"/>
  <c r="AD12" i="7"/>
  <c r="AD13" i="7"/>
  <c r="AD14" i="7"/>
  <c r="AD15" i="7"/>
  <c r="AD16" i="7"/>
  <c r="AD17" i="7"/>
  <c r="AD18" i="7"/>
  <c r="AD19" i="7"/>
  <c r="AD20" i="7"/>
  <c r="AD21" i="7"/>
  <c r="AD22" i="7"/>
  <c r="AD23" i="7"/>
  <c r="AD24" i="7"/>
  <c r="AD25" i="7"/>
  <c r="AD26" i="7"/>
  <c r="AD27" i="7"/>
  <c r="AD28" i="7"/>
  <c r="AD29" i="7"/>
  <c r="AD30" i="7"/>
  <c r="AD31" i="7"/>
  <c r="AD32" i="7"/>
  <c r="AD33" i="7"/>
  <c r="AD34" i="7"/>
  <c r="AD35" i="7"/>
  <c r="AD36" i="7"/>
  <c r="AD37" i="7"/>
  <c r="AD38" i="7"/>
  <c r="AD39" i="7"/>
  <c r="AD40" i="7"/>
  <c r="AD41" i="7"/>
  <c r="AD42" i="7"/>
  <c r="AD43" i="7"/>
  <c r="AD44" i="7"/>
  <c r="AD45" i="7"/>
  <c r="AD46" i="7"/>
  <c r="AD47" i="7"/>
  <c r="AD48" i="7"/>
  <c r="AD49" i="7"/>
  <c r="AD50" i="7"/>
  <c r="AD51" i="7"/>
  <c r="AD52" i="7"/>
  <c r="AD53" i="7"/>
  <c r="AD54" i="7"/>
  <c r="AD55" i="7"/>
  <c r="AD56" i="7"/>
  <c r="AD57" i="7"/>
  <c r="AD58" i="7"/>
  <c r="AD59" i="7"/>
  <c r="AD60" i="7"/>
  <c r="AD61" i="7"/>
  <c r="AD62" i="7"/>
  <c r="AD63" i="7"/>
  <c r="AD64" i="7"/>
  <c r="AD65" i="7"/>
  <c r="AD66" i="7"/>
  <c r="AD67" i="7"/>
  <c r="AD68" i="7"/>
  <c r="AD69" i="7"/>
  <c r="AD70" i="7"/>
  <c r="AD71" i="7"/>
  <c r="AD72" i="7"/>
  <c r="AD73" i="7"/>
  <c r="AD74" i="7"/>
  <c r="AD75" i="7"/>
  <c r="AD76" i="7"/>
  <c r="AD77" i="7"/>
  <c r="AD78" i="7"/>
  <c r="AD79" i="7"/>
  <c r="AD80" i="7"/>
  <c r="AD81" i="7"/>
  <c r="AD82" i="7"/>
  <c r="AD83" i="7"/>
  <c r="AD84" i="7"/>
  <c r="AD85" i="7"/>
  <c r="AD86" i="7"/>
  <c r="AD87" i="7"/>
  <c r="AD88" i="7"/>
  <c r="AD89" i="7"/>
  <c r="AD90" i="7"/>
  <c r="AD91" i="7"/>
  <c r="AD92" i="7"/>
  <c r="AD93" i="7"/>
  <c r="AD94" i="7"/>
  <c r="AD95" i="7"/>
  <c r="AD96" i="7"/>
  <c r="AD97" i="7"/>
  <c r="AD98" i="7"/>
  <c r="AD99" i="7"/>
  <c r="AD100" i="7"/>
  <c r="AD101" i="7"/>
  <c r="AD102" i="7"/>
  <c r="AD103" i="7"/>
  <c r="AD104" i="7"/>
  <c r="AD105" i="7"/>
  <c r="AD106" i="7"/>
  <c r="AD107" i="7"/>
  <c r="AD108" i="7"/>
  <c r="AD109" i="7"/>
  <c r="AD110" i="7"/>
  <c r="AD111" i="7"/>
  <c r="AD112" i="7"/>
  <c r="AD113" i="7"/>
  <c r="AD114" i="7"/>
  <c r="AD115" i="7"/>
  <c r="AD116" i="7"/>
  <c r="AD117" i="7"/>
  <c r="AD118" i="7"/>
  <c r="AD119" i="7"/>
  <c r="AD120" i="7"/>
  <c r="AD121" i="7"/>
  <c r="AD122" i="7"/>
  <c r="AD123" i="7"/>
  <c r="AD124" i="7"/>
  <c r="AD125" i="7"/>
  <c r="AD126" i="7"/>
  <c r="AD127" i="7"/>
  <c r="AD128" i="7"/>
  <c r="AD4" i="7"/>
  <c r="BB48" i="26"/>
  <c r="AB15" i="26"/>
  <c r="AA16" i="26"/>
  <c r="AA40" i="26" s="1"/>
  <c r="BG34" i="26" s="1"/>
  <c r="AB17" i="26"/>
  <c r="AB41" i="26" s="1"/>
  <c r="BH35" i="26" s="1"/>
  <c r="Z19" i="26"/>
  <c r="AA20" i="26"/>
  <c r="AA44" i="26" s="1"/>
  <c r="AB21" i="26"/>
  <c r="AB45" i="26" s="1"/>
  <c r="BH39" i="26" s="1"/>
  <c r="Z23" i="26"/>
  <c r="Z47" i="26"/>
  <c r="AA24" i="26"/>
  <c r="AB25" i="26"/>
  <c r="Z27" i="26"/>
  <c r="Z51" i="26"/>
  <c r="BF45" i="26" s="1"/>
  <c r="AA28" i="26"/>
  <c r="AA52" i="26" s="1"/>
  <c r="BG46" i="26" s="1"/>
  <c r="AB29" i="26"/>
  <c r="Z31" i="26"/>
  <c r="Z55" i="26" s="1"/>
  <c r="AA32" i="26"/>
  <c r="AA56" i="26" s="1"/>
  <c r="BG50" i="26" s="1"/>
  <c r="AB33" i="26"/>
  <c r="AB57" i="26"/>
  <c r="BH51" i="26" s="1"/>
  <c r="AA14" i="26"/>
  <c r="Z14" i="26"/>
  <c r="Z16" i="26"/>
  <c r="Z40" i="26"/>
  <c r="Z20" i="26"/>
  <c r="Z44" i="26" s="1"/>
  <c r="BF38" i="26" s="1"/>
  <c r="Z24" i="26"/>
  <c r="Z28" i="26"/>
  <c r="Z52" i="26" s="1"/>
  <c r="AB30" i="26"/>
  <c r="AB54" i="26" s="1"/>
  <c r="AA33" i="26"/>
  <c r="AA57" i="26"/>
  <c r="Z15" i="26"/>
  <c r="AB16" i="26"/>
  <c r="Z18" i="26"/>
  <c r="Z42" i="26"/>
  <c r="AA19" i="26"/>
  <c r="AA43" i="26" s="1"/>
  <c r="BG37" i="26" s="1"/>
  <c r="AB20" i="26"/>
  <c r="Z22" i="26"/>
  <c r="AA23" i="26"/>
  <c r="AA47" i="26" s="1"/>
  <c r="AB24" i="26"/>
  <c r="AB48" i="26"/>
  <c r="Z26" i="26"/>
  <c r="Z50" i="26" s="1"/>
  <c r="BF44" i="26" s="1"/>
  <c r="AA27" i="26"/>
  <c r="AB28" i="26"/>
  <c r="AB52" i="26" s="1"/>
  <c r="BH46" i="26" s="1"/>
  <c r="Z30" i="26"/>
  <c r="Z54" i="26"/>
  <c r="BF48" i="26"/>
  <c r="AA31" i="26"/>
  <c r="AA55" i="26" s="1"/>
  <c r="BG49" i="26" s="1"/>
  <c r="AB32" i="26"/>
  <c r="Z34" i="26"/>
  <c r="AA17" i="26"/>
  <c r="AA41" i="26" s="1"/>
  <c r="AA21" i="26"/>
  <c r="AB26" i="26"/>
  <c r="AB50" i="26" s="1"/>
  <c r="Z32" i="26"/>
  <c r="Z56" i="26" s="1"/>
  <c r="BF50" i="26" s="1"/>
  <c r="AB14" i="26"/>
  <c r="AB38" i="26"/>
  <c r="AA15" i="26"/>
  <c r="Z17" i="26"/>
  <c r="AA18" i="26"/>
  <c r="AA42" i="26"/>
  <c r="AB19" i="26"/>
  <c r="AB43" i="26" s="1"/>
  <c r="BH37" i="26" s="1"/>
  <c r="Z21" i="26"/>
  <c r="AA22" i="26"/>
  <c r="AB23" i="26"/>
  <c r="AB47" i="26" s="1"/>
  <c r="BH41" i="26" s="1"/>
  <c r="Z25" i="26"/>
  <c r="Z49" i="26"/>
  <c r="BF43" i="26" s="1"/>
  <c r="AA26" i="26"/>
  <c r="AA50" i="26" s="1"/>
  <c r="AB27" i="26"/>
  <c r="Z29" i="26"/>
  <c r="Z53" i="26" s="1"/>
  <c r="BF47" i="26" s="1"/>
  <c r="AA30" i="26"/>
  <c r="AA54" i="26"/>
  <c r="AB31" i="26"/>
  <c r="AB55" i="26" s="1"/>
  <c r="BH49" i="26" s="1"/>
  <c r="Z33" i="26"/>
  <c r="AA34" i="26"/>
  <c r="AB18" i="26"/>
  <c r="AB42" i="26" s="1"/>
  <c r="BH36" i="26" s="1"/>
  <c r="AB22" i="26"/>
  <c r="AA25" i="26"/>
  <c r="AA29" i="26"/>
  <c r="AA53" i="26" s="1"/>
  <c r="BG47" i="26" s="1"/>
  <c r="AB34" i="26"/>
  <c r="BC78" i="24"/>
  <c r="T98" i="24"/>
  <c r="BC95" i="24"/>
  <c r="T115" i="24"/>
  <c r="T97" i="24"/>
  <c r="BC77" i="24"/>
  <c r="T117" i="24"/>
  <c r="BC97" i="24"/>
  <c r="BC89" i="24"/>
  <c r="T109" i="24"/>
  <c r="T119" i="24"/>
  <c r="BC99" i="24"/>
  <c r="T103" i="24"/>
  <c r="BC83" i="24"/>
  <c r="BC93" i="24"/>
  <c r="T113" i="24"/>
  <c r="T118" i="24"/>
  <c r="BC98" i="24"/>
  <c r="T107" i="24"/>
  <c r="BC87" i="24"/>
  <c r="BC81" i="24"/>
  <c r="T101" i="24"/>
  <c r="BC86" i="24"/>
  <c r="T106" i="24"/>
  <c r="BC91" i="24"/>
  <c r="T111" i="24"/>
  <c r="BC96" i="24"/>
  <c r="T116" i="24"/>
  <c r="BC80" i="24"/>
  <c r="T100" i="24"/>
  <c r="BC85" i="24"/>
  <c r="T105" i="24"/>
  <c r="BC90" i="24"/>
  <c r="T110" i="24"/>
  <c r="T99" i="24"/>
  <c r="BC79" i="24"/>
  <c r="T104" i="24"/>
  <c r="BC84" i="24"/>
  <c r="T112" i="24"/>
  <c r="BC92" i="24"/>
  <c r="BB79" i="26"/>
  <c r="BB83" i="26"/>
  <c r="BD83" i="26" s="1"/>
  <c r="BB87" i="26"/>
  <c r="BB91" i="26"/>
  <c r="BB95" i="26"/>
  <c r="Z101" i="26"/>
  <c r="Z105" i="26"/>
  <c r="Z109" i="26"/>
  <c r="Z113" i="26"/>
  <c r="Z117" i="26"/>
  <c r="Z77" i="26"/>
  <c r="AA77" i="26" s="1"/>
  <c r="BD77" i="26" s="1"/>
  <c r="Z81" i="26"/>
  <c r="AA81" i="26"/>
  <c r="Z85" i="26"/>
  <c r="AA85" i="26" s="1"/>
  <c r="BD85" i="26" s="1"/>
  <c r="Z89" i="26"/>
  <c r="AA89" i="26"/>
  <c r="Z93" i="26"/>
  <c r="AA93" i="26" s="1"/>
  <c r="BD93" i="26" s="1"/>
  <c r="Z76" i="26"/>
  <c r="AA76" i="26"/>
  <c r="BD76" i="26" s="1"/>
  <c r="BB80" i="26"/>
  <c r="BB84" i="26"/>
  <c r="BB88" i="26"/>
  <c r="BB92" i="26"/>
  <c r="BD92" i="26" s="1"/>
  <c r="BB76" i="26"/>
  <c r="Z102" i="26"/>
  <c r="Z106" i="26"/>
  <c r="Z110" i="26"/>
  <c r="Z114" i="26"/>
  <c r="Z118" i="26"/>
  <c r="Z78" i="26"/>
  <c r="AA78" i="26"/>
  <c r="BD78" i="26" s="1"/>
  <c r="Z82" i="26"/>
  <c r="AA82" i="26" s="1"/>
  <c r="BD82" i="26" s="1"/>
  <c r="Z86" i="26"/>
  <c r="AA86" i="26"/>
  <c r="Z90" i="26"/>
  <c r="AA90" i="26" s="1"/>
  <c r="BD90" i="26" s="1"/>
  <c r="Z94" i="26"/>
  <c r="AA94" i="26"/>
  <c r="BD94" i="26" s="1"/>
  <c r="BB82" i="26"/>
  <c r="BB90" i="26"/>
  <c r="Z100" i="26"/>
  <c r="Z112" i="26"/>
  <c r="Z84" i="26"/>
  <c r="AA84" i="26" s="1"/>
  <c r="BD84" i="26" s="1"/>
  <c r="Z92" i="26"/>
  <c r="AA92" i="26"/>
  <c r="BB77" i="26"/>
  <c r="BB81" i="26"/>
  <c r="BB85" i="26"/>
  <c r="BB89" i="26"/>
  <c r="BD89" i="26" s="1"/>
  <c r="BB93" i="26"/>
  <c r="Z103" i="26"/>
  <c r="Z107" i="26"/>
  <c r="Z111" i="26"/>
  <c r="Z115" i="26"/>
  <c r="Z99" i="26"/>
  <c r="Z79" i="26"/>
  <c r="AA79" i="26" s="1"/>
  <c r="BD79" i="26" s="1"/>
  <c r="Z83" i="26"/>
  <c r="AA83" i="26"/>
  <c r="Z87" i="26"/>
  <c r="AA87" i="26" s="1"/>
  <c r="BD87" i="26" s="1"/>
  <c r="Z91" i="26"/>
  <c r="AA91" i="26"/>
  <c r="Z95" i="26"/>
  <c r="AA95" i="26" s="1"/>
  <c r="BD95" i="26" s="1"/>
  <c r="BB78" i="26"/>
  <c r="BB86" i="26"/>
  <c r="BD86" i="26" s="1"/>
  <c r="BB94" i="26"/>
  <c r="Z104" i="26"/>
  <c r="Z108" i="26"/>
  <c r="Z116" i="26"/>
  <c r="Z80" i="26"/>
  <c r="AA80" i="26" s="1"/>
  <c r="BD80" i="26" s="1"/>
  <c r="Z88" i="26"/>
  <c r="AA88" i="26"/>
  <c r="BD88" i="26" s="1"/>
  <c r="Z96" i="26"/>
  <c r="BD34" i="26"/>
  <c r="AB40" i="26"/>
  <c r="BH34" i="26" s="1"/>
  <c r="BD32" i="26"/>
  <c r="BH32" i="26" s="1"/>
  <c r="AA38" i="26"/>
  <c r="AA39" i="26"/>
  <c r="AB44" i="26"/>
  <c r="Z46" i="26"/>
  <c r="BF40" i="26" s="1"/>
  <c r="AA51" i="26"/>
  <c r="AB56" i="26"/>
  <c r="BD44" i="26"/>
  <c r="BH44" i="26" s="1"/>
  <c r="BC32" i="26"/>
  <c r="BB43" i="26"/>
  <c r="BD40" i="26"/>
  <c r="BC36" i="26"/>
  <c r="BC44" i="26"/>
  <c r="BG44" i="26" s="1"/>
  <c r="BB35" i="26"/>
  <c r="BB47" i="26"/>
  <c r="BD36" i="26"/>
  <c r="BD48" i="26"/>
  <c r="BH48" i="26" s="1"/>
  <c r="BC40" i="26"/>
  <c r="BC48" i="26"/>
  <c r="BB39" i="26"/>
  <c r="BF39" i="26" s="1"/>
  <c r="BB51" i="26"/>
  <c r="Z57" i="26"/>
  <c r="Z45" i="26"/>
  <c r="Z41" i="26"/>
  <c r="AA46" i="26"/>
  <c r="BG40" i="26" s="1"/>
  <c r="AB51" i="26"/>
  <c r="AB39" i="26"/>
  <c r="BB50" i="26"/>
  <c r="BB46" i="26"/>
  <c r="BF46" i="26" s="1"/>
  <c r="BB42" i="26"/>
  <c r="BB38" i="26"/>
  <c r="BB34" i="26"/>
  <c r="BF34" i="26" s="1"/>
  <c r="BC51" i="26"/>
  <c r="BG51" i="26" s="1"/>
  <c r="BC47" i="26"/>
  <c r="BC43" i="26"/>
  <c r="BC39" i="26"/>
  <c r="BG39" i="26" s="1"/>
  <c r="BC35" i="26"/>
  <c r="BG35" i="26" s="1"/>
  <c r="BD51" i="26"/>
  <c r="BD47" i="26"/>
  <c r="BD43" i="26"/>
  <c r="BD39" i="26"/>
  <c r="BD35" i="26"/>
  <c r="Z48" i="26"/>
  <c r="BF42" i="26" s="1"/>
  <c r="AA49" i="26"/>
  <c r="BG43" i="26" s="1"/>
  <c r="AA45" i="26"/>
  <c r="AB46" i="26"/>
  <c r="BH40" i="26" s="1"/>
  <c r="BB49" i="26"/>
  <c r="BB45" i="26"/>
  <c r="BB41" i="26"/>
  <c r="BB37" i="26"/>
  <c r="BB33" i="26"/>
  <c r="BF33" i="26" s="1"/>
  <c r="BC50" i="26"/>
  <c r="BC46" i="26"/>
  <c r="BC42" i="26"/>
  <c r="BC38" i="26"/>
  <c r="BG38" i="26" s="1"/>
  <c r="BC34" i="26"/>
  <c r="BD50" i="26"/>
  <c r="BD46" i="26"/>
  <c r="BD42" i="26"/>
  <c r="BD38" i="26"/>
  <c r="BH38" i="26" s="1"/>
  <c r="Z38" i="26"/>
  <c r="Z43" i="26"/>
  <c r="BF37" i="26" s="1"/>
  <c r="Z39" i="26"/>
  <c r="AA48" i="26"/>
  <c r="AB53" i="26"/>
  <c r="BH47" i="26" s="1"/>
  <c r="AB49" i="26"/>
  <c r="BB44" i="26"/>
  <c r="BB40" i="26"/>
  <c r="BB36" i="26"/>
  <c r="BF36" i="26" s="1"/>
  <c r="BB32" i="26"/>
  <c r="BC49" i="26"/>
  <c r="BC45" i="26"/>
  <c r="BG45" i="26" s="1"/>
  <c r="BC41" i="26"/>
  <c r="BG41" i="26" s="1"/>
  <c r="BC37" i="26"/>
  <c r="BC33" i="26"/>
  <c r="BD49" i="26"/>
  <c r="BD45" i="26"/>
  <c r="BH45" i="26" s="1"/>
  <c r="BD41" i="26"/>
  <c r="BD37" i="26"/>
  <c r="BD33" i="26"/>
  <c r="BH33" i="26" s="1"/>
  <c r="BD81" i="26"/>
  <c r="BG33" i="26"/>
  <c r="BG32" i="26"/>
  <c r="BH50" i="26"/>
  <c r="BG42" i="26"/>
  <c r="BF35" i="26"/>
  <c r="BF32" i="26"/>
  <c r="BH43" i="26"/>
  <c r="BF41" i="26"/>
  <c r="BF51" i="26"/>
  <c r="BG36" i="26"/>
  <c r="BD91" i="26"/>
  <c r="BH42" i="26"/>
  <c r="BG48" i="26"/>
  <c r="AZ5" i="7"/>
  <c r="AZ6" i="7"/>
  <c r="AZ7" i="7"/>
  <c r="AZ8" i="7"/>
  <c r="AZ9" i="7"/>
  <c r="AZ10" i="7"/>
  <c r="AZ11" i="7"/>
  <c r="AZ12" i="7"/>
  <c r="AZ13" i="7"/>
  <c r="AZ14" i="7"/>
  <c r="AZ15" i="7"/>
  <c r="AZ16" i="7"/>
  <c r="AZ17" i="7"/>
  <c r="AZ18" i="7"/>
  <c r="AZ19" i="7"/>
  <c r="AZ20" i="7"/>
  <c r="AZ21" i="7"/>
  <c r="AZ22" i="7"/>
  <c r="AZ23" i="7"/>
  <c r="AZ24" i="7"/>
  <c r="AZ25" i="7"/>
  <c r="AZ26" i="7"/>
  <c r="AZ27" i="7"/>
  <c r="AZ28" i="7"/>
  <c r="AZ29" i="7"/>
  <c r="AZ30" i="7"/>
  <c r="AZ31" i="7"/>
  <c r="AZ32" i="7"/>
  <c r="AZ33" i="7"/>
  <c r="AZ34" i="7"/>
  <c r="AZ35" i="7"/>
  <c r="AZ36" i="7"/>
  <c r="AZ37" i="7"/>
  <c r="AZ38" i="7"/>
  <c r="AZ39" i="7"/>
  <c r="AZ40" i="7"/>
  <c r="AZ41" i="7"/>
  <c r="AZ42" i="7"/>
  <c r="AZ43" i="7"/>
  <c r="AZ44" i="7"/>
  <c r="AZ45" i="7"/>
  <c r="AZ46" i="7"/>
  <c r="AZ47" i="7"/>
  <c r="AZ48" i="7"/>
  <c r="AZ49" i="7"/>
  <c r="AZ50" i="7"/>
  <c r="AZ51" i="7"/>
  <c r="AZ52" i="7"/>
  <c r="AZ53" i="7"/>
  <c r="AZ54" i="7"/>
  <c r="AZ55" i="7"/>
  <c r="AZ56" i="7"/>
  <c r="AZ57" i="7"/>
  <c r="AZ58" i="7"/>
  <c r="AZ59" i="7"/>
  <c r="AZ60" i="7"/>
  <c r="AZ61" i="7"/>
  <c r="AZ62" i="7"/>
  <c r="AZ63" i="7"/>
  <c r="AZ64" i="7"/>
  <c r="AZ65" i="7"/>
  <c r="AZ66" i="7"/>
  <c r="AZ67" i="7"/>
  <c r="AZ68" i="7"/>
  <c r="AZ69" i="7"/>
  <c r="AZ70" i="7"/>
  <c r="AZ71" i="7"/>
  <c r="AZ72" i="7"/>
  <c r="AZ73" i="7"/>
  <c r="AZ74" i="7"/>
  <c r="AZ75" i="7"/>
  <c r="AZ76" i="7"/>
  <c r="AZ77" i="7"/>
  <c r="AZ78" i="7"/>
  <c r="AZ79" i="7"/>
  <c r="AZ80" i="7"/>
  <c r="AZ81" i="7"/>
  <c r="AZ82" i="7"/>
  <c r="AZ83" i="7"/>
  <c r="AZ84" i="7"/>
  <c r="AZ85" i="7"/>
  <c r="AZ86" i="7"/>
  <c r="AZ87" i="7"/>
  <c r="AZ88" i="7"/>
  <c r="AZ89" i="7"/>
  <c r="AZ90" i="7"/>
  <c r="AZ91" i="7"/>
  <c r="AZ92" i="7"/>
  <c r="AZ93" i="7"/>
  <c r="AZ94" i="7"/>
  <c r="AZ95" i="7"/>
  <c r="AZ96" i="7"/>
  <c r="AZ97" i="7"/>
  <c r="AZ98" i="7"/>
  <c r="AZ99" i="7"/>
  <c r="AZ100" i="7"/>
  <c r="AZ101" i="7"/>
  <c r="AZ102" i="7"/>
  <c r="AZ103" i="7"/>
  <c r="AZ104" i="7"/>
  <c r="AZ105" i="7"/>
  <c r="AZ106" i="7"/>
  <c r="AZ107" i="7"/>
  <c r="AZ108" i="7"/>
  <c r="AZ109" i="7"/>
  <c r="AZ110" i="7"/>
  <c r="AZ111" i="7"/>
  <c r="AZ112" i="7"/>
  <c r="AZ113" i="7"/>
  <c r="AZ114" i="7"/>
  <c r="AZ115" i="7"/>
  <c r="AZ116" i="7"/>
  <c r="AZ117" i="7"/>
  <c r="AZ118" i="7"/>
  <c r="AZ119" i="7"/>
  <c r="AZ120" i="7"/>
  <c r="AZ121" i="7"/>
  <c r="AZ122" i="7"/>
  <c r="AZ123" i="7"/>
  <c r="AZ124" i="7"/>
  <c r="AZ125" i="7"/>
  <c r="AZ126" i="7"/>
  <c r="AZ127" i="7"/>
  <c r="AZ128" i="7"/>
  <c r="AZ129" i="7"/>
  <c r="AZ130" i="7"/>
  <c r="AZ4" i="7"/>
  <c r="BN102" i="16"/>
  <c r="BR102" i="16"/>
  <c r="BV102" i="16"/>
  <c r="BK101" i="16"/>
  <c r="BO101" i="16"/>
  <c r="BS101" i="16"/>
  <c r="BP102" i="16"/>
  <c r="BM101" i="16"/>
  <c r="BY101" i="16"/>
  <c r="BK102" i="16"/>
  <c r="BO102" i="16"/>
  <c r="BS102" i="16"/>
  <c r="BW102" i="16"/>
  <c r="BL101" i="16"/>
  <c r="BP101" i="16"/>
  <c r="BT101" i="16"/>
  <c r="BX101" i="16"/>
  <c r="BT102" i="16"/>
  <c r="BU101" i="16"/>
  <c r="BM102" i="16"/>
  <c r="BQ102" i="16"/>
  <c r="BU102" i="16"/>
  <c r="BY102" i="16"/>
  <c r="BN101" i="16"/>
  <c r="BR101" i="16"/>
  <c r="BV101" i="16"/>
  <c r="BW101" i="16"/>
  <c r="BL102" i="16"/>
  <c r="BX102" i="16"/>
  <c r="BQ101" i="16"/>
  <c r="BM99" i="16"/>
  <c r="BQ99" i="16"/>
  <c r="BU99" i="16"/>
  <c r="BY99" i="16"/>
  <c r="BO99" i="16"/>
  <c r="BS99" i="16"/>
  <c r="BJ100" i="16"/>
  <c r="BT99" i="16"/>
  <c r="BN99" i="16"/>
  <c r="BR99" i="16"/>
  <c r="BV99" i="16"/>
  <c r="BJ99" i="16"/>
  <c r="BK99" i="16"/>
  <c r="BW99" i="16"/>
  <c r="BL99" i="16"/>
  <c r="BP99" i="16"/>
  <c r="BX99" i="16"/>
  <c r="BN100" i="16"/>
  <c r="BR100" i="16"/>
  <c r="BV100" i="16"/>
  <c r="BI104" i="16"/>
  <c r="BI108" i="16"/>
  <c r="BM100" i="16"/>
  <c r="BY100" i="16"/>
  <c r="BI107" i="16"/>
  <c r="BK100" i="16"/>
  <c r="BO100" i="16"/>
  <c r="BS100" i="16"/>
  <c r="BW100" i="16"/>
  <c r="BI105" i="16"/>
  <c r="BU100" i="16"/>
  <c r="BI103" i="16"/>
  <c r="BL100" i="16"/>
  <c r="BP100" i="16"/>
  <c r="BT100" i="16"/>
  <c r="BX100" i="16"/>
  <c r="BI106" i="16"/>
  <c r="BQ100" i="16"/>
  <c r="Z101" i="16"/>
  <c r="Z105" i="16"/>
  <c r="AD101" i="16"/>
  <c r="AD105" i="16" s="1"/>
  <c r="AH101" i="16"/>
  <c r="AH105" i="16"/>
  <c r="AL101" i="16"/>
  <c r="AL105" i="16" s="1"/>
  <c r="AB102" i="16"/>
  <c r="AB106" i="16"/>
  <c r="AF102" i="16"/>
  <c r="AF106" i="16" s="1"/>
  <c r="AJ102" i="16"/>
  <c r="AJ106" i="16"/>
  <c r="Z103" i="16"/>
  <c r="Z107" i="16" s="1"/>
  <c r="AD103" i="16"/>
  <c r="AD107" i="16"/>
  <c r="AH103" i="16"/>
  <c r="AH107" i="16" s="1"/>
  <c r="AL103" i="16"/>
  <c r="AL107" i="16"/>
  <c r="Y103" i="16"/>
  <c r="Y107" i="16" s="1"/>
  <c r="X103" i="16"/>
  <c r="AK101" i="16"/>
  <c r="AK105" i="16"/>
  <c r="AI102" i="16"/>
  <c r="AI106" i="16" s="1"/>
  <c r="AG103" i="16"/>
  <c r="AG107" i="16"/>
  <c r="X101" i="16"/>
  <c r="X105" i="16" s="1"/>
  <c r="AA101" i="16"/>
  <c r="AA105" i="16"/>
  <c r="AE101" i="16"/>
  <c r="AE105" i="16" s="1"/>
  <c r="AI101" i="16"/>
  <c r="AI105" i="16"/>
  <c r="AM101" i="16"/>
  <c r="AM105" i="16" s="1"/>
  <c r="AC102" i="16"/>
  <c r="AC106" i="16"/>
  <c r="AG102" i="16"/>
  <c r="AG106" i="16" s="1"/>
  <c r="AK102" i="16"/>
  <c r="AK106" i="16"/>
  <c r="AA103" i="16"/>
  <c r="AA107" i="16" s="1"/>
  <c r="AE103" i="16"/>
  <c r="AE107" i="16"/>
  <c r="AI103" i="16"/>
  <c r="AI107" i="16" s="1"/>
  <c r="AM103" i="16"/>
  <c r="AM107" i="16"/>
  <c r="AG101" i="16"/>
  <c r="AG105" i="16" s="1"/>
  <c r="AA102" i="16"/>
  <c r="AA106" i="16"/>
  <c r="AM102" i="16"/>
  <c r="AM106" i="16" s="1"/>
  <c r="AK103" i="16"/>
  <c r="AK107" i="16"/>
  <c r="AB101" i="16"/>
  <c r="AB105" i="16" s="1"/>
  <c r="AF101" i="16"/>
  <c r="AF105" i="16"/>
  <c r="AJ101" i="16"/>
  <c r="AJ105" i="16" s="1"/>
  <c r="Z102" i="16"/>
  <c r="Z106" i="16"/>
  <c r="AD102" i="16"/>
  <c r="AD106" i="16" s="1"/>
  <c r="AH102" i="16"/>
  <c r="AH106" i="16"/>
  <c r="AL102" i="16"/>
  <c r="AL106" i="16" s="1"/>
  <c r="AB103" i="16"/>
  <c r="AB107" i="16"/>
  <c r="AF103" i="16"/>
  <c r="AF107" i="16" s="1"/>
  <c r="AJ103" i="16"/>
  <c r="AJ107" i="16"/>
  <c r="Y101" i="16"/>
  <c r="Y105" i="16" s="1"/>
  <c r="X102" i="16"/>
  <c r="X106" i="16"/>
  <c r="AC101" i="16"/>
  <c r="AC105" i="16" s="1"/>
  <c r="AE102" i="16"/>
  <c r="AE106" i="16"/>
  <c r="AC103" i="16"/>
  <c r="AC107" i="16" s="1"/>
  <c r="Y102" i="16"/>
  <c r="Y106" i="16"/>
  <c r="Y85" i="16"/>
  <c r="AC85" i="16"/>
  <c r="AG85" i="16"/>
  <c r="AK85" i="16"/>
  <c r="Z86" i="16"/>
  <c r="AD86" i="16"/>
  <c r="AH86" i="16"/>
  <c r="AL86" i="16"/>
  <c r="AA87" i="16"/>
  <c r="AE87" i="16"/>
  <c r="AI87" i="16"/>
  <c r="AM87" i="16"/>
  <c r="Y81" i="16"/>
  <c r="AC81" i="16"/>
  <c r="AG81" i="16"/>
  <c r="AK81" i="16"/>
  <c r="Z82" i="16"/>
  <c r="AD82" i="16"/>
  <c r="AH82" i="16"/>
  <c r="AL82" i="16"/>
  <c r="AA83" i="16"/>
  <c r="AE83" i="16"/>
  <c r="AI83" i="16"/>
  <c r="AM83" i="16"/>
  <c r="AB85" i="16"/>
  <c r="Y86" i="16"/>
  <c r="AK86" i="16"/>
  <c r="AH87" i="16"/>
  <c r="AB81" i="16"/>
  <c r="Y82" i="16"/>
  <c r="AK82" i="16"/>
  <c r="AH83" i="16"/>
  <c r="Z85" i="16"/>
  <c r="AD85" i="16"/>
  <c r="AH85" i="16"/>
  <c r="AL85" i="16"/>
  <c r="AA86" i="16"/>
  <c r="AE86" i="16"/>
  <c r="AI86" i="16"/>
  <c r="AM86" i="16"/>
  <c r="AB87" i="16"/>
  <c r="AF87" i="16"/>
  <c r="AJ87" i="16"/>
  <c r="X86" i="16"/>
  <c r="Z81" i="16"/>
  <c r="AD81" i="16"/>
  <c r="AH81" i="16"/>
  <c r="AL81" i="16"/>
  <c r="AA82" i="16"/>
  <c r="AE82" i="16"/>
  <c r="AI82" i="16"/>
  <c r="AM82" i="16"/>
  <c r="AB83" i="16"/>
  <c r="AF83" i="16"/>
  <c r="AJ83" i="16"/>
  <c r="X83" i="16"/>
  <c r="AJ85" i="16"/>
  <c r="AG86" i="16"/>
  <c r="AD87" i="16"/>
  <c r="AL87" i="16"/>
  <c r="AF81" i="16"/>
  <c r="AC82" i="16"/>
  <c r="Z83" i="16"/>
  <c r="X81" i="16"/>
  <c r="AA85" i="16"/>
  <c r="AE85" i="16"/>
  <c r="AI85" i="16"/>
  <c r="AM85" i="16"/>
  <c r="AB86" i="16"/>
  <c r="AF86" i="16"/>
  <c r="AJ86" i="16"/>
  <c r="Y87" i="16"/>
  <c r="AC87" i="16"/>
  <c r="AG87" i="16"/>
  <c r="AK87" i="16"/>
  <c r="X87" i="16"/>
  <c r="AA81" i="16"/>
  <c r="AE81" i="16"/>
  <c r="AI81" i="16"/>
  <c r="AM81" i="16"/>
  <c r="AB82" i="16"/>
  <c r="AF82" i="16"/>
  <c r="AJ82" i="16"/>
  <c r="Y83" i="16"/>
  <c r="AC83" i="16"/>
  <c r="AG83" i="16"/>
  <c r="AK83" i="16"/>
  <c r="X82" i="16"/>
  <c r="AF85" i="16"/>
  <c r="AC86" i="16"/>
  <c r="Z87" i="16"/>
  <c r="X85" i="16"/>
  <c r="AJ81" i="16"/>
  <c r="AG82" i="16"/>
  <c r="AD83" i="16"/>
  <c r="AL83" i="16"/>
  <c r="X107" i="16"/>
  <c r="BJ102" i="16"/>
  <c r="BJ101" i="16"/>
  <c r="AQ43" i="7"/>
  <c r="AQ238" i="7"/>
  <c r="AQ82" i="7"/>
  <c r="AQ277" i="7"/>
  <c r="AQ121" i="7"/>
  <c r="AQ316" i="7"/>
  <c r="AQ160" i="7"/>
  <c r="AQ355" i="7"/>
  <c r="AQ56" i="7"/>
  <c r="AQ251" i="7"/>
  <c r="AQ95" i="7"/>
  <c r="AQ290" i="7"/>
  <c r="AQ134" i="7"/>
  <c r="AQ329" i="7"/>
  <c r="AQ173" i="7"/>
  <c r="AQ368" i="7"/>
  <c r="AQ69" i="7"/>
  <c r="AQ264" i="7"/>
  <c r="AQ108" i="7"/>
  <c r="AQ303" i="7"/>
  <c r="AQ147" i="7"/>
  <c r="AQ342" i="7"/>
  <c r="AQ186" i="7"/>
  <c r="AQ381" i="7"/>
  <c r="AQ44" i="7"/>
  <c r="AQ239" i="7"/>
  <c r="AQ83" i="7"/>
  <c r="AQ278" i="7"/>
  <c r="AQ122" i="7"/>
  <c r="AQ317" i="7"/>
  <c r="AQ161" i="7"/>
  <c r="AQ356" i="7"/>
  <c r="AQ57" i="7"/>
  <c r="AQ252" i="7"/>
  <c r="AQ96" i="7"/>
  <c r="AQ291" i="7"/>
  <c r="AQ135" i="7"/>
  <c r="AQ330" i="7"/>
  <c r="AQ174" i="7"/>
  <c r="AQ369" i="7"/>
  <c r="AQ70" i="7"/>
  <c r="AQ265" i="7"/>
  <c r="AQ109" i="7"/>
  <c r="AQ304" i="7"/>
  <c r="AQ148" i="7"/>
  <c r="AQ343" i="7"/>
  <c r="AQ187" i="7"/>
  <c r="AQ382" i="7"/>
  <c r="AQ45" i="7"/>
  <c r="AQ240" i="7"/>
  <c r="AQ84" i="7"/>
  <c r="AQ279" i="7"/>
  <c r="AQ123" i="7"/>
  <c r="AQ318" i="7"/>
  <c r="AQ162" i="7"/>
  <c r="AQ357" i="7"/>
  <c r="AQ58" i="7"/>
  <c r="AQ253" i="7"/>
  <c r="AQ97" i="7"/>
  <c r="AQ292" i="7"/>
  <c r="AQ136" i="7"/>
  <c r="AQ331" i="7"/>
  <c r="AQ175" i="7"/>
  <c r="AQ370" i="7"/>
  <c r="AQ71" i="7"/>
  <c r="AQ266" i="7"/>
  <c r="AQ110" i="7"/>
  <c r="AQ305" i="7"/>
  <c r="AQ149" i="7"/>
  <c r="AQ344" i="7"/>
  <c r="AQ188" i="7"/>
  <c r="AQ383" i="7"/>
  <c r="AQ46" i="7"/>
  <c r="AQ241" i="7"/>
  <c r="AQ85" i="7"/>
  <c r="AQ280" i="7"/>
  <c r="AQ124" i="7"/>
  <c r="AQ319" i="7"/>
  <c r="AQ163" i="7"/>
  <c r="AQ358" i="7"/>
  <c r="AQ59" i="7"/>
  <c r="AQ254" i="7"/>
  <c r="AQ98" i="7"/>
  <c r="AQ293" i="7"/>
  <c r="AQ137" i="7"/>
  <c r="AQ332" i="7"/>
  <c r="AQ176" i="7"/>
  <c r="AQ371" i="7"/>
  <c r="AQ72" i="7"/>
  <c r="AQ267" i="7"/>
  <c r="AQ111" i="7"/>
  <c r="AQ306" i="7"/>
  <c r="AQ150" i="7"/>
  <c r="AQ345" i="7"/>
  <c r="AQ189" i="7"/>
  <c r="AQ384" i="7"/>
  <c r="AQ47" i="7"/>
  <c r="AQ242" i="7"/>
  <c r="AQ86" i="7"/>
  <c r="AQ281" i="7"/>
  <c r="AQ125" i="7"/>
  <c r="AQ320" i="7"/>
  <c r="AQ164" i="7"/>
  <c r="AQ359" i="7"/>
  <c r="AQ60" i="7"/>
  <c r="AQ255" i="7"/>
  <c r="AQ99" i="7"/>
  <c r="AQ294" i="7"/>
  <c r="AQ138" i="7"/>
  <c r="AQ333" i="7"/>
  <c r="AQ177" i="7"/>
  <c r="AQ372" i="7"/>
  <c r="AQ73" i="7"/>
  <c r="AQ268" i="7"/>
  <c r="AQ112" i="7"/>
  <c r="AQ307" i="7"/>
  <c r="AQ151" i="7"/>
  <c r="AQ346" i="7"/>
  <c r="AQ190" i="7"/>
  <c r="AQ385" i="7"/>
  <c r="AQ48" i="7"/>
  <c r="AQ243" i="7"/>
  <c r="AQ87" i="7"/>
  <c r="AQ282" i="7"/>
  <c r="AQ126" i="7"/>
  <c r="AQ321" i="7"/>
  <c r="AQ165" i="7"/>
  <c r="AQ360" i="7"/>
  <c r="AQ61" i="7"/>
  <c r="AQ256" i="7"/>
  <c r="AQ100" i="7"/>
  <c r="AQ295" i="7"/>
  <c r="AQ139" i="7"/>
  <c r="AQ334" i="7"/>
  <c r="AQ178" i="7"/>
  <c r="AQ373" i="7"/>
  <c r="AQ74" i="7"/>
  <c r="AQ269" i="7"/>
  <c r="AQ113" i="7"/>
  <c r="AQ308" i="7"/>
  <c r="AQ152" i="7"/>
  <c r="AQ347" i="7"/>
  <c r="AQ191" i="7"/>
  <c r="AQ386" i="7"/>
  <c r="AQ49" i="7"/>
  <c r="AQ244" i="7"/>
  <c r="AQ88" i="7"/>
  <c r="AQ283" i="7"/>
  <c r="AQ127" i="7"/>
  <c r="AQ322" i="7"/>
  <c r="AQ166" i="7"/>
  <c r="AQ361" i="7"/>
  <c r="AQ62" i="7"/>
  <c r="AQ257" i="7"/>
  <c r="AQ101" i="7"/>
  <c r="AQ296" i="7"/>
  <c r="AQ140" i="7"/>
  <c r="AQ335" i="7"/>
  <c r="AQ179" i="7"/>
  <c r="AQ374" i="7"/>
  <c r="AQ75" i="7"/>
  <c r="AQ270" i="7"/>
  <c r="AQ114" i="7"/>
  <c r="AQ309" i="7"/>
  <c r="AQ153" i="7"/>
  <c r="AQ348" i="7"/>
  <c r="AQ192" i="7"/>
  <c r="AQ387" i="7"/>
  <c r="AQ50" i="7"/>
  <c r="AQ245" i="7"/>
  <c r="AQ89" i="7"/>
  <c r="AQ284" i="7"/>
  <c r="AQ128" i="7"/>
  <c r="AQ323" i="7"/>
  <c r="AQ167" i="7"/>
  <c r="AQ362" i="7"/>
  <c r="AQ63" i="7"/>
  <c r="AQ258" i="7"/>
  <c r="AQ102" i="7"/>
  <c r="AQ297" i="7"/>
  <c r="AQ141" i="7"/>
  <c r="AQ336" i="7"/>
  <c r="AQ180" i="7"/>
  <c r="AQ375" i="7"/>
  <c r="AQ76" i="7"/>
  <c r="AQ271" i="7"/>
  <c r="AQ115" i="7"/>
  <c r="AQ310" i="7"/>
  <c r="AQ154" i="7"/>
  <c r="AQ349" i="7"/>
  <c r="AQ193" i="7"/>
  <c r="AQ388" i="7"/>
  <c r="AQ51" i="7"/>
  <c r="AQ246" i="7"/>
  <c r="AQ90" i="7"/>
  <c r="AQ285" i="7"/>
  <c r="AQ129" i="7"/>
  <c r="AQ324" i="7"/>
  <c r="AQ168" i="7"/>
  <c r="AQ363" i="7"/>
  <c r="AQ64" i="7"/>
  <c r="AQ259" i="7"/>
  <c r="AQ103" i="7"/>
  <c r="AQ298" i="7"/>
  <c r="AQ142" i="7"/>
  <c r="AQ337" i="7"/>
  <c r="AQ181" i="7"/>
  <c r="AQ376" i="7"/>
  <c r="AQ77" i="7"/>
  <c r="AQ272" i="7"/>
  <c r="AQ116" i="7"/>
  <c r="AQ311" i="7"/>
  <c r="AQ155" i="7"/>
  <c r="AQ350" i="7"/>
  <c r="AQ194" i="7"/>
  <c r="AQ389" i="7"/>
  <c r="AQ52" i="7"/>
  <c r="AQ247" i="7"/>
  <c r="AQ91" i="7"/>
  <c r="AQ286" i="7"/>
  <c r="AQ130" i="7"/>
  <c r="AQ325" i="7"/>
  <c r="AQ169" i="7"/>
  <c r="AQ364" i="7"/>
  <c r="AQ65" i="7"/>
  <c r="AQ260" i="7"/>
  <c r="AQ104" i="7"/>
  <c r="AQ299" i="7"/>
  <c r="AQ143" i="7"/>
  <c r="AQ338" i="7"/>
  <c r="AQ182" i="7"/>
  <c r="AQ377" i="7"/>
  <c r="AQ78" i="7"/>
  <c r="AQ273" i="7"/>
  <c r="AQ117" i="7"/>
  <c r="AQ312" i="7"/>
  <c r="AQ156" i="7"/>
  <c r="AQ351" i="7"/>
  <c r="AQ195" i="7"/>
  <c r="AQ390" i="7"/>
  <c r="AQ53" i="7"/>
  <c r="AQ248" i="7"/>
  <c r="AQ92" i="7"/>
  <c r="AQ287" i="7"/>
  <c r="AQ131" i="7"/>
  <c r="AQ326" i="7"/>
  <c r="AQ170" i="7"/>
  <c r="AQ365" i="7"/>
  <c r="AQ66" i="7"/>
  <c r="AQ261" i="7"/>
  <c r="AQ105" i="7"/>
  <c r="AQ300" i="7"/>
  <c r="AQ144" i="7"/>
  <c r="AQ339" i="7"/>
  <c r="AQ183" i="7"/>
  <c r="AQ378" i="7"/>
  <c r="AQ79" i="7"/>
  <c r="AQ274" i="7"/>
  <c r="AQ118" i="7"/>
  <c r="AQ313" i="7"/>
  <c r="AQ157" i="7"/>
  <c r="AQ352" i="7"/>
  <c r="AQ196" i="7"/>
  <c r="AQ391" i="7"/>
  <c r="AQ54" i="7"/>
  <c r="AQ249" i="7"/>
  <c r="AQ93" i="7"/>
  <c r="AQ288" i="7"/>
  <c r="AQ132" i="7"/>
  <c r="AQ327" i="7"/>
  <c r="AQ171" i="7"/>
  <c r="AQ366" i="7"/>
  <c r="AQ67" i="7"/>
  <c r="AQ262" i="7"/>
  <c r="AQ106" i="7"/>
  <c r="AQ301" i="7"/>
  <c r="AQ145" i="7"/>
  <c r="AQ340" i="7"/>
  <c r="AQ184" i="7"/>
  <c r="AQ379" i="7"/>
  <c r="AQ80" i="7"/>
  <c r="AQ275" i="7"/>
  <c r="AQ119" i="7"/>
  <c r="AQ314" i="7"/>
  <c r="AQ158" i="7"/>
  <c r="AQ353" i="7"/>
  <c r="AQ197" i="7"/>
  <c r="AQ392" i="7"/>
  <c r="AQ55" i="7"/>
  <c r="AQ250" i="7"/>
  <c r="AQ94" i="7"/>
  <c r="AQ289" i="7"/>
  <c r="AQ133" i="7"/>
  <c r="AQ328" i="7"/>
  <c r="AQ172" i="7"/>
  <c r="AQ367" i="7"/>
  <c r="AQ68" i="7"/>
  <c r="AQ263" i="7"/>
  <c r="AQ107" i="7"/>
  <c r="AQ302" i="7"/>
  <c r="AQ146" i="7"/>
  <c r="AQ341" i="7"/>
  <c r="AQ185" i="7"/>
  <c r="AQ380" i="7"/>
  <c r="AQ81" i="7"/>
  <c r="AQ276" i="7"/>
  <c r="AQ120" i="7"/>
  <c r="AQ315" i="7"/>
  <c r="AQ159" i="7"/>
  <c r="AQ354" i="7"/>
  <c r="AQ198" i="7"/>
  <c r="AQ393" i="7"/>
  <c r="AQ4" i="7"/>
  <c r="AQ199" i="7"/>
  <c r="AQ5" i="7"/>
  <c r="AQ200" i="7"/>
  <c r="AQ6" i="7"/>
  <c r="AQ201" i="7"/>
  <c r="AQ7" i="7"/>
  <c r="AQ202" i="7"/>
  <c r="AQ8" i="7"/>
  <c r="AQ203" i="7"/>
  <c r="AQ9" i="7"/>
  <c r="AQ204" i="7"/>
  <c r="AQ10" i="7"/>
  <c r="AQ205" i="7"/>
  <c r="AQ11" i="7"/>
  <c r="AQ206" i="7"/>
  <c r="AQ12" i="7"/>
  <c r="AQ207" i="7"/>
  <c r="AQ13" i="7"/>
  <c r="AQ208" i="7"/>
  <c r="AQ14" i="7"/>
  <c r="AQ209" i="7"/>
  <c r="AQ15" i="7"/>
  <c r="AQ210" i="7"/>
  <c r="AQ16" i="7"/>
  <c r="AQ211" i="7"/>
  <c r="AQ17" i="7"/>
  <c r="AQ212" i="7"/>
  <c r="AQ18" i="7"/>
  <c r="AQ213" i="7"/>
  <c r="AQ19" i="7"/>
  <c r="AQ214" i="7"/>
  <c r="AQ20" i="7"/>
  <c r="AQ215" i="7"/>
  <c r="AQ21" i="7"/>
  <c r="AQ216" i="7"/>
  <c r="AQ22" i="7"/>
  <c r="AQ217" i="7"/>
  <c r="AQ23" i="7"/>
  <c r="AQ218" i="7"/>
  <c r="AQ24" i="7"/>
  <c r="AQ219" i="7"/>
  <c r="AQ25" i="7"/>
  <c r="AQ220" i="7"/>
  <c r="AQ26" i="7"/>
  <c r="AQ221" i="7"/>
  <c r="AQ27" i="7"/>
  <c r="AQ222" i="7"/>
  <c r="AQ28" i="7"/>
  <c r="AQ223" i="7"/>
  <c r="AQ29" i="7"/>
  <c r="AQ224" i="7"/>
  <c r="AQ30" i="7"/>
  <c r="AQ225" i="7"/>
  <c r="AQ31" i="7"/>
  <c r="AQ226" i="7"/>
  <c r="AQ32" i="7"/>
  <c r="AQ227" i="7"/>
  <c r="AQ33" i="7"/>
  <c r="AQ228" i="7"/>
  <c r="AQ34" i="7"/>
  <c r="AQ229" i="7"/>
  <c r="AQ35" i="7"/>
  <c r="AQ230" i="7"/>
  <c r="AQ36" i="7"/>
  <c r="AQ231" i="7"/>
  <c r="AQ37" i="7"/>
  <c r="AQ232" i="7"/>
  <c r="AQ38" i="7"/>
  <c r="AQ233" i="7"/>
  <c r="AQ39" i="7"/>
  <c r="AQ234" i="7"/>
  <c r="AQ40" i="7"/>
  <c r="AQ235" i="7"/>
  <c r="AQ41" i="7"/>
  <c r="AQ236" i="7"/>
  <c r="AQ42" i="7"/>
  <c r="AQ237" i="7"/>
  <c r="U82" i="14"/>
  <c r="Y82" i="14"/>
  <c r="AC82" i="14"/>
  <c r="W82" i="14"/>
  <c r="V82" i="14"/>
  <c r="Z82" i="14"/>
  <c r="AA82" i="14"/>
  <c r="X82" i="14"/>
  <c r="AB82" i="14"/>
  <c r="AB124" i="14"/>
  <c r="W96" i="14"/>
  <c r="Z97" i="14"/>
  <c r="AB99" i="14"/>
  <c r="X104" i="14"/>
  <c r="W111" i="14"/>
  <c r="Z112" i="14"/>
  <c r="V117" i="14"/>
  <c r="Y118" i="14"/>
  <c r="AB119" i="14"/>
  <c r="U123" i="14"/>
  <c r="X124" i="14"/>
  <c r="Z96" i="14"/>
  <c r="U97" i="14"/>
  <c r="AC97" i="14"/>
  <c r="AC98" i="14"/>
  <c r="V102" i="14"/>
  <c r="Y103" i="14"/>
  <c r="AB104" i="14"/>
  <c r="U108" i="14"/>
  <c r="X109" i="14"/>
  <c r="AA111" i="14"/>
  <c r="T114" i="14"/>
  <c r="W116" i="14"/>
  <c r="Z117" i="14"/>
  <c r="AC118" i="14"/>
  <c r="V122" i="14"/>
  <c r="Y123" i="14"/>
  <c r="Y98" i="14"/>
  <c r="U103" i="14"/>
  <c r="AA106" i="14"/>
  <c r="T109" i="14"/>
  <c r="AC113" i="14"/>
  <c r="U74" i="14"/>
  <c r="U89" i="14"/>
  <c r="AA124" i="14"/>
  <c r="W124" i="14"/>
  <c r="AB123" i="14"/>
  <c r="X123" i="14"/>
  <c r="T123" i="14"/>
  <c r="AC122" i="14"/>
  <c r="Y122" i="14"/>
  <c r="U122" i="14"/>
  <c r="Z121" i="14"/>
  <c r="V121" i="14"/>
  <c r="AA119" i="14"/>
  <c r="W119" i="14"/>
  <c r="AB118" i="14"/>
  <c r="X118" i="14"/>
  <c r="T118" i="14"/>
  <c r="AC117" i="14"/>
  <c r="Y117" i="14"/>
  <c r="U117" i="14"/>
  <c r="Z116" i="14"/>
  <c r="V116" i="14"/>
  <c r="AA114" i="14"/>
  <c r="W114" i="14"/>
  <c r="AB113" i="14"/>
  <c r="X113" i="14"/>
  <c r="T113" i="14"/>
  <c r="AC112" i="14"/>
  <c r="Y112" i="14"/>
  <c r="U112" i="14"/>
  <c r="Z111" i="14"/>
  <c r="V111" i="14"/>
  <c r="AA109" i="14"/>
  <c r="W109" i="14"/>
  <c r="AB108" i="14"/>
  <c r="X108" i="14"/>
  <c r="T108" i="14"/>
  <c r="AC107" i="14"/>
  <c r="Y107" i="14"/>
  <c r="U107" i="14"/>
  <c r="Z106" i="14"/>
  <c r="V106" i="14"/>
  <c r="AA104" i="14"/>
  <c r="W104" i="14"/>
  <c r="AB103" i="14"/>
  <c r="X103" i="14"/>
  <c r="T103" i="14"/>
  <c r="AC102" i="14"/>
  <c r="Y102" i="14"/>
  <c r="U102" i="14"/>
  <c r="Z101" i="14"/>
  <c r="V101" i="14"/>
  <c r="AA99" i="14"/>
  <c r="W99" i="14"/>
  <c r="AB98" i="14"/>
  <c r="X98" i="14"/>
  <c r="T98" i="14"/>
  <c r="Z124" i="14"/>
  <c r="V124" i="14"/>
  <c r="AA123" i="14"/>
  <c r="W123" i="14"/>
  <c r="AB122" i="14"/>
  <c r="X122" i="14"/>
  <c r="T122" i="14"/>
  <c r="AC121" i="14"/>
  <c r="Y121" i="14"/>
  <c r="U121" i="14"/>
  <c r="Z119" i="14"/>
  <c r="V119" i="14"/>
  <c r="AA118" i="14"/>
  <c r="W118" i="14"/>
  <c r="AB117" i="14"/>
  <c r="X117" i="14"/>
  <c r="T117" i="14"/>
  <c r="AC116" i="14"/>
  <c r="Y116" i="14"/>
  <c r="U116" i="14"/>
  <c r="Z114" i="14"/>
  <c r="V114" i="14"/>
  <c r="AA113" i="14"/>
  <c r="W113" i="14"/>
  <c r="AB112" i="14"/>
  <c r="X112" i="14"/>
  <c r="T112" i="14"/>
  <c r="AC111" i="14"/>
  <c r="Y111" i="14"/>
  <c r="U111" i="14"/>
  <c r="Z109" i="14"/>
  <c r="V109" i="14"/>
  <c r="AA108" i="14"/>
  <c r="W108" i="14"/>
  <c r="AB107" i="14"/>
  <c r="X107" i="14"/>
  <c r="T107" i="14"/>
  <c r="AC106" i="14"/>
  <c r="Y106" i="14"/>
  <c r="U106" i="14"/>
  <c r="Z104" i="14"/>
  <c r="V104" i="14"/>
  <c r="AA103" i="14"/>
  <c r="W103" i="14"/>
  <c r="AB102" i="14"/>
  <c r="X102" i="14"/>
  <c r="T102" i="14"/>
  <c r="AC101" i="14"/>
  <c r="Y101" i="14"/>
  <c r="U101" i="14"/>
  <c r="Z99" i="14"/>
  <c r="V99" i="14"/>
  <c r="AA98" i="14"/>
  <c r="W98" i="14"/>
  <c r="AB97" i="14"/>
  <c r="X97" i="14"/>
  <c r="T97" i="14"/>
  <c r="AC96" i="14"/>
  <c r="Y96" i="14"/>
  <c r="AC124" i="14"/>
  <c r="Y124" i="14"/>
  <c r="U124" i="14"/>
  <c r="Z123" i="14"/>
  <c r="V123" i="14"/>
  <c r="AA122" i="14"/>
  <c r="W122" i="14"/>
  <c r="AB121" i="14"/>
  <c r="X121" i="14"/>
  <c r="T121" i="14"/>
  <c r="AC119" i="14"/>
  <c r="Y119" i="14"/>
  <c r="U119" i="14"/>
  <c r="Z118" i="14"/>
  <c r="V118" i="14"/>
  <c r="AA117" i="14"/>
  <c r="W117" i="14"/>
  <c r="AB116" i="14"/>
  <c r="X116" i="14"/>
  <c r="T116" i="14"/>
  <c r="AC114" i="14"/>
  <c r="Y114" i="14"/>
  <c r="U114" i="14"/>
  <c r="Z113" i="14"/>
  <c r="V113" i="14"/>
  <c r="AA112" i="14"/>
  <c r="W112" i="14"/>
  <c r="AB111" i="14"/>
  <c r="X111" i="14"/>
  <c r="T111" i="14"/>
  <c r="AC109" i="14"/>
  <c r="Y109" i="14"/>
  <c r="U109" i="14"/>
  <c r="Z108" i="14"/>
  <c r="V108" i="14"/>
  <c r="AA107" i="14"/>
  <c r="W107" i="14"/>
  <c r="AB106" i="14"/>
  <c r="X106" i="14"/>
  <c r="T106" i="14"/>
  <c r="AC104" i="14"/>
  <c r="Y104" i="14"/>
  <c r="U104" i="14"/>
  <c r="Z103" i="14"/>
  <c r="V103" i="14"/>
  <c r="AA102" i="14"/>
  <c r="W102" i="14"/>
  <c r="AB101" i="14"/>
  <c r="X101" i="14"/>
  <c r="T101" i="14"/>
  <c r="AC99" i="14"/>
  <c r="Y99" i="14"/>
  <c r="U99" i="14"/>
  <c r="Z98" i="14"/>
  <c r="V98" i="14"/>
  <c r="AA97" i="14"/>
  <c r="W97" i="14"/>
  <c r="AB96" i="14"/>
  <c r="X96" i="14"/>
  <c r="T96" i="14"/>
  <c r="U96" i="14"/>
  <c r="AA96" i="14"/>
  <c r="V97" i="14"/>
  <c r="T99" i="14"/>
  <c r="W101" i="14"/>
  <c r="Z102" i="14"/>
  <c r="AC103" i="14"/>
  <c r="V107" i="14"/>
  <c r="Y108" i="14"/>
  <c r="AB109" i="14"/>
  <c r="U113" i="14"/>
  <c r="X114" i="14"/>
  <c r="AA116" i="14"/>
  <c r="T119" i="14"/>
  <c r="W121" i="14"/>
  <c r="Z122" i="14"/>
  <c r="AC123" i="14"/>
  <c r="V96" i="14"/>
  <c r="Y97" i="14"/>
  <c r="U98" i="14"/>
  <c r="X99" i="14"/>
  <c r="AA101" i="14"/>
  <c r="T104" i="14"/>
  <c r="W106" i="14"/>
  <c r="Z107" i="14"/>
  <c r="AC108" i="14"/>
  <c r="V112" i="14"/>
  <c r="Y113" i="14"/>
  <c r="AB114" i="14"/>
  <c r="U118" i="14"/>
  <c r="X119" i="14"/>
  <c r="AA121" i="14"/>
  <c r="T124" i="14"/>
  <c r="W25" i="14"/>
  <c r="AA65" i="14"/>
  <c r="AA80" i="14"/>
  <c r="V68" i="14"/>
  <c r="V83" i="14"/>
  <c r="AA27" i="14"/>
  <c r="W65" i="14"/>
  <c r="W80" i="14"/>
  <c r="AA62" i="14"/>
  <c r="AA77" i="14"/>
  <c r="Z68" i="14"/>
  <c r="Z83" i="14"/>
  <c r="AC74" i="14"/>
  <c r="AC89" i="14"/>
  <c r="Z15" i="14"/>
  <c r="U16" i="14"/>
  <c r="AA17" i="14"/>
  <c r="W64" i="14"/>
  <c r="W79" i="14"/>
  <c r="Y69" i="14"/>
  <c r="Y84" i="14"/>
  <c r="V73" i="14"/>
  <c r="V88" i="14"/>
  <c r="AC69" i="14"/>
  <c r="AC84" i="14"/>
  <c r="Y74" i="14"/>
  <c r="Y89" i="14"/>
  <c r="V15" i="14"/>
  <c r="AC26" i="14"/>
  <c r="W17" i="14"/>
  <c r="W67" i="14"/>
  <c r="W78" i="14"/>
  <c r="AB70" i="14"/>
  <c r="AB85" i="14"/>
  <c r="AC31" i="14"/>
  <c r="AC16" i="14"/>
  <c r="Y26" i="14"/>
  <c r="W27" i="14"/>
  <c r="AA63" i="14"/>
  <c r="W62" i="14"/>
  <c r="W77" i="14"/>
  <c r="AA67" i="14"/>
  <c r="AA78" i="14"/>
  <c r="T70" i="14"/>
  <c r="T85" i="14"/>
  <c r="W72" i="14"/>
  <c r="W87" i="14"/>
  <c r="Z73" i="14"/>
  <c r="Z88" i="14"/>
  <c r="Z31" i="14"/>
  <c r="W21" i="14"/>
  <c r="X30" i="14"/>
  <c r="U20" i="14"/>
  <c r="V29" i="14"/>
  <c r="T30" i="14"/>
  <c r="Y20" i="14"/>
  <c r="Z29" i="14"/>
  <c r="AA19" i="14"/>
  <c r="AB75" i="14"/>
  <c r="AB90" i="14"/>
  <c r="V31" i="14"/>
  <c r="AA21" i="14"/>
  <c r="AB30" i="14"/>
  <c r="AC20" i="14"/>
  <c r="W19" i="14"/>
  <c r="X75" i="14"/>
  <c r="X90" i="14"/>
  <c r="AA25" i="14"/>
  <c r="Y16" i="14"/>
  <c r="U26" i="14"/>
  <c r="AA64" i="14"/>
  <c r="AA79" i="14"/>
  <c r="W63" i="14"/>
  <c r="U69" i="14"/>
  <c r="U84" i="14"/>
  <c r="X70" i="14"/>
  <c r="X85" i="14"/>
  <c r="AA72" i="14"/>
  <c r="AA87" i="14"/>
  <c r="T75" i="14"/>
  <c r="T90" i="14"/>
  <c r="AC15" i="14"/>
  <c r="Y15" i="14"/>
  <c r="U15" i="14"/>
  <c r="Z25" i="14"/>
  <c r="V25" i="14"/>
  <c r="AB16" i="14"/>
  <c r="X16" i="14"/>
  <c r="T16" i="14"/>
  <c r="AB26" i="14"/>
  <c r="X26" i="14"/>
  <c r="T26" i="14"/>
  <c r="Z27" i="14"/>
  <c r="V27" i="14"/>
  <c r="Z17" i="14"/>
  <c r="V17" i="14"/>
  <c r="Z65" i="14"/>
  <c r="Z80" i="14"/>
  <c r="V65" i="14"/>
  <c r="V80" i="14"/>
  <c r="Z64" i="14"/>
  <c r="Z79" i="14"/>
  <c r="V64" i="14"/>
  <c r="V79" i="14"/>
  <c r="Z63" i="14"/>
  <c r="V63" i="14"/>
  <c r="Z62" i="14"/>
  <c r="Z77" i="14"/>
  <c r="V62" i="14"/>
  <c r="V77" i="14"/>
  <c r="T67" i="14"/>
  <c r="X67" i="14"/>
  <c r="X78" i="14"/>
  <c r="AB67" i="14"/>
  <c r="AB78" i="14"/>
  <c r="W68" i="14"/>
  <c r="W83" i="14"/>
  <c r="AA68" i="14"/>
  <c r="AA83" i="14"/>
  <c r="V69" i="14"/>
  <c r="V84" i="14"/>
  <c r="Z69" i="14"/>
  <c r="Z84" i="14"/>
  <c r="U70" i="14"/>
  <c r="U85" i="14"/>
  <c r="Y70" i="14"/>
  <c r="Y85" i="14"/>
  <c r="AC70" i="14"/>
  <c r="AC85" i="14"/>
  <c r="T72" i="14"/>
  <c r="T87" i="14"/>
  <c r="X72" i="14"/>
  <c r="X87" i="14"/>
  <c r="AB72" i="14"/>
  <c r="AB87" i="14"/>
  <c r="W73" i="14"/>
  <c r="W88" i="14"/>
  <c r="AA73" i="14"/>
  <c r="AA88" i="14"/>
  <c r="V74" i="14"/>
  <c r="V89" i="14"/>
  <c r="Z74" i="14"/>
  <c r="Z89" i="14"/>
  <c r="U75" i="14"/>
  <c r="U90" i="14"/>
  <c r="Y75" i="14"/>
  <c r="Y90" i="14"/>
  <c r="AC75" i="14"/>
  <c r="AC90" i="14"/>
  <c r="T19" i="14"/>
  <c r="X19" i="14"/>
  <c r="AB19" i="14"/>
  <c r="W29" i="14"/>
  <c r="AA29" i="14"/>
  <c r="V20" i="14"/>
  <c r="Z20" i="14"/>
  <c r="U30" i="14"/>
  <c r="Y30" i="14"/>
  <c r="AC30" i="14"/>
  <c r="T21" i="14"/>
  <c r="X21" i="14"/>
  <c r="AB21" i="14"/>
  <c r="W31" i="14"/>
  <c r="AA31" i="14"/>
  <c r="AB15" i="14"/>
  <c r="X15" i="14"/>
  <c r="T15" i="14"/>
  <c r="AC25" i="14"/>
  <c r="Y25" i="14"/>
  <c r="U25" i="14"/>
  <c r="AA16" i="14"/>
  <c r="W16" i="14"/>
  <c r="AA26" i="14"/>
  <c r="W26" i="14"/>
  <c r="AC27" i="14"/>
  <c r="Y27" i="14"/>
  <c r="U27" i="14"/>
  <c r="AC17" i="14"/>
  <c r="Y17" i="14"/>
  <c r="U17" i="14"/>
  <c r="AC65" i="14"/>
  <c r="AC80" i="14"/>
  <c r="Y65" i="14"/>
  <c r="Y80" i="14"/>
  <c r="U65" i="14"/>
  <c r="U80" i="14"/>
  <c r="AC64" i="14"/>
  <c r="AC79" i="14"/>
  <c r="Y64" i="14"/>
  <c r="Y79" i="14"/>
  <c r="U64" i="14"/>
  <c r="U79" i="14"/>
  <c r="AC63" i="14"/>
  <c r="Y63" i="14"/>
  <c r="U63" i="14"/>
  <c r="AC62" i="14"/>
  <c r="AC77" i="14"/>
  <c r="Y62" i="14"/>
  <c r="Y77" i="14"/>
  <c r="U62" i="14"/>
  <c r="U77" i="14"/>
  <c r="U67" i="14"/>
  <c r="U78" i="14"/>
  <c r="Y67" i="14"/>
  <c r="Y78" i="14"/>
  <c r="AC67" i="14"/>
  <c r="AC78" i="14"/>
  <c r="T68" i="14"/>
  <c r="T83" i="14"/>
  <c r="X68" i="14"/>
  <c r="X83" i="14"/>
  <c r="AB68" i="14"/>
  <c r="AB83" i="14"/>
  <c r="W69" i="14"/>
  <c r="W84" i="14"/>
  <c r="AA69" i="14"/>
  <c r="AA84" i="14"/>
  <c r="V70" i="14"/>
  <c r="V85" i="14"/>
  <c r="Z70" i="14"/>
  <c r="Z85" i="14"/>
  <c r="U72" i="14"/>
  <c r="U87" i="14"/>
  <c r="Y72" i="14"/>
  <c r="Y87" i="14"/>
  <c r="AC72" i="14"/>
  <c r="AC87" i="14"/>
  <c r="T73" i="14"/>
  <c r="T88" i="14"/>
  <c r="X73" i="14"/>
  <c r="X88" i="14"/>
  <c r="AB73" i="14"/>
  <c r="AB88" i="14"/>
  <c r="W74" i="14"/>
  <c r="W89" i="14"/>
  <c r="AA74" i="14"/>
  <c r="AA89" i="14"/>
  <c r="V75" i="14"/>
  <c r="V90" i="14"/>
  <c r="Z75" i="14"/>
  <c r="Z90" i="14"/>
  <c r="U19" i="14"/>
  <c r="Y19" i="14"/>
  <c r="AC19" i="14"/>
  <c r="T29" i="14"/>
  <c r="X29" i="14"/>
  <c r="AB29" i="14"/>
  <c r="W20" i="14"/>
  <c r="AA20" i="14"/>
  <c r="V30" i="14"/>
  <c r="Z30" i="14"/>
  <c r="U21" i="14"/>
  <c r="Y21" i="14"/>
  <c r="AC21" i="14"/>
  <c r="T31" i="14"/>
  <c r="X31" i="14"/>
  <c r="AB31" i="14"/>
  <c r="AA15" i="14"/>
  <c r="W15" i="14"/>
  <c r="AB25" i="14"/>
  <c r="X25" i="14"/>
  <c r="T25" i="14"/>
  <c r="Z16" i="14"/>
  <c r="V16" i="14"/>
  <c r="Z26" i="14"/>
  <c r="V26" i="14"/>
  <c r="AB27" i="14"/>
  <c r="X27" i="14"/>
  <c r="T27" i="14"/>
  <c r="AB17" i="14"/>
  <c r="X17" i="14"/>
  <c r="T17" i="14"/>
  <c r="AB65" i="14"/>
  <c r="AB80" i="14"/>
  <c r="X65" i="14"/>
  <c r="X80" i="14"/>
  <c r="T65" i="14"/>
  <c r="T80" i="14"/>
  <c r="AB64" i="14"/>
  <c r="AB79" i="14"/>
  <c r="X64" i="14"/>
  <c r="X79" i="14"/>
  <c r="T64" i="14"/>
  <c r="T79" i="14"/>
  <c r="AB63" i="14"/>
  <c r="X63" i="14"/>
  <c r="T63" i="14"/>
  <c r="AB62" i="14"/>
  <c r="AB77" i="14"/>
  <c r="X62" i="14"/>
  <c r="X77" i="14"/>
  <c r="T62" i="14"/>
  <c r="T77" i="14"/>
  <c r="V67" i="14"/>
  <c r="V78" i="14"/>
  <c r="Z67" i="14"/>
  <c r="Z78" i="14"/>
  <c r="U68" i="14"/>
  <c r="U83" i="14"/>
  <c r="Y68" i="14"/>
  <c r="Y83" i="14"/>
  <c r="AC68" i="14"/>
  <c r="AC83" i="14"/>
  <c r="T69" i="14"/>
  <c r="T84" i="14"/>
  <c r="X69" i="14"/>
  <c r="X84" i="14"/>
  <c r="AB69" i="14"/>
  <c r="AB84" i="14"/>
  <c r="W70" i="14"/>
  <c r="W85" i="14"/>
  <c r="AA70" i="14"/>
  <c r="AA85" i="14"/>
  <c r="V72" i="14"/>
  <c r="V87" i="14"/>
  <c r="Z72" i="14"/>
  <c r="Z87" i="14"/>
  <c r="U73" i="14"/>
  <c r="U88" i="14"/>
  <c r="Y73" i="14"/>
  <c r="Y88" i="14"/>
  <c r="AC73" i="14"/>
  <c r="AC88" i="14"/>
  <c r="T74" i="14"/>
  <c r="T89" i="14"/>
  <c r="X74" i="14"/>
  <c r="X89" i="14"/>
  <c r="AB74" i="14"/>
  <c r="AB89" i="14"/>
  <c r="W75" i="14"/>
  <c r="W90" i="14"/>
  <c r="AA75" i="14"/>
  <c r="AA90" i="14"/>
  <c r="V19" i="14"/>
  <c r="Z19" i="14"/>
  <c r="U29" i="14"/>
  <c r="Y29" i="14"/>
  <c r="AC29" i="14"/>
  <c r="T20" i="14"/>
  <c r="X20" i="14"/>
  <c r="AB20" i="14"/>
  <c r="W30" i="14"/>
  <c r="AA30" i="14"/>
  <c r="V21" i="14"/>
  <c r="Z21" i="14"/>
  <c r="U31" i="14"/>
  <c r="Y31" i="14"/>
  <c r="BP101" i="10"/>
  <c r="BQ101" i="10"/>
  <c r="BR101" i="10"/>
  <c r="BS101" i="10"/>
  <c r="BT101" i="10"/>
  <c r="BU101" i="10"/>
  <c r="BV101" i="10"/>
  <c r="BW101" i="10"/>
  <c r="BX101" i="10"/>
  <c r="BY101" i="10"/>
  <c r="BZ101" i="10"/>
  <c r="CA101" i="10"/>
  <c r="CB101" i="10"/>
  <c r="CC101" i="10"/>
  <c r="CD101" i="10"/>
  <c r="CE101" i="10"/>
  <c r="CF101" i="10"/>
  <c r="CG101" i="10"/>
  <c r="CH101" i="10"/>
  <c r="BP102" i="10"/>
  <c r="BQ102" i="10"/>
  <c r="BR102" i="10"/>
  <c r="BS102" i="10"/>
  <c r="BT102" i="10"/>
  <c r="BU102" i="10"/>
  <c r="BV102" i="10"/>
  <c r="BW102" i="10"/>
  <c r="BX102" i="10"/>
  <c r="BY102" i="10"/>
  <c r="BZ102" i="10"/>
  <c r="CA102" i="10"/>
  <c r="CB102" i="10"/>
  <c r="CC102" i="10"/>
  <c r="CD102" i="10"/>
  <c r="CE102" i="10"/>
  <c r="CF102" i="10"/>
  <c r="CG102" i="10"/>
  <c r="CH102" i="10"/>
  <c r="BO101" i="10"/>
  <c r="BO102" i="10"/>
  <c r="BP92" i="10"/>
  <c r="BQ92" i="10"/>
  <c r="BR92" i="10"/>
  <c r="BS92" i="10"/>
  <c r="BT92" i="10"/>
  <c r="BU92" i="10"/>
  <c r="BV92" i="10"/>
  <c r="BW92" i="10"/>
  <c r="BX92" i="10"/>
  <c r="BY92" i="10"/>
  <c r="BZ92" i="10"/>
  <c r="CA92" i="10"/>
  <c r="CB92" i="10"/>
  <c r="CC92" i="10"/>
  <c r="CD92" i="10"/>
  <c r="CE92" i="10"/>
  <c r="CF92" i="10"/>
  <c r="CG92" i="10"/>
  <c r="CH92" i="10"/>
  <c r="BP93" i="10"/>
  <c r="BQ93" i="10"/>
  <c r="BR93" i="10"/>
  <c r="BS93" i="10"/>
  <c r="BT93" i="10"/>
  <c r="BU93" i="10"/>
  <c r="BV93" i="10"/>
  <c r="BW93" i="10"/>
  <c r="BX93" i="10"/>
  <c r="BY93" i="10"/>
  <c r="BZ93" i="10"/>
  <c r="CA93" i="10"/>
  <c r="CB93" i="10"/>
  <c r="CC93" i="10"/>
  <c r="CD93" i="10"/>
  <c r="CE93" i="10"/>
  <c r="CF93" i="10"/>
  <c r="CG93" i="10"/>
  <c r="CH93" i="10"/>
  <c r="BO92" i="10"/>
  <c r="BO93" i="10"/>
  <c r="BP83" i="10"/>
  <c r="BQ83" i="10"/>
  <c r="BR83" i="10"/>
  <c r="BS83" i="10"/>
  <c r="BT83" i="10"/>
  <c r="BU83" i="10"/>
  <c r="BV83" i="10"/>
  <c r="BW83" i="10"/>
  <c r="BX83" i="10"/>
  <c r="BY83" i="10"/>
  <c r="BZ83" i="10"/>
  <c r="CA83" i="10"/>
  <c r="CB83" i="10"/>
  <c r="CC83" i="10"/>
  <c r="CD83" i="10"/>
  <c r="CE83" i="10"/>
  <c r="CF83" i="10"/>
  <c r="CG83" i="10"/>
  <c r="CH83" i="10"/>
  <c r="BP84" i="10"/>
  <c r="BQ84" i="10"/>
  <c r="BR84" i="10"/>
  <c r="BS84" i="10"/>
  <c r="BT84" i="10"/>
  <c r="BU84" i="10"/>
  <c r="BV84" i="10"/>
  <c r="BW84" i="10"/>
  <c r="BX84" i="10"/>
  <c r="BY84" i="10"/>
  <c r="BZ84" i="10"/>
  <c r="CA84" i="10"/>
  <c r="CB84" i="10"/>
  <c r="CC84" i="10"/>
  <c r="CD84" i="10"/>
  <c r="CE84" i="10"/>
  <c r="CF84" i="10"/>
  <c r="CG84" i="10"/>
  <c r="CH84" i="10"/>
  <c r="BO83" i="10"/>
  <c r="BO84" i="10"/>
  <c r="BP74" i="10"/>
  <c r="BQ74" i="10"/>
  <c r="BR74" i="10"/>
  <c r="BS74" i="10"/>
  <c r="BT74" i="10"/>
  <c r="BU74" i="10"/>
  <c r="BV74" i="10"/>
  <c r="BW74" i="10"/>
  <c r="BX74" i="10"/>
  <c r="BY74" i="10"/>
  <c r="BZ74" i="10"/>
  <c r="CA74" i="10"/>
  <c r="CB74" i="10"/>
  <c r="CC74" i="10"/>
  <c r="CD74" i="10"/>
  <c r="CE74" i="10"/>
  <c r="CF74" i="10"/>
  <c r="CG74" i="10"/>
  <c r="CH74" i="10"/>
  <c r="BP75" i="10"/>
  <c r="BQ75" i="10"/>
  <c r="BR75" i="10"/>
  <c r="BS75" i="10"/>
  <c r="BT75" i="10"/>
  <c r="BU75" i="10"/>
  <c r="BV75" i="10"/>
  <c r="BW75" i="10"/>
  <c r="BX75" i="10"/>
  <c r="BY75" i="10"/>
  <c r="BZ75" i="10"/>
  <c r="CA75" i="10"/>
  <c r="CB75" i="10"/>
  <c r="CC75" i="10"/>
  <c r="CD75" i="10"/>
  <c r="CE75" i="10"/>
  <c r="CF75" i="10"/>
  <c r="CG75" i="10"/>
  <c r="CH75" i="10"/>
  <c r="BO74" i="10"/>
  <c r="BO75" i="10"/>
  <c r="BO65" i="10"/>
  <c r="BO66" i="10"/>
  <c r="BP65" i="10"/>
  <c r="BQ65" i="10"/>
  <c r="BR65" i="10"/>
  <c r="BS65" i="10"/>
  <c r="BT65" i="10"/>
  <c r="BU65" i="10"/>
  <c r="BV65" i="10"/>
  <c r="BW65" i="10"/>
  <c r="BX65" i="10"/>
  <c r="BY65" i="10"/>
  <c r="BZ65" i="10"/>
  <c r="CA65" i="10"/>
  <c r="CB65" i="10"/>
  <c r="CC65" i="10"/>
  <c r="CD65" i="10"/>
  <c r="CE65" i="10"/>
  <c r="CF65" i="10"/>
  <c r="CG65" i="10"/>
  <c r="CH65" i="10"/>
  <c r="BP66" i="10"/>
  <c r="BQ66" i="10"/>
  <c r="BR66" i="10"/>
  <c r="BS66" i="10"/>
  <c r="BT66" i="10"/>
  <c r="BU66" i="10"/>
  <c r="BV66" i="10"/>
  <c r="BW66" i="10"/>
  <c r="BX66" i="10"/>
  <c r="BY66" i="10"/>
  <c r="BZ66" i="10"/>
  <c r="CA66" i="10"/>
  <c r="CB66" i="10"/>
  <c r="CC66" i="10"/>
  <c r="CD66" i="10"/>
  <c r="CE66" i="10"/>
  <c r="CF66" i="10"/>
  <c r="CG66" i="10"/>
  <c r="CH66" i="10"/>
  <c r="BP56" i="10"/>
  <c r="BQ56" i="10"/>
  <c r="BR56" i="10"/>
  <c r="BS56" i="10"/>
  <c r="BT56" i="10"/>
  <c r="BU56" i="10"/>
  <c r="BV56" i="10"/>
  <c r="BW56" i="10"/>
  <c r="BX56" i="10"/>
  <c r="BY56" i="10"/>
  <c r="BZ56" i="10"/>
  <c r="CA56" i="10"/>
  <c r="CB56" i="10"/>
  <c r="CC56" i="10"/>
  <c r="CD56" i="10"/>
  <c r="CE56" i="10"/>
  <c r="CF56" i="10"/>
  <c r="CG56" i="10"/>
  <c r="CH56" i="10"/>
  <c r="BP57" i="10"/>
  <c r="BQ57" i="10"/>
  <c r="BR57" i="10"/>
  <c r="BS57" i="10"/>
  <c r="BT57" i="10"/>
  <c r="BU57" i="10"/>
  <c r="BV57" i="10"/>
  <c r="BW57" i="10"/>
  <c r="BX57" i="10"/>
  <c r="BY57" i="10"/>
  <c r="BZ57" i="10"/>
  <c r="CA57" i="10"/>
  <c r="CB57" i="10"/>
  <c r="CC57" i="10"/>
  <c r="CD57" i="10"/>
  <c r="CE57" i="10"/>
  <c r="CF57" i="10"/>
  <c r="CG57" i="10"/>
  <c r="CH57" i="10"/>
  <c r="BO56" i="10"/>
  <c r="BO57" i="10"/>
  <c r="BP47" i="10"/>
  <c r="BQ47" i="10"/>
  <c r="BR47" i="10"/>
  <c r="BS47" i="10"/>
  <c r="BT47" i="10"/>
  <c r="BU47" i="10"/>
  <c r="BV47" i="10"/>
  <c r="BW47" i="10"/>
  <c r="BX47" i="10"/>
  <c r="BY47" i="10"/>
  <c r="BZ47" i="10"/>
  <c r="CA47" i="10"/>
  <c r="CB47" i="10"/>
  <c r="CC47" i="10"/>
  <c r="CD47" i="10"/>
  <c r="CE47" i="10"/>
  <c r="CF47" i="10"/>
  <c r="CG47" i="10"/>
  <c r="CH47" i="10"/>
  <c r="BP48" i="10"/>
  <c r="BQ48" i="10"/>
  <c r="BR48" i="10"/>
  <c r="BS48" i="10"/>
  <c r="BT48" i="10"/>
  <c r="BU48" i="10"/>
  <c r="BV48" i="10"/>
  <c r="BW48" i="10"/>
  <c r="BX48" i="10"/>
  <c r="BY48" i="10"/>
  <c r="BZ48" i="10"/>
  <c r="CA48" i="10"/>
  <c r="CB48" i="10"/>
  <c r="CC48" i="10"/>
  <c r="CD48" i="10"/>
  <c r="CE48" i="10"/>
  <c r="CF48" i="10"/>
  <c r="CG48" i="10"/>
  <c r="CH48" i="10"/>
  <c r="BO47" i="10"/>
  <c r="BO48" i="10"/>
  <c r="BP38" i="10"/>
  <c r="BQ38" i="10"/>
  <c r="BR38" i="10"/>
  <c r="BS38" i="10"/>
  <c r="BT38" i="10"/>
  <c r="BU38" i="10"/>
  <c r="BV38" i="10"/>
  <c r="BW38" i="10"/>
  <c r="BX38" i="10"/>
  <c r="BY38" i="10"/>
  <c r="BZ38" i="10"/>
  <c r="CA38" i="10"/>
  <c r="CB38" i="10"/>
  <c r="CC38" i="10"/>
  <c r="CD38" i="10"/>
  <c r="CE38" i="10"/>
  <c r="CF38" i="10"/>
  <c r="CG38" i="10"/>
  <c r="CH38" i="10"/>
  <c r="BP39" i="10"/>
  <c r="BQ39" i="10"/>
  <c r="BR39" i="10"/>
  <c r="BS39" i="10"/>
  <c r="BT39" i="10"/>
  <c r="BU39" i="10"/>
  <c r="BV39" i="10"/>
  <c r="BW39" i="10"/>
  <c r="BX39" i="10"/>
  <c r="BY39" i="10"/>
  <c r="BZ39" i="10"/>
  <c r="CA39" i="10"/>
  <c r="CB39" i="10"/>
  <c r="CC39" i="10"/>
  <c r="CD39" i="10"/>
  <c r="CE39" i="10"/>
  <c r="CF39" i="10"/>
  <c r="CG39" i="10"/>
  <c r="CH39" i="10"/>
  <c r="BO39" i="10"/>
  <c r="BO38" i="10"/>
  <c r="T78" i="14"/>
  <c r="T82" i="14"/>
  <c r="BO29" i="10"/>
  <c r="BP29" i="10"/>
  <c r="BQ29" i="10"/>
  <c r="BR29" i="10"/>
  <c r="BS29" i="10"/>
  <c r="BT29" i="10"/>
  <c r="BU29" i="10"/>
  <c r="BV29" i="10"/>
  <c r="BW29" i="10"/>
  <c r="BX29" i="10"/>
  <c r="BY29" i="10"/>
  <c r="BZ29" i="10"/>
  <c r="CA29" i="10"/>
  <c r="CB29" i="10"/>
  <c r="CC29" i="10"/>
  <c r="CD29" i="10"/>
  <c r="CE29" i="10"/>
  <c r="CF29" i="10"/>
  <c r="CG29" i="10"/>
  <c r="CH29" i="10"/>
  <c r="BP30" i="10"/>
  <c r="BQ30" i="10"/>
  <c r="BR30" i="10"/>
  <c r="BS30" i="10"/>
  <c r="BT30" i="10"/>
  <c r="BU30" i="10"/>
  <c r="BV30" i="10"/>
  <c r="BW30" i="10"/>
  <c r="BX30" i="10"/>
  <c r="BY30" i="10"/>
  <c r="BZ30" i="10"/>
  <c r="CA30" i="10"/>
  <c r="CB30" i="10"/>
  <c r="CC30" i="10"/>
  <c r="CD30" i="10"/>
  <c r="CE30" i="10"/>
  <c r="CF30" i="10"/>
  <c r="CG30" i="10"/>
  <c r="CH30" i="10"/>
  <c r="BO30" i="10"/>
  <c r="BK4" i="7"/>
  <c r="BK7" i="7"/>
  <c r="BK5" i="7"/>
  <c r="BK10" i="7"/>
  <c r="BK8" i="7"/>
  <c r="BK11" i="7"/>
  <c r="BK9" i="7"/>
  <c r="BK14" i="7"/>
  <c r="BK12" i="7"/>
  <c r="BK15" i="7"/>
  <c r="BK13" i="7"/>
  <c r="BK18" i="7"/>
  <c r="BK16" i="7"/>
  <c r="BK19" i="7"/>
  <c r="BK17" i="7"/>
  <c r="BK22" i="7"/>
  <c r="BK20" i="7"/>
  <c r="BK23" i="7"/>
  <c r="BK21" i="7"/>
  <c r="BK24" i="7"/>
  <c r="BK25" i="7"/>
  <c r="BK26" i="7"/>
  <c r="BK27" i="7"/>
  <c r="BK28" i="7"/>
  <c r="BK29" i="7"/>
  <c r="BK30" i="7"/>
  <c r="BK31" i="7"/>
  <c r="BK32" i="7"/>
  <c r="BK33" i="7"/>
  <c r="BK34" i="7"/>
  <c r="BK35" i="7"/>
  <c r="BK36" i="7"/>
  <c r="BK37" i="7"/>
  <c r="BK38" i="7"/>
  <c r="BK39" i="7"/>
  <c r="BK40" i="7"/>
  <c r="BK41" i="7"/>
  <c r="BK42" i="7"/>
  <c r="BK43" i="7"/>
  <c r="BK44" i="7"/>
  <c r="BK45" i="7"/>
  <c r="BK46" i="7"/>
  <c r="BK47" i="7"/>
  <c r="BK48" i="7"/>
  <c r="BK49" i="7"/>
  <c r="BK50" i="7"/>
  <c r="BK51" i="7"/>
  <c r="BK52" i="7"/>
  <c r="BK53" i="7"/>
  <c r="BK54" i="7"/>
  <c r="BK55" i="7"/>
  <c r="BK56" i="7"/>
  <c r="BK57" i="7"/>
  <c r="BK58" i="7"/>
  <c r="BK59" i="7"/>
  <c r="BK60" i="7"/>
  <c r="BK61" i="7"/>
  <c r="BK62" i="7"/>
  <c r="BK63" i="7"/>
  <c r="BK6" i="7"/>
  <c r="BD13" i="24"/>
  <c r="BE14" i="24"/>
  <c r="BF15" i="24"/>
  <c r="BD14" i="24"/>
  <c r="BE13" i="24"/>
  <c r="BF14" i="24"/>
  <c r="BF12" i="24"/>
  <c r="BD12" i="24"/>
  <c r="BF13" i="24"/>
  <c r="BD15" i="24"/>
  <c r="BE12" i="24"/>
  <c r="BE15" i="24"/>
  <c r="V8" i="24"/>
  <c r="V33" i="24"/>
  <c r="U8" i="24"/>
  <c r="U33" i="24"/>
  <c r="T8" i="24"/>
  <c r="T33" i="24"/>
  <c r="U11" i="24"/>
  <c r="U36" i="24"/>
  <c r="V9" i="24"/>
  <c r="V34" i="24"/>
  <c r="U9" i="24"/>
  <c r="U34" i="24"/>
  <c r="T9" i="24"/>
  <c r="T34" i="24"/>
  <c r="V11" i="24"/>
  <c r="V36" i="24"/>
  <c r="V10" i="24"/>
  <c r="V35" i="24"/>
  <c r="U10" i="24"/>
  <c r="U35" i="24"/>
  <c r="T10" i="24"/>
  <c r="T35" i="24"/>
  <c r="T11" i="24"/>
  <c r="T36" i="24"/>
  <c r="Z129" i="16"/>
  <c r="Y129" i="16"/>
  <c r="X129" i="16"/>
  <c r="Z124" i="16"/>
  <c r="Y124" i="16"/>
  <c r="X124" i="16"/>
  <c r="V31" i="24"/>
  <c r="V56" i="24"/>
  <c r="V26" i="24"/>
  <c r="V21" i="24"/>
  <c r="V46" i="24"/>
  <c r="V16" i="24"/>
  <c r="V41" i="24"/>
  <c r="U31" i="24"/>
  <c r="U56" i="24"/>
  <c r="T31" i="24"/>
  <c r="T56" i="24"/>
  <c r="U26" i="24"/>
  <c r="U51" i="24"/>
  <c r="T26" i="24"/>
  <c r="U21" i="24"/>
  <c r="U46" i="24"/>
  <c r="T21" i="24"/>
  <c r="T46" i="24"/>
  <c r="U16" i="24"/>
  <c r="U41" i="24"/>
  <c r="T16" i="24"/>
  <c r="T41" i="24"/>
  <c r="Z128" i="16"/>
  <c r="Y123" i="16"/>
  <c r="V30" i="24"/>
  <c r="V55" i="24"/>
  <c r="V20" i="24"/>
  <c r="V45" i="24"/>
  <c r="T25" i="24"/>
  <c r="U20" i="24"/>
  <c r="U45" i="24"/>
  <c r="U15" i="24"/>
  <c r="U40" i="24"/>
  <c r="Z130" i="16"/>
  <c r="Y130" i="16"/>
  <c r="X130" i="16"/>
  <c r="Z125" i="16"/>
  <c r="Y125" i="16"/>
  <c r="X125" i="16"/>
  <c r="V28" i="24"/>
  <c r="V53" i="24"/>
  <c r="V23" i="24"/>
  <c r="V18" i="24"/>
  <c r="V43" i="24"/>
  <c r="V13" i="24"/>
  <c r="V38" i="24"/>
  <c r="U28" i="24"/>
  <c r="U53" i="24"/>
  <c r="T28" i="24"/>
  <c r="T53" i="24"/>
  <c r="U23" i="24"/>
  <c r="T23" i="24"/>
  <c r="U18" i="24"/>
  <c r="U43" i="24"/>
  <c r="T18" i="24"/>
  <c r="T43" i="24"/>
  <c r="U13" i="24"/>
  <c r="U38" i="24"/>
  <c r="T13" i="24"/>
  <c r="T38" i="24"/>
  <c r="X128" i="16"/>
  <c r="X123" i="16"/>
  <c r="V25" i="24"/>
  <c r="U30" i="24"/>
  <c r="U55" i="24"/>
  <c r="T20" i="24"/>
  <c r="T45" i="24"/>
  <c r="Z131" i="16"/>
  <c r="Y131" i="16"/>
  <c r="X131" i="16"/>
  <c r="Z126" i="16"/>
  <c r="Y126" i="16"/>
  <c r="X126" i="16"/>
  <c r="V29" i="24"/>
  <c r="V54" i="24"/>
  <c r="V24" i="24"/>
  <c r="V19" i="24"/>
  <c r="V44" i="24"/>
  <c r="V14" i="24"/>
  <c r="V39" i="24"/>
  <c r="U29" i="24"/>
  <c r="U54" i="24"/>
  <c r="T29" i="24"/>
  <c r="T54" i="24"/>
  <c r="U24" i="24"/>
  <c r="U49" i="24"/>
  <c r="T24" i="24"/>
  <c r="U19" i="24"/>
  <c r="U44" i="24"/>
  <c r="T19" i="24"/>
  <c r="T44" i="24"/>
  <c r="U14" i="24"/>
  <c r="U39" i="24"/>
  <c r="T14" i="24"/>
  <c r="T39" i="24"/>
  <c r="Y128" i="16"/>
  <c r="Z123" i="16"/>
  <c r="V15" i="24"/>
  <c r="V40" i="24"/>
  <c r="T30" i="24"/>
  <c r="T55" i="24"/>
  <c r="U25" i="24"/>
  <c r="U50" i="24"/>
  <c r="T15" i="24"/>
  <c r="T40" i="24"/>
  <c r="T5" i="7"/>
  <c r="T6" i="7"/>
  <c r="T7" i="7"/>
  <c r="T8" i="7"/>
  <c r="T9" i="7"/>
  <c r="T10" i="7"/>
  <c r="T11" i="7"/>
  <c r="T12" i="7"/>
  <c r="T13" i="7"/>
  <c r="T14" i="7"/>
  <c r="T15" i="7"/>
  <c r="T16" i="7"/>
  <c r="T17" i="7"/>
  <c r="T18" i="7"/>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T578" i="7"/>
  <c r="T579" i="7"/>
  <c r="T580" i="7"/>
  <c r="T581" i="7"/>
  <c r="T582" i="7"/>
  <c r="T583" i="7"/>
  <c r="T584" i="7"/>
  <c r="T585" i="7"/>
  <c r="T586" i="7"/>
  <c r="T587" i="7"/>
  <c r="T588" i="7"/>
  <c r="T589" i="7"/>
  <c r="T590" i="7"/>
  <c r="T591" i="7"/>
  <c r="T592" i="7"/>
  <c r="T593" i="7"/>
  <c r="T594" i="7"/>
  <c r="T595" i="7"/>
  <c r="T596" i="7"/>
  <c r="T597" i="7"/>
  <c r="T598" i="7"/>
  <c r="T599" i="7"/>
  <c r="T600" i="7"/>
  <c r="T601" i="7"/>
  <c r="T602" i="7"/>
  <c r="T603" i="7"/>
  <c r="T604" i="7"/>
  <c r="T605" i="7"/>
  <c r="T606" i="7"/>
  <c r="T607" i="7"/>
  <c r="T608" i="7"/>
  <c r="T609" i="7"/>
  <c r="T610" i="7"/>
  <c r="T611" i="7"/>
  <c r="T612" i="7"/>
  <c r="T613" i="7"/>
  <c r="T614" i="7"/>
  <c r="T615" i="7"/>
  <c r="T616" i="7"/>
  <c r="T617" i="7"/>
  <c r="T618" i="7"/>
  <c r="T619" i="7"/>
  <c r="T620" i="7"/>
  <c r="T621" i="7"/>
  <c r="T622" i="7"/>
  <c r="T623" i="7"/>
  <c r="T624" i="7"/>
  <c r="T625" i="7"/>
  <c r="T626" i="7"/>
  <c r="T627" i="7"/>
  <c r="T628" i="7"/>
  <c r="T629" i="7"/>
  <c r="T630" i="7"/>
  <c r="T631" i="7"/>
  <c r="T632" i="7"/>
  <c r="T633" i="7"/>
  <c r="T634" i="7"/>
  <c r="T635" i="7"/>
  <c r="T636" i="7"/>
  <c r="T637" i="7"/>
  <c r="T638" i="7"/>
  <c r="T639" i="7"/>
  <c r="T640" i="7"/>
  <c r="T641" i="7"/>
  <c r="T642" i="7"/>
  <c r="T643" i="7"/>
  <c r="T644" i="7"/>
  <c r="T645" i="7"/>
  <c r="T646" i="7"/>
  <c r="T647" i="7"/>
  <c r="T648" i="7"/>
  <c r="T649" i="7"/>
  <c r="T650" i="7"/>
  <c r="T651" i="7"/>
  <c r="T652" i="7"/>
  <c r="T653" i="7"/>
  <c r="T654" i="7"/>
  <c r="T655" i="7"/>
  <c r="T656" i="7"/>
  <c r="T657" i="7"/>
  <c r="T658" i="7"/>
  <c r="T659" i="7"/>
  <c r="T660" i="7"/>
  <c r="T661" i="7"/>
  <c r="T662" i="7"/>
  <c r="T663" i="7"/>
  <c r="T664" i="7"/>
  <c r="T665" i="7"/>
  <c r="T666" i="7"/>
  <c r="T667" i="7"/>
  <c r="T668" i="7"/>
  <c r="T669" i="7"/>
  <c r="T670" i="7"/>
  <c r="T671" i="7"/>
  <c r="T672" i="7"/>
  <c r="T673" i="7"/>
  <c r="T674" i="7"/>
  <c r="T675" i="7"/>
  <c r="T676" i="7"/>
  <c r="T677" i="7"/>
  <c r="T678" i="7"/>
  <c r="T679" i="7"/>
  <c r="T680" i="7"/>
  <c r="T681" i="7"/>
  <c r="T682" i="7"/>
  <c r="T683" i="7"/>
  <c r="T684" i="7"/>
  <c r="T685" i="7"/>
  <c r="T686" i="7"/>
  <c r="T687" i="7"/>
  <c r="T688" i="7"/>
  <c r="T689" i="7"/>
  <c r="T690" i="7"/>
  <c r="T691" i="7"/>
  <c r="T692" i="7"/>
  <c r="T693" i="7"/>
  <c r="T694" i="7"/>
  <c r="T695" i="7"/>
  <c r="T696" i="7"/>
  <c r="T697" i="7"/>
  <c r="T698" i="7"/>
  <c r="T699" i="7"/>
  <c r="T700" i="7"/>
  <c r="T701" i="7"/>
  <c r="T702" i="7"/>
  <c r="T703" i="7"/>
  <c r="T704" i="7"/>
  <c r="T705" i="7"/>
  <c r="T706" i="7"/>
  <c r="T707" i="7"/>
  <c r="T708" i="7"/>
  <c r="T709" i="7"/>
  <c r="T710" i="7"/>
  <c r="T711" i="7"/>
  <c r="T712" i="7"/>
  <c r="T713" i="7"/>
  <c r="T714" i="7"/>
  <c r="T715" i="7"/>
  <c r="T716" i="7"/>
  <c r="T717" i="7"/>
  <c r="T718" i="7"/>
  <c r="T719" i="7"/>
  <c r="T720" i="7"/>
  <c r="T721" i="7"/>
  <c r="T722" i="7"/>
  <c r="T723" i="7"/>
  <c r="T724" i="7"/>
  <c r="T725" i="7"/>
  <c r="T726" i="7"/>
  <c r="T727" i="7"/>
  <c r="T728" i="7"/>
  <c r="T729" i="7"/>
  <c r="T730" i="7"/>
  <c r="T731" i="7"/>
  <c r="T732" i="7"/>
  <c r="T733" i="7"/>
  <c r="T734" i="7"/>
  <c r="T735" i="7"/>
  <c r="T736" i="7"/>
  <c r="T737" i="7"/>
  <c r="T738" i="7"/>
  <c r="T739" i="7"/>
  <c r="T740" i="7"/>
  <c r="T741" i="7"/>
  <c r="T742" i="7"/>
  <c r="T743" i="7"/>
  <c r="T744" i="7"/>
  <c r="T745" i="7"/>
  <c r="T746" i="7"/>
  <c r="T747" i="7"/>
  <c r="T748" i="7"/>
  <c r="T749" i="7"/>
  <c r="T750" i="7"/>
  <c r="T751" i="7"/>
  <c r="T752" i="7"/>
  <c r="T753" i="7"/>
  <c r="T754" i="7"/>
  <c r="T755" i="7"/>
  <c r="T756" i="7"/>
  <c r="T757" i="7"/>
  <c r="T758" i="7"/>
  <c r="T759" i="7"/>
  <c r="T760" i="7"/>
  <c r="T761" i="7"/>
  <c r="T762" i="7"/>
  <c r="T763" i="7"/>
  <c r="T764" i="7"/>
  <c r="T765" i="7"/>
  <c r="T766" i="7"/>
  <c r="T767" i="7"/>
  <c r="T768" i="7"/>
  <c r="T769" i="7"/>
  <c r="T770" i="7"/>
  <c r="T771" i="7"/>
  <c r="T772" i="7"/>
  <c r="T773" i="7"/>
  <c r="T774" i="7"/>
  <c r="T775" i="7"/>
  <c r="T776" i="7"/>
  <c r="T777" i="7"/>
  <c r="T778" i="7"/>
  <c r="T779" i="7"/>
  <c r="T780" i="7"/>
  <c r="T781" i="7"/>
  <c r="T782" i="7"/>
  <c r="T783" i="7"/>
  <c r="T784" i="7"/>
  <c r="T785" i="7"/>
  <c r="T786" i="7"/>
  <c r="T787" i="7"/>
  <c r="T788" i="7"/>
  <c r="T789" i="7"/>
  <c r="T790" i="7"/>
  <c r="T791" i="7"/>
  <c r="T792" i="7"/>
  <c r="T793" i="7"/>
  <c r="T794" i="7"/>
  <c r="T795" i="7"/>
  <c r="T796" i="7"/>
  <c r="T797" i="7"/>
  <c r="T798" i="7"/>
  <c r="T799" i="7"/>
  <c r="T800" i="7"/>
  <c r="T801" i="7"/>
  <c r="T802" i="7"/>
  <c r="T803" i="7"/>
  <c r="T804" i="7"/>
  <c r="T805" i="7"/>
  <c r="T806" i="7"/>
  <c r="T807" i="7"/>
  <c r="T808" i="7"/>
  <c r="T809" i="7"/>
  <c r="T810" i="7"/>
  <c r="T811" i="7"/>
  <c r="T812" i="7"/>
  <c r="T813" i="7"/>
  <c r="T814" i="7"/>
  <c r="T815" i="7"/>
  <c r="T816" i="7"/>
  <c r="T817" i="7"/>
  <c r="T818" i="7"/>
  <c r="T819" i="7"/>
  <c r="T820" i="7"/>
  <c r="T821" i="7"/>
  <c r="T822" i="7"/>
  <c r="T823" i="7"/>
  <c r="T824" i="7"/>
  <c r="T825" i="7"/>
  <c r="T826" i="7"/>
  <c r="T827" i="7"/>
  <c r="T828" i="7"/>
  <c r="T829" i="7"/>
  <c r="T830" i="7"/>
  <c r="T831" i="7"/>
  <c r="T832" i="7"/>
  <c r="T833" i="7"/>
  <c r="T834" i="7"/>
  <c r="T835" i="7"/>
  <c r="T836" i="7"/>
  <c r="T837" i="7"/>
  <c r="T838" i="7"/>
  <c r="T839" i="7"/>
  <c r="T840" i="7"/>
  <c r="T841" i="7"/>
  <c r="T842" i="7"/>
  <c r="T843" i="7"/>
  <c r="T844" i="7"/>
  <c r="T845" i="7"/>
  <c r="T846" i="7"/>
  <c r="T847" i="7"/>
  <c r="T848" i="7"/>
  <c r="T849" i="7"/>
  <c r="T850" i="7"/>
  <c r="T851" i="7"/>
  <c r="T852" i="7"/>
  <c r="T853" i="7"/>
  <c r="T854" i="7"/>
  <c r="T855" i="7"/>
  <c r="T856" i="7"/>
  <c r="T857" i="7"/>
  <c r="T858" i="7"/>
  <c r="T859" i="7"/>
  <c r="T860" i="7"/>
  <c r="T861" i="7"/>
  <c r="T862" i="7"/>
  <c r="T863" i="7"/>
  <c r="T864" i="7"/>
  <c r="T865" i="7"/>
  <c r="T866" i="7"/>
  <c r="T867" i="7"/>
  <c r="T868" i="7"/>
  <c r="T869" i="7"/>
  <c r="T870" i="7"/>
  <c r="T871" i="7"/>
  <c r="T872" i="7"/>
  <c r="T873" i="7"/>
  <c r="T874" i="7"/>
  <c r="T875" i="7"/>
  <c r="T876" i="7"/>
  <c r="T877" i="7"/>
  <c r="T878" i="7"/>
  <c r="T879" i="7"/>
  <c r="T880" i="7"/>
  <c r="T881" i="7"/>
  <c r="T882" i="7"/>
  <c r="T883" i="7"/>
  <c r="T884" i="7"/>
  <c r="T885" i="7"/>
  <c r="T886" i="7"/>
  <c r="T887" i="7"/>
  <c r="T888" i="7"/>
  <c r="T889" i="7"/>
  <c r="T890" i="7"/>
  <c r="T891" i="7"/>
  <c r="T892" i="7"/>
  <c r="T893" i="7"/>
  <c r="T894" i="7"/>
  <c r="T895" i="7"/>
  <c r="T896" i="7"/>
  <c r="T897" i="7"/>
  <c r="T898" i="7"/>
  <c r="T899" i="7"/>
  <c r="T900" i="7"/>
  <c r="T901" i="7"/>
  <c r="T902" i="7"/>
  <c r="T903" i="7"/>
  <c r="T904" i="7"/>
  <c r="T905" i="7"/>
  <c r="T906" i="7"/>
  <c r="T907" i="7"/>
  <c r="T908" i="7"/>
  <c r="T909" i="7"/>
  <c r="T910" i="7"/>
  <c r="T911" i="7"/>
  <c r="T912" i="7"/>
  <c r="T913" i="7"/>
  <c r="T914" i="7"/>
  <c r="T915" i="7"/>
  <c r="T916" i="7"/>
  <c r="T917" i="7"/>
  <c r="T918" i="7"/>
  <c r="T919" i="7"/>
  <c r="T920" i="7"/>
  <c r="T921" i="7"/>
  <c r="T922" i="7"/>
  <c r="T923" i="7"/>
  <c r="T924" i="7"/>
  <c r="T925" i="7"/>
  <c r="T926" i="7"/>
  <c r="T927" i="7"/>
  <c r="T928" i="7"/>
  <c r="T929" i="7"/>
  <c r="T930" i="7"/>
  <c r="T931" i="7"/>
  <c r="T932" i="7"/>
  <c r="T933" i="7"/>
  <c r="T934" i="7"/>
  <c r="T935" i="7"/>
  <c r="T936" i="7"/>
  <c r="T937" i="7"/>
  <c r="T938" i="7"/>
  <c r="T939" i="7"/>
  <c r="T940" i="7"/>
  <c r="T941" i="7"/>
  <c r="T942" i="7"/>
  <c r="T943" i="7"/>
  <c r="T944" i="7"/>
  <c r="T945" i="7"/>
  <c r="T946" i="7"/>
  <c r="T947" i="7"/>
  <c r="T948" i="7"/>
  <c r="T949" i="7"/>
  <c r="T950" i="7"/>
  <c r="T951" i="7"/>
  <c r="T952" i="7"/>
  <c r="T953" i="7"/>
  <c r="T954" i="7"/>
  <c r="T955" i="7"/>
  <c r="T956" i="7"/>
  <c r="T957" i="7"/>
  <c r="T958" i="7"/>
  <c r="T959" i="7"/>
  <c r="T960" i="7"/>
  <c r="T961" i="7"/>
  <c r="T962" i="7"/>
  <c r="T963" i="7"/>
  <c r="T964" i="7"/>
  <c r="T965" i="7"/>
  <c r="T966" i="7"/>
  <c r="T967" i="7"/>
  <c r="T968" i="7"/>
  <c r="T969" i="7"/>
  <c r="T970" i="7"/>
  <c r="T971" i="7"/>
  <c r="T972" i="7"/>
  <c r="T973" i="7"/>
  <c r="T974" i="7"/>
  <c r="T975" i="7"/>
  <c r="T976" i="7"/>
  <c r="T977" i="7"/>
  <c r="T978" i="7"/>
  <c r="T979" i="7"/>
  <c r="T980" i="7"/>
  <c r="T981" i="7"/>
  <c r="T982" i="7"/>
  <c r="T983" i="7"/>
  <c r="T984" i="7"/>
  <c r="T985" i="7"/>
  <c r="T986" i="7"/>
  <c r="T987" i="7"/>
  <c r="T988" i="7"/>
  <c r="T989" i="7"/>
  <c r="T990" i="7"/>
  <c r="T991" i="7"/>
  <c r="T992" i="7"/>
  <c r="T993" i="7"/>
  <c r="T994" i="7"/>
  <c r="T995" i="7"/>
  <c r="T996" i="7"/>
  <c r="T997" i="7"/>
  <c r="T998" i="7"/>
  <c r="T999" i="7"/>
  <c r="T1000" i="7"/>
  <c r="T1001" i="7"/>
  <c r="T1002" i="7"/>
  <c r="T1003" i="7"/>
  <c r="T1004" i="7"/>
  <c r="T1005" i="7"/>
  <c r="T1006" i="7"/>
  <c r="T1007" i="7"/>
  <c r="T1008" i="7"/>
  <c r="T1009" i="7"/>
  <c r="T1010" i="7"/>
  <c r="T1011" i="7"/>
  <c r="T1012" i="7"/>
  <c r="T1013" i="7"/>
  <c r="T1014" i="7"/>
  <c r="T1015" i="7"/>
  <c r="T1016" i="7"/>
  <c r="T1017" i="7"/>
  <c r="T1018" i="7"/>
  <c r="T1019" i="7"/>
  <c r="T1020" i="7"/>
  <c r="T1021" i="7"/>
  <c r="T1022" i="7"/>
  <c r="T1023" i="7"/>
  <c r="T1024" i="7"/>
  <c r="T1025" i="7"/>
  <c r="T1026" i="7"/>
  <c r="T1027" i="7"/>
  <c r="T1028" i="7"/>
  <c r="T1029" i="7"/>
  <c r="T1030" i="7"/>
  <c r="T1031" i="7"/>
  <c r="T1032" i="7"/>
  <c r="T1033" i="7"/>
  <c r="T1034" i="7"/>
  <c r="T1035" i="7"/>
  <c r="T1036" i="7"/>
  <c r="T1037" i="7"/>
  <c r="T1038" i="7"/>
  <c r="T1039" i="7"/>
  <c r="T1040" i="7"/>
  <c r="T1041" i="7"/>
  <c r="T1042" i="7"/>
  <c r="T1043" i="7"/>
  <c r="T1044" i="7"/>
  <c r="T1045" i="7"/>
  <c r="T1046" i="7"/>
  <c r="T1047" i="7"/>
  <c r="T1048" i="7"/>
  <c r="T1049" i="7"/>
  <c r="T1050" i="7"/>
  <c r="T1051" i="7"/>
  <c r="T1052" i="7"/>
  <c r="T1053" i="7"/>
  <c r="T1054" i="7"/>
  <c r="T1055" i="7"/>
  <c r="T1056" i="7"/>
  <c r="T1057" i="7"/>
  <c r="T1058" i="7"/>
  <c r="T1059" i="7"/>
  <c r="T1060" i="7"/>
  <c r="T1061" i="7"/>
  <c r="T1062" i="7"/>
  <c r="T1063" i="7"/>
  <c r="T1064" i="7"/>
  <c r="T1065" i="7"/>
  <c r="T1066" i="7"/>
  <c r="T1067" i="7"/>
  <c r="T1068" i="7"/>
  <c r="T1069" i="7"/>
  <c r="T1070" i="7"/>
  <c r="T1071" i="7"/>
  <c r="T1072" i="7"/>
  <c r="T1073" i="7"/>
  <c r="T1074" i="7"/>
  <c r="T1075" i="7"/>
  <c r="T1076" i="7"/>
  <c r="T1077" i="7"/>
  <c r="T1078" i="7"/>
  <c r="T1079" i="7"/>
  <c r="T1080" i="7"/>
  <c r="T1081" i="7"/>
  <c r="T1082" i="7"/>
  <c r="T1083" i="7"/>
  <c r="T1084" i="7"/>
  <c r="T1085" i="7"/>
  <c r="T1086" i="7"/>
  <c r="T1087" i="7"/>
  <c r="T1088" i="7"/>
  <c r="T1089" i="7"/>
  <c r="T1090" i="7"/>
  <c r="T1091" i="7"/>
  <c r="T1092" i="7"/>
  <c r="T1093" i="7"/>
  <c r="T1094" i="7"/>
  <c r="T1095" i="7"/>
  <c r="T1096" i="7"/>
  <c r="T1097" i="7"/>
  <c r="T1098" i="7"/>
  <c r="T1099" i="7"/>
  <c r="T1100" i="7"/>
  <c r="T1101" i="7"/>
  <c r="T1102" i="7"/>
  <c r="T1103" i="7"/>
  <c r="T1104" i="7"/>
  <c r="T1105" i="7"/>
  <c r="T1106" i="7"/>
  <c r="T1107" i="7"/>
  <c r="T1108" i="7"/>
  <c r="T1109" i="7"/>
  <c r="T1110" i="7"/>
  <c r="T1111" i="7"/>
  <c r="T1112" i="7"/>
  <c r="T1113" i="7"/>
  <c r="T1114" i="7"/>
  <c r="T1115" i="7"/>
  <c r="T1116" i="7"/>
  <c r="T1117" i="7"/>
  <c r="T1118" i="7"/>
  <c r="T1119" i="7"/>
  <c r="T1120" i="7"/>
  <c r="T1121" i="7"/>
  <c r="T1122" i="7"/>
  <c r="T1123" i="7"/>
  <c r="T1124" i="7"/>
  <c r="T1125" i="7"/>
  <c r="T1126" i="7"/>
  <c r="T1127" i="7"/>
  <c r="T1128" i="7"/>
  <c r="T1129" i="7"/>
  <c r="T1130" i="7"/>
  <c r="T1131" i="7"/>
  <c r="T1132" i="7"/>
  <c r="T1133" i="7"/>
  <c r="T1134" i="7"/>
  <c r="T1135" i="7"/>
  <c r="T1136" i="7"/>
  <c r="T1137" i="7"/>
  <c r="T1138" i="7"/>
  <c r="T1139" i="7"/>
  <c r="T1140" i="7"/>
  <c r="T1141" i="7"/>
  <c r="T1142" i="7"/>
  <c r="T1143" i="7"/>
  <c r="T1144" i="7"/>
  <c r="T1145" i="7"/>
  <c r="T1146" i="7"/>
  <c r="T1147" i="7"/>
  <c r="T1148" i="7"/>
  <c r="T1149" i="7"/>
  <c r="T1150" i="7"/>
  <c r="T1151" i="7"/>
  <c r="T1152" i="7"/>
  <c r="T1153" i="7"/>
  <c r="T1154" i="7"/>
  <c r="T1155" i="7"/>
  <c r="T1156" i="7"/>
  <c r="T1157" i="7"/>
  <c r="T1158" i="7"/>
  <c r="T1159" i="7"/>
  <c r="T1160" i="7"/>
  <c r="T1161" i="7"/>
  <c r="T1162" i="7"/>
  <c r="T1163" i="7"/>
  <c r="T1164" i="7"/>
  <c r="T1165" i="7"/>
  <c r="T1166" i="7"/>
  <c r="T1167" i="7"/>
  <c r="T1168" i="7"/>
  <c r="T1169" i="7"/>
  <c r="T1170" i="7"/>
  <c r="T1171" i="7"/>
  <c r="T1172" i="7"/>
  <c r="T1173" i="7"/>
  <c r="T1174" i="7"/>
  <c r="T1175" i="7"/>
  <c r="T1176" i="7"/>
  <c r="T1177" i="7"/>
  <c r="T1178" i="7"/>
  <c r="T1179" i="7"/>
  <c r="T1180" i="7"/>
  <c r="T1181" i="7"/>
  <c r="T1182" i="7"/>
  <c r="T1183" i="7"/>
  <c r="T1184" i="7"/>
  <c r="T1185" i="7"/>
  <c r="T1186" i="7"/>
  <c r="T1187" i="7"/>
  <c r="T1188" i="7"/>
  <c r="T1189" i="7"/>
  <c r="T1190" i="7"/>
  <c r="T1191" i="7"/>
  <c r="T1192" i="7"/>
  <c r="T1193" i="7"/>
  <c r="T1194" i="7"/>
  <c r="T1195" i="7"/>
  <c r="T1196" i="7"/>
  <c r="T1197" i="7"/>
  <c r="T1198" i="7"/>
  <c r="T1199" i="7"/>
  <c r="T1200" i="7"/>
  <c r="T1201" i="7"/>
  <c r="T1202" i="7"/>
  <c r="T1203" i="7"/>
  <c r="T1204" i="7"/>
  <c r="T1205" i="7"/>
  <c r="T1206" i="7"/>
  <c r="T1207" i="7"/>
  <c r="T1208" i="7"/>
  <c r="T1209" i="7"/>
  <c r="T1210" i="7"/>
  <c r="T1211" i="7"/>
  <c r="T1212" i="7"/>
  <c r="T1213" i="7"/>
  <c r="T1214" i="7"/>
  <c r="T1215" i="7"/>
  <c r="T1216" i="7"/>
  <c r="T1217" i="7"/>
  <c r="T1218" i="7"/>
  <c r="T1219" i="7"/>
  <c r="T1220" i="7"/>
  <c r="T1221" i="7"/>
  <c r="T1222" i="7"/>
  <c r="T1223" i="7"/>
  <c r="T1224" i="7"/>
  <c r="T1225" i="7"/>
  <c r="T1226" i="7"/>
  <c r="T1227" i="7"/>
  <c r="T1228" i="7"/>
  <c r="T1229" i="7"/>
  <c r="T1230" i="7"/>
  <c r="T1231" i="7"/>
  <c r="T1232" i="7"/>
  <c r="T1233" i="7"/>
  <c r="T1234" i="7"/>
  <c r="T1235" i="7"/>
  <c r="T1236" i="7"/>
  <c r="T1237" i="7"/>
  <c r="T1238" i="7"/>
  <c r="T1239" i="7"/>
  <c r="T1240" i="7"/>
  <c r="T1241" i="7"/>
  <c r="T1242" i="7"/>
  <c r="T1243" i="7"/>
  <c r="T1244" i="7"/>
  <c r="T1245" i="7"/>
  <c r="T1246" i="7"/>
  <c r="T1247" i="7"/>
  <c r="T1248" i="7"/>
  <c r="T1249" i="7"/>
  <c r="T1250" i="7"/>
  <c r="T1251" i="7"/>
  <c r="T1252" i="7"/>
  <c r="T1253" i="7"/>
  <c r="T1254" i="7"/>
  <c r="T1255" i="7"/>
  <c r="T1256" i="7"/>
  <c r="T1257" i="7"/>
  <c r="T1258" i="7"/>
  <c r="T1259" i="7"/>
  <c r="T1260" i="7"/>
  <c r="T1261" i="7"/>
  <c r="T1262" i="7"/>
  <c r="T1263" i="7"/>
  <c r="T1264" i="7"/>
  <c r="T1265" i="7"/>
  <c r="T1266" i="7"/>
  <c r="T1267" i="7"/>
  <c r="T1268" i="7"/>
  <c r="T1269" i="7"/>
  <c r="T1270" i="7"/>
  <c r="T1271" i="7"/>
  <c r="T1272" i="7"/>
  <c r="T1273" i="7"/>
  <c r="T1274" i="7"/>
  <c r="T1275" i="7"/>
  <c r="T1276" i="7"/>
  <c r="T1277" i="7"/>
  <c r="T1278" i="7"/>
  <c r="T1279" i="7"/>
  <c r="T1280" i="7"/>
  <c r="T1281" i="7"/>
  <c r="T1282" i="7"/>
  <c r="T1283" i="7"/>
  <c r="T1284" i="7"/>
  <c r="T1285" i="7"/>
  <c r="T1286" i="7"/>
  <c r="T1287" i="7"/>
  <c r="T1288" i="7"/>
  <c r="T1289" i="7"/>
  <c r="T1290" i="7"/>
  <c r="T1291" i="7"/>
  <c r="T1292" i="7"/>
  <c r="T1293" i="7"/>
  <c r="T1294" i="7"/>
  <c r="T1295" i="7"/>
  <c r="T1296" i="7"/>
  <c r="T1297" i="7"/>
  <c r="T1298" i="7"/>
  <c r="T1299" i="7"/>
  <c r="T1300" i="7"/>
  <c r="T1301" i="7"/>
  <c r="T1302" i="7"/>
  <c r="T1303" i="7"/>
  <c r="T1304" i="7"/>
  <c r="T1305" i="7"/>
  <c r="T1306" i="7"/>
  <c r="T1307" i="7"/>
  <c r="T1308" i="7"/>
  <c r="T1309" i="7"/>
  <c r="T1310" i="7"/>
  <c r="T1311" i="7"/>
  <c r="T1312" i="7"/>
  <c r="T1313" i="7"/>
  <c r="T1314" i="7"/>
  <c r="T1315" i="7"/>
  <c r="T1316" i="7"/>
  <c r="T1317" i="7"/>
  <c r="T1318" i="7"/>
  <c r="T1319" i="7"/>
  <c r="T1320" i="7"/>
  <c r="T1321" i="7"/>
  <c r="T1322" i="7"/>
  <c r="T1323" i="7"/>
  <c r="T1324" i="7"/>
  <c r="T1325" i="7"/>
  <c r="T1326" i="7"/>
  <c r="T1327" i="7"/>
  <c r="T1328" i="7"/>
  <c r="T1329" i="7"/>
  <c r="T1330" i="7"/>
  <c r="T1331" i="7"/>
  <c r="T1332" i="7"/>
  <c r="T1333" i="7"/>
  <c r="T1334" i="7"/>
  <c r="T1335" i="7"/>
  <c r="T1336" i="7"/>
  <c r="T1337" i="7"/>
  <c r="T1338" i="7"/>
  <c r="T1339" i="7"/>
  <c r="T1340" i="7"/>
  <c r="T1341" i="7"/>
  <c r="T1342" i="7"/>
  <c r="T1343" i="7"/>
  <c r="T1344" i="7"/>
  <c r="T1345" i="7"/>
  <c r="T1346" i="7"/>
  <c r="T1347" i="7"/>
  <c r="T1348" i="7"/>
  <c r="T1349" i="7"/>
  <c r="T1350" i="7"/>
  <c r="T1351" i="7"/>
  <c r="T1352" i="7"/>
  <c r="T1353" i="7"/>
  <c r="T1354" i="7"/>
  <c r="T1355" i="7"/>
  <c r="T1356" i="7"/>
  <c r="T1357" i="7"/>
  <c r="T1358" i="7"/>
  <c r="T1359" i="7"/>
  <c r="T1360" i="7"/>
  <c r="T1361" i="7"/>
  <c r="T1362" i="7"/>
  <c r="T1363" i="7"/>
  <c r="T1364" i="7"/>
  <c r="T1365" i="7"/>
  <c r="T1366" i="7"/>
  <c r="T1367" i="7"/>
  <c r="T1368" i="7"/>
  <c r="T1369" i="7"/>
  <c r="T1370" i="7"/>
  <c r="T1371" i="7"/>
  <c r="T1372" i="7"/>
  <c r="T1373" i="7"/>
  <c r="T1374" i="7"/>
  <c r="T1375" i="7"/>
  <c r="T1376" i="7"/>
  <c r="T1377" i="7"/>
  <c r="T1378" i="7"/>
  <c r="T1379" i="7"/>
  <c r="T1380" i="7"/>
  <c r="T1381" i="7"/>
  <c r="T1382" i="7"/>
  <c r="T1383" i="7"/>
  <c r="T1384" i="7"/>
  <c r="T1385" i="7"/>
  <c r="T1386" i="7"/>
  <c r="T1387" i="7"/>
  <c r="T1388" i="7"/>
  <c r="T1389" i="7"/>
  <c r="T1390" i="7"/>
  <c r="T1391" i="7"/>
  <c r="T1392" i="7"/>
  <c r="T1393" i="7"/>
  <c r="T1394" i="7"/>
  <c r="T1395" i="7"/>
  <c r="T1396" i="7"/>
  <c r="T1397" i="7"/>
  <c r="T1398" i="7"/>
  <c r="T1399" i="7"/>
  <c r="T1400" i="7"/>
  <c r="T1401" i="7"/>
  <c r="T1402" i="7"/>
  <c r="T1403" i="7"/>
  <c r="T1404" i="7"/>
  <c r="T1405" i="7"/>
  <c r="T1406" i="7"/>
  <c r="T1407" i="7"/>
  <c r="T1408" i="7"/>
  <c r="T1409" i="7"/>
  <c r="T1410" i="7"/>
  <c r="T1411" i="7"/>
  <c r="T1412" i="7"/>
  <c r="T1413" i="7"/>
  <c r="T1414" i="7"/>
  <c r="T1415" i="7"/>
  <c r="T1416" i="7"/>
  <c r="T1417" i="7"/>
  <c r="T1418" i="7"/>
  <c r="T1419" i="7"/>
  <c r="T1420" i="7"/>
  <c r="T1421" i="7"/>
  <c r="T1422" i="7"/>
  <c r="T1423" i="7"/>
  <c r="T1424" i="7"/>
  <c r="T1425" i="7"/>
  <c r="T1426" i="7"/>
  <c r="T1427" i="7"/>
  <c r="T1428" i="7"/>
  <c r="T1429" i="7"/>
  <c r="T1430" i="7"/>
  <c r="T1431" i="7"/>
  <c r="T1432" i="7"/>
  <c r="T1433" i="7"/>
  <c r="T1434" i="7"/>
  <c r="T1435" i="7"/>
  <c r="T1436" i="7"/>
  <c r="T1437" i="7"/>
  <c r="T1438" i="7"/>
  <c r="T1439" i="7"/>
  <c r="T1440" i="7"/>
  <c r="T1441" i="7"/>
  <c r="T1442" i="7"/>
  <c r="T1443" i="7"/>
  <c r="T1444" i="7"/>
  <c r="T1445" i="7"/>
  <c r="T1446" i="7"/>
  <c r="T1447" i="7"/>
  <c r="T1448" i="7"/>
  <c r="T1449" i="7"/>
  <c r="T1450" i="7"/>
  <c r="T1451" i="7"/>
  <c r="T1452" i="7"/>
  <c r="T1453" i="7"/>
  <c r="T1454" i="7"/>
  <c r="T1455" i="7"/>
  <c r="T1456" i="7"/>
  <c r="T1457" i="7"/>
  <c r="T1458" i="7"/>
  <c r="T1459" i="7"/>
  <c r="T1460" i="7"/>
  <c r="T1461" i="7"/>
  <c r="T1462" i="7"/>
  <c r="T1463" i="7"/>
  <c r="T1464" i="7"/>
  <c r="T1465" i="7"/>
  <c r="T1466" i="7"/>
  <c r="T1467" i="7"/>
  <c r="T1468" i="7"/>
  <c r="T1469" i="7"/>
  <c r="T1470" i="7"/>
  <c r="T1471" i="7"/>
  <c r="T1472" i="7"/>
  <c r="T1473" i="7"/>
  <c r="T1474" i="7"/>
  <c r="T1475" i="7"/>
  <c r="T1476" i="7"/>
  <c r="T1477" i="7"/>
  <c r="T1478" i="7"/>
  <c r="T1479" i="7"/>
  <c r="T1480" i="7"/>
  <c r="T1481" i="7"/>
  <c r="T1482" i="7"/>
  <c r="T1483" i="7"/>
  <c r="T1484" i="7"/>
  <c r="T1485" i="7"/>
  <c r="T1486" i="7"/>
  <c r="T1487" i="7"/>
  <c r="T1488" i="7"/>
  <c r="T1489" i="7"/>
  <c r="T1490" i="7"/>
  <c r="T1491" i="7"/>
  <c r="T1492" i="7"/>
  <c r="T1493" i="7"/>
  <c r="T1494" i="7"/>
  <c r="T1495" i="7"/>
  <c r="T1496" i="7"/>
  <c r="T1497" i="7"/>
  <c r="T1498" i="7"/>
  <c r="T1499" i="7"/>
  <c r="T1500" i="7"/>
  <c r="T1501" i="7"/>
  <c r="T1502" i="7"/>
  <c r="T1503" i="7"/>
  <c r="T1504" i="7"/>
  <c r="T1505" i="7"/>
  <c r="T1506" i="7"/>
  <c r="T1507" i="7"/>
  <c r="T1508" i="7"/>
  <c r="T1509" i="7"/>
  <c r="T1510" i="7"/>
  <c r="T1511" i="7"/>
  <c r="T1512" i="7"/>
  <c r="T1513" i="7"/>
  <c r="T1514" i="7"/>
  <c r="T1515" i="7"/>
  <c r="T1516" i="7"/>
  <c r="T1517" i="7"/>
  <c r="T1518" i="7"/>
  <c r="T1519" i="7"/>
  <c r="T1520" i="7"/>
  <c r="T1521" i="7"/>
  <c r="T1522" i="7"/>
  <c r="T1523" i="7"/>
  <c r="T1524" i="7"/>
  <c r="T1525" i="7"/>
  <c r="T1526" i="7"/>
  <c r="T1527" i="7"/>
  <c r="T1528" i="7"/>
  <c r="T1529" i="7"/>
  <c r="T1530" i="7"/>
  <c r="T1531" i="7"/>
  <c r="T1532" i="7"/>
  <c r="T1533" i="7"/>
  <c r="T1534" i="7"/>
  <c r="T1535" i="7"/>
  <c r="T1536" i="7"/>
  <c r="T1537" i="7"/>
  <c r="T1538" i="7"/>
  <c r="T1539" i="7"/>
  <c r="T1540" i="7"/>
  <c r="T1541" i="7"/>
  <c r="T1542" i="7"/>
  <c r="T1543" i="7"/>
  <c r="T1544" i="7"/>
  <c r="T1545" i="7"/>
  <c r="T1546" i="7"/>
  <c r="T1547" i="7"/>
  <c r="T1548" i="7"/>
  <c r="T1549" i="7"/>
  <c r="T1550" i="7"/>
  <c r="T1551" i="7"/>
  <c r="T1552" i="7"/>
  <c r="T1553" i="7"/>
  <c r="T1554" i="7"/>
  <c r="T1555" i="7"/>
  <c r="T1556" i="7"/>
  <c r="T1557" i="7"/>
  <c r="T1558" i="7"/>
  <c r="T1559" i="7"/>
  <c r="T1560" i="7"/>
  <c r="T1561" i="7"/>
  <c r="T1562" i="7"/>
  <c r="T1563" i="7"/>
  <c r="T1564" i="7"/>
  <c r="T1565" i="7"/>
  <c r="T1566" i="7"/>
  <c r="T1567" i="7"/>
  <c r="T1568" i="7"/>
  <c r="T1569" i="7"/>
  <c r="T1570" i="7"/>
  <c r="T1571" i="7"/>
  <c r="T1572" i="7"/>
  <c r="T1573" i="7"/>
  <c r="T1574" i="7"/>
  <c r="T1575" i="7"/>
  <c r="T1576" i="7"/>
  <c r="T1577" i="7"/>
  <c r="T1578" i="7"/>
  <c r="T1579" i="7"/>
  <c r="T1580" i="7"/>
  <c r="T1581" i="7"/>
  <c r="T1582" i="7"/>
  <c r="T1583" i="7"/>
  <c r="T1584" i="7"/>
  <c r="T1585" i="7"/>
  <c r="T1586" i="7"/>
  <c r="T1587" i="7"/>
  <c r="T1588" i="7"/>
  <c r="T1589" i="7"/>
  <c r="T1590" i="7"/>
  <c r="T1591" i="7"/>
  <c r="T1592" i="7"/>
  <c r="T1593" i="7"/>
  <c r="T1594" i="7"/>
  <c r="T1595" i="7"/>
  <c r="T1596" i="7"/>
  <c r="T1597" i="7"/>
  <c r="T1598" i="7"/>
  <c r="T1599" i="7"/>
  <c r="T1600" i="7"/>
  <c r="T1601" i="7"/>
  <c r="T1602" i="7"/>
  <c r="T1603" i="7"/>
  <c r="T1604" i="7"/>
  <c r="T1605" i="7"/>
  <c r="T1606" i="7"/>
  <c r="T1607" i="7"/>
  <c r="T1608" i="7"/>
  <c r="T1609" i="7"/>
  <c r="T1610" i="7"/>
  <c r="T1611" i="7"/>
  <c r="T1612" i="7"/>
  <c r="T1613" i="7"/>
  <c r="T1614" i="7"/>
  <c r="T1615" i="7"/>
  <c r="T1616" i="7"/>
  <c r="T1617" i="7"/>
  <c r="T1618" i="7"/>
  <c r="T1619" i="7"/>
  <c r="T1620" i="7"/>
  <c r="T1621" i="7"/>
  <c r="T1622" i="7"/>
  <c r="T1623" i="7"/>
  <c r="T1624" i="7"/>
  <c r="T1625" i="7"/>
  <c r="T1626" i="7"/>
  <c r="T1627" i="7"/>
  <c r="T1628" i="7"/>
  <c r="T1629" i="7"/>
  <c r="T1630" i="7"/>
  <c r="T1631" i="7"/>
  <c r="T1632" i="7"/>
  <c r="T1633" i="7"/>
  <c r="T1634" i="7"/>
  <c r="T1635" i="7"/>
  <c r="T1636" i="7"/>
  <c r="T1637" i="7"/>
  <c r="T1638" i="7"/>
  <c r="T1639" i="7"/>
  <c r="T1640" i="7"/>
  <c r="T1641" i="7"/>
  <c r="T1642" i="7"/>
  <c r="T1643" i="7"/>
  <c r="T1644" i="7"/>
  <c r="T1645" i="7"/>
  <c r="T1646" i="7"/>
  <c r="T1647" i="7"/>
  <c r="T1648" i="7"/>
  <c r="T1649" i="7"/>
  <c r="T1650" i="7"/>
  <c r="T1651" i="7"/>
  <c r="T1652" i="7"/>
  <c r="T1653" i="7"/>
  <c r="T1654" i="7"/>
  <c r="T1655" i="7"/>
  <c r="T1656" i="7"/>
  <c r="T1657" i="7"/>
  <c r="T1658" i="7"/>
  <c r="T1659" i="7"/>
  <c r="T1660" i="7"/>
  <c r="T1661" i="7"/>
  <c r="T1662" i="7"/>
  <c r="T1663" i="7"/>
  <c r="T1664" i="7"/>
  <c r="T1665" i="7"/>
  <c r="T1666" i="7"/>
  <c r="T1667" i="7"/>
  <c r="T1668" i="7"/>
  <c r="T1669" i="7"/>
  <c r="T1670" i="7"/>
  <c r="T1671" i="7"/>
  <c r="T1672" i="7"/>
  <c r="T1673" i="7"/>
  <c r="T1674" i="7"/>
  <c r="T1675" i="7"/>
  <c r="T1676" i="7"/>
  <c r="T1677" i="7"/>
  <c r="T1678" i="7"/>
  <c r="T1679" i="7"/>
  <c r="T1680" i="7"/>
  <c r="T1681" i="7"/>
  <c r="T1682" i="7"/>
  <c r="T1683" i="7"/>
  <c r="T1684" i="7"/>
  <c r="T1685" i="7"/>
  <c r="T1686" i="7"/>
  <c r="T1687" i="7"/>
  <c r="T1688" i="7"/>
  <c r="T1689" i="7"/>
  <c r="T1690" i="7"/>
  <c r="T1691" i="7"/>
  <c r="T1692" i="7"/>
  <c r="T1693" i="7"/>
  <c r="T1694" i="7"/>
  <c r="T1695" i="7"/>
  <c r="T1696" i="7"/>
  <c r="T1697" i="7"/>
  <c r="T1698" i="7"/>
  <c r="T1699" i="7"/>
  <c r="T1700" i="7"/>
  <c r="T1701" i="7"/>
  <c r="T1702" i="7"/>
  <c r="T1703" i="7"/>
  <c r="T1704" i="7"/>
  <c r="T1705" i="7"/>
  <c r="T1706" i="7"/>
  <c r="T1707" i="7"/>
  <c r="T1708" i="7"/>
  <c r="T1709" i="7"/>
  <c r="T1710" i="7"/>
  <c r="T1711" i="7"/>
  <c r="T1712" i="7"/>
  <c r="T1713" i="7"/>
  <c r="T1714" i="7"/>
  <c r="T1715" i="7"/>
  <c r="T1716" i="7"/>
  <c r="T1717" i="7"/>
  <c r="T1718" i="7"/>
  <c r="T1719" i="7"/>
  <c r="T1720" i="7"/>
  <c r="T1721" i="7"/>
  <c r="T1722" i="7"/>
  <c r="T1723" i="7"/>
  <c r="T1724" i="7"/>
  <c r="T1725" i="7"/>
  <c r="T1726" i="7"/>
  <c r="T1727" i="7"/>
  <c r="T1728" i="7"/>
  <c r="T1729" i="7"/>
  <c r="T1730" i="7"/>
  <c r="T1731" i="7"/>
  <c r="T1732" i="7"/>
  <c r="T1733" i="7"/>
  <c r="T1734" i="7"/>
  <c r="T1735" i="7"/>
  <c r="T1736" i="7"/>
  <c r="T1737" i="7"/>
  <c r="T1738" i="7"/>
  <c r="T1739" i="7"/>
  <c r="T1740" i="7"/>
  <c r="T1741" i="7"/>
  <c r="T1742" i="7"/>
  <c r="T1743" i="7"/>
  <c r="T1744" i="7"/>
  <c r="T1745" i="7"/>
  <c r="T1746" i="7"/>
  <c r="T1747" i="7"/>
  <c r="T1748" i="7"/>
  <c r="T1749" i="7"/>
  <c r="T1750" i="7"/>
  <c r="T1751" i="7"/>
  <c r="T1752" i="7"/>
  <c r="T1753" i="7"/>
  <c r="T1754" i="7"/>
  <c r="T1755" i="7"/>
  <c r="T1756" i="7"/>
  <c r="T1757" i="7"/>
  <c r="T1758" i="7"/>
  <c r="T1759" i="7"/>
  <c r="T1760" i="7"/>
  <c r="T1761" i="7"/>
  <c r="T1762" i="7"/>
  <c r="T1763" i="7"/>
  <c r="T1764" i="7"/>
  <c r="T1765" i="7"/>
  <c r="T1766" i="7"/>
  <c r="T1767" i="7"/>
  <c r="T1768" i="7"/>
  <c r="T1769" i="7"/>
  <c r="T1770" i="7"/>
  <c r="T1771" i="7"/>
  <c r="T1772" i="7"/>
  <c r="T1773" i="7"/>
  <c r="T1774" i="7"/>
  <c r="T1775" i="7"/>
  <c r="T1776" i="7"/>
  <c r="T1777" i="7"/>
  <c r="T1778" i="7"/>
  <c r="T1779" i="7"/>
  <c r="T1780" i="7"/>
  <c r="T1781" i="7"/>
  <c r="T1782" i="7"/>
  <c r="T1783" i="7"/>
  <c r="T1784" i="7"/>
  <c r="T1785" i="7"/>
  <c r="T1786" i="7"/>
  <c r="T1787" i="7"/>
  <c r="T1788" i="7"/>
  <c r="T1789" i="7"/>
  <c r="T1790" i="7"/>
  <c r="T1791" i="7"/>
  <c r="T1792" i="7"/>
  <c r="T1793" i="7"/>
  <c r="T1794" i="7"/>
  <c r="T1795" i="7"/>
  <c r="T1796" i="7"/>
  <c r="T1797" i="7"/>
  <c r="T1798" i="7"/>
  <c r="T1799" i="7"/>
  <c r="T1800" i="7"/>
  <c r="T1801" i="7"/>
  <c r="T1802" i="7"/>
  <c r="T1803" i="7"/>
  <c r="T1804" i="7"/>
  <c r="T1805" i="7"/>
  <c r="T1806" i="7"/>
  <c r="T1807" i="7"/>
  <c r="T1808" i="7"/>
  <c r="T1809" i="7"/>
  <c r="T1810" i="7"/>
  <c r="T1811" i="7"/>
  <c r="T1812" i="7"/>
  <c r="T1813" i="7"/>
  <c r="T1814" i="7"/>
  <c r="T1815" i="7"/>
  <c r="T1816" i="7"/>
  <c r="T1817" i="7"/>
  <c r="T1818" i="7"/>
  <c r="T1819" i="7"/>
  <c r="T1820" i="7"/>
  <c r="T1821" i="7"/>
  <c r="T1822" i="7"/>
  <c r="T1823" i="7"/>
  <c r="T1824" i="7"/>
  <c r="T1825" i="7"/>
  <c r="T1826" i="7"/>
  <c r="T1827" i="7"/>
  <c r="T1828" i="7"/>
  <c r="T1829" i="7"/>
  <c r="T1830" i="7"/>
  <c r="T1831" i="7"/>
  <c r="T1832" i="7"/>
  <c r="T1833" i="7"/>
  <c r="T1834" i="7"/>
  <c r="T1835" i="7"/>
  <c r="T1836" i="7"/>
  <c r="T1837" i="7"/>
  <c r="T1838" i="7"/>
  <c r="T1839" i="7"/>
  <c r="T1840" i="7"/>
  <c r="T1841" i="7"/>
  <c r="T1842" i="7"/>
  <c r="T1843" i="7"/>
  <c r="T1844" i="7"/>
  <c r="T1845" i="7"/>
  <c r="T1846" i="7"/>
  <c r="T1847" i="7"/>
  <c r="T1848" i="7"/>
  <c r="T1849" i="7"/>
  <c r="T1850" i="7"/>
  <c r="T1851" i="7"/>
  <c r="T1852" i="7"/>
  <c r="T1853" i="7"/>
  <c r="T1854" i="7"/>
  <c r="T1855" i="7"/>
  <c r="T1856" i="7"/>
  <c r="T1857" i="7"/>
  <c r="T1858" i="7"/>
  <c r="T1859" i="7"/>
  <c r="T1860" i="7"/>
  <c r="T1861" i="7"/>
  <c r="T1862" i="7"/>
  <c r="T1863" i="7"/>
  <c r="T1864" i="7"/>
  <c r="T1865" i="7"/>
  <c r="T1866" i="7"/>
  <c r="T1867" i="7"/>
  <c r="T1868" i="7"/>
  <c r="T1869" i="7"/>
  <c r="T1870" i="7"/>
  <c r="T1871" i="7"/>
  <c r="T1872" i="7"/>
  <c r="T1873" i="7"/>
  <c r="T1874" i="7"/>
  <c r="T1875" i="7"/>
  <c r="T1876" i="7"/>
  <c r="T1877" i="7"/>
  <c r="T1878" i="7"/>
  <c r="T1879" i="7"/>
  <c r="T1880" i="7"/>
  <c r="T1881" i="7"/>
  <c r="T1882" i="7"/>
  <c r="T1883" i="7"/>
  <c r="T1884" i="7"/>
  <c r="T1885" i="7"/>
  <c r="T1886" i="7"/>
  <c r="T1887" i="7"/>
  <c r="T1888" i="7"/>
  <c r="T1889" i="7"/>
  <c r="T1890" i="7"/>
  <c r="T1891" i="7"/>
  <c r="T1892" i="7"/>
  <c r="T1893" i="7"/>
  <c r="T1894" i="7"/>
  <c r="T1895" i="7"/>
  <c r="T1896" i="7"/>
  <c r="T1897" i="7"/>
  <c r="T1898" i="7"/>
  <c r="T1899" i="7"/>
  <c r="T1900" i="7"/>
  <c r="T1901" i="7"/>
  <c r="T1902" i="7"/>
  <c r="T1903" i="7"/>
  <c r="T1904" i="7"/>
  <c r="T1905" i="7"/>
  <c r="T1906" i="7"/>
  <c r="T1907" i="7"/>
  <c r="T1908" i="7"/>
  <c r="T1909" i="7"/>
  <c r="T1910" i="7"/>
  <c r="T1911" i="7"/>
  <c r="T1912" i="7"/>
  <c r="T1913" i="7"/>
  <c r="T1914" i="7"/>
  <c r="T1915" i="7"/>
  <c r="T1916" i="7"/>
  <c r="T1917" i="7"/>
  <c r="T1918" i="7"/>
  <c r="T1919" i="7"/>
  <c r="T1920" i="7"/>
  <c r="T1921" i="7"/>
  <c r="T1922" i="7"/>
  <c r="T1923" i="7"/>
  <c r="T1924" i="7"/>
  <c r="T1925" i="7"/>
  <c r="T1926" i="7"/>
  <c r="T1927" i="7"/>
  <c r="T1928" i="7"/>
  <c r="T1929" i="7"/>
  <c r="T1930" i="7"/>
  <c r="T1931" i="7"/>
  <c r="T1932" i="7"/>
  <c r="T1933" i="7"/>
  <c r="T1934" i="7"/>
  <c r="T1935" i="7"/>
  <c r="T1936" i="7"/>
  <c r="T1937" i="7"/>
  <c r="T1938" i="7"/>
  <c r="T1939" i="7"/>
  <c r="T1940" i="7"/>
  <c r="T1941" i="7"/>
  <c r="T1942" i="7"/>
  <c r="T1943" i="7"/>
  <c r="T1944" i="7"/>
  <c r="T1945" i="7"/>
  <c r="T1946" i="7"/>
  <c r="T1947" i="7"/>
  <c r="T1948" i="7"/>
  <c r="T1949" i="7"/>
  <c r="T1950" i="7"/>
  <c r="T1951" i="7"/>
  <c r="T1952" i="7"/>
  <c r="T1953" i="7"/>
  <c r="T1954" i="7"/>
  <c r="T1955" i="7"/>
  <c r="T1956" i="7"/>
  <c r="T1957" i="7"/>
  <c r="T1958" i="7"/>
  <c r="T1959" i="7"/>
  <c r="T1960" i="7"/>
  <c r="T1961" i="7"/>
  <c r="T1962" i="7"/>
  <c r="T1963" i="7"/>
  <c r="T1964" i="7"/>
  <c r="T1965" i="7"/>
  <c r="T1966" i="7"/>
  <c r="T1967" i="7"/>
  <c r="T1968" i="7"/>
  <c r="T1969" i="7"/>
  <c r="T1970" i="7"/>
  <c r="T1971" i="7"/>
  <c r="T1972" i="7"/>
  <c r="T1973" i="7"/>
  <c r="T1974" i="7"/>
  <c r="T1975" i="7"/>
  <c r="T1976" i="7"/>
  <c r="T1977" i="7"/>
  <c r="T1978" i="7"/>
  <c r="T1979" i="7"/>
  <c r="T1980" i="7"/>
  <c r="T1981" i="7"/>
  <c r="T1982" i="7"/>
  <c r="T1983" i="7"/>
  <c r="T1984" i="7"/>
  <c r="T1985" i="7"/>
  <c r="T1986" i="7"/>
  <c r="T1987" i="7"/>
  <c r="T1988" i="7"/>
  <c r="T1989" i="7"/>
  <c r="T1990" i="7"/>
  <c r="T1991" i="7"/>
  <c r="T1992" i="7"/>
  <c r="T1993" i="7"/>
  <c r="T1994" i="7"/>
  <c r="T1995" i="7"/>
  <c r="T1996" i="7"/>
  <c r="T1997" i="7"/>
  <c r="T1998" i="7"/>
  <c r="T1999" i="7"/>
  <c r="T2000" i="7"/>
  <c r="T2001" i="7"/>
  <c r="T2002" i="7"/>
  <c r="T2003" i="7"/>
  <c r="T2004" i="7"/>
  <c r="T2005" i="7"/>
  <c r="T2006" i="7"/>
  <c r="T2007" i="7"/>
  <c r="T2008" i="7"/>
  <c r="T2009" i="7"/>
  <c r="T2010" i="7"/>
  <c r="T2011" i="7"/>
  <c r="T2012" i="7"/>
  <c r="T2013" i="7"/>
  <c r="T2014" i="7"/>
  <c r="T2015" i="7"/>
  <c r="T2016" i="7"/>
  <c r="T2017" i="7"/>
  <c r="T2018" i="7"/>
  <c r="T2019" i="7"/>
  <c r="T2020" i="7"/>
  <c r="T2021" i="7"/>
  <c r="T2022" i="7"/>
  <c r="T2023" i="7"/>
  <c r="T2024" i="7"/>
  <c r="T2025" i="7"/>
  <c r="T2026" i="7"/>
  <c r="T2027" i="7"/>
  <c r="T2028" i="7"/>
  <c r="T2029" i="7"/>
  <c r="T2030" i="7"/>
  <c r="T2031" i="7"/>
  <c r="T2032" i="7"/>
  <c r="T2033" i="7"/>
  <c r="T2034" i="7"/>
  <c r="T2035" i="7"/>
  <c r="T2036" i="7"/>
  <c r="T2037" i="7"/>
  <c r="T2038" i="7"/>
  <c r="T2039" i="7"/>
  <c r="T2040" i="7"/>
  <c r="T2041" i="7"/>
  <c r="T2042" i="7"/>
  <c r="T2043" i="7"/>
  <c r="T2044" i="7"/>
  <c r="T2045" i="7"/>
  <c r="T2046" i="7"/>
  <c r="T2047" i="7"/>
  <c r="T2048" i="7"/>
  <c r="T2049" i="7"/>
  <c r="T2050" i="7"/>
  <c r="T2051" i="7"/>
  <c r="T2052" i="7"/>
  <c r="T2053" i="7"/>
  <c r="T2054" i="7"/>
  <c r="T2055" i="7"/>
  <c r="T2056" i="7"/>
  <c r="T2057" i="7"/>
  <c r="T2058" i="7"/>
  <c r="T2059" i="7"/>
  <c r="T2060" i="7"/>
  <c r="T2061" i="7"/>
  <c r="T2062" i="7"/>
  <c r="T2063" i="7"/>
  <c r="T2064" i="7"/>
  <c r="T2065" i="7"/>
  <c r="T2066" i="7"/>
  <c r="T2067" i="7"/>
  <c r="T2068" i="7"/>
  <c r="T2069" i="7"/>
  <c r="T2070" i="7"/>
  <c r="T2071" i="7"/>
  <c r="T2072" i="7"/>
  <c r="T2073" i="7"/>
  <c r="T2074" i="7"/>
  <c r="T2075" i="7"/>
  <c r="T2076" i="7"/>
  <c r="T2077" i="7"/>
  <c r="T2078" i="7"/>
  <c r="T2079" i="7"/>
  <c r="T2080" i="7"/>
  <c r="T2081" i="7"/>
  <c r="T2082" i="7"/>
  <c r="T2083" i="7"/>
  <c r="T2084" i="7"/>
  <c r="T2085" i="7"/>
  <c r="T2086" i="7"/>
  <c r="T2087" i="7"/>
  <c r="T2088" i="7"/>
  <c r="T2089" i="7"/>
  <c r="T2090" i="7"/>
  <c r="T2091" i="7"/>
  <c r="T2092" i="7"/>
  <c r="T2093" i="7"/>
  <c r="T2094" i="7"/>
  <c r="T2095" i="7"/>
  <c r="T2096" i="7"/>
  <c r="T2097" i="7"/>
  <c r="T2098" i="7"/>
  <c r="T2099" i="7"/>
  <c r="T2100" i="7"/>
  <c r="T2101" i="7"/>
  <c r="T2102" i="7"/>
  <c r="T2103" i="7"/>
  <c r="T2104" i="7"/>
  <c r="T2105" i="7"/>
  <c r="T2106" i="7"/>
  <c r="T2107" i="7"/>
  <c r="T2108" i="7"/>
  <c r="T2109" i="7"/>
  <c r="T2110" i="7"/>
  <c r="T2111" i="7"/>
  <c r="T2112" i="7"/>
  <c r="T2113" i="7"/>
  <c r="T2114" i="7"/>
  <c r="T2115" i="7"/>
  <c r="T2116" i="7"/>
  <c r="T2117" i="7"/>
  <c r="T2118" i="7"/>
  <c r="T2119" i="7"/>
  <c r="T2120" i="7"/>
  <c r="T2121" i="7"/>
  <c r="T2122" i="7"/>
  <c r="T2123" i="7"/>
  <c r="T2124" i="7"/>
  <c r="T2125" i="7"/>
  <c r="T2126" i="7"/>
  <c r="T2127" i="7"/>
  <c r="T2128" i="7"/>
  <c r="T2129" i="7"/>
  <c r="T2130" i="7"/>
  <c r="T2131" i="7"/>
  <c r="T2132" i="7"/>
  <c r="T2133" i="7"/>
  <c r="T2134" i="7"/>
  <c r="T2135" i="7"/>
  <c r="T2136" i="7"/>
  <c r="T2137" i="7"/>
  <c r="T2138" i="7"/>
  <c r="T2139" i="7"/>
  <c r="T2140" i="7"/>
  <c r="T2141" i="7"/>
  <c r="T2142" i="7"/>
  <c r="T2143" i="7"/>
  <c r="T2144" i="7"/>
  <c r="T2145" i="7"/>
  <c r="T2146" i="7"/>
  <c r="T2147" i="7"/>
  <c r="T2148" i="7"/>
  <c r="T2149" i="7"/>
  <c r="T2150" i="7"/>
  <c r="T2151" i="7"/>
  <c r="T2152" i="7"/>
  <c r="T2153" i="7"/>
  <c r="T2154" i="7"/>
  <c r="T2155" i="7"/>
  <c r="T2156" i="7"/>
  <c r="T2157" i="7"/>
  <c r="T2158" i="7"/>
  <c r="T2159" i="7"/>
  <c r="T2160" i="7"/>
  <c r="T2161" i="7"/>
  <c r="T2162" i="7"/>
  <c r="T2163" i="7"/>
  <c r="T2164" i="7"/>
  <c r="T2165" i="7"/>
  <c r="T2166" i="7"/>
  <c r="T2167" i="7"/>
  <c r="T2168" i="7"/>
  <c r="T2169" i="7"/>
  <c r="T2170" i="7"/>
  <c r="T2171" i="7"/>
  <c r="T2172" i="7"/>
  <c r="T2173" i="7"/>
  <c r="T2174" i="7"/>
  <c r="T2175" i="7"/>
  <c r="T2176" i="7"/>
  <c r="T2177" i="7"/>
  <c r="T2178" i="7"/>
  <c r="T2179" i="7"/>
  <c r="T2180" i="7"/>
  <c r="T2181" i="7"/>
  <c r="T2182" i="7"/>
  <c r="T2183" i="7"/>
  <c r="T2184" i="7"/>
  <c r="T2185" i="7"/>
  <c r="T2186" i="7"/>
  <c r="T2187" i="7"/>
  <c r="T2188" i="7"/>
  <c r="T2189" i="7"/>
  <c r="T2190" i="7"/>
  <c r="T2191" i="7"/>
  <c r="T2192" i="7"/>
  <c r="T2193" i="7"/>
  <c r="T2194" i="7"/>
  <c r="T2195" i="7"/>
  <c r="T2196" i="7"/>
  <c r="T2197" i="7"/>
  <c r="T2198" i="7"/>
  <c r="T2199" i="7"/>
  <c r="T2200" i="7"/>
  <c r="T2201" i="7"/>
  <c r="T2202" i="7"/>
  <c r="T2203" i="7"/>
  <c r="T2204" i="7"/>
  <c r="T2205" i="7"/>
  <c r="T2206" i="7"/>
  <c r="T2207" i="7"/>
  <c r="T2208" i="7"/>
  <c r="T2209" i="7"/>
  <c r="T2210" i="7"/>
  <c r="T2211" i="7"/>
  <c r="T2212" i="7"/>
  <c r="T2213" i="7"/>
  <c r="T2214" i="7"/>
  <c r="T2215" i="7"/>
  <c r="T2216" i="7"/>
  <c r="T2217" i="7"/>
  <c r="T2218" i="7"/>
  <c r="T2219" i="7"/>
  <c r="T2220" i="7"/>
  <c r="T2221" i="7"/>
  <c r="T2222" i="7"/>
  <c r="T2223" i="7"/>
  <c r="T2224" i="7"/>
  <c r="T2225" i="7"/>
  <c r="T2226" i="7"/>
  <c r="T2227" i="7"/>
  <c r="T2228" i="7"/>
  <c r="T2229" i="7"/>
  <c r="T2230" i="7"/>
  <c r="T2231" i="7"/>
  <c r="T2232" i="7"/>
  <c r="T2233" i="7"/>
  <c r="T2234" i="7"/>
  <c r="T2235" i="7"/>
  <c r="T2236" i="7"/>
  <c r="T2237" i="7"/>
  <c r="T2238" i="7"/>
  <c r="T2239" i="7"/>
  <c r="T2240" i="7"/>
  <c r="T2241" i="7"/>
  <c r="T2242" i="7"/>
  <c r="T2243" i="7"/>
  <c r="T2244" i="7"/>
  <c r="T2245" i="7"/>
  <c r="T2246" i="7"/>
  <c r="T2247" i="7"/>
  <c r="T2248" i="7"/>
  <c r="T2249" i="7"/>
  <c r="T2250" i="7"/>
  <c r="T2251" i="7"/>
  <c r="T2252" i="7"/>
  <c r="T2253" i="7"/>
  <c r="T2254" i="7"/>
  <c r="T2255" i="7"/>
  <c r="T2256" i="7"/>
  <c r="T2257" i="7"/>
  <c r="T2258" i="7"/>
  <c r="T2259" i="7"/>
  <c r="T2260" i="7"/>
  <c r="T2261" i="7"/>
  <c r="T2262" i="7"/>
  <c r="T2263" i="7"/>
  <c r="T2264" i="7"/>
  <c r="T2265" i="7"/>
  <c r="T2266" i="7"/>
  <c r="T2267" i="7"/>
  <c r="T2268" i="7"/>
  <c r="T2269" i="7"/>
  <c r="T2270" i="7"/>
  <c r="T2271" i="7"/>
  <c r="T2272" i="7"/>
  <c r="T2273" i="7"/>
  <c r="T2274" i="7"/>
  <c r="T2275" i="7"/>
  <c r="T2276" i="7"/>
  <c r="T2277" i="7"/>
  <c r="T2278" i="7"/>
  <c r="T2279" i="7"/>
  <c r="T2280" i="7"/>
  <c r="T2281" i="7"/>
  <c r="T2282" i="7"/>
  <c r="T2283" i="7"/>
  <c r="T2284" i="7"/>
  <c r="T2285" i="7"/>
  <c r="T2286" i="7"/>
  <c r="T2287" i="7"/>
  <c r="T2288" i="7"/>
  <c r="T2289" i="7"/>
  <c r="T2290" i="7"/>
  <c r="T2291" i="7"/>
  <c r="T2292" i="7"/>
  <c r="T2293" i="7"/>
  <c r="T2294" i="7"/>
  <c r="T2295" i="7"/>
  <c r="T2296" i="7"/>
  <c r="T2297" i="7"/>
  <c r="T2298" i="7"/>
  <c r="T2299" i="7"/>
  <c r="T2300" i="7"/>
  <c r="T2301" i="7"/>
  <c r="T2302" i="7"/>
  <c r="T2303" i="7"/>
  <c r="T2304" i="7"/>
  <c r="T2305" i="7"/>
  <c r="T2306" i="7"/>
  <c r="T2307" i="7"/>
  <c r="T2308" i="7"/>
  <c r="T2309" i="7"/>
  <c r="T2310" i="7"/>
  <c r="T2311" i="7"/>
  <c r="T2312" i="7"/>
  <c r="T2313" i="7"/>
  <c r="T2314" i="7"/>
  <c r="T2315" i="7"/>
  <c r="T2316" i="7"/>
  <c r="T2317" i="7"/>
  <c r="T2318" i="7"/>
  <c r="T2319" i="7"/>
  <c r="T2320" i="7"/>
  <c r="T2321" i="7"/>
  <c r="T2322" i="7"/>
  <c r="T2323" i="7"/>
  <c r="T2324" i="7"/>
  <c r="T2325" i="7"/>
  <c r="T2326" i="7"/>
  <c r="T2327" i="7"/>
  <c r="T2328" i="7"/>
  <c r="T2329" i="7"/>
  <c r="T2330" i="7"/>
  <c r="T2331" i="7"/>
  <c r="T2332" i="7"/>
  <c r="T2333" i="7"/>
  <c r="T2334" i="7"/>
  <c r="T2335" i="7"/>
  <c r="T2336" i="7"/>
  <c r="T2337" i="7"/>
  <c r="T2338" i="7"/>
  <c r="T2339" i="7"/>
  <c r="T2340" i="7"/>
  <c r="T2341" i="7"/>
  <c r="T2342" i="7"/>
  <c r="T2343" i="7"/>
  <c r="T2344" i="7"/>
  <c r="T2345" i="7"/>
  <c r="T2346" i="7"/>
  <c r="T2347" i="7"/>
  <c r="T2348" i="7"/>
  <c r="T2349" i="7"/>
  <c r="T2350" i="7"/>
  <c r="T2351" i="7"/>
  <c r="T2352" i="7"/>
  <c r="T2353" i="7"/>
  <c r="T2354" i="7"/>
  <c r="T2355" i="7"/>
  <c r="T2356" i="7"/>
  <c r="T2357" i="7"/>
  <c r="T2358" i="7"/>
  <c r="T2359" i="7"/>
  <c r="T2360" i="7"/>
  <c r="T2361" i="7"/>
  <c r="T2362" i="7"/>
  <c r="T2363" i="7"/>
  <c r="T2364" i="7"/>
  <c r="T2365" i="7"/>
  <c r="T2366" i="7"/>
  <c r="T2367" i="7"/>
  <c r="T2368" i="7"/>
  <c r="T2369" i="7"/>
  <c r="T2370" i="7"/>
  <c r="T2371" i="7"/>
  <c r="T2372" i="7"/>
  <c r="T2373" i="7"/>
  <c r="T2374" i="7"/>
  <c r="T2375" i="7"/>
  <c r="T2376" i="7"/>
  <c r="T2377" i="7"/>
  <c r="T2378" i="7"/>
  <c r="T2379" i="7"/>
  <c r="T2380" i="7"/>
  <c r="T2381" i="7"/>
  <c r="T2382" i="7"/>
  <c r="T2383" i="7"/>
  <c r="T2384" i="7"/>
  <c r="T2385" i="7"/>
  <c r="T2386" i="7"/>
  <c r="T2387" i="7"/>
  <c r="T2388" i="7"/>
  <c r="T2389" i="7"/>
  <c r="T2390" i="7"/>
  <c r="T2391" i="7"/>
  <c r="T2392" i="7"/>
  <c r="T2393" i="7"/>
  <c r="T2394" i="7"/>
  <c r="T2395" i="7"/>
  <c r="T2396" i="7"/>
  <c r="T2397" i="7"/>
  <c r="T2398" i="7"/>
  <c r="T2399" i="7"/>
  <c r="T2400" i="7"/>
  <c r="T2401" i="7"/>
  <c r="T2402" i="7"/>
  <c r="T2403" i="7"/>
  <c r="T2404" i="7"/>
  <c r="T2405" i="7"/>
  <c r="T2406" i="7"/>
  <c r="T2407" i="7"/>
  <c r="T2408" i="7"/>
  <c r="T2409" i="7"/>
  <c r="T2410" i="7"/>
  <c r="T2411" i="7"/>
  <c r="T2412" i="7"/>
  <c r="T2413" i="7"/>
  <c r="T2414" i="7"/>
  <c r="T2415" i="7"/>
  <c r="T2416" i="7"/>
  <c r="T2417" i="7"/>
  <c r="T2418" i="7"/>
  <c r="T2419" i="7"/>
  <c r="T2420" i="7"/>
  <c r="T2421" i="7"/>
  <c r="T2422" i="7"/>
  <c r="T2423" i="7"/>
  <c r="T2424" i="7"/>
  <c r="T2425" i="7"/>
  <c r="T2426" i="7"/>
  <c r="T2427" i="7"/>
  <c r="T2428" i="7"/>
  <c r="T2429" i="7"/>
  <c r="T2430" i="7"/>
  <c r="T2431" i="7"/>
  <c r="T2432" i="7"/>
  <c r="T2433" i="7"/>
  <c r="T2434" i="7"/>
  <c r="T2435" i="7"/>
  <c r="T2436" i="7"/>
  <c r="T2437" i="7"/>
  <c r="T2438" i="7"/>
  <c r="T2439" i="7"/>
  <c r="T2440" i="7"/>
  <c r="T2441" i="7"/>
  <c r="T2442" i="7"/>
  <c r="T2443" i="7"/>
  <c r="T2444" i="7"/>
  <c r="T2445" i="7"/>
  <c r="T2446" i="7"/>
  <c r="T2447" i="7"/>
  <c r="T2448" i="7"/>
  <c r="T2449" i="7"/>
  <c r="T2450" i="7"/>
  <c r="T2451" i="7"/>
  <c r="T2452" i="7"/>
  <c r="T2453" i="7"/>
  <c r="T2454" i="7"/>
  <c r="T2455" i="7"/>
  <c r="T2456" i="7"/>
  <c r="T2457" i="7"/>
  <c r="T2458" i="7"/>
  <c r="T2459" i="7"/>
  <c r="T2460" i="7"/>
  <c r="T2461" i="7"/>
  <c r="T2462" i="7"/>
  <c r="T2463" i="7"/>
  <c r="T2464" i="7"/>
  <c r="T2465" i="7"/>
  <c r="T2466" i="7"/>
  <c r="T2467" i="7"/>
  <c r="T2468" i="7"/>
  <c r="T2469" i="7"/>
  <c r="T2470" i="7"/>
  <c r="T2471" i="7"/>
  <c r="T2472" i="7"/>
  <c r="T2473" i="7"/>
  <c r="T2474" i="7"/>
  <c r="T2475" i="7"/>
  <c r="T2476" i="7"/>
  <c r="T2477" i="7"/>
  <c r="T2478" i="7"/>
  <c r="T2479" i="7"/>
  <c r="T2480" i="7"/>
  <c r="T2481" i="7"/>
  <c r="T2482" i="7"/>
  <c r="T2483" i="7"/>
  <c r="T2484" i="7"/>
  <c r="T2485" i="7"/>
  <c r="T2486" i="7"/>
  <c r="T2487" i="7"/>
  <c r="T2488" i="7"/>
  <c r="T2489" i="7"/>
  <c r="T2490" i="7"/>
  <c r="T2491" i="7"/>
  <c r="T2492" i="7"/>
  <c r="T2493" i="7"/>
  <c r="T2494" i="7"/>
  <c r="T2495" i="7"/>
  <c r="T2496" i="7"/>
  <c r="T2497" i="7"/>
  <c r="T2498" i="7"/>
  <c r="T2499" i="7"/>
  <c r="T2500" i="7"/>
  <c r="T2501" i="7"/>
  <c r="T2502" i="7"/>
  <c r="T2503" i="7"/>
  <c r="T2504" i="7"/>
  <c r="T2505" i="7"/>
  <c r="T2506" i="7"/>
  <c r="T2507" i="7"/>
  <c r="T2508" i="7"/>
  <c r="T2509" i="7"/>
  <c r="T2510" i="7"/>
  <c r="T2511" i="7"/>
  <c r="T2512" i="7"/>
  <c r="T2513" i="7"/>
  <c r="T2514" i="7"/>
  <c r="T2515" i="7"/>
  <c r="T2516" i="7"/>
  <c r="T2517" i="7"/>
  <c r="T2518" i="7"/>
  <c r="T2519" i="7"/>
  <c r="T2520" i="7"/>
  <c r="T2521" i="7"/>
  <c r="T2522" i="7"/>
  <c r="T2523" i="7"/>
  <c r="T2524" i="7"/>
  <c r="T2525" i="7"/>
  <c r="T2526" i="7"/>
  <c r="T2527" i="7"/>
  <c r="T2528" i="7"/>
  <c r="T2529" i="7"/>
  <c r="T2530" i="7"/>
  <c r="T2531" i="7"/>
  <c r="T2532" i="7"/>
  <c r="T2533" i="7"/>
  <c r="T2534" i="7"/>
  <c r="T2535" i="7"/>
  <c r="T2536" i="7"/>
  <c r="T2537" i="7"/>
  <c r="T2538" i="7"/>
  <c r="T2539" i="7"/>
  <c r="T2540" i="7"/>
  <c r="T2541" i="7"/>
  <c r="T2542" i="7"/>
  <c r="T2543" i="7"/>
  <c r="T2544" i="7"/>
  <c r="T2545" i="7"/>
  <c r="T2546" i="7"/>
  <c r="T2547" i="7"/>
  <c r="T2548" i="7"/>
  <c r="T2549" i="7"/>
  <c r="T2550" i="7"/>
  <c r="T2551" i="7"/>
  <c r="T2552" i="7"/>
  <c r="T2553" i="7"/>
  <c r="T2554" i="7"/>
  <c r="T2555" i="7"/>
  <c r="T2556" i="7"/>
  <c r="T2557" i="7"/>
  <c r="T2558" i="7"/>
  <c r="T2559" i="7"/>
  <c r="T2560" i="7"/>
  <c r="T2561" i="7"/>
  <c r="T2562" i="7"/>
  <c r="T2563" i="7"/>
  <c r="T2564" i="7"/>
  <c r="T2565" i="7"/>
  <c r="T2566" i="7"/>
  <c r="T2567" i="7"/>
  <c r="T2568" i="7"/>
  <c r="T2569" i="7"/>
  <c r="T2570" i="7"/>
  <c r="T2571" i="7"/>
  <c r="T2572" i="7"/>
  <c r="T2573" i="7"/>
  <c r="T2574" i="7"/>
  <c r="T2575" i="7"/>
  <c r="T2576" i="7"/>
  <c r="T2577" i="7"/>
  <c r="T2578" i="7"/>
  <c r="T2579" i="7"/>
  <c r="T2580" i="7"/>
  <c r="T2581" i="7"/>
  <c r="T2582" i="7"/>
  <c r="T2583" i="7"/>
  <c r="T2584" i="7"/>
  <c r="T2585" i="7"/>
  <c r="T2586" i="7"/>
  <c r="T2587" i="7"/>
  <c r="T2588" i="7"/>
  <c r="T2589" i="7"/>
  <c r="T2590" i="7"/>
  <c r="T2591" i="7"/>
  <c r="T2592" i="7"/>
  <c r="T2593" i="7"/>
  <c r="T2594" i="7"/>
  <c r="T2595" i="7"/>
  <c r="T2596" i="7"/>
  <c r="T2597" i="7"/>
  <c r="T2598" i="7"/>
  <c r="T2599" i="7"/>
  <c r="T2600" i="7"/>
  <c r="T2601" i="7"/>
  <c r="T2602" i="7"/>
  <c r="T2603" i="7"/>
  <c r="T2604" i="7"/>
  <c r="T2605" i="7"/>
  <c r="T2606" i="7"/>
  <c r="T2607" i="7"/>
  <c r="T2608" i="7"/>
  <c r="T2609" i="7"/>
  <c r="T2610" i="7"/>
  <c r="T2611" i="7"/>
  <c r="T2612" i="7"/>
  <c r="T2613" i="7"/>
  <c r="T2614" i="7"/>
  <c r="T2615" i="7"/>
  <c r="T2616" i="7"/>
  <c r="T2617" i="7"/>
  <c r="T2618" i="7"/>
  <c r="T2619" i="7"/>
  <c r="T2620" i="7"/>
  <c r="T2621" i="7"/>
  <c r="T2622" i="7"/>
  <c r="T2623" i="7"/>
  <c r="T2624" i="7"/>
  <c r="T2625" i="7"/>
  <c r="T2626" i="7"/>
  <c r="T2627" i="7"/>
  <c r="T2628" i="7"/>
  <c r="T2629" i="7"/>
  <c r="T2630" i="7"/>
  <c r="T2631" i="7"/>
  <c r="T2632" i="7"/>
  <c r="T2633" i="7"/>
  <c r="T2634" i="7"/>
  <c r="T2635" i="7"/>
  <c r="T2636" i="7"/>
  <c r="T2637" i="7"/>
  <c r="T2638" i="7"/>
  <c r="T2639" i="7"/>
  <c r="T2640" i="7"/>
  <c r="T2641" i="7"/>
  <c r="T2642" i="7"/>
  <c r="T2643" i="7"/>
  <c r="T2644" i="7"/>
  <c r="T2645" i="7"/>
  <c r="T2646" i="7"/>
  <c r="T2647" i="7"/>
  <c r="T2648" i="7"/>
  <c r="T2649" i="7"/>
  <c r="T2650" i="7"/>
  <c r="T2651" i="7"/>
  <c r="T2652" i="7"/>
  <c r="T2653" i="7"/>
  <c r="T2654" i="7"/>
  <c r="T2655" i="7"/>
  <c r="T2656" i="7"/>
  <c r="T2657" i="7"/>
  <c r="T2658" i="7"/>
  <c r="T2659" i="7"/>
  <c r="T2660" i="7"/>
  <c r="T2661" i="7"/>
  <c r="T2662" i="7"/>
  <c r="T2663" i="7"/>
  <c r="T2664" i="7"/>
  <c r="T2665" i="7"/>
  <c r="T2666" i="7"/>
  <c r="T2667" i="7"/>
  <c r="T2668" i="7"/>
  <c r="T2669" i="7"/>
  <c r="T2670" i="7"/>
  <c r="T2671" i="7"/>
  <c r="T2672" i="7"/>
  <c r="T2673" i="7"/>
  <c r="T2674" i="7"/>
  <c r="T2675" i="7"/>
  <c r="T2676" i="7"/>
  <c r="T2677" i="7"/>
  <c r="T2678" i="7"/>
  <c r="T2679" i="7"/>
  <c r="T2680" i="7"/>
  <c r="T2681" i="7"/>
  <c r="T2682" i="7"/>
  <c r="T2683" i="7"/>
  <c r="T2684" i="7"/>
  <c r="T2685" i="7"/>
  <c r="T2686" i="7"/>
  <c r="T2687" i="7"/>
  <c r="T2688" i="7"/>
  <c r="T2689" i="7"/>
  <c r="T2690" i="7"/>
  <c r="T2691" i="7"/>
  <c r="T2692" i="7"/>
  <c r="T2693" i="7"/>
  <c r="T2694" i="7"/>
  <c r="T2695" i="7"/>
  <c r="T2696" i="7"/>
  <c r="T2697" i="7"/>
  <c r="T2698" i="7"/>
  <c r="T2699" i="7"/>
  <c r="T2700" i="7"/>
  <c r="T2701" i="7"/>
  <c r="T2702" i="7"/>
  <c r="T2703" i="7"/>
  <c r="T2704" i="7"/>
  <c r="T2705" i="7"/>
  <c r="T2706" i="7"/>
  <c r="T2707" i="7"/>
  <c r="T2708" i="7"/>
  <c r="T2709" i="7"/>
  <c r="T2710" i="7"/>
  <c r="T2711" i="7"/>
  <c r="T2712" i="7"/>
  <c r="T2713" i="7"/>
  <c r="T2714" i="7"/>
  <c r="T2715" i="7"/>
  <c r="T2716" i="7"/>
  <c r="T2717" i="7"/>
  <c r="T2718" i="7"/>
  <c r="T2719" i="7"/>
  <c r="T2720" i="7"/>
  <c r="T2721" i="7"/>
  <c r="T2722" i="7"/>
  <c r="T2723" i="7"/>
  <c r="T2724" i="7"/>
  <c r="T2725" i="7"/>
  <c r="T2726" i="7"/>
  <c r="T2727" i="7"/>
  <c r="T2728" i="7"/>
  <c r="T2729" i="7"/>
  <c r="T2730" i="7"/>
  <c r="T2731" i="7"/>
  <c r="T2732" i="7"/>
  <c r="T2733" i="7"/>
  <c r="T2734" i="7"/>
  <c r="T2735" i="7"/>
  <c r="T2736" i="7"/>
  <c r="T2737" i="7"/>
  <c r="T2738" i="7"/>
  <c r="T2739" i="7"/>
  <c r="T2740" i="7"/>
  <c r="T2741" i="7"/>
  <c r="T2742" i="7"/>
  <c r="T2743" i="7"/>
  <c r="T2744" i="7"/>
  <c r="T2745" i="7"/>
  <c r="T2746" i="7"/>
  <c r="T2747" i="7"/>
  <c r="T2748" i="7"/>
  <c r="T2749" i="7"/>
  <c r="T2750" i="7"/>
  <c r="T2751" i="7"/>
  <c r="T2752" i="7"/>
  <c r="T2753" i="7"/>
  <c r="T2754" i="7"/>
  <c r="T2755" i="7"/>
  <c r="T2756" i="7"/>
  <c r="T2757" i="7"/>
  <c r="T2758" i="7"/>
  <c r="T2759" i="7"/>
  <c r="T2760" i="7"/>
  <c r="T2761" i="7"/>
  <c r="T2762" i="7"/>
  <c r="T2763" i="7"/>
  <c r="T2764" i="7"/>
  <c r="T2765" i="7"/>
  <c r="T2766" i="7"/>
  <c r="T2767" i="7"/>
  <c r="T2768" i="7"/>
  <c r="T2769" i="7"/>
  <c r="T2770" i="7"/>
  <c r="T2771" i="7"/>
  <c r="T2772" i="7"/>
  <c r="T2773" i="7"/>
  <c r="T2774" i="7"/>
  <c r="T2775" i="7"/>
  <c r="T2776" i="7"/>
  <c r="T2777" i="7"/>
  <c r="T2778" i="7"/>
  <c r="T2779" i="7"/>
  <c r="T2780" i="7"/>
  <c r="T2781" i="7"/>
  <c r="T2782" i="7"/>
  <c r="T2783" i="7"/>
  <c r="T2784" i="7"/>
  <c r="T2785" i="7"/>
  <c r="T2786" i="7"/>
  <c r="T2787" i="7"/>
  <c r="T2788" i="7"/>
  <c r="T2789" i="7"/>
  <c r="T2790" i="7"/>
  <c r="T2791" i="7"/>
  <c r="T2792" i="7"/>
  <c r="T2793" i="7"/>
  <c r="T2794" i="7"/>
  <c r="T2795" i="7"/>
  <c r="T2796" i="7"/>
  <c r="T2797" i="7"/>
  <c r="T2798" i="7"/>
  <c r="T2799" i="7"/>
  <c r="T2800" i="7"/>
  <c r="T2801" i="7"/>
  <c r="T2802" i="7"/>
  <c r="T2803" i="7"/>
  <c r="T2804" i="7"/>
  <c r="T2805" i="7"/>
  <c r="T2806" i="7"/>
  <c r="T2807" i="7"/>
  <c r="T2808" i="7"/>
  <c r="T2809" i="7"/>
  <c r="T2810" i="7"/>
  <c r="T2811" i="7"/>
  <c r="T2812" i="7"/>
  <c r="T2813" i="7"/>
  <c r="T2814" i="7"/>
  <c r="T2815" i="7"/>
  <c r="T2816" i="7"/>
  <c r="T2817" i="7"/>
  <c r="T2818" i="7"/>
  <c r="T2819" i="7"/>
  <c r="T2820" i="7"/>
  <c r="T2821" i="7"/>
  <c r="T2822" i="7"/>
  <c r="T2823" i="7"/>
  <c r="T2824" i="7"/>
  <c r="T2825" i="7"/>
  <c r="T2826" i="7"/>
  <c r="T2827" i="7"/>
  <c r="T2828" i="7"/>
  <c r="T2829" i="7"/>
  <c r="T2830" i="7"/>
  <c r="T2831" i="7"/>
  <c r="T2832" i="7"/>
  <c r="T2833" i="7"/>
  <c r="T2834" i="7"/>
  <c r="T2835" i="7"/>
  <c r="T2836" i="7"/>
  <c r="T2837" i="7"/>
  <c r="T2838" i="7"/>
  <c r="T2839" i="7"/>
  <c r="T2840" i="7"/>
  <c r="T2841" i="7"/>
  <c r="T2842" i="7"/>
  <c r="T2843" i="7"/>
  <c r="T2844" i="7"/>
  <c r="T2845" i="7"/>
  <c r="T2846" i="7"/>
  <c r="T2847" i="7"/>
  <c r="T2848" i="7"/>
  <c r="T2849" i="7"/>
  <c r="T2850" i="7"/>
  <c r="T2851" i="7"/>
  <c r="T2852" i="7"/>
  <c r="T2853" i="7"/>
  <c r="T2854" i="7"/>
  <c r="T2855" i="7"/>
  <c r="T2856" i="7"/>
  <c r="T2857" i="7"/>
  <c r="T2858" i="7"/>
  <c r="T2859" i="7"/>
  <c r="T2860" i="7"/>
  <c r="T2861" i="7"/>
  <c r="T2862" i="7"/>
  <c r="T2863" i="7"/>
  <c r="T2864" i="7"/>
  <c r="T2865" i="7"/>
  <c r="T2866" i="7"/>
  <c r="T2867" i="7"/>
  <c r="T2868" i="7"/>
  <c r="T2869" i="7"/>
  <c r="T2870" i="7"/>
  <c r="T2871" i="7"/>
  <c r="T2872" i="7"/>
  <c r="T2873" i="7"/>
  <c r="T2874" i="7"/>
  <c r="T2875" i="7"/>
  <c r="T2876" i="7"/>
  <c r="T2877" i="7"/>
  <c r="T2878" i="7"/>
  <c r="T2879" i="7"/>
  <c r="T2880" i="7"/>
  <c r="T2881" i="7"/>
  <c r="T2882" i="7"/>
  <c r="T2883" i="7"/>
  <c r="T2884" i="7"/>
  <c r="T2885" i="7"/>
  <c r="T2886" i="7"/>
  <c r="T2887" i="7"/>
  <c r="T2888" i="7"/>
  <c r="T2889" i="7"/>
  <c r="T2890" i="7"/>
  <c r="T2891" i="7"/>
  <c r="T2892" i="7"/>
  <c r="T2893" i="7"/>
  <c r="T2894" i="7"/>
  <c r="T2895" i="7"/>
  <c r="T2896" i="7"/>
  <c r="T2897" i="7"/>
  <c r="T2898" i="7"/>
  <c r="T2899" i="7"/>
  <c r="T2900" i="7"/>
  <c r="T2901" i="7"/>
  <c r="T2902" i="7"/>
  <c r="T2903" i="7"/>
  <c r="T2904" i="7"/>
  <c r="T2905" i="7"/>
  <c r="T2906" i="7"/>
  <c r="T2907" i="7"/>
  <c r="T2908" i="7"/>
  <c r="T2909" i="7"/>
  <c r="T2910" i="7"/>
  <c r="T2911" i="7"/>
  <c r="T2912" i="7"/>
  <c r="T2913" i="7"/>
  <c r="T2914" i="7"/>
  <c r="T2915" i="7"/>
  <c r="T2916" i="7"/>
  <c r="T2917" i="7"/>
  <c r="T2918" i="7"/>
  <c r="T2919" i="7"/>
  <c r="T2920" i="7"/>
  <c r="T2921" i="7"/>
  <c r="T2922" i="7"/>
  <c r="T2923" i="7"/>
  <c r="T2924" i="7"/>
  <c r="T2925" i="7"/>
  <c r="T2926" i="7"/>
  <c r="T2927" i="7"/>
  <c r="T2928" i="7"/>
  <c r="T2929" i="7"/>
  <c r="T2930" i="7"/>
  <c r="T2931" i="7"/>
  <c r="T2932" i="7"/>
  <c r="T2933" i="7"/>
  <c r="T2934" i="7"/>
  <c r="T2935" i="7"/>
  <c r="T2936" i="7"/>
  <c r="T2937" i="7"/>
  <c r="T2938" i="7"/>
  <c r="T2939" i="7"/>
  <c r="T2940" i="7"/>
  <c r="T2941" i="7"/>
  <c r="T2942" i="7"/>
  <c r="T2943" i="7"/>
  <c r="T2944" i="7"/>
  <c r="T2945" i="7"/>
  <c r="T2946" i="7"/>
  <c r="T2947" i="7"/>
  <c r="T2948" i="7"/>
  <c r="T2949" i="7"/>
  <c r="T2950" i="7"/>
  <c r="T2951" i="7"/>
  <c r="T2952" i="7"/>
  <c r="T2953" i="7"/>
  <c r="T2954" i="7"/>
  <c r="T2955" i="7"/>
  <c r="T2956" i="7"/>
  <c r="T2957" i="7"/>
  <c r="T2958" i="7"/>
  <c r="T2959" i="7"/>
  <c r="T2960" i="7"/>
  <c r="T2961" i="7"/>
  <c r="T2962" i="7"/>
  <c r="T2963" i="7"/>
  <c r="T2964" i="7"/>
  <c r="T2965" i="7"/>
  <c r="T2966" i="7"/>
  <c r="T2967" i="7"/>
  <c r="T2968" i="7"/>
  <c r="T2969" i="7"/>
  <c r="T2970" i="7"/>
  <c r="T2971" i="7"/>
  <c r="T2972" i="7"/>
  <c r="T2973" i="7"/>
  <c r="T2974" i="7"/>
  <c r="T2975" i="7"/>
  <c r="T2976" i="7"/>
  <c r="T2977" i="7"/>
  <c r="T2978" i="7"/>
  <c r="T2979" i="7"/>
  <c r="T2980" i="7"/>
  <c r="T2981" i="7"/>
  <c r="T2982" i="7"/>
  <c r="T2983" i="7"/>
  <c r="T2984" i="7"/>
  <c r="T2985" i="7"/>
  <c r="T2986" i="7"/>
  <c r="T2987" i="7"/>
  <c r="T2988" i="7"/>
  <c r="T2989" i="7"/>
  <c r="T2990" i="7"/>
  <c r="T2991" i="7"/>
  <c r="T2992" i="7"/>
  <c r="T2993" i="7"/>
  <c r="T2994" i="7"/>
  <c r="T2995" i="7"/>
  <c r="T2996" i="7"/>
  <c r="T2997" i="7"/>
  <c r="T2998" i="7"/>
  <c r="T2999" i="7"/>
  <c r="T3000" i="7"/>
  <c r="T3001" i="7"/>
  <c r="T3002" i="7"/>
  <c r="T3003" i="7"/>
  <c r="T3004" i="7"/>
  <c r="T3005" i="7"/>
  <c r="T3006" i="7"/>
  <c r="T3007" i="7"/>
  <c r="T3008" i="7"/>
  <c r="T3009" i="7"/>
  <c r="T3010" i="7"/>
  <c r="T3011" i="7"/>
  <c r="T3012" i="7"/>
  <c r="T3013" i="7"/>
  <c r="T3014" i="7"/>
  <c r="T3015" i="7"/>
  <c r="T3016" i="7"/>
  <c r="T3017" i="7"/>
  <c r="T3018" i="7"/>
  <c r="T3019" i="7"/>
  <c r="T3020" i="7"/>
  <c r="T3021" i="7"/>
  <c r="T3022" i="7"/>
  <c r="T3023" i="7"/>
  <c r="T3024" i="7"/>
  <c r="T3025" i="7"/>
  <c r="T3026" i="7"/>
  <c r="T3027" i="7"/>
  <c r="T3028" i="7"/>
  <c r="T3029" i="7"/>
  <c r="T3030" i="7"/>
  <c r="T3031" i="7"/>
  <c r="T3032" i="7"/>
  <c r="T3033" i="7"/>
  <c r="T3034" i="7"/>
  <c r="T3035" i="7"/>
  <c r="T3036" i="7"/>
  <c r="T3037" i="7"/>
  <c r="T3038" i="7"/>
  <c r="T3039" i="7"/>
  <c r="T3040" i="7"/>
  <c r="T3041" i="7"/>
  <c r="T3042" i="7"/>
  <c r="T3043" i="7"/>
  <c r="T3044" i="7"/>
  <c r="T3045" i="7"/>
  <c r="T3046" i="7"/>
  <c r="T3047" i="7"/>
  <c r="T3048" i="7"/>
  <c r="T3049" i="7"/>
  <c r="T3050" i="7"/>
  <c r="T3051" i="7"/>
  <c r="T3052" i="7"/>
  <c r="T3053" i="7"/>
  <c r="T3054" i="7"/>
  <c r="T3055" i="7"/>
  <c r="T3056" i="7"/>
  <c r="T3057" i="7"/>
  <c r="T3058" i="7"/>
  <c r="T3059" i="7"/>
  <c r="T3060" i="7"/>
  <c r="T3061" i="7"/>
  <c r="T3062" i="7"/>
  <c r="T3063" i="7"/>
  <c r="T3064" i="7"/>
  <c r="T3065" i="7"/>
  <c r="T3066" i="7"/>
  <c r="T3067" i="7"/>
  <c r="T3068" i="7"/>
  <c r="T3069" i="7"/>
  <c r="T3070" i="7"/>
  <c r="T3071" i="7"/>
  <c r="T3072" i="7"/>
  <c r="T3073" i="7"/>
  <c r="T3074" i="7"/>
  <c r="T3075" i="7"/>
  <c r="T3076" i="7"/>
  <c r="T3077" i="7"/>
  <c r="T3078" i="7"/>
  <c r="T3079" i="7"/>
  <c r="T3080" i="7"/>
  <c r="T3081" i="7"/>
  <c r="T3082" i="7"/>
  <c r="T3083" i="7"/>
  <c r="T3084" i="7"/>
  <c r="T3085" i="7"/>
  <c r="T3086" i="7"/>
  <c r="T3087" i="7"/>
  <c r="T3088" i="7"/>
  <c r="T3089" i="7"/>
  <c r="T3090" i="7"/>
  <c r="T3091" i="7"/>
  <c r="T3092" i="7"/>
  <c r="T3093" i="7"/>
  <c r="T3094" i="7"/>
  <c r="T3095" i="7"/>
  <c r="T3096" i="7"/>
  <c r="T3097" i="7"/>
  <c r="T3098" i="7"/>
  <c r="T3099" i="7"/>
  <c r="T3100" i="7"/>
  <c r="T3101" i="7"/>
  <c r="T3102" i="7"/>
  <c r="T3103" i="7"/>
  <c r="T3104" i="7"/>
  <c r="T3105" i="7"/>
  <c r="T3106" i="7"/>
  <c r="T3107" i="7"/>
  <c r="T3108" i="7"/>
  <c r="T3109" i="7"/>
  <c r="T3110" i="7"/>
  <c r="T3111" i="7"/>
  <c r="T3112" i="7"/>
  <c r="T3113" i="7"/>
  <c r="T3114" i="7"/>
  <c r="T3115" i="7"/>
  <c r="T3116" i="7"/>
  <c r="T3117" i="7"/>
  <c r="T3118" i="7"/>
  <c r="T3119" i="7"/>
  <c r="T3120" i="7"/>
  <c r="T3121" i="7"/>
  <c r="T3122" i="7"/>
  <c r="T3123" i="7"/>
  <c r="T3124" i="7"/>
  <c r="T3125" i="7"/>
  <c r="T3126" i="7"/>
  <c r="T3127" i="7"/>
  <c r="T3128" i="7"/>
  <c r="T3129" i="7"/>
  <c r="T3130" i="7"/>
  <c r="T3131" i="7"/>
  <c r="T3132" i="7"/>
  <c r="T3133" i="7"/>
  <c r="T3134" i="7"/>
  <c r="T3135" i="7"/>
  <c r="T3136" i="7"/>
  <c r="T3137" i="7"/>
  <c r="T3138" i="7"/>
  <c r="T3139" i="7"/>
  <c r="T3140" i="7"/>
  <c r="T3141" i="7"/>
  <c r="T3142" i="7"/>
  <c r="T3143" i="7"/>
  <c r="T3144" i="7"/>
  <c r="T3145" i="7"/>
  <c r="T3146" i="7"/>
  <c r="T3147" i="7"/>
  <c r="T3148" i="7"/>
  <c r="T3149" i="7"/>
  <c r="T3150" i="7"/>
  <c r="T3151" i="7"/>
  <c r="T3152" i="7"/>
  <c r="T3153" i="7"/>
  <c r="T3154" i="7"/>
  <c r="T3155" i="7"/>
  <c r="T3156" i="7"/>
  <c r="T3157" i="7"/>
  <c r="T3158" i="7"/>
  <c r="T3159" i="7"/>
  <c r="T3160" i="7"/>
  <c r="T3161" i="7"/>
  <c r="T3162" i="7"/>
  <c r="T3163" i="7"/>
  <c r="T3164" i="7"/>
  <c r="T3165" i="7"/>
  <c r="T3166" i="7"/>
  <c r="T3167" i="7"/>
  <c r="T3168" i="7"/>
  <c r="T3169" i="7"/>
  <c r="T3170" i="7"/>
  <c r="T3171" i="7"/>
  <c r="T3172" i="7"/>
  <c r="T3173" i="7"/>
  <c r="T3174" i="7"/>
  <c r="T3175" i="7"/>
  <c r="T3176" i="7"/>
  <c r="T3177" i="7"/>
  <c r="T3178" i="7"/>
  <c r="T3179" i="7"/>
  <c r="T3180" i="7"/>
  <c r="T3181" i="7"/>
  <c r="T3182" i="7"/>
  <c r="T3183" i="7"/>
  <c r="T3184" i="7"/>
  <c r="T3185" i="7"/>
  <c r="T3186" i="7"/>
  <c r="T3187" i="7"/>
  <c r="T3188" i="7"/>
  <c r="T3189" i="7"/>
  <c r="T3190" i="7"/>
  <c r="T3191" i="7"/>
  <c r="T3192" i="7"/>
  <c r="T3193" i="7"/>
  <c r="T3194" i="7"/>
  <c r="T3195" i="7"/>
  <c r="T3196" i="7"/>
  <c r="T3197" i="7"/>
  <c r="T3198" i="7"/>
  <c r="T3199" i="7"/>
  <c r="T3200" i="7"/>
  <c r="T3201" i="7"/>
  <c r="T3202" i="7"/>
  <c r="T3203" i="7"/>
  <c r="T3204" i="7"/>
  <c r="T3205" i="7"/>
  <c r="T3206" i="7"/>
  <c r="T3207" i="7"/>
  <c r="T3208" i="7"/>
  <c r="T3209" i="7"/>
  <c r="T3210" i="7"/>
  <c r="T3211" i="7"/>
  <c r="T3212" i="7"/>
  <c r="T3213" i="7"/>
  <c r="T3214" i="7"/>
  <c r="T3215" i="7"/>
  <c r="T3216" i="7"/>
  <c r="T3217" i="7"/>
  <c r="T3218" i="7"/>
  <c r="T3219" i="7"/>
  <c r="T3220" i="7"/>
  <c r="T3221" i="7"/>
  <c r="T3222" i="7"/>
  <c r="T3223" i="7"/>
  <c r="T3224" i="7"/>
  <c r="T3225" i="7"/>
  <c r="T3226" i="7"/>
  <c r="T3227" i="7"/>
  <c r="T3228" i="7"/>
  <c r="T3229" i="7"/>
  <c r="T3230" i="7"/>
  <c r="T3231" i="7"/>
  <c r="T3232" i="7"/>
  <c r="T3233" i="7"/>
  <c r="T3234" i="7"/>
  <c r="T3235" i="7"/>
  <c r="T3236" i="7"/>
  <c r="T3237" i="7"/>
  <c r="T3238" i="7"/>
  <c r="T3239" i="7"/>
  <c r="T3240" i="7"/>
  <c r="T3241" i="7"/>
  <c r="T3242" i="7"/>
  <c r="T3243" i="7"/>
  <c r="T3244" i="7"/>
  <c r="T3245" i="7"/>
  <c r="T3246" i="7"/>
  <c r="T3247" i="7"/>
  <c r="T3248" i="7"/>
  <c r="T3249" i="7"/>
  <c r="T3250" i="7"/>
  <c r="T3251" i="7"/>
  <c r="T3252" i="7"/>
  <c r="T3253" i="7"/>
  <c r="T3254" i="7"/>
  <c r="T3255" i="7"/>
  <c r="T3256" i="7"/>
  <c r="T3257" i="7"/>
  <c r="T3258" i="7"/>
  <c r="T3259" i="7"/>
  <c r="T3260" i="7"/>
  <c r="T3261" i="7"/>
  <c r="T3262" i="7"/>
  <c r="T3263" i="7"/>
  <c r="T3264" i="7"/>
  <c r="T3265" i="7"/>
  <c r="T3266" i="7"/>
  <c r="T3267" i="7"/>
  <c r="T3268" i="7"/>
  <c r="T3269" i="7"/>
  <c r="T3270" i="7"/>
  <c r="T3271" i="7"/>
  <c r="T3272" i="7"/>
  <c r="T3273" i="7"/>
  <c r="T3274" i="7"/>
  <c r="T3275" i="7"/>
  <c r="T3276" i="7"/>
  <c r="T3277" i="7"/>
  <c r="T3278" i="7"/>
  <c r="T3279" i="7"/>
  <c r="T3280" i="7"/>
  <c r="T3281" i="7"/>
  <c r="T3282" i="7"/>
  <c r="T3283" i="7"/>
  <c r="T3284" i="7"/>
  <c r="T3285" i="7"/>
  <c r="T3286" i="7"/>
  <c r="T3287" i="7"/>
  <c r="T3288" i="7"/>
  <c r="T3289" i="7"/>
  <c r="T3290" i="7"/>
  <c r="T3291" i="7"/>
  <c r="T3292" i="7"/>
  <c r="T3293" i="7"/>
  <c r="T3294" i="7"/>
  <c r="T3295" i="7"/>
  <c r="T3296" i="7"/>
  <c r="T3297" i="7"/>
  <c r="T3298" i="7"/>
  <c r="T3299" i="7"/>
  <c r="T3300" i="7"/>
  <c r="T3301" i="7"/>
  <c r="T3302" i="7"/>
  <c r="T3303" i="7"/>
  <c r="T3304" i="7"/>
  <c r="T3305" i="7"/>
  <c r="T3306" i="7"/>
  <c r="T3307" i="7"/>
  <c r="T3308" i="7"/>
  <c r="T3309" i="7"/>
  <c r="T3310" i="7"/>
  <c r="T3311" i="7"/>
  <c r="T3312" i="7"/>
  <c r="T3313" i="7"/>
  <c r="T3314" i="7"/>
  <c r="T3315" i="7"/>
  <c r="T3316" i="7"/>
  <c r="T3317" i="7"/>
  <c r="T3318" i="7"/>
  <c r="T3319" i="7"/>
  <c r="T3320" i="7"/>
  <c r="T3321" i="7"/>
  <c r="T3322" i="7"/>
  <c r="T3323" i="7"/>
  <c r="T3324" i="7"/>
  <c r="T3325" i="7"/>
  <c r="T3326" i="7"/>
  <c r="T3327" i="7"/>
  <c r="T3328" i="7"/>
  <c r="T3329" i="7"/>
  <c r="T3330" i="7"/>
  <c r="T3331" i="7"/>
  <c r="T3332" i="7"/>
  <c r="T3333" i="7"/>
  <c r="T3334" i="7"/>
  <c r="T3335" i="7"/>
  <c r="T3336" i="7"/>
  <c r="T3337" i="7"/>
  <c r="T3338" i="7"/>
  <c r="T3339" i="7"/>
  <c r="T3340" i="7"/>
  <c r="T3341" i="7"/>
  <c r="T3342" i="7"/>
  <c r="T3343" i="7"/>
  <c r="T3344" i="7"/>
  <c r="T3345" i="7"/>
  <c r="T3346" i="7"/>
  <c r="T3347" i="7"/>
  <c r="T3348" i="7"/>
  <c r="T3349" i="7"/>
  <c r="T3350" i="7"/>
  <c r="T3351" i="7"/>
  <c r="T3352" i="7"/>
  <c r="T3353" i="7"/>
  <c r="T3354" i="7"/>
  <c r="T3355" i="7"/>
  <c r="T3356" i="7"/>
  <c r="T3357" i="7"/>
  <c r="T3358" i="7"/>
  <c r="T3359" i="7"/>
  <c r="T3360" i="7"/>
  <c r="T3361" i="7"/>
  <c r="T3362" i="7"/>
  <c r="T3363" i="7"/>
  <c r="T3364" i="7"/>
  <c r="T3365" i="7"/>
  <c r="T3366" i="7"/>
  <c r="T3367" i="7"/>
  <c r="T3368" i="7"/>
  <c r="T3369" i="7"/>
  <c r="T3370" i="7"/>
  <c r="T3371" i="7"/>
  <c r="T3372" i="7"/>
  <c r="T3373" i="7"/>
  <c r="T3374" i="7"/>
  <c r="T3375" i="7"/>
  <c r="T3376" i="7"/>
  <c r="T3377" i="7"/>
  <c r="T3378" i="7"/>
  <c r="T3379" i="7"/>
  <c r="T3380" i="7"/>
  <c r="T3381" i="7"/>
  <c r="T3382" i="7"/>
  <c r="T3383" i="7"/>
  <c r="T3384" i="7"/>
  <c r="T3385" i="7"/>
  <c r="T3386" i="7"/>
  <c r="T3387" i="7"/>
  <c r="T3388" i="7"/>
  <c r="T3389" i="7"/>
  <c r="T3390" i="7"/>
  <c r="T3391" i="7"/>
  <c r="T3392" i="7"/>
  <c r="T3393" i="7"/>
  <c r="T3394" i="7"/>
  <c r="T3395" i="7"/>
  <c r="T3396" i="7"/>
  <c r="T3397" i="7"/>
  <c r="T3398" i="7"/>
  <c r="T3399" i="7"/>
  <c r="T3400" i="7"/>
  <c r="T3401" i="7"/>
  <c r="T3402" i="7"/>
  <c r="T3403" i="7"/>
  <c r="T3404" i="7"/>
  <c r="T3405" i="7"/>
  <c r="T3406" i="7"/>
  <c r="T3407" i="7"/>
  <c r="T3408" i="7"/>
  <c r="T3409" i="7"/>
  <c r="T3410" i="7"/>
  <c r="T3411" i="7"/>
  <c r="T3412" i="7"/>
  <c r="T3413" i="7"/>
  <c r="T3414" i="7"/>
  <c r="T3415" i="7"/>
  <c r="T3416" i="7"/>
  <c r="T3417" i="7"/>
  <c r="T3418" i="7"/>
  <c r="T3419" i="7"/>
  <c r="T3420" i="7"/>
  <c r="T3421" i="7"/>
  <c r="T3422" i="7"/>
  <c r="T3423" i="7"/>
  <c r="T3424" i="7"/>
  <c r="T3425" i="7"/>
  <c r="T3426" i="7"/>
  <c r="T3427" i="7"/>
  <c r="T3428" i="7"/>
  <c r="T3429" i="7"/>
  <c r="T3430" i="7"/>
  <c r="T3431" i="7"/>
  <c r="T3432" i="7"/>
  <c r="T3433" i="7"/>
  <c r="T3434" i="7"/>
  <c r="T3435" i="7"/>
  <c r="T3436" i="7"/>
  <c r="T3437" i="7"/>
  <c r="T3438" i="7"/>
  <c r="T3439" i="7"/>
  <c r="T3440" i="7"/>
  <c r="T3441" i="7"/>
  <c r="T3442" i="7"/>
  <c r="T3443" i="7"/>
  <c r="T3444" i="7"/>
  <c r="T3445" i="7"/>
  <c r="T3446" i="7"/>
  <c r="T3447" i="7"/>
  <c r="T3448" i="7"/>
  <c r="T3449" i="7"/>
  <c r="T3450" i="7"/>
  <c r="T3451" i="7"/>
  <c r="T3452" i="7"/>
  <c r="T3453" i="7"/>
  <c r="T3454" i="7"/>
  <c r="T3455" i="7"/>
  <c r="T3456" i="7"/>
  <c r="T3457" i="7"/>
  <c r="T3458" i="7"/>
  <c r="T3459" i="7"/>
  <c r="T3460" i="7"/>
  <c r="T3461" i="7"/>
  <c r="T3462" i="7"/>
  <c r="T3463" i="7"/>
  <c r="T3464" i="7"/>
  <c r="T3465" i="7"/>
  <c r="T3466" i="7"/>
  <c r="T3467" i="7"/>
  <c r="T3468" i="7"/>
  <c r="T3469" i="7"/>
  <c r="T3470" i="7"/>
  <c r="T3471" i="7"/>
  <c r="T3472" i="7"/>
  <c r="T3473" i="7"/>
  <c r="T3474" i="7"/>
  <c r="T3475" i="7"/>
  <c r="T3476" i="7"/>
  <c r="T3477" i="7"/>
  <c r="T3478" i="7"/>
  <c r="T3479" i="7"/>
  <c r="T3480" i="7"/>
  <c r="T3481" i="7"/>
  <c r="T3482" i="7"/>
  <c r="T3483" i="7"/>
  <c r="T3484" i="7"/>
  <c r="T3485" i="7"/>
  <c r="T3486" i="7"/>
  <c r="T3487" i="7"/>
  <c r="T3488" i="7"/>
  <c r="T3489" i="7"/>
  <c r="T3490" i="7"/>
  <c r="T3491" i="7"/>
  <c r="T3492" i="7"/>
  <c r="T3493" i="7"/>
  <c r="T3494" i="7"/>
  <c r="T3495" i="7"/>
  <c r="T3496" i="7"/>
  <c r="T3497" i="7"/>
  <c r="T3498" i="7"/>
  <c r="T3499" i="7"/>
  <c r="T3500" i="7"/>
  <c r="T3501" i="7"/>
  <c r="T3502" i="7"/>
  <c r="T3503" i="7"/>
  <c r="T3504" i="7"/>
  <c r="T3505" i="7"/>
  <c r="T3506" i="7"/>
  <c r="T3507" i="7"/>
  <c r="T3508" i="7"/>
  <c r="T3509" i="7"/>
  <c r="T3510" i="7"/>
  <c r="T3511" i="7"/>
  <c r="T3512" i="7"/>
  <c r="T3513" i="7"/>
  <c r="T3514" i="7"/>
  <c r="T3515" i="7"/>
  <c r="T3516" i="7"/>
  <c r="T3517" i="7"/>
  <c r="T3518" i="7"/>
  <c r="T3519" i="7"/>
  <c r="T3520" i="7"/>
  <c r="T3521" i="7"/>
  <c r="T3522" i="7"/>
  <c r="T3523" i="7"/>
  <c r="T3524" i="7"/>
  <c r="T3525" i="7"/>
  <c r="T3526" i="7"/>
  <c r="T3527" i="7"/>
  <c r="T3528" i="7"/>
  <c r="T3529" i="7"/>
  <c r="T3530" i="7"/>
  <c r="T3531" i="7"/>
  <c r="T3532" i="7"/>
  <c r="T3533" i="7"/>
  <c r="T3534" i="7"/>
  <c r="T3535" i="7"/>
  <c r="T3536" i="7"/>
  <c r="T3537" i="7"/>
  <c r="T3538" i="7"/>
  <c r="T3539" i="7"/>
  <c r="T3540" i="7"/>
  <c r="T3541" i="7"/>
  <c r="T3542" i="7"/>
  <c r="T3543" i="7"/>
  <c r="T3544" i="7"/>
  <c r="T3545" i="7"/>
  <c r="T3546" i="7"/>
  <c r="T3547" i="7"/>
  <c r="T3548" i="7"/>
  <c r="T3549" i="7"/>
  <c r="T3550" i="7"/>
  <c r="T3551" i="7"/>
  <c r="T3552" i="7"/>
  <c r="T3553" i="7"/>
  <c r="T3554" i="7"/>
  <c r="T3555" i="7"/>
  <c r="T3556" i="7"/>
  <c r="T3557" i="7"/>
  <c r="T3558" i="7"/>
  <c r="T3559" i="7"/>
  <c r="T3560" i="7"/>
  <c r="T3561" i="7"/>
  <c r="T3562" i="7"/>
  <c r="T3563" i="7"/>
  <c r="T3564" i="7"/>
  <c r="T3565" i="7"/>
  <c r="T3566" i="7"/>
  <c r="T3567" i="7"/>
  <c r="T3568" i="7"/>
  <c r="T3569" i="7"/>
  <c r="T3570" i="7"/>
  <c r="T3571" i="7"/>
  <c r="T3572" i="7"/>
  <c r="T3573" i="7"/>
  <c r="T3574" i="7"/>
  <c r="T3575" i="7"/>
  <c r="T3576" i="7"/>
  <c r="T3577" i="7"/>
  <c r="T3578" i="7"/>
  <c r="T3579" i="7"/>
  <c r="T3580" i="7"/>
  <c r="T3581" i="7"/>
  <c r="T3582" i="7"/>
  <c r="T3583" i="7"/>
  <c r="T3584" i="7"/>
  <c r="T3585" i="7"/>
  <c r="T3586" i="7"/>
  <c r="T3587" i="7"/>
  <c r="T3588" i="7"/>
  <c r="T3589" i="7"/>
  <c r="T3590" i="7"/>
  <c r="T3591" i="7"/>
  <c r="T3592" i="7"/>
  <c r="T3593" i="7"/>
  <c r="T3594" i="7"/>
  <c r="T3595" i="7"/>
  <c r="T3596" i="7"/>
  <c r="T3597" i="7"/>
  <c r="T3598" i="7"/>
  <c r="T3599" i="7"/>
  <c r="T3600" i="7"/>
  <c r="T3601" i="7"/>
  <c r="T3602" i="7"/>
  <c r="T3603" i="7"/>
  <c r="T3604" i="7"/>
  <c r="T3605" i="7"/>
  <c r="T3606" i="7"/>
  <c r="T3607" i="7"/>
  <c r="T3608" i="7"/>
  <c r="T3609" i="7"/>
  <c r="T3610" i="7"/>
  <c r="T3611" i="7"/>
  <c r="T3612" i="7"/>
  <c r="T3613" i="7"/>
  <c r="T3614" i="7"/>
  <c r="T3615" i="7"/>
  <c r="T3616" i="7"/>
  <c r="T3617" i="7"/>
  <c r="T3618" i="7"/>
  <c r="T3619" i="7"/>
  <c r="T3620" i="7"/>
  <c r="T3621" i="7"/>
  <c r="T3622" i="7"/>
  <c r="T3623" i="7"/>
  <c r="T3624" i="7"/>
  <c r="T3625" i="7"/>
  <c r="T3626" i="7"/>
  <c r="T3627" i="7"/>
  <c r="T3628" i="7"/>
  <c r="T3629" i="7"/>
  <c r="T3630" i="7"/>
  <c r="T3631" i="7"/>
  <c r="T3632" i="7"/>
  <c r="T3633" i="7"/>
  <c r="T3634" i="7"/>
  <c r="T3635" i="7"/>
  <c r="T3636" i="7"/>
  <c r="T3637" i="7"/>
  <c r="T3638" i="7"/>
  <c r="T3639" i="7"/>
  <c r="T3640" i="7"/>
  <c r="T3641" i="7"/>
  <c r="T3642" i="7"/>
  <c r="T3643" i="7"/>
  <c r="T3644" i="7"/>
  <c r="T3645" i="7"/>
  <c r="T3646" i="7"/>
  <c r="T3647" i="7"/>
  <c r="T3648" i="7"/>
  <c r="T3649" i="7"/>
  <c r="T3650" i="7"/>
  <c r="T3651" i="7"/>
  <c r="T3652" i="7"/>
  <c r="T3653" i="7"/>
  <c r="T3654" i="7"/>
  <c r="T3655" i="7"/>
  <c r="T3656" i="7"/>
  <c r="T3657" i="7"/>
  <c r="T3658" i="7"/>
  <c r="T3659" i="7"/>
  <c r="T3660" i="7"/>
  <c r="T3661" i="7"/>
  <c r="T3662" i="7"/>
  <c r="T3663" i="7"/>
  <c r="T3664" i="7"/>
  <c r="T3665" i="7"/>
  <c r="T3666" i="7"/>
  <c r="T3667" i="7"/>
  <c r="T3668" i="7"/>
  <c r="T3669" i="7"/>
  <c r="T3670" i="7"/>
  <c r="T3671" i="7"/>
  <c r="T3672" i="7"/>
  <c r="T3673" i="7"/>
  <c r="T3674" i="7"/>
  <c r="T3675" i="7"/>
  <c r="T3676" i="7"/>
  <c r="T3677" i="7"/>
  <c r="T3678" i="7"/>
  <c r="T3679" i="7"/>
  <c r="T3680" i="7"/>
  <c r="T3681" i="7"/>
  <c r="T3682" i="7"/>
  <c r="T3683" i="7"/>
  <c r="T3684" i="7"/>
  <c r="T3685" i="7"/>
  <c r="T3686" i="7"/>
  <c r="T3687" i="7"/>
  <c r="T3688" i="7"/>
  <c r="T3689" i="7"/>
  <c r="T3690" i="7"/>
  <c r="T3691" i="7"/>
  <c r="T3692" i="7"/>
  <c r="T3693" i="7"/>
  <c r="T3694" i="7"/>
  <c r="T3695" i="7"/>
  <c r="T3696" i="7"/>
  <c r="T3697" i="7"/>
  <c r="T3698" i="7"/>
  <c r="T3699" i="7"/>
  <c r="T3700" i="7"/>
  <c r="T3701" i="7"/>
  <c r="T3702" i="7"/>
  <c r="T3703" i="7"/>
  <c r="T3704" i="7"/>
  <c r="T3705" i="7"/>
  <c r="T3706" i="7"/>
  <c r="T3707" i="7"/>
  <c r="T3708" i="7"/>
  <c r="T3709" i="7"/>
  <c r="T3710" i="7"/>
  <c r="T3711" i="7"/>
  <c r="T3712" i="7"/>
  <c r="T3713" i="7"/>
  <c r="T3714" i="7"/>
  <c r="T3715" i="7"/>
  <c r="T3716" i="7"/>
  <c r="T3717" i="7"/>
  <c r="T3718" i="7"/>
  <c r="T3719" i="7"/>
  <c r="T3720" i="7"/>
  <c r="T3721" i="7"/>
  <c r="T3722" i="7"/>
  <c r="T3723" i="7"/>
  <c r="T3724" i="7"/>
  <c r="T3725" i="7"/>
  <c r="T3726" i="7"/>
  <c r="T3727" i="7"/>
  <c r="T3728" i="7"/>
  <c r="T3729" i="7"/>
  <c r="T3730" i="7"/>
  <c r="T3731" i="7"/>
  <c r="T3732" i="7"/>
  <c r="T3733" i="7"/>
  <c r="T3734" i="7"/>
  <c r="T3735" i="7"/>
  <c r="T3736" i="7"/>
  <c r="T3737" i="7"/>
  <c r="T3738" i="7"/>
  <c r="T3739" i="7"/>
  <c r="T3740" i="7"/>
  <c r="T3741" i="7"/>
  <c r="T3742" i="7"/>
  <c r="T3743" i="7"/>
  <c r="T3744" i="7"/>
  <c r="T3745" i="7"/>
  <c r="T3746" i="7"/>
  <c r="T3747" i="7"/>
  <c r="T3748" i="7"/>
  <c r="T3749" i="7"/>
  <c r="T3750" i="7"/>
  <c r="T3751" i="7"/>
  <c r="T3752" i="7"/>
  <c r="T3753" i="7"/>
  <c r="T3754" i="7"/>
  <c r="T3755" i="7"/>
  <c r="T3756" i="7"/>
  <c r="T3757" i="7"/>
  <c r="T3758" i="7"/>
  <c r="T3759" i="7"/>
  <c r="T3760" i="7"/>
  <c r="T3761" i="7"/>
  <c r="T3762" i="7"/>
  <c r="T3763" i="7"/>
  <c r="T3764" i="7"/>
  <c r="T3765" i="7"/>
  <c r="T3766" i="7"/>
  <c r="T3767" i="7"/>
  <c r="T3768" i="7"/>
  <c r="T3769" i="7"/>
  <c r="T3770" i="7"/>
  <c r="T3771" i="7"/>
  <c r="T3772" i="7"/>
  <c r="T3773" i="7"/>
  <c r="T3774" i="7"/>
  <c r="T3775" i="7"/>
  <c r="T3776" i="7"/>
  <c r="T3777" i="7"/>
  <c r="T3778" i="7"/>
  <c r="T3779" i="7"/>
  <c r="T3780" i="7"/>
  <c r="T3781" i="7"/>
  <c r="T3782" i="7"/>
  <c r="T3783" i="7"/>
  <c r="T3784" i="7"/>
  <c r="T3785" i="7"/>
  <c r="T3786" i="7"/>
  <c r="T3787" i="7"/>
  <c r="T3788" i="7"/>
  <c r="T3789" i="7"/>
  <c r="T3790" i="7"/>
  <c r="T3791" i="7"/>
  <c r="T3792" i="7"/>
  <c r="T3793" i="7"/>
  <c r="T3794" i="7"/>
  <c r="T3795" i="7"/>
  <c r="T3796" i="7"/>
  <c r="T3797" i="7"/>
  <c r="T3798" i="7"/>
  <c r="T3799" i="7"/>
  <c r="T3800" i="7"/>
  <c r="T3801" i="7"/>
  <c r="T3802" i="7"/>
  <c r="T3803" i="7"/>
  <c r="T3804" i="7"/>
  <c r="T3805" i="7"/>
  <c r="T3806" i="7"/>
  <c r="T3807" i="7"/>
  <c r="T3808" i="7"/>
  <c r="T3809" i="7"/>
  <c r="T3810" i="7"/>
  <c r="T3811" i="7"/>
  <c r="T3812" i="7"/>
  <c r="T3813" i="7"/>
  <c r="T3814" i="7"/>
  <c r="T3815" i="7"/>
  <c r="T3816" i="7"/>
  <c r="T3817" i="7"/>
  <c r="T3818" i="7"/>
  <c r="T3819" i="7"/>
  <c r="T3820" i="7"/>
  <c r="T3821" i="7"/>
  <c r="T3822" i="7"/>
  <c r="T3823" i="7"/>
  <c r="T3824" i="7"/>
  <c r="T3825" i="7"/>
  <c r="T3826" i="7"/>
  <c r="T3827" i="7"/>
  <c r="T3828" i="7"/>
  <c r="T3829" i="7"/>
  <c r="T3830" i="7"/>
  <c r="T3831" i="7"/>
  <c r="T3832" i="7"/>
  <c r="T3833" i="7"/>
  <c r="T3834" i="7"/>
  <c r="T3835" i="7"/>
  <c r="T3836" i="7"/>
  <c r="T3837" i="7"/>
  <c r="T3838" i="7"/>
  <c r="T3839" i="7"/>
  <c r="T3840" i="7"/>
  <c r="T3841" i="7"/>
  <c r="T3842" i="7"/>
  <c r="T3843" i="7"/>
  <c r="T3844" i="7"/>
  <c r="T3845" i="7"/>
  <c r="T3846" i="7"/>
  <c r="T3847" i="7"/>
  <c r="T3848" i="7"/>
  <c r="T3849" i="7"/>
  <c r="T3850" i="7"/>
  <c r="T3851" i="7"/>
  <c r="T3852" i="7"/>
  <c r="T3853" i="7"/>
  <c r="T3854" i="7"/>
  <c r="T3855" i="7"/>
  <c r="T3856" i="7"/>
  <c r="T3857" i="7"/>
  <c r="T3858" i="7"/>
  <c r="T3859" i="7"/>
  <c r="T3860" i="7"/>
  <c r="T3861" i="7"/>
  <c r="T3862" i="7"/>
  <c r="T3863" i="7"/>
  <c r="T3864" i="7"/>
  <c r="T3865" i="7"/>
  <c r="T3866" i="7"/>
  <c r="T3867" i="7"/>
  <c r="T3868" i="7"/>
  <c r="T3869" i="7"/>
  <c r="T3870" i="7"/>
  <c r="T3871" i="7"/>
  <c r="T3872" i="7"/>
  <c r="T3873" i="7"/>
  <c r="T3874" i="7"/>
  <c r="T3875" i="7"/>
  <c r="T3876" i="7"/>
  <c r="T3877" i="7"/>
  <c r="T3878" i="7"/>
  <c r="T3879" i="7"/>
  <c r="T3880" i="7"/>
  <c r="T3881" i="7"/>
  <c r="T3882" i="7"/>
  <c r="T3883" i="7"/>
  <c r="T3884" i="7"/>
  <c r="T3885" i="7"/>
  <c r="T3886" i="7"/>
  <c r="T3887" i="7"/>
  <c r="T3888" i="7"/>
  <c r="T3889" i="7"/>
  <c r="T3890" i="7"/>
  <c r="T3891" i="7"/>
  <c r="T3892" i="7"/>
  <c r="T3893" i="7"/>
  <c r="T3894" i="7"/>
  <c r="T3895" i="7"/>
  <c r="T3896" i="7"/>
  <c r="T3897" i="7"/>
  <c r="T3898" i="7"/>
  <c r="T3899" i="7"/>
  <c r="T3900" i="7"/>
  <c r="T3901" i="7"/>
  <c r="T3902" i="7"/>
  <c r="T3903" i="7"/>
  <c r="T3904" i="7"/>
  <c r="T3905" i="7"/>
  <c r="T3906" i="7"/>
  <c r="T3907" i="7"/>
  <c r="T3908" i="7"/>
  <c r="T3909" i="7"/>
  <c r="T3910" i="7"/>
  <c r="T3911" i="7"/>
  <c r="T3912" i="7"/>
  <c r="T3913" i="7"/>
  <c r="T3914" i="7"/>
  <c r="T3915" i="7"/>
  <c r="T3916" i="7"/>
  <c r="T3917" i="7"/>
  <c r="T3918" i="7"/>
  <c r="T3919" i="7"/>
  <c r="T3920" i="7"/>
  <c r="T3921" i="7"/>
  <c r="T3922" i="7"/>
  <c r="T3923" i="7"/>
  <c r="T3924" i="7"/>
  <c r="T3925" i="7"/>
  <c r="T3926" i="7"/>
  <c r="T3927" i="7"/>
  <c r="T3928" i="7"/>
  <c r="T3929" i="7"/>
  <c r="T3930" i="7"/>
  <c r="T3931" i="7"/>
  <c r="T3932" i="7"/>
  <c r="T3933" i="7"/>
  <c r="T3934" i="7"/>
  <c r="T3935" i="7"/>
  <c r="T3936" i="7"/>
  <c r="T3937" i="7"/>
  <c r="T3938" i="7"/>
  <c r="T3939" i="7"/>
  <c r="T3940" i="7"/>
  <c r="T3941" i="7"/>
  <c r="T3942" i="7"/>
  <c r="T3943" i="7"/>
  <c r="T3944" i="7"/>
  <c r="T3945" i="7"/>
  <c r="T3946" i="7"/>
  <c r="T3947" i="7"/>
  <c r="T3948" i="7"/>
  <c r="T3949" i="7"/>
  <c r="T3950" i="7"/>
  <c r="T3951" i="7"/>
  <c r="T3952" i="7"/>
  <c r="T3953" i="7"/>
  <c r="T3954" i="7"/>
  <c r="T3955" i="7"/>
  <c r="T3956" i="7"/>
  <c r="T3957" i="7"/>
  <c r="T3958" i="7"/>
  <c r="T3959" i="7"/>
  <c r="T3960" i="7"/>
  <c r="T3961" i="7"/>
  <c r="T3962" i="7"/>
  <c r="T3963" i="7"/>
  <c r="T3964" i="7"/>
  <c r="T3965" i="7"/>
  <c r="T3966" i="7"/>
  <c r="T3967" i="7"/>
  <c r="T3968" i="7"/>
  <c r="T3969" i="7"/>
  <c r="T3970" i="7"/>
  <c r="T3971" i="7"/>
  <c r="T3972" i="7"/>
  <c r="T3973" i="7"/>
  <c r="T3974" i="7"/>
  <c r="T3975" i="7"/>
  <c r="T3976" i="7"/>
  <c r="T3977" i="7"/>
  <c r="T3978" i="7"/>
  <c r="T3979" i="7"/>
  <c r="T3980" i="7"/>
  <c r="T3981" i="7"/>
  <c r="T3982" i="7"/>
  <c r="T3983" i="7"/>
  <c r="T3984" i="7"/>
  <c r="T3985" i="7"/>
  <c r="T3986" i="7"/>
  <c r="T3987" i="7"/>
  <c r="T3988" i="7"/>
  <c r="T3989" i="7"/>
  <c r="T3990" i="7"/>
  <c r="T3991" i="7"/>
  <c r="T3992" i="7"/>
  <c r="T3993" i="7"/>
  <c r="T3994" i="7"/>
  <c r="T3995" i="7"/>
  <c r="T3996" i="7"/>
  <c r="T3997" i="7"/>
  <c r="T3998" i="7"/>
  <c r="T3999" i="7"/>
  <c r="T4000" i="7"/>
  <c r="T4001" i="7"/>
  <c r="T4002" i="7"/>
  <c r="T4003" i="7"/>
  <c r="T4004" i="7"/>
  <c r="T4005" i="7"/>
  <c r="T4006" i="7"/>
  <c r="T4007" i="7"/>
  <c r="T4008" i="7"/>
  <c r="T4009" i="7"/>
  <c r="T4010" i="7"/>
  <c r="T4011" i="7"/>
  <c r="T4012" i="7"/>
  <c r="T4013" i="7"/>
  <c r="T4014" i="7"/>
  <c r="T4015" i="7"/>
  <c r="T4016" i="7"/>
  <c r="T4017" i="7"/>
  <c r="T4018" i="7"/>
  <c r="T4019" i="7"/>
  <c r="T4020" i="7"/>
  <c r="T4021" i="7"/>
  <c r="T4022" i="7"/>
  <c r="T4023" i="7"/>
  <c r="T4024" i="7"/>
  <c r="T4025" i="7"/>
  <c r="T4026" i="7"/>
  <c r="T4027" i="7"/>
  <c r="T4028" i="7"/>
  <c r="T4029" i="7"/>
  <c r="T4030" i="7"/>
  <c r="T4031" i="7"/>
  <c r="T4032" i="7"/>
  <c r="T4033" i="7"/>
  <c r="T4034" i="7"/>
  <c r="T4035" i="7"/>
  <c r="T4036" i="7"/>
  <c r="T4037" i="7"/>
  <c r="T4038" i="7"/>
  <c r="T4039" i="7"/>
  <c r="T4040" i="7"/>
  <c r="T4041" i="7"/>
  <c r="T4042" i="7"/>
  <c r="T4043" i="7"/>
  <c r="T4044" i="7"/>
  <c r="T4045" i="7"/>
  <c r="T4046" i="7"/>
  <c r="T4047" i="7"/>
  <c r="T4048" i="7"/>
  <c r="T4049" i="7"/>
  <c r="T4050" i="7"/>
  <c r="T4051" i="7"/>
  <c r="T4052" i="7"/>
  <c r="T4053" i="7"/>
  <c r="T4054" i="7"/>
  <c r="T4055" i="7"/>
  <c r="T4056" i="7"/>
  <c r="T4057" i="7"/>
  <c r="T4058" i="7"/>
  <c r="T4059" i="7"/>
  <c r="T4060" i="7"/>
  <c r="T4061" i="7"/>
  <c r="T4062" i="7"/>
  <c r="T4063" i="7"/>
  <c r="T4064" i="7"/>
  <c r="T4065" i="7"/>
  <c r="T4066" i="7"/>
  <c r="T4067" i="7"/>
  <c r="T4068" i="7"/>
  <c r="T4069" i="7"/>
  <c r="T4070" i="7"/>
  <c r="T4071" i="7"/>
  <c r="T4072" i="7"/>
  <c r="T4073" i="7"/>
  <c r="T4074" i="7"/>
  <c r="T4075" i="7"/>
  <c r="T4076" i="7"/>
  <c r="T4077" i="7"/>
  <c r="T4078" i="7"/>
  <c r="T4079" i="7"/>
  <c r="T4080" i="7"/>
  <c r="T4081" i="7"/>
  <c r="T4082" i="7"/>
  <c r="T4083" i="7"/>
  <c r="T4084" i="7"/>
  <c r="T4085" i="7"/>
  <c r="T4086" i="7"/>
  <c r="T4087" i="7"/>
  <c r="T4088" i="7"/>
  <c r="T4089" i="7"/>
  <c r="T4090" i="7"/>
  <c r="T4091" i="7"/>
  <c r="T4092" i="7"/>
  <c r="T4093" i="7"/>
  <c r="T4094" i="7"/>
  <c r="T4095" i="7"/>
  <c r="T4096" i="7"/>
  <c r="T4097" i="7"/>
  <c r="T4098" i="7"/>
  <c r="T4099" i="7"/>
  <c r="T4100" i="7"/>
  <c r="T4101" i="7"/>
  <c r="T4102" i="7"/>
  <c r="T4103" i="7"/>
  <c r="T4104" i="7"/>
  <c r="T4105" i="7"/>
  <c r="T4106" i="7"/>
  <c r="T4107" i="7"/>
  <c r="T4108" i="7"/>
  <c r="T4109" i="7"/>
  <c r="T4110" i="7"/>
  <c r="T4111" i="7"/>
  <c r="T4112" i="7"/>
  <c r="T4113" i="7"/>
  <c r="T4114" i="7"/>
  <c r="T4115" i="7"/>
  <c r="T4116" i="7"/>
  <c r="T4117" i="7"/>
  <c r="T4118" i="7"/>
  <c r="T4119" i="7"/>
  <c r="T4120" i="7"/>
  <c r="T4121" i="7"/>
  <c r="T4122" i="7"/>
  <c r="T4123" i="7"/>
  <c r="T4124" i="7"/>
  <c r="T4125" i="7"/>
  <c r="T4126" i="7"/>
  <c r="T4127" i="7"/>
  <c r="T4128" i="7"/>
  <c r="T4129" i="7"/>
  <c r="T4130" i="7"/>
  <c r="T4131" i="7"/>
  <c r="T4132" i="7"/>
  <c r="T4133" i="7"/>
  <c r="T4134" i="7"/>
  <c r="T4135" i="7"/>
  <c r="T4136" i="7"/>
  <c r="T4137" i="7"/>
  <c r="T4138" i="7"/>
  <c r="T4139" i="7"/>
  <c r="T4140" i="7"/>
  <c r="T4141" i="7"/>
  <c r="T4142" i="7"/>
  <c r="T4143" i="7"/>
  <c r="T4144" i="7"/>
  <c r="T4145" i="7"/>
  <c r="T4146" i="7"/>
  <c r="T4147" i="7"/>
  <c r="T4148" i="7"/>
  <c r="T4149" i="7"/>
  <c r="T4150" i="7"/>
  <c r="T4151" i="7"/>
  <c r="T4152" i="7"/>
  <c r="T4153" i="7"/>
  <c r="T4154" i="7"/>
  <c r="T4155" i="7"/>
  <c r="T4156" i="7"/>
  <c r="T4157" i="7"/>
  <c r="T4158" i="7"/>
  <c r="T4159" i="7"/>
  <c r="T4160" i="7"/>
  <c r="T4161" i="7"/>
  <c r="T4162" i="7"/>
  <c r="T4163" i="7"/>
  <c r="T4164" i="7"/>
  <c r="T4165" i="7"/>
  <c r="T4166" i="7"/>
  <c r="T4167" i="7"/>
  <c r="T4168" i="7"/>
  <c r="T4169" i="7"/>
  <c r="T4170" i="7"/>
  <c r="T4171" i="7"/>
  <c r="T4172" i="7"/>
  <c r="T4173" i="7"/>
  <c r="T4174" i="7"/>
  <c r="T4175" i="7"/>
  <c r="T4176" i="7"/>
  <c r="T4177" i="7"/>
  <c r="T4178" i="7"/>
  <c r="T4179" i="7"/>
  <c r="T4180" i="7"/>
  <c r="T4181" i="7"/>
  <c r="T4182" i="7"/>
  <c r="T4183" i="7"/>
  <c r="T4184" i="7"/>
  <c r="T4185" i="7"/>
  <c r="T4186" i="7"/>
  <c r="T4187" i="7"/>
  <c r="T4188" i="7"/>
  <c r="T4189" i="7"/>
  <c r="T4190" i="7"/>
  <c r="T4191" i="7"/>
  <c r="T4192" i="7"/>
  <c r="T4193" i="7"/>
  <c r="T4194" i="7"/>
  <c r="T4195" i="7"/>
  <c r="T4196" i="7"/>
  <c r="T4197" i="7"/>
  <c r="T4198" i="7"/>
  <c r="T4199" i="7"/>
  <c r="T4200" i="7"/>
  <c r="T4201" i="7"/>
  <c r="T4202" i="7"/>
  <c r="T4203" i="7"/>
  <c r="T4204" i="7"/>
  <c r="T4205" i="7"/>
  <c r="T4206" i="7"/>
  <c r="T4207" i="7"/>
  <c r="T4208" i="7"/>
  <c r="T4209" i="7"/>
  <c r="T4210" i="7"/>
  <c r="T4211" i="7"/>
  <c r="T4212" i="7"/>
  <c r="T4213" i="7"/>
  <c r="T4214" i="7"/>
  <c r="T4215" i="7"/>
  <c r="T4216" i="7"/>
  <c r="T4217" i="7"/>
  <c r="T4218" i="7"/>
  <c r="T4219" i="7"/>
  <c r="T4220" i="7"/>
  <c r="T4221" i="7"/>
  <c r="T4222" i="7"/>
  <c r="T4223" i="7"/>
  <c r="T4224" i="7"/>
  <c r="T4225" i="7"/>
  <c r="T4226" i="7"/>
  <c r="T4227" i="7"/>
  <c r="T4228" i="7"/>
  <c r="T4229" i="7"/>
  <c r="T4230" i="7"/>
  <c r="T4231" i="7"/>
  <c r="T4232" i="7"/>
  <c r="T4233" i="7"/>
  <c r="T4234" i="7"/>
  <c r="T4235" i="7"/>
  <c r="T4236" i="7"/>
  <c r="T4237" i="7"/>
  <c r="T4238" i="7"/>
  <c r="T4239" i="7"/>
  <c r="T4240" i="7"/>
  <c r="T4241" i="7"/>
  <c r="T4242" i="7"/>
  <c r="T4243" i="7"/>
  <c r="T4244" i="7"/>
  <c r="T4245" i="7"/>
  <c r="T4246" i="7"/>
  <c r="T4247" i="7"/>
  <c r="T4248" i="7"/>
  <c r="T4249" i="7"/>
  <c r="T4250" i="7"/>
  <c r="T4251" i="7"/>
  <c r="T4252" i="7"/>
  <c r="T4253" i="7"/>
  <c r="T4254" i="7"/>
  <c r="T4255" i="7"/>
  <c r="T4256" i="7"/>
  <c r="T4257" i="7"/>
  <c r="T4258" i="7"/>
  <c r="T4259" i="7"/>
  <c r="T4260" i="7"/>
  <c r="T4261" i="7"/>
  <c r="T4262" i="7"/>
  <c r="T4263" i="7"/>
  <c r="T4264" i="7"/>
  <c r="T4265" i="7"/>
  <c r="T4266" i="7"/>
  <c r="T4267" i="7"/>
  <c r="T4268" i="7"/>
  <c r="T4269" i="7"/>
  <c r="T4270" i="7"/>
  <c r="T4271" i="7"/>
  <c r="T4272" i="7"/>
  <c r="T4273" i="7"/>
  <c r="T4274" i="7"/>
  <c r="T4275" i="7"/>
  <c r="T4276" i="7"/>
  <c r="T4277" i="7"/>
  <c r="T4278" i="7"/>
  <c r="T4279" i="7"/>
  <c r="T4280" i="7"/>
  <c r="T4281" i="7"/>
  <c r="T4282" i="7"/>
  <c r="T4283" i="7"/>
  <c r="T4284" i="7"/>
  <c r="T4285" i="7"/>
  <c r="T4286" i="7"/>
  <c r="T4287" i="7"/>
  <c r="T4288" i="7"/>
  <c r="T4289" i="7"/>
  <c r="T4290" i="7"/>
  <c r="T4291" i="7"/>
  <c r="T4292" i="7"/>
  <c r="T4293" i="7"/>
  <c r="T4294" i="7"/>
  <c r="T4295" i="7"/>
  <c r="T4296" i="7"/>
  <c r="T4297" i="7"/>
  <c r="T4298" i="7"/>
  <c r="T4299" i="7"/>
  <c r="T4300" i="7"/>
  <c r="T4301" i="7"/>
  <c r="T4302" i="7"/>
  <c r="T4303" i="7"/>
  <c r="T4304" i="7"/>
  <c r="T4305" i="7"/>
  <c r="T4306" i="7"/>
  <c r="T4307" i="7"/>
  <c r="T4308" i="7"/>
  <c r="T4309" i="7"/>
  <c r="T4310" i="7"/>
  <c r="T4311" i="7"/>
  <c r="T4312" i="7"/>
  <c r="T4313" i="7"/>
  <c r="T4314" i="7"/>
  <c r="T4315" i="7"/>
  <c r="T4316" i="7"/>
  <c r="T4317" i="7"/>
  <c r="T4318" i="7"/>
  <c r="T4319" i="7"/>
  <c r="T4320" i="7"/>
  <c r="T4321" i="7"/>
  <c r="T4322" i="7"/>
  <c r="T4323" i="7"/>
  <c r="T4324" i="7"/>
  <c r="T4325" i="7"/>
  <c r="T4326" i="7"/>
  <c r="T4327" i="7"/>
  <c r="T4328" i="7"/>
  <c r="T4329" i="7"/>
  <c r="T4330" i="7"/>
  <c r="T4331" i="7"/>
  <c r="T4332" i="7"/>
  <c r="T4333" i="7"/>
  <c r="T4334" i="7"/>
  <c r="T4335" i="7"/>
  <c r="T4336" i="7"/>
  <c r="T4337" i="7"/>
  <c r="T4338" i="7"/>
  <c r="T4339" i="7"/>
  <c r="T4340" i="7"/>
  <c r="T4341" i="7"/>
  <c r="T4342" i="7"/>
  <c r="T4343" i="7"/>
  <c r="T4344" i="7"/>
  <c r="T4345" i="7"/>
  <c r="T4346" i="7"/>
  <c r="T4347" i="7"/>
  <c r="T4348" i="7"/>
  <c r="T4349" i="7"/>
  <c r="T4350" i="7"/>
  <c r="T4351" i="7"/>
  <c r="T4352" i="7"/>
  <c r="T4353" i="7"/>
  <c r="T4354" i="7"/>
  <c r="T4355" i="7"/>
  <c r="T4356" i="7"/>
  <c r="T4357" i="7"/>
  <c r="T4358" i="7"/>
  <c r="T4359" i="7"/>
  <c r="T4360" i="7"/>
  <c r="T4361" i="7"/>
  <c r="T4362" i="7"/>
  <c r="T4363" i="7"/>
  <c r="T4364" i="7"/>
  <c r="T4365" i="7"/>
  <c r="T4366" i="7"/>
  <c r="T4367" i="7"/>
  <c r="T4368" i="7"/>
  <c r="T4369" i="7"/>
  <c r="T4370" i="7"/>
  <c r="T4371" i="7"/>
  <c r="T4372" i="7"/>
  <c r="T4373" i="7"/>
  <c r="T4374" i="7"/>
  <c r="T4375" i="7"/>
  <c r="T4376" i="7"/>
  <c r="T4377" i="7"/>
  <c r="T4378" i="7"/>
  <c r="T4379" i="7"/>
  <c r="T4380" i="7"/>
  <c r="T4381" i="7"/>
  <c r="T4382" i="7"/>
  <c r="T4383" i="7"/>
  <c r="T4384" i="7"/>
  <c r="T4385" i="7"/>
  <c r="T4386" i="7"/>
  <c r="T4387" i="7"/>
  <c r="T4388" i="7"/>
  <c r="T4389" i="7"/>
  <c r="T4390" i="7"/>
  <c r="T4391" i="7"/>
  <c r="T4392" i="7"/>
  <c r="T4393" i="7"/>
  <c r="T4394" i="7"/>
  <c r="T4395" i="7"/>
  <c r="T4396" i="7"/>
  <c r="T4397" i="7"/>
  <c r="T4398" i="7"/>
  <c r="T4399" i="7"/>
  <c r="T4400" i="7"/>
  <c r="T4401" i="7"/>
  <c r="T4402" i="7"/>
  <c r="T4403" i="7"/>
  <c r="T4404" i="7"/>
  <c r="T4405" i="7"/>
  <c r="T4406" i="7"/>
  <c r="T4407" i="7"/>
  <c r="T4408" i="7"/>
  <c r="T4409" i="7"/>
  <c r="T4410" i="7"/>
  <c r="T4411" i="7"/>
  <c r="T4412" i="7"/>
  <c r="T4413" i="7"/>
  <c r="T4414" i="7"/>
  <c r="T4415" i="7"/>
  <c r="T4416" i="7"/>
  <c r="T4417" i="7"/>
  <c r="T4418" i="7"/>
  <c r="T4419" i="7"/>
  <c r="T4420" i="7"/>
  <c r="T4421" i="7"/>
  <c r="T4422" i="7"/>
  <c r="T4423" i="7"/>
  <c r="T4424" i="7"/>
  <c r="T4425" i="7"/>
  <c r="T4426" i="7"/>
  <c r="T4427" i="7"/>
  <c r="T4428" i="7"/>
  <c r="T4429" i="7"/>
  <c r="T4430" i="7"/>
  <c r="T4431" i="7"/>
  <c r="T4432" i="7"/>
  <c r="T4433" i="7"/>
  <c r="T4434" i="7"/>
  <c r="T4435" i="7"/>
  <c r="T4436" i="7"/>
  <c r="T4437" i="7"/>
  <c r="T4438" i="7"/>
  <c r="T4439" i="7"/>
  <c r="T4440" i="7"/>
  <c r="T4441" i="7"/>
  <c r="T4442" i="7"/>
  <c r="T4443" i="7"/>
  <c r="T4444" i="7"/>
  <c r="T4445" i="7"/>
  <c r="T4446" i="7"/>
  <c r="T4447" i="7"/>
  <c r="T4448" i="7"/>
  <c r="T4449" i="7"/>
  <c r="T4450" i="7"/>
  <c r="T4451" i="7"/>
  <c r="T4452" i="7"/>
  <c r="T4453" i="7"/>
  <c r="T4454" i="7"/>
  <c r="T4455" i="7"/>
  <c r="T4456" i="7"/>
  <c r="T4457" i="7"/>
  <c r="T4458" i="7"/>
  <c r="T4459" i="7"/>
  <c r="T4460" i="7"/>
  <c r="T4461" i="7"/>
  <c r="T4462" i="7"/>
  <c r="T4463" i="7"/>
  <c r="T4464" i="7"/>
  <c r="T4465" i="7"/>
  <c r="T4466" i="7"/>
  <c r="T4467" i="7"/>
  <c r="T4468" i="7"/>
  <c r="T4469" i="7"/>
  <c r="T4470" i="7"/>
  <c r="T4471" i="7"/>
  <c r="T4472" i="7"/>
  <c r="T4473" i="7"/>
  <c r="T4474" i="7"/>
  <c r="T4475" i="7"/>
  <c r="T4476" i="7"/>
  <c r="T4477" i="7"/>
  <c r="T4478" i="7"/>
  <c r="T4479" i="7"/>
  <c r="T4480" i="7"/>
  <c r="T4481" i="7"/>
  <c r="T4482" i="7"/>
  <c r="T4483" i="7"/>
  <c r="T4484" i="7"/>
  <c r="T4485" i="7"/>
  <c r="T4486" i="7"/>
  <c r="T4487" i="7"/>
  <c r="T4488" i="7"/>
  <c r="T4489" i="7"/>
  <c r="T4490" i="7"/>
  <c r="T4491" i="7"/>
  <c r="T4492" i="7"/>
  <c r="T4493" i="7"/>
  <c r="T4494" i="7"/>
  <c r="T4495" i="7"/>
  <c r="T4496" i="7"/>
  <c r="T4497" i="7"/>
  <c r="T4498" i="7"/>
  <c r="T4499" i="7"/>
  <c r="T4500" i="7"/>
  <c r="T4501" i="7"/>
  <c r="T4502" i="7"/>
  <c r="T4503" i="7"/>
  <c r="T4504" i="7"/>
  <c r="T4505" i="7"/>
  <c r="T4506" i="7"/>
  <c r="T4507" i="7"/>
  <c r="T4508" i="7"/>
  <c r="T4509" i="7"/>
  <c r="T4510" i="7"/>
  <c r="T4511" i="7"/>
  <c r="T4512" i="7"/>
  <c r="T4513" i="7"/>
  <c r="T4514" i="7"/>
  <c r="T4515" i="7"/>
  <c r="T4516" i="7"/>
  <c r="T4517" i="7"/>
  <c r="T4518" i="7"/>
  <c r="T4519" i="7"/>
  <c r="T4520" i="7"/>
  <c r="T4521" i="7"/>
  <c r="T4522" i="7"/>
  <c r="T4523" i="7"/>
  <c r="T4524" i="7"/>
  <c r="T4525" i="7"/>
  <c r="T4526" i="7"/>
  <c r="T4527" i="7"/>
  <c r="T4528" i="7"/>
  <c r="T4529" i="7"/>
  <c r="T4530" i="7"/>
  <c r="T4531" i="7"/>
  <c r="T4532" i="7"/>
  <c r="T4533" i="7"/>
  <c r="T4534" i="7"/>
  <c r="T4535" i="7"/>
  <c r="T4536" i="7"/>
  <c r="T4537" i="7"/>
  <c r="T4538" i="7"/>
  <c r="T4539" i="7"/>
  <c r="T4540" i="7"/>
  <c r="T4541" i="7"/>
  <c r="T4542" i="7"/>
  <c r="T4543" i="7"/>
  <c r="T4544" i="7"/>
  <c r="T4545" i="7"/>
  <c r="T4546" i="7"/>
  <c r="T4547" i="7"/>
  <c r="T4548" i="7"/>
  <c r="T4549" i="7"/>
  <c r="T4550" i="7"/>
  <c r="T4551" i="7"/>
  <c r="T4552" i="7"/>
  <c r="T4553" i="7"/>
  <c r="T4554" i="7"/>
  <c r="T4555" i="7"/>
  <c r="T4556" i="7"/>
  <c r="T4557" i="7"/>
  <c r="T4558" i="7"/>
  <c r="T4559" i="7"/>
  <c r="T4560" i="7"/>
  <c r="T4561" i="7"/>
  <c r="T4562" i="7"/>
  <c r="T4563" i="7"/>
  <c r="T4564" i="7"/>
  <c r="T4565" i="7"/>
  <c r="T4566" i="7"/>
  <c r="T4567" i="7"/>
  <c r="T4568" i="7"/>
  <c r="T4569" i="7"/>
  <c r="T4570" i="7"/>
  <c r="T4571" i="7"/>
  <c r="T4572" i="7"/>
  <c r="T4573" i="7"/>
  <c r="T4574" i="7"/>
  <c r="T4575" i="7"/>
  <c r="T4576" i="7"/>
  <c r="T4577" i="7"/>
  <c r="T4578" i="7"/>
  <c r="T4579" i="7"/>
  <c r="T4580" i="7"/>
  <c r="T4581" i="7"/>
  <c r="T4582" i="7"/>
  <c r="T4583" i="7"/>
  <c r="T4584" i="7"/>
  <c r="T4585" i="7"/>
  <c r="T4586" i="7"/>
  <c r="T4587" i="7"/>
  <c r="T4588" i="7"/>
  <c r="T4589" i="7"/>
  <c r="T4590" i="7"/>
  <c r="T4591" i="7"/>
  <c r="T4592" i="7"/>
  <c r="T4593" i="7"/>
  <c r="T4594" i="7"/>
  <c r="T4595" i="7"/>
  <c r="T4596" i="7"/>
  <c r="T4597" i="7"/>
  <c r="T4598" i="7"/>
  <c r="T4599" i="7"/>
  <c r="T4600" i="7"/>
  <c r="T4601" i="7"/>
  <c r="T4602" i="7"/>
  <c r="T4603" i="7"/>
  <c r="T4604" i="7"/>
  <c r="T4605" i="7"/>
  <c r="T4606" i="7"/>
  <c r="T4607" i="7"/>
  <c r="T4608" i="7"/>
  <c r="T4609" i="7"/>
  <c r="T4610" i="7"/>
  <c r="T4611" i="7"/>
  <c r="T4612" i="7"/>
  <c r="T4613" i="7"/>
  <c r="T4614" i="7"/>
  <c r="T4615" i="7"/>
  <c r="T4616" i="7"/>
  <c r="T4617" i="7"/>
  <c r="T4618" i="7"/>
  <c r="T4619" i="7"/>
  <c r="T4620" i="7"/>
  <c r="T4621" i="7"/>
  <c r="T4622" i="7"/>
  <c r="T4623" i="7"/>
  <c r="T4624" i="7"/>
  <c r="T4625" i="7"/>
  <c r="T4626" i="7"/>
  <c r="T4627" i="7"/>
  <c r="T4628" i="7"/>
  <c r="T4629" i="7"/>
  <c r="T4630" i="7"/>
  <c r="T4631" i="7"/>
  <c r="T4632" i="7"/>
  <c r="T4633" i="7"/>
  <c r="T4634" i="7"/>
  <c r="T4635" i="7"/>
  <c r="T4636" i="7"/>
  <c r="T4637" i="7"/>
  <c r="T4638" i="7"/>
  <c r="T4639" i="7"/>
  <c r="T4640" i="7"/>
  <c r="T4641" i="7"/>
  <c r="T4642" i="7"/>
  <c r="T4643" i="7"/>
  <c r="T4644" i="7"/>
  <c r="T4645" i="7"/>
  <c r="T4646" i="7"/>
  <c r="T4647" i="7"/>
  <c r="T4648" i="7"/>
  <c r="T4649" i="7"/>
  <c r="T4650" i="7"/>
  <c r="T4651" i="7"/>
  <c r="T4652" i="7"/>
  <c r="T4653" i="7"/>
  <c r="T4654" i="7"/>
  <c r="T4655" i="7"/>
  <c r="T4656" i="7"/>
  <c r="T4657" i="7"/>
  <c r="T4658" i="7"/>
  <c r="T4659" i="7"/>
  <c r="T4660" i="7"/>
  <c r="T4661" i="7"/>
  <c r="T4662" i="7"/>
  <c r="T4663" i="7"/>
  <c r="T4664" i="7"/>
  <c r="T4665" i="7"/>
  <c r="T4666" i="7"/>
  <c r="T4667" i="7"/>
  <c r="T4668" i="7"/>
  <c r="T4669" i="7"/>
  <c r="T4670" i="7"/>
  <c r="T4671" i="7"/>
  <c r="T4672" i="7"/>
  <c r="T4673" i="7"/>
  <c r="T4674" i="7"/>
  <c r="T4675" i="7"/>
  <c r="T4676" i="7"/>
  <c r="T4677" i="7"/>
  <c r="T4678" i="7"/>
  <c r="T4679" i="7"/>
  <c r="T4680" i="7"/>
  <c r="T4681" i="7"/>
  <c r="T4682" i="7"/>
  <c r="T4683" i="7"/>
  <c r="T4684" i="7"/>
  <c r="T4685" i="7"/>
  <c r="T4686" i="7"/>
  <c r="T4687" i="7"/>
  <c r="T4688" i="7"/>
  <c r="T4689" i="7"/>
  <c r="T4690" i="7"/>
  <c r="T4691" i="7"/>
  <c r="T4692" i="7"/>
  <c r="T4693" i="7"/>
  <c r="T4694" i="7"/>
  <c r="T4695" i="7"/>
  <c r="T4696" i="7"/>
  <c r="T4697" i="7"/>
  <c r="T4698" i="7"/>
  <c r="T4699" i="7"/>
  <c r="T4700" i="7"/>
  <c r="T4701" i="7"/>
  <c r="T4702" i="7"/>
  <c r="T4703" i="7"/>
  <c r="T4704" i="7"/>
  <c r="T4705" i="7"/>
  <c r="T4706" i="7"/>
  <c r="T4707" i="7"/>
  <c r="T4708" i="7"/>
  <c r="T4709" i="7"/>
  <c r="T4710" i="7"/>
  <c r="T4711" i="7"/>
  <c r="T4712" i="7"/>
  <c r="T4713" i="7"/>
  <c r="T4714" i="7"/>
  <c r="T4715" i="7"/>
  <c r="T4716" i="7"/>
  <c r="T4717" i="7"/>
  <c r="T4718" i="7"/>
  <c r="T4719" i="7"/>
  <c r="T4720" i="7"/>
  <c r="T4721" i="7"/>
  <c r="T4722" i="7"/>
  <c r="T4723" i="7"/>
  <c r="T4724" i="7"/>
  <c r="T4725" i="7"/>
  <c r="T4726" i="7"/>
  <c r="T4727" i="7"/>
  <c r="T4728" i="7"/>
  <c r="T4729" i="7"/>
  <c r="T4730" i="7"/>
  <c r="T4731" i="7"/>
  <c r="T4732" i="7"/>
  <c r="T4733" i="7"/>
  <c r="T4734" i="7"/>
  <c r="T4735" i="7"/>
  <c r="T4736" i="7"/>
  <c r="T4737" i="7"/>
  <c r="T4738" i="7"/>
  <c r="T4739" i="7"/>
  <c r="T4740" i="7"/>
  <c r="T4741" i="7"/>
  <c r="T4742" i="7"/>
  <c r="T4743" i="7"/>
  <c r="T4744" i="7"/>
  <c r="T4745" i="7"/>
  <c r="T4746" i="7"/>
  <c r="T4747" i="7"/>
  <c r="T4748" i="7"/>
  <c r="T4749" i="7"/>
  <c r="T4750" i="7"/>
  <c r="T4751" i="7"/>
  <c r="T4752" i="7"/>
  <c r="T4753" i="7"/>
  <c r="T4754" i="7"/>
  <c r="T4755" i="7"/>
  <c r="T4756" i="7"/>
  <c r="T4757" i="7"/>
  <c r="T4758" i="7"/>
  <c r="T4759" i="7"/>
  <c r="T4760" i="7"/>
  <c r="T4761" i="7"/>
  <c r="T4762" i="7"/>
  <c r="T4763" i="7"/>
  <c r="T4764" i="7"/>
  <c r="T4765" i="7"/>
  <c r="T4766" i="7"/>
  <c r="T4767" i="7"/>
  <c r="T4768" i="7"/>
  <c r="T4769" i="7"/>
  <c r="T4770" i="7"/>
  <c r="T4771" i="7"/>
  <c r="T4772" i="7"/>
  <c r="T4773" i="7"/>
  <c r="T4774" i="7"/>
  <c r="T4775" i="7"/>
  <c r="T4776" i="7"/>
  <c r="T4777" i="7"/>
  <c r="T4778" i="7"/>
  <c r="T4779" i="7"/>
  <c r="T4780" i="7"/>
  <c r="T4781" i="7"/>
  <c r="T4782" i="7"/>
  <c r="T4783" i="7"/>
  <c r="T4784" i="7"/>
  <c r="T4785" i="7"/>
  <c r="T4786" i="7"/>
  <c r="T4787" i="7"/>
  <c r="T4788" i="7"/>
  <c r="T4789" i="7"/>
  <c r="T4790" i="7"/>
  <c r="T4791" i="7"/>
  <c r="T4792" i="7"/>
  <c r="T4793" i="7"/>
  <c r="T4794" i="7"/>
  <c r="T4795" i="7"/>
  <c r="T4796" i="7"/>
  <c r="T4797" i="7"/>
  <c r="T4798" i="7"/>
  <c r="T4799" i="7"/>
  <c r="T4800" i="7"/>
  <c r="T4801" i="7"/>
  <c r="T4802" i="7"/>
  <c r="T4803" i="7"/>
  <c r="T4804" i="7"/>
  <c r="T4805" i="7"/>
  <c r="T4806" i="7"/>
  <c r="T4807" i="7"/>
  <c r="T4808" i="7"/>
  <c r="T4809" i="7"/>
  <c r="T4810" i="7"/>
  <c r="T4811" i="7"/>
  <c r="T4812" i="7"/>
  <c r="T4813" i="7"/>
  <c r="T4814" i="7"/>
  <c r="T4815" i="7"/>
  <c r="T4816" i="7"/>
  <c r="T4817" i="7"/>
  <c r="T4818" i="7"/>
  <c r="T4819" i="7"/>
  <c r="T4820" i="7"/>
  <c r="T4821" i="7"/>
  <c r="T4822" i="7"/>
  <c r="T4823" i="7"/>
  <c r="T4824" i="7"/>
  <c r="T4825" i="7"/>
  <c r="T4826" i="7"/>
  <c r="T4827" i="7"/>
  <c r="T4828" i="7"/>
  <c r="T4829" i="7"/>
  <c r="T4830" i="7"/>
  <c r="T4831" i="7"/>
  <c r="T4832" i="7"/>
  <c r="T4833" i="7"/>
  <c r="T4834" i="7"/>
  <c r="T4835" i="7"/>
  <c r="T4836" i="7"/>
  <c r="T4837" i="7"/>
  <c r="T4838" i="7"/>
  <c r="T4839" i="7"/>
  <c r="T4840" i="7"/>
  <c r="T4841" i="7"/>
  <c r="T4842" i="7"/>
  <c r="T4843" i="7"/>
  <c r="T4844" i="7"/>
  <c r="T4845" i="7"/>
  <c r="T4846" i="7"/>
  <c r="T4847" i="7"/>
  <c r="T4848" i="7"/>
  <c r="T4849" i="7"/>
  <c r="T4850" i="7"/>
  <c r="T4851" i="7"/>
  <c r="T4852" i="7"/>
  <c r="T4853" i="7"/>
  <c r="T4854" i="7"/>
  <c r="T4855" i="7"/>
  <c r="T4856" i="7"/>
  <c r="T4857" i="7"/>
  <c r="T4858" i="7"/>
  <c r="T4859" i="7"/>
  <c r="T4860" i="7"/>
  <c r="T4861" i="7"/>
  <c r="T4862" i="7"/>
  <c r="T4863" i="7"/>
  <c r="T4864" i="7"/>
  <c r="T4865" i="7"/>
  <c r="T4866" i="7"/>
  <c r="T4867" i="7"/>
  <c r="T4868" i="7"/>
  <c r="T4869" i="7"/>
  <c r="T4870" i="7"/>
  <c r="T4871" i="7"/>
  <c r="T4872" i="7"/>
  <c r="T4873" i="7"/>
  <c r="T4874" i="7"/>
  <c r="T4875" i="7"/>
  <c r="T4876" i="7"/>
  <c r="T4877" i="7"/>
  <c r="T4878" i="7"/>
  <c r="T4879" i="7"/>
  <c r="T4880" i="7"/>
  <c r="T4881" i="7"/>
  <c r="T4882" i="7"/>
  <c r="T4883" i="7"/>
  <c r="T4884" i="7"/>
  <c r="T4885" i="7"/>
  <c r="T4886" i="7"/>
  <c r="T4887" i="7"/>
  <c r="T4888" i="7"/>
  <c r="T4889" i="7"/>
  <c r="T4890" i="7"/>
  <c r="T4891" i="7"/>
  <c r="T4892" i="7"/>
  <c r="T4893" i="7"/>
  <c r="T4894" i="7"/>
  <c r="T4895" i="7"/>
  <c r="T4896" i="7"/>
  <c r="T4897" i="7"/>
  <c r="T4898" i="7"/>
  <c r="T4899" i="7"/>
  <c r="T4900" i="7"/>
  <c r="T4901" i="7"/>
  <c r="T4902" i="7"/>
  <c r="T4903" i="7"/>
  <c r="T4904" i="7"/>
  <c r="T4905" i="7"/>
  <c r="T4906" i="7"/>
  <c r="T4907" i="7"/>
  <c r="T4908" i="7"/>
  <c r="T4909" i="7"/>
  <c r="T4910" i="7"/>
  <c r="T4911" i="7"/>
  <c r="T4912" i="7"/>
  <c r="T4913" i="7"/>
  <c r="T4914" i="7"/>
  <c r="T4915" i="7"/>
  <c r="T4916" i="7"/>
  <c r="T4917" i="7"/>
  <c r="T4918" i="7"/>
  <c r="T4919" i="7"/>
  <c r="T4920" i="7"/>
  <c r="T4921" i="7"/>
  <c r="T4922" i="7"/>
  <c r="T4923" i="7"/>
  <c r="T4924" i="7"/>
  <c r="T4925" i="7"/>
  <c r="T4926" i="7"/>
  <c r="T4927" i="7"/>
  <c r="T4928" i="7"/>
  <c r="T4929" i="7"/>
  <c r="T4930" i="7"/>
  <c r="T4931" i="7"/>
  <c r="T4932" i="7"/>
  <c r="T4933" i="7"/>
  <c r="T4934" i="7"/>
  <c r="T4935" i="7"/>
  <c r="T4936" i="7"/>
  <c r="T4937" i="7"/>
  <c r="T4938" i="7"/>
  <c r="T4939" i="7"/>
  <c r="T4940" i="7"/>
  <c r="T4941" i="7"/>
  <c r="T4942" i="7"/>
  <c r="T4943" i="7"/>
  <c r="T4944" i="7"/>
  <c r="T4945" i="7"/>
  <c r="T4946" i="7"/>
  <c r="T4947" i="7"/>
  <c r="T4948" i="7"/>
  <c r="T4949" i="7"/>
  <c r="T4950" i="7"/>
  <c r="T4951" i="7"/>
  <c r="T4952" i="7"/>
  <c r="T4953" i="7"/>
  <c r="T4954" i="7"/>
  <c r="T4955" i="7"/>
  <c r="T4956" i="7"/>
  <c r="T4957" i="7"/>
  <c r="T4958" i="7"/>
  <c r="T4959" i="7"/>
  <c r="T4960" i="7"/>
  <c r="T4961" i="7"/>
  <c r="T4962" i="7"/>
  <c r="T4963" i="7"/>
  <c r="T4964" i="7"/>
  <c r="T4965" i="7"/>
  <c r="T4966" i="7"/>
  <c r="T4967" i="7"/>
  <c r="T4968" i="7"/>
  <c r="T4969" i="7"/>
  <c r="T4970" i="7"/>
  <c r="T4971" i="7"/>
  <c r="T4972" i="7"/>
  <c r="T4973" i="7"/>
  <c r="T4974" i="7"/>
  <c r="T4975" i="7"/>
  <c r="T4976" i="7"/>
  <c r="T4977" i="7"/>
  <c r="T4978" i="7"/>
  <c r="T4979" i="7"/>
  <c r="T4980" i="7"/>
  <c r="T4981" i="7"/>
  <c r="T4982" i="7"/>
  <c r="T4983" i="7"/>
  <c r="T4984" i="7"/>
  <c r="T4985" i="7"/>
  <c r="T4986" i="7"/>
  <c r="T4987" i="7"/>
  <c r="T4988" i="7"/>
  <c r="T4989" i="7"/>
  <c r="T4990" i="7"/>
  <c r="T4991" i="7"/>
  <c r="T4992" i="7"/>
  <c r="T4993" i="7"/>
  <c r="T4994" i="7"/>
  <c r="T4995" i="7"/>
  <c r="T4996" i="7"/>
  <c r="T4997" i="7"/>
  <c r="T4998" i="7"/>
  <c r="T4999" i="7"/>
  <c r="T5000" i="7"/>
  <c r="T5001" i="7"/>
  <c r="T5002" i="7"/>
  <c r="T5003" i="7"/>
  <c r="T5004" i="7"/>
  <c r="T5005" i="7"/>
  <c r="T5006" i="7"/>
  <c r="T5007" i="7"/>
  <c r="T5008" i="7"/>
  <c r="T5009" i="7"/>
  <c r="T5010" i="7"/>
  <c r="T5011" i="7"/>
  <c r="T5012" i="7"/>
  <c r="T5013" i="7"/>
  <c r="T5014" i="7"/>
  <c r="T5015" i="7"/>
  <c r="T5016" i="7"/>
  <c r="T5017" i="7"/>
  <c r="T5018" i="7"/>
  <c r="T5019" i="7"/>
  <c r="T5020" i="7"/>
  <c r="T5021" i="7"/>
  <c r="T5022" i="7"/>
  <c r="T5023" i="7"/>
  <c r="T5024" i="7"/>
  <c r="T5025" i="7"/>
  <c r="T5026" i="7"/>
  <c r="T5027" i="7"/>
  <c r="T5028" i="7"/>
  <c r="T5029" i="7"/>
  <c r="T5030" i="7"/>
  <c r="T5031" i="7"/>
  <c r="T5032" i="7"/>
  <c r="T5033" i="7"/>
  <c r="T5034" i="7"/>
  <c r="T5035" i="7"/>
  <c r="T5036" i="7"/>
  <c r="T5037" i="7"/>
  <c r="T5038" i="7"/>
  <c r="T5039" i="7"/>
  <c r="T5040" i="7"/>
  <c r="T5041" i="7"/>
  <c r="T5042" i="7"/>
  <c r="T5043" i="7"/>
  <c r="T5044" i="7"/>
  <c r="T5045" i="7"/>
  <c r="T5046" i="7"/>
  <c r="T5047" i="7"/>
  <c r="T5048" i="7"/>
  <c r="T5049" i="7"/>
  <c r="T5050" i="7"/>
  <c r="T5051" i="7"/>
  <c r="T5052" i="7"/>
  <c r="T5053" i="7"/>
  <c r="T5054" i="7"/>
  <c r="T5055" i="7"/>
  <c r="T5056" i="7"/>
  <c r="T5057" i="7"/>
  <c r="T5058" i="7"/>
  <c r="T5059" i="7"/>
  <c r="T5060" i="7"/>
  <c r="T5061" i="7"/>
  <c r="T5062" i="7"/>
  <c r="T5063" i="7"/>
  <c r="T5064" i="7"/>
  <c r="T5065" i="7"/>
  <c r="T5066" i="7"/>
  <c r="T5067" i="7"/>
  <c r="T5068" i="7"/>
  <c r="T5069" i="7"/>
  <c r="T5070" i="7"/>
  <c r="T5071" i="7"/>
  <c r="T5072" i="7"/>
  <c r="T5073" i="7"/>
  <c r="T5074" i="7"/>
  <c r="T5075" i="7"/>
  <c r="T5076" i="7"/>
  <c r="T5077" i="7"/>
  <c r="T5078" i="7"/>
  <c r="T5079" i="7"/>
  <c r="T5080" i="7"/>
  <c r="T5081" i="7"/>
  <c r="T5082" i="7"/>
  <c r="T5083" i="7"/>
  <c r="T5084" i="7"/>
  <c r="T5085" i="7"/>
  <c r="T5086" i="7"/>
  <c r="T5087" i="7"/>
  <c r="T5088" i="7"/>
  <c r="T5089" i="7"/>
  <c r="T5090" i="7"/>
  <c r="T5091" i="7"/>
  <c r="T5092" i="7"/>
  <c r="T5093" i="7"/>
  <c r="T5094" i="7"/>
  <c r="T5095" i="7"/>
  <c r="T5096" i="7"/>
  <c r="T5097" i="7"/>
  <c r="T5098" i="7"/>
  <c r="T5099" i="7"/>
  <c r="T5100" i="7"/>
  <c r="T5101" i="7"/>
  <c r="T5102" i="7"/>
  <c r="T5103" i="7"/>
  <c r="T5104" i="7"/>
  <c r="T5105" i="7"/>
  <c r="T5106" i="7"/>
  <c r="T5107" i="7"/>
  <c r="T5108" i="7"/>
  <c r="T5109" i="7"/>
  <c r="T5110" i="7"/>
  <c r="T5111" i="7"/>
  <c r="T5112" i="7"/>
  <c r="T5113" i="7"/>
  <c r="T5114" i="7"/>
  <c r="T5115" i="7"/>
  <c r="T5116" i="7"/>
  <c r="T5117" i="7"/>
  <c r="T5118" i="7"/>
  <c r="T5119" i="7"/>
  <c r="T5120" i="7"/>
  <c r="T5121" i="7"/>
  <c r="T5122" i="7"/>
  <c r="T5123" i="7"/>
  <c r="T5124" i="7"/>
  <c r="T5125" i="7"/>
  <c r="T5126" i="7"/>
  <c r="T5127" i="7"/>
  <c r="T5128" i="7"/>
  <c r="T5129" i="7"/>
  <c r="T5130" i="7"/>
  <c r="T5131" i="7"/>
  <c r="T5132" i="7"/>
  <c r="T5133" i="7"/>
  <c r="T5134" i="7"/>
  <c r="T5135" i="7"/>
  <c r="T5136" i="7"/>
  <c r="T5137" i="7"/>
  <c r="T5138" i="7"/>
  <c r="T5139" i="7"/>
  <c r="T5140" i="7"/>
  <c r="T5141" i="7"/>
  <c r="T5142" i="7"/>
  <c r="T5143" i="7"/>
  <c r="T5144" i="7"/>
  <c r="T5145" i="7"/>
  <c r="T5146" i="7"/>
  <c r="T5147" i="7"/>
  <c r="T5148" i="7"/>
  <c r="T5149" i="7"/>
  <c r="T5150" i="7"/>
  <c r="T5151" i="7"/>
  <c r="T5152" i="7"/>
  <c r="T5153" i="7"/>
  <c r="T5154" i="7"/>
  <c r="T5155" i="7"/>
  <c r="T5156" i="7"/>
  <c r="T5157" i="7"/>
  <c r="T5158" i="7"/>
  <c r="T5159" i="7"/>
  <c r="T5160" i="7"/>
  <c r="T5161" i="7"/>
  <c r="T5162" i="7"/>
  <c r="T5163" i="7"/>
  <c r="T5164" i="7"/>
  <c r="T5165" i="7"/>
  <c r="T5166" i="7"/>
  <c r="T5167" i="7"/>
  <c r="T5168" i="7"/>
  <c r="T5169" i="7"/>
  <c r="T5170" i="7"/>
  <c r="T5171" i="7"/>
  <c r="T5172" i="7"/>
  <c r="T5173" i="7"/>
  <c r="T5174" i="7"/>
  <c r="T5175" i="7"/>
  <c r="T5176" i="7"/>
  <c r="T5177" i="7"/>
  <c r="T5178" i="7"/>
  <c r="T5179" i="7"/>
  <c r="T5180" i="7"/>
  <c r="T5181" i="7"/>
  <c r="T5182" i="7"/>
  <c r="T5183" i="7"/>
  <c r="T5184" i="7"/>
  <c r="T5185" i="7"/>
  <c r="T5186" i="7"/>
  <c r="T5187" i="7"/>
  <c r="T5188" i="7"/>
  <c r="T5189" i="7"/>
  <c r="T5190" i="7"/>
  <c r="T5191" i="7"/>
  <c r="T5192" i="7"/>
  <c r="T5193" i="7"/>
  <c r="T5194" i="7"/>
  <c r="T5195" i="7"/>
  <c r="T5196" i="7"/>
  <c r="T5197" i="7"/>
  <c r="T5198" i="7"/>
  <c r="T5199" i="7"/>
  <c r="T5200" i="7"/>
  <c r="T5201" i="7"/>
  <c r="T5202" i="7"/>
  <c r="T5203" i="7"/>
  <c r="T5204" i="7"/>
  <c r="T5205" i="7"/>
  <c r="T5206" i="7"/>
  <c r="T5207" i="7"/>
  <c r="T5208" i="7"/>
  <c r="T5209" i="7"/>
  <c r="T5210" i="7"/>
  <c r="T5211" i="7"/>
  <c r="T5212" i="7"/>
  <c r="T5213" i="7"/>
  <c r="T5214" i="7"/>
  <c r="T5215" i="7"/>
  <c r="T5216" i="7"/>
  <c r="T5217" i="7"/>
  <c r="T5218" i="7"/>
  <c r="T5219" i="7"/>
  <c r="T5220" i="7"/>
  <c r="T5221" i="7"/>
  <c r="T5222" i="7"/>
  <c r="T5223" i="7"/>
  <c r="T5224" i="7"/>
  <c r="T5225" i="7"/>
  <c r="T5226" i="7"/>
  <c r="T5227" i="7"/>
  <c r="T5228" i="7"/>
  <c r="T5229" i="7"/>
  <c r="T5230" i="7"/>
  <c r="T5231" i="7"/>
  <c r="T5232" i="7"/>
  <c r="T5233" i="7"/>
  <c r="T5234" i="7"/>
  <c r="T5235" i="7"/>
  <c r="T5236" i="7"/>
  <c r="T5237" i="7"/>
  <c r="T5238" i="7"/>
  <c r="T5239" i="7"/>
  <c r="T5240" i="7"/>
  <c r="T5241" i="7"/>
  <c r="T5242" i="7"/>
  <c r="T5243" i="7"/>
  <c r="T5244" i="7"/>
  <c r="T5245" i="7"/>
  <c r="T5246" i="7"/>
  <c r="T5247" i="7"/>
  <c r="T5248" i="7"/>
  <c r="T5249" i="7"/>
  <c r="T5250" i="7"/>
  <c r="T5251" i="7"/>
  <c r="T5252" i="7"/>
  <c r="T5253" i="7"/>
  <c r="T5254" i="7"/>
  <c r="T5255" i="7"/>
  <c r="T5256" i="7"/>
  <c r="T5257" i="7"/>
  <c r="T5258" i="7"/>
  <c r="T5259" i="7"/>
  <c r="T5260" i="7"/>
  <c r="T5261" i="7"/>
  <c r="T5262" i="7"/>
  <c r="T5263" i="7"/>
  <c r="T5264" i="7"/>
  <c r="T5265" i="7"/>
  <c r="T5266" i="7"/>
  <c r="T5267" i="7"/>
  <c r="T5268" i="7"/>
  <c r="T5269" i="7"/>
  <c r="T5270" i="7"/>
  <c r="T5271" i="7"/>
  <c r="T5272" i="7"/>
  <c r="T5273" i="7"/>
  <c r="T5274" i="7"/>
  <c r="T5275" i="7"/>
  <c r="T5276" i="7"/>
  <c r="T5277" i="7"/>
  <c r="T5278" i="7"/>
  <c r="T5279" i="7"/>
  <c r="T5280" i="7"/>
  <c r="T5281" i="7"/>
  <c r="T5282" i="7"/>
  <c r="T5283" i="7"/>
  <c r="T5284" i="7"/>
  <c r="T5285" i="7"/>
  <c r="T5286" i="7"/>
  <c r="T5287" i="7"/>
  <c r="T5288" i="7"/>
  <c r="T5289" i="7"/>
  <c r="T5290" i="7"/>
  <c r="T5291" i="7"/>
  <c r="T5292" i="7"/>
  <c r="T5293" i="7"/>
  <c r="T5294" i="7"/>
  <c r="T5295" i="7"/>
  <c r="T5296" i="7"/>
  <c r="T5297" i="7"/>
  <c r="T5298" i="7"/>
  <c r="T5299" i="7"/>
  <c r="T5300" i="7"/>
  <c r="T5301" i="7"/>
  <c r="T5302" i="7"/>
  <c r="T5303" i="7"/>
  <c r="T5304" i="7"/>
  <c r="T5305" i="7"/>
  <c r="T5306" i="7"/>
  <c r="T5307" i="7"/>
  <c r="T5308" i="7"/>
  <c r="T5309" i="7"/>
  <c r="T5310" i="7"/>
  <c r="T5311" i="7"/>
  <c r="T5312" i="7"/>
  <c r="T5313" i="7"/>
  <c r="T5314" i="7"/>
  <c r="T5315" i="7"/>
  <c r="T5316" i="7"/>
  <c r="T5317" i="7"/>
  <c r="T5318" i="7"/>
  <c r="T5319" i="7"/>
  <c r="T5320" i="7"/>
  <c r="T5321" i="7"/>
  <c r="T5322" i="7"/>
  <c r="T5323" i="7"/>
  <c r="T5324" i="7"/>
  <c r="T5325" i="7"/>
  <c r="T5326" i="7"/>
  <c r="T5327" i="7"/>
  <c r="T5328" i="7"/>
  <c r="T5329" i="7"/>
  <c r="T5330" i="7"/>
  <c r="T5331" i="7"/>
  <c r="T5332" i="7"/>
  <c r="T5333" i="7"/>
  <c r="T5334" i="7"/>
  <c r="T5335" i="7"/>
  <c r="T5336" i="7"/>
  <c r="T5337" i="7"/>
  <c r="T5338" i="7"/>
  <c r="T5339" i="7"/>
  <c r="T5340" i="7"/>
  <c r="T5341" i="7"/>
  <c r="T5342" i="7"/>
  <c r="T5343" i="7"/>
  <c r="T5344" i="7"/>
  <c r="T5345" i="7"/>
  <c r="T5346" i="7"/>
  <c r="T5347" i="7"/>
  <c r="T5348" i="7"/>
  <c r="T5349" i="7"/>
  <c r="T5350" i="7"/>
  <c r="T5351" i="7"/>
  <c r="T5352" i="7"/>
  <c r="T5353" i="7"/>
  <c r="T5354" i="7"/>
  <c r="T5355" i="7"/>
  <c r="T5356" i="7"/>
  <c r="T5357" i="7"/>
  <c r="T5358" i="7"/>
  <c r="T5359" i="7"/>
  <c r="T5360" i="7"/>
  <c r="T5361" i="7"/>
  <c r="T5362" i="7"/>
  <c r="T5363" i="7"/>
  <c r="T5364" i="7"/>
  <c r="T5365" i="7"/>
  <c r="T5366" i="7"/>
  <c r="T5367" i="7"/>
  <c r="T5368" i="7"/>
  <c r="T5369" i="7"/>
  <c r="T5370" i="7"/>
  <c r="T5371" i="7"/>
  <c r="T5372" i="7"/>
  <c r="T5373" i="7"/>
  <c r="T5374" i="7"/>
  <c r="T5375" i="7"/>
  <c r="T5376" i="7"/>
  <c r="T5377" i="7"/>
  <c r="T5378" i="7"/>
  <c r="T5379" i="7"/>
  <c r="T5380" i="7"/>
  <c r="T5381" i="7"/>
  <c r="T5382" i="7"/>
  <c r="T5383" i="7"/>
  <c r="T5384" i="7"/>
  <c r="T5385" i="7"/>
  <c r="T5386" i="7"/>
  <c r="T5387" i="7"/>
  <c r="V51" i="24"/>
  <c r="T48" i="24"/>
  <c r="T50" i="24"/>
  <c r="T49" i="24"/>
  <c r="V50" i="24"/>
  <c r="U48" i="24"/>
  <c r="T51" i="24"/>
  <c r="V49" i="24"/>
  <c r="V48" i="24"/>
  <c r="T4" i="7"/>
  <c r="T15" i="10"/>
  <c r="BS100" i="10"/>
  <c r="BW100" i="10"/>
  <c r="CA100" i="10"/>
  <c r="CE100" i="10"/>
  <c r="BS91" i="10"/>
  <c r="BW91" i="10"/>
  <c r="CA91" i="10"/>
  <c r="CE91" i="10"/>
  <c r="BS82" i="10"/>
  <c r="BW82" i="10"/>
  <c r="CA82" i="10"/>
  <c r="CE82" i="10"/>
  <c r="BS73" i="10"/>
  <c r="BW73" i="10"/>
  <c r="CA73" i="10"/>
  <c r="CE73" i="10"/>
  <c r="BP64" i="10"/>
  <c r="BT64" i="10"/>
  <c r="BX64" i="10"/>
  <c r="CB64" i="10"/>
  <c r="CF64" i="10"/>
  <c r="BS55" i="10"/>
  <c r="BW55" i="10"/>
  <c r="CA55" i="10"/>
  <c r="CE55" i="10"/>
  <c r="BS46" i="10"/>
  <c r="BW46" i="10"/>
  <c r="CA46" i="10"/>
  <c r="CE46" i="10"/>
  <c r="BS37" i="10"/>
  <c r="BW37" i="10"/>
  <c r="CA37" i="10"/>
  <c r="CE37" i="10"/>
  <c r="BO37" i="10"/>
  <c r="BT100" i="10"/>
  <c r="CF100" i="10"/>
  <c r="BP91" i="10"/>
  <c r="BX91" i="10"/>
  <c r="CF91" i="10"/>
  <c r="BT82" i="10"/>
  <c r="BX82" i="10"/>
  <c r="CF82" i="10"/>
  <c r="BT73" i="10"/>
  <c r="BX73" i="10"/>
  <c r="CF73" i="10"/>
  <c r="BO64" i="10"/>
  <c r="BU64" i="10"/>
  <c r="CC64" i="10"/>
  <c r="BT55" i="10"/>
  <c r="BX55" i="10"/>
  <c r="CF55" i="10"/>
  <c r="BP46" i="10"/>
  <c r="BX46" i="10"/>
  <c r="CF46" i="10"/>
  <c r="CG100" i="10"/>
  <c r="BQ91" i="10"/>
  <c r="BY91" i="10"/>
  <c r="BU82" i="10"/>
  <c r="CG82" i="10"/>
  <c r="BQ73" i="10"/>
  <c r="CG73" i="10"/>
  <c r="BV64" i="10"/>
  <c r="CH64" i="10"/>
  <c r="BY55" i="10"/>
  <c r="CG55" i="10"/>
  <c r="BQ46" i="10"/>
  <c r="CC46" i="10"/>
  <c r="BO46" i="10"/>
  <c r="BY37" i="10"/>
  <c r="BR100" i="10"/>
  <c r="BV100" i="10"/>
  <c r="BZ100" i="10"/>
  <c r="CH100" i="10"/>
  <c r="BV91" i="10"/>
  <c r="CH91" i="10"/>
  <c r="BZ82" i="10"/>
  <c r="BZ73" i="10"/>
  <c r="CE64" i="10"/>
  <c r="CD55" i="10"/>
  <c r="BR46" i="10"/>
  <c r="BV37" i="10"/>
  <c r="BP100" i="10"/>
  <c r="BX100" i="10"/>
  <c r="CB100" i="10"/>
  <c r="BT91" i="10"/>
  <c r="CB91" i="10"/>
  <c r="BP82" i="10"/>
  <c r="CB82" i="10"/>
  <c r="BP73" i="10"/>
  <c r="CB73" i="10"/>
  <c r="BQ64" i="10"/>
  <c r="BY64" i="10"/>
  <c r="CG64" i="10"/>
  <c r="BP55" i="10"/>
  <c r="CB55" i="10"/>
  <c r="BT46" i="10"/>
  <c r="CB46" i="10"/>
  <c r="BP37" i="10"/>
  <c r="BT37" i="10"/>
  <c r="BX37" i="10"/>
  <c r="CB37" i="10"/>
  <c r="CF37" i="10"/>
  <c r="BO100" i="10"/>
  <c r="CC91" i="10"/>
  <c r="BO91" i="10"/>
  <c r="BY82" i="10"/>
  <c r="BU73" i="10"/>
  <c r="BY73" i="10"/>
  <c r="BR64" i="10"/>
  <c r="CD64" i="10"/>
  <c r="BU55" i="10"/>
  <c r="BO55" i="10"/>
  <c r="BY46" i="10"/>
  <c r="BQ37" i="10"/>
  <c r="CC37" i="10"/>
  <c r="BV82" i="10"/>
  <c r="BR73" i="10"/>
  <c r="CH73" i="10"/>
  <c r="CA64" i="10"/>
  <c r="BV55" i="10"/>
  <c r="BZ46" i="10"/>
  <c r="CH46" i="10"/>
  <c r="CD37" i="10"/>
  <c r="BQ100" i="10"/>
  <c r="BU100" i="10"/>
  <c r="BY100" i="10"/>
  <c r="CC100" i="10"/>
  <c r="BU91" i="10"/>
  <c r="CG91" i="10"/>
  <c r="BQ82" i="10"/>
  <c r="CC82" i="10"/>
  <c r="BO82" i="10"/>
  <c r="CC73" i="10"/>
  <c r="BO73" i="10"/>
  <c r="BZ64" i="10"/>
  <c r="BQ55" i="10"/>
  <c r="CC55" i="10"/>
  <c r="BU46" i="10"/>
  <c r="CG46" i="10"/>
  <c r="BU37" i="10"/>
  <c r="CG37" i="10"/>
  <c r="BR91" i="10"/>
  <c r="BR82" i="10"/>
  <c r="CH82" i="10"/>
  <c r="BV73" i="10"/>
  <c r="BW64" i="10"/>
  <c r="BR55" i="10"/>
  <c r="CH55" i="10"/>
  <c r="CD46" i="10"/>
  <c r="BZ37" i="10"/>
  <c r="CD100" i="10"/>
  <c r="BZ91" i="10"/>
  <c r="CD91" i="10"/>
  <c r="CD82" i="10"/>
  <c r="CD73" i="10"/>
  <c r="BS64" i="10"/>
  <c r="BZ55" i="10"/>
  <c r="BV46" i="10"/>
  <c r="BR37" i="10"/>
  <c r="CH37" i="10"/>
  <c r="BS28" i="10"/>
  <c r="BW28" i="10"/>
  <c r="CA28" i="10"/>
  <c r="CE28" i="10"/>
  <c r="BR28" i="10"/>
  <c r="BO28" i="10"/>
  <c r="BP28" i="10"/>
  <c r="BT28" i="10"/>
  <c r="BX28" i="10"/>
  <c r="CB28" i="10"/>
  <c r="CF28" i="10"/>
  <c r="BV28" i="10"/>
  <c r="CH28" i="10"/>
  <c r="BQ28" i="10"/>
  <c r="BU28" i="10"/>
  <c r="BY28" i="10"/>
  <c r="CC28" i="10"/>
  <c r="CG28" i="10"/>
  <c r="BZ28" i="10"/>
  <c r="CD28" i="10"/>
  <c r="T196" i="2"/>
  <c r="X196" i="2"/>
  <c r="AB196" i="2"/>
  <c r="AF196" i="2"/>
  <c r="AJ196" i="2"/>
  <c r="T197" i="2"/>
  <c r="X197" i="2"/>
  <c r="AB197" i="2"/>
  <c r="AF197" i="2"/>
  <c r="AJ197" i="2"/>
  <c r="T198" i="2"/>
  <c r="X198" i="2"/>
  <c r="AB198" i="2"/>
  <c r="AF198" i="2"/>
  <c r="AJ198" i="2"/>
  <c r="T199" i="2"/>
  <c r="X199" i="2"/>
  <c r="AB199" i="2"/>
  <c r="AF199" i="2"/>
  <c r="AJ199" i="2"/>
  <c r="T200" i="2"/>
  <c r="X200" i="2"/>
  <c r="AB200" i="2"/>
  <c r="AF200" i="2"/>
  <c r="AJ200" i="2"/>
  <c r="T201" i="2"/>
  <c r="X201" i="2"/>
  <c r="AB201" i="2"/>
  <c r="AF201" i="2"/>
  <c r="AJ201" i="2"/>
  <c r="T202" i="2"/>
  <c r="X202" i="2"/>
  <c r="AB202" i="2"/>
  <c r="AF202" i="2"/>
  <c r="AJ202" i="2"/>
  <c r="T203" i="2"/>
  <c r="X203" i="2"/>
  <c r="AB203" i="2"/>
  <c r="AF203" i="2"/>
  <c r="AJ203" i="2"/>
  <c r="T205" i="2"/>
  <c r="X205" i="2"/>
  <c r="AB205" i="2"/>
  <c r="AF205" i="2"/>
  <c r="AJ205" i="2"/>
  <c r="T206" i="2"/>
  <c r="X206" i="2"/>
  <c r="AB206" i="2"/>
  <c r="AF206" i="2"/>
  <c r="AJ206" i="2"/>
  <c r="T207" i="2"/>
  <c r="X207" i="2"/>
  <c r="AB207" i="2"/>
  <c r="AF207" i="2"/>
  <c r="AJ207" i="2"/>
  <c r="T208" i="2"/>
  <c r="X208" i="2"/>
  <c r="AB208" i="2"/>
  <c r="AF208" i="2"/>
  <c r="AJ208" i="2"/>
  <c r="T209" i="2"/>
  <c r="X209" i="2"/>
  <c r="AB209" i="2"/>
  <c r="AF209" i="2"/>
  <c r="AJ209" i="2"/>
  <c r="T210" i="2"/>
  <c r="X210" i="2"/>
  <c r="AB210" i="2"/>
  <c r="AF210" i="2"/>
  <c r="AJ210" i="2"/>
  <c r="T211" i="2"/>
  <c r="X211" i="2"/>
  <c r="AB211" i="2"/>
  <c r="AF211" i="2"/>
  <c r="AJ211" i="2"/>
  <c r="T212" i="2"/>
  <c r="X212" i="2"/>
  <c r="AB212" i="2"/>
  <c r="AF212" i="2"/>
  <c r="AJ212" i="2"/>
  <c r="T214" i="2"/>
  <c r="X214" i="2"/>
  <c r="AB214" i="2"/>
  <c r="AF214" i="2"/>
  <c r="AJ214" i="2"/>
  <c r="U196" i="2"/>
  <c r="Y196" i="2"/>
  <c r="AC196" i="2"/>
  <c r="AG196" i="2"/>
  <c r="AK196" i="2"/>
  <c r="U197" i="2"/>
  <c r="Y197" i="2"/>
  <c r="AC197" i="2"/>
  <c r="AG197" i="2"/>
  <c r="AK197" i="2"/>
  <c r="U198" i="2"/>
  <c r="Y198" i="2"/>
  <c r="AC198" i="2"/>
  <c r="AG198" i="2"/>
  <c r="AK198" i="2"/>
  <c r="U199" i="2"/>
  <c r="Y199" i="2"/>
  <c r="AC199" i="2"/>
  <c r="AG199" i="2"/>
  <c r="AK199" i="2"/>
  <c r="U200" i="2"/>
  <c r="Y200" i="2"/>
  <c r="AC200" i="2"/>
  <c r="AG200" i="2"/>
  <c r="AK200" i="2"/>
  <c r="U201" i="2"/>
  <c r="Y201" i="2"/>
  <c r="AC201" i="2"/>
  <c r="AG201" i="2"/>
  <c r="AK201" i="2"/>
  <c r="U202" i="2"/>
  <c r="Y202" i="2"/>
  <c r="AC202" i="2"/>
  <c r="AG202" i="2"/>
  <c r="AK202" i="2"/>
  <c r="U203" i="2"/>
  <c r="Y203" i="2"/>
  <c r="AC203" i="2"/>
  <c r="AG203" i="2"/>
  <c r="AK203" i="2"/>
  <c r="U205" i="2"/>
  <c r="Y205" i="2"/>
  <c r="AC205" i="2"/>
  <c r="AG205" i="2"/>
  <c r="AK205" i="2"/>
  <c r="U206" i="2"/>
  <c r="Y206" i="2"/>
  <c r="AC206" i="2"/>
  <c r="AG206" i="2"/>
  <c r="AK206" i="2"/>
  <c r="U207" i="2"/>
  <c r="Y207" i="2"/>
  <c r="AC207" i="2"/>
  <c r="AG207" i="2"/>
  <c r="AK207" i="2"/>
  <c r="U208" i="2"/>
  <c r="Y208" i="2"/>
  <c r="AC208" i="2"/>
  <c r="AG208" i="2"/>
  <c r="AK208" i="2"/>
  <c r="U209" i="2"/>
  <c r="Y209" i="2"/>
  <c r="AC209" i="2"/>
  <c r="AG209" i="2"/>
  <c r="AK209" i="2"/>
  <c r="U210" i="2"/>
  <c r="Y210" i="2"/>
  <c r="AC210" i="2"/>
  <c r="AG210" i="2"/>
  <c r="AK210" i="2"/>
  <c r="U211" i="2"/>
  <c r="Y211" i="2"/>
  <c r="AC211" i="2"/>
  <c r="AG211" i="2"/>
  <c r="AK211" i="2"/>
  <c r="U212" i="2"/>
  <c r="Y212" i="2"/>
  <c r="AC212" i="2"/>
  <c r="AG212" i="2"/>
  <c r="AK212" i="2"/>
  <c r="U214" i="2"/>
  <c r="Y214" i="2"/>
  <c r="AC214" i="2"/>
  <c r="AG214" i="2"/>
  <c r="AK214" i="2"/>
  <c r="V196" i="2"/>
  <c r="Z196" i="2"/>
  <c r="AD196" i="2"/>
  <c r="AH196" i="2"/>
  <c r="AL196" i="2"/>
  <c r="V197" i="2"/>
  <c r="Z197" i="2"/>
  <c r="AD197" i="2"/>
  <c r="AH197" i="2"/>
  <c r="AL197" i="2"/>
  <c r="V198" i="2"/>
  <c r="Z198" i="2"/>
  <c r="AD198" i="2"/>
  <c r="AH198" i="2"/>
  <c r="AL198" i="2"/>
  <c r="V199" i="2"/>
  <c r="Z199" i="2"/>
  <c r="AD199" i="2"/>
  <c r="AH199" i="2"/>
  <c r="AL199" i="2"/>
  <c r="V200" i="2"/>
  <c r="Z200" i="2"/>
  <c r="AD200" i="2"/>
  <c r="AH200" i="2"/>
  <c r="AL200" i="2"/>
  <c r="V201" i="2"/>
  <c r="Z201" i="2"/>
  <c r="AD201" i="2"/>
  <c r="AH201" i="2"/>
  <c r="AL201" i="2"/>
  <c r="V202" i="2"/>
  <c r="Z202" i="2"/>
  <c r="AD202" i="2"/>
  <c r="AH202" i="2"/>
  <c r="AL202" i="2"/>
  <c r="V203" i="2"/>
  <c r="Z203" i="2"/>
  <c r="AD203" i="2"/>
  <c r="AH203" i="2"/>
  <c r="AL203" i="2"/>
  <c r="V205" i="2"/>
  <c r="Z205" i="2"/>
  <c r="AD205" i="2"/>
  <c r="AH205" i="2"/>
  <c r="AL205" i="2"/>
  <c r="V206" i="2"/>
  <c r="Z206" i="2"/>
  <c r="AD206" i="2"/>
  <c r="AH206" i="2"/>
  <c r="AL206" i="2"/>
  <c r="V207" i="2"/>
  <c r="Z207" i="2"/>
  <c r="AD207" i="2"/>
  <c r="AH207" i="2"/>
  <c r="AL207" i="2"/>
  <c r="V208" i="2"/>
  <c r="Z208" i="2"/>
  <c r="AD208" i="2"/>
  <c r="AH208" i="2"/>
  <c r="AL208" i="2"/>
  <c r="V209" i="2"/>
  <c r="Z209" i="2"/>
  <c r="AD209" i="2"/>
  <c r="AH209" i="2"/>
  <c r="AL209" i="2"/>
  <c r="V210" i="2"/>
  <c r="Z210" i="2"/>
  <c r="AD210" i="2"/>
  <c r="AH210" i="2"/>
  <c r="AL210" i="2"/>
  <c r="V211" i="2"/>
  <c r="Z211" i="2"/>
  <c r="AD211" i="2"/>
  <c r="AH211" i="2"/>
  <c r="AL211" i="2"/>
  <c r="V212" i="2"/>
  <c r="Z212" i="2"/>
  <c r="AD212" i="2"/>
  <c r="AH212" i="2"/>
  <c r="AL212" i="2"/>
  <c r="V214" i="2"/>
  <c r="Z214" i="2"/>
  <c r="AD214" i="2"/>
  <c r="AH214" i="2"/>
  <c r="AL214" i="2"/>
  <c r="W196" i="2"/>
  <c r="AM196" i="2"/>
  <c r="AI197" i="2"/>
  <c r="AE198" i="2"/>
  <c r="AA199" i="2"/>
  <c r="W200" i="2"/>
  <c r="AM200" i="2"/>
  <c r="AI201" i="2"/>
  <c r="AE202" i="2"/>
  <c r="AA203" i="2"/>
  <c r="W205" i="2"/>
  <c r="AM205" i="2"/>
  <c r="AI206" i="2"/>
  <c r="AE207" i="2"/>
  <c r="AA208" i="2"/>
  <c r="W209" i="2"/>
  <c r="AM209" i="2"/>
  <c r="AI210" i="2"/>
  <c r="AE211" i="2"/>
  <c r="AA212" i="2"/>
  <c r="W214" i="2"/>
  <c r="AM214" i="2"/>
  <c r="W215" i="2"/>
  <c r="AA215" i="2"/>
  <c r="AE215" i="2"/>
  <c r="AI215" i="2"/>
  <c r="AM215" i="2"/>
  <c r="W216" i="2"/>
  <c r="AA216" i="2"/>
  <c r="AE216" i="2"/>
  <c r="AI216" i="2"/>
  <c r="AM216" i="2"/>
  <c r="W217" i="2"/>
  <c r="AA217" i="2"/>
  <c r="AE217" i="2"/>
  <c r="AI217" i="2"/>
  <c r="AM217" i="2"/>
  <c r="W218" i="2"/>
  <c r="AA218" i="2"/>
  <c r="AE218" i="2"/>
  <c r="AI218" i="2"/>
  <c r="AM218" i="2"/>
  <c r="W219" i="2"/>
  <c r="AA219" i="2"/>
  <c r="AE219" i="2"/>
  <c r="AI219" i="2"/>
  <c r="AM219" i="2"/>
  <c r="W220" i="2"/>
  <c r="AA220" i="2"/>
  <c r="AE220" i="2"/>
  <c r="AI220" i="2"/>
  <c r="AM220" i="2"/>
  <c r="W221" i="2"/>
  <c r="AA221" i="2"/>
  <c r="AE221" i="2"/>
  <c r="AI221" i="2"/>
  <c r="AM221" i="2"/>
  <c r="W227" i="2"/>
  <c r="AA227" i="2"/>
  <c r="AE227" i="2"/>
  <c r="AI227" i="2"/>
  <c r="AM227" i="2"/>
  <c r="W228" i="2"/>
  <c r="AA228" i="2"/>
  <c r="AE228" i="2"/>
  <c r="AI228" i="2"/>
  <c r="AM228" i="2"/>
  <c r="W229" i="2"/>
  <c r="AA229" i="2"/>
  <c r="AE229" i="2"/>
  <c r="AI229" i="2"/>
  <c r="AM229" i="2"/>
  <c r="W230" i="2"/>
  <c r="AA230" i="2"/>
  <c r="AE230" i="2"/>
  <c r="AI230" i="2"/>
  <c r="AM230" i="2"/>
  <c r="W231" i="2"/>
  <c r="AA231" i="2"/>
  <c r="AE231" i="2"/>
  <c r="AI231" i="2"/>
  <c r="AM231" i="2"/>
  <c r="W232" i="2"/>
  <c r="AA232" i="2"/>
  <c r="AE232" i="2"/>
  <c r="AA196" i="2"/>
  <c r="W197" i="2"/>
  <c r="AM197" i="2"/>
  <c r="AI198" i="2"/>
  <c r="AE199" i="2"/>
  <c r="AA200" i="2"/>
  <c r="W201" i="2"/>
  <c r="AM201" i="2"/>
  <c r="AI202" i="2"/>
  <c r="AE203" i="2"/>
  <c r="AA205" i="2"/>
  <c r="W206" i="2"/>
  <c r="AM206" i="2"/>
  <c r="AI207" i="2"/>
  <c r="AE208" i="2"/>
  <c r="AA209" i="2"/>
  <c r="W210" i="2"/>
  <c r="AM210" i="2"/>
  <c r="AI211" i="2"/>
  <c r="AE212" i="2"/>
  <c r="AA214" i="2"/>
  <c r="T215" i="2"/>
  <c r="X215" i="2"/>
  <c r="AB215" i="2"/>
  <c r="AF215" i="2"/>
  <c r="AJ215" i="2"/>
  <c r="T216" i="2"/>
  <c r="X216" i="2"/>
  <c r="AB216" i="2"/>
  <c r="AF216" i="2"/>
  <c r="AJ216" i="2"/>
  <c r="T217" i="2"/>
  <c r="X217" i="2"/>
  <c r="AB217" i="2"/>
  <c r="AF217" i="2"/>
  <c r="AJ217" i="2"/>
  <c r="T218" i="2"/>
  <c r="X218" i="2"/>
  <c r="AB218" i="2"/>
  <c r="AF218" i="2"/>
  <c r="AJ218" i="2"/>
  <c r="T219" i="2"/>
  <c r="X219" i="2"/>
  <c r="AB219" i="2"/>
  <c r="AF219" i="2"/>
  <c r="AJ219" i="2"/>
  <c r="T220" i="2"/>
  <c r="X220" i="2"/>
  <c r="AB220" i="2"/>
  <c r="AF220" i="2"/>
  <c r="AJ220" i="2"/>
  <c r="T221" i="2"/>
  <c r="X221" i="2"/>
  <c r="AB221" i="2"/>
  <c r="AF221" i="2"/>
  <c r="AJ221" i="2"/>
  <c r="T227" i="2"/>
  <c r="X227" i="2"/>
  <c r="AB227" i="2"/>
  <c r="AF227" i="2"/>
  <c r="AJ227" i="2"/>
  <c r="T228" i="2"/>
  <c r="X228" i="2"/>
  <c r="AB228" i="2"/>
  <c r="AF228" i="2"/>
  <c r="AJ228" i="2"/>
  <c r="T229" i="2"/>
  <c r="X229" i="2"/>
  <c r="AB229" i="2"/>
  <c r="AF229" i="2"/>
  <c r="AJ229" i="2"/>
  <c r="T230" i="2"/>
  <c r="X230" i="2"/>
  <c r="AB230" i="2"/>
  <c r="AF230" i="2"/>
  <c r="AJ230" i="2"/>
  <c r="T231" i="2"/>
  <c r="X231" i="2"/>
  <c r="AB231" i="2"/>
  <c r="AF231" i="2"/>
  <c r="AJ231" i="2"/>
  <c r="T232" i="2"/>
  <c r="X232" i="2"/>
  <c r="AB232" i="2"/>
  <c r="AF232" i="2"/>
  <c r="AE196" i="2"/>
  <c r="AA197" i="2"/>
  <c r="W198" i="2"/>
  <c r="AM198" i="2"/>
  <c r="AI199" i="2"/>
  <c r="AE200" i="2"/>
  <c r="AA201" i="2"/>
  <c r="W202" i="2"/>
  <c r="AM202" i="2"/>
  <c r="AI203" i="2"/>
  <c r="AE205" i="2"/>
  <c r="AA206" i="2"/>
  <c r="W207" i="2"/>
  <c r="AM207" i="2"/>
  <c r="AI208" i="2"/>
  <c r="AE209" i="2"/>
  <c r="AA210" i="2"/>
  <c r="W211" i="2"/>
  <c r="AM211" i="2"/>
  <c r="AI212" i="2"/>
  <c r="AE214" i="2"/>
  <c r="U215" i="2"/>
  <c r="Y215" i="2"/>
  <c r="AC215" i="2"/>
  <c r="AG215" i="2"/>
  <c r="AK215" i="2"/>
  <c r="U216" i="2"/>
  <c r="Y216" i="2"/>
  <c r="AC216" i="2"/>
  <c r="AG216" i="2"/>
  <c r="AK216" i="2"/>
  <c r="U217" i="2"/>
  <c r="Y217" i="2"/>
  <c r="AC217" i="2"/>
  <c r="AG217" i="2"/>
  <c r="AK217" i="2"/>
  <c r="U218" i="2"/>
  <c r="Y218" i="2"/>
  <c r="AC218" i="2"/>
  <c r="AG218" i="2"/>
  <c r="AK218" i="2"/>
  <c r="U219" i="2"/>
  <c r="Y219" i="2"/>
  <c r="AC219" i="2"/>
  <c r="AG219" i="2"/>
  <c r="AK219" i="2"/>
  <c r="U220" i="2"/>
  <c r="Y220" i="2"/>
  <c r="AC220" i="2"/>
  <c r="AG220" i="2"/>
  <c r="AK220" i="2"/>
  <c r="U221" i="2"/>
  <c r="Y221" i="2"/>
  <c r="AC221" i="2"/>
  <c r="AG221" i="2"/>
  <c r="AK221" i="2"/>
  <c r="U227" i="2"/>
  <c r="Y227" i="2"/>
  <c r="AC227" i="2"/>
  <c r="AG227" i="2"/>
  <c r="AK227" i="2"/>
  <c r="U228" i="2"/>
  <c r="Y228" i="2"/>
  <c r="AC228" i="2"/>
  <c r="AG228" i="2"/>
  <c r="AK228" i="2"/>
  <c r="U229" i="2"/>
  <c r="Y229" i="2"/>
  <c r="AC229" i="2"/>
  <c r="AG229" i="2"/>
  <c r="AK229" i="2"/>
  <c r="U230" i="2"/>
  <c r="Y230" i="2"/>
  <c r="AC230" i="2"/>
  <c r="AG230" i="2"/>
  <c r="AK230" i="2"/>
  <c r="U231" i="2"/>
  <c r="Y231" i="2"/>
  <c r="AC231" i="2"/>
  <c r="AG231" i="2"/>
  <c r="AK231" i="2"/>
  <c r="U232" i="2"/>
  <c r="Y232" i="2"/>
  <c r="AC232" i="2"/>
  <c r="AG232" i="2"/>
  <c r="AI196" i="2"/>
  <c r="AM199" i="2"/>
  <c r="W203" i="2"/>
  <c r="AA207" i="2"/>
  <c r="AE210" i="2"/>
  <c r="AI214" i="2"/>
  <c r="AH215" i="2"/>
  <c r="AD216" i="2"/>
  <c r="Z217" i="2"/>
  <c r="V218" i="2"/>
  <c r="AL218" i="2"/>
  <c r="AH219" i="2"/>
  <c r="AD220" i="2"/>
  <c r="Z221" i="2"/>
  <c r="V227" i="2"/>
  <c r="AL227" i="2"/>
  <c r="AH228" i="2"/>
  <c r="AD229" i="2"/>
  <c r="Z230" i="2"/>
  <c r="V231" i="2"/>
  <c r="AL231" i="2"/>
  <c r="AH232" i="2"/>
  <c r="AL232" i="2"/>
  <c r="V233" i="2"/>
  <c r="Z233" i="2"/>
  <c r="AD233" i="2"/>
  <c r="AH233" i="2"/>
  <c r="AL233" i="2"/>
  <c r="V234" i="2"/>
  <c r="Z234" i="2"/>
  <c r="AD234" i="2"/>
  <c r="AH234" i="2"/>
  <c r="AL234" i="2"/>
  <c r="V236" i="2"/>
  <c r="Z236" i="2"/>
  <c r="AD236" i="2"/>
  <c r="AH236" i="2"/>
  <c r="AL236" i="2"/>
  <c r="V237" i="2"/>
  <c r="Z237" i="2"/>
  <c r="AD237" i="2"/>
  <c r="AH237" i="2"/>
  <c r="AL237" i="2"/>
  <c r="V238" i="2"/>
  <c r="Z238" i="2"/>
  <c r="AD238" i="2"/>
  <c r="AH238" i="2"/>
  <c r="AL238" i="2"/>
  <c r="V239" i="2"/>
  <c r="Z239" i="2"/>
  <c r="AD239" i="2"/>
  <c r="AH239" i="2"/>
  <c r="AL239" i="2"/>
  <c r="V240" i="2"/>
  <c r="Z240" i="2"/>
  <c r="AD240" i="2"/>
  <c r="AH240" i="2"/>
  <c r="AL240" i="2"/>
  <c r="V241" i="2"/>
  <c r="Z241" i="2"/>
  <c r="AD241" i="2"/>
  <c r="AH241" i="2"/>
  <c r="AL241" i="2"/>
  <c r="V242" i="2"/>
  <c r="Z242" i="2"/>
  <c r="AD242" i="2"/>
  <c r="AH242" i="2"/>
  <c r="AL242" i="2"/>
  <c r="V243" i="2"/>
  <c r="Z243" i="2"/>
  <c r="AD243" i="2"/>
  <c r="AH243" i="2"/>
  <c r="AL243" i="2"/>
  <c r="V245" i="2"/>
  <c r="Z245" i="2"/>
  <c r="AD245" i="2"/>
  <c r="AH245" i="2"/>
  <c r="AL245" i="2"/>
  <c r="V246" i="2"/>
  <c r="Z246" i="2"/>
  <c r="AD246" i="2"/>
  <c r="AH246" i="2"/>
  <c r="AL246" i="2"/>
  <c r="AE197" i="2"/>
  <c r="AI200" i="2"/>
  <c r="AM203" i="2"/>
  <c r="W208" i="2"/>
  <c r="AA211" i="2"/>
  <c r="V215" i="2"/>
  <c r="AL215" i="2"/>
  <c r="AH216" i="2"/>
  <c r="AD217" i="2"/>
  <c r="Z218" i="2"/>
  <c r="V219" i="2"/>
  <c r="AL219" i="2"/>
  <c r="AH220" i="2"/>
  <c r="AD221" i="2"/>
  <c r="Z227" i="2"/>
  <c r="V228" i="2"/>
  <c r="AL228" i="2"/>
  <c r="AH229" i="2"/>
  <c r="AD230" i="2"/>
  <c r="Z231" i="2"/>
  <c r="V232" i="2"/>
  <c r="AI232" i="2"/>
  <c r="AM232" i="2"/>
  <c r="W233" i="2"/>
  <c r="AA233" i="2"/>
  <c r="AE233" i="2"/>
  <c r="AI233" i="2"/>
  <c r="AM233" i="2"/>
  <c r="W234" i="2"/>
  <c r="AA234" i="2"/>
  <c r="AE234" i="2"/>
  <c r="AI234" i="2"/>
  <c r="AM234" i="2"/>
  <c r="W236" i="2"/>
  <c r="AA236" i="2"/>
  <c r="AE236" i="2"/>
  <c r="AI236" i="2"/>
  <c r="AM236" i="2"/>
  <c r="W237" i="2"/>
  <c r="AA237" i="2"/>
  <c r="AE237" i="2"/>
  <c r="AI237" i="2"/>
  <c r="AM237" i="2"/>
  <c r="W238" i="2"/>
  <c r="AA238" i="2"/>
  <c r="AE238" i="2"/>
  <c r="AI238" i="2"/>
  <c r="AM238" i="2"/>
  <c r="W239" i="2"/>
  <c r="AA239" i="2"/>
  <c r="AE239" i="2"/>
  <c r="AI239" i="2"/>
  <c r="AM239" i="2"/>
  <c r="W240" i="2"/>
  <c r="AA240" i="2"/>
  <c r="AE240" i="2"/>
  <c r="AI240" i="2"/>
  <c r="AM240" i="2"/>
  <c r="W241" i="2"/>
  <c r="AA241" i="2"/>
  <c r="AE241" i="2"/>
  <c r="AI241" i="2"/>
  <c r="AM241" i="2"/>
  <c r="W242" i="2"/>
  <c r="AA242" i="2"/>
  <c r="AE242" i="2"/>
  <c r="AI242" i="2"/>
  <c r="AM242" i="2"/>
  <c r="W243" i="2"/>
  <c r="AA243" i="2"/>
  <c r="AE243" i="2"/>
  <c r="AI243" i="2"/>
  <c r="AM243" i="2"/>
  <c r="W245" i="2"/>
  <c r="AA245" i="2"/>
  <c r="AE245" i="2"/>
  <c r="AI245" i="2"/>
  <c r="AM245" i="2"/>
  <c r="W246" i="2"/>
  <c r="AA246" i="2"/>
  <c r="AE246" i="2"/>
  <c r="AI246" i="2"/>
  <c r="AM246" i="2"/>
  <c r="W247" i="2"/>
  <c r="AA247" i="2"/>
  <c r="AE247" i="2"/>
  <c r="AI247" i="2"/>
  <c r="AM247" i="2"/>
  <c r="AA198" i="2"/>
  <c r="AE201" i="2"/>
  <c r="AI205" i="2"/>
  <c r="AM208" i="2"/>
  <c r="W212" i="2"/>
  <c r="Z215" i="2"/>
  <c r="V216" i="2"/>
  <c r="AL216" i="2"/>
  <c r="AH217" i="2"/>
  <c r="AD218" i="2"/>
  <c r="Z219" i="2"/>
  <c r="V220" i="2"/>
  <c r="AL220" i="2"/>
  <c r="AH221" i="2"/>
  <c r="AD227" i="2"/>
  <c r="Z228" i="2"/>
  <c r="V229" i="2"/>
  <c r="AL229" i="2"/>
  <c r="AH230" i="2"/>
  <c r="AD231" i="2"/>
  <c r="Z232" i="2"/>
  <c r="AJ232" i="2"/>
  <c r="T233" i="2"/>
  <c r="X233" i="2"/>
  <c r="AB233" i="2"/>
  <c r="AF233" i="2"/>
  <c r="AJ233" i="2"/>
  <c r="T234" i="2"/>
  <c r="X234" i="2"/>
  <c r="AB234" i="2"/>
  <c r="AF234" i="2"/>
  <c r="AJ234" i="2"/>
  <c r="T236" i="2"/>
  <c r="X236" i="2"/>
  <c r="AB236" i="2"/>
  <c r="AF236" i="2"/>
  <c r="AJ236" i="2"/>
  <c r="T237" i="2"/>
  <c r="X237" i="2"/>
  <c r="AB237" i="2"/>
  <c r="AF237" i="2"/>
  <c r="AJ237" i="2"/>
  <c r="T238" i="2"/>
  <c r="X238" i="2"/>
  <c r="AB238" i="2"/>
  <c r="AF238" i="2"/>
  <c r="AJ238" i="2"/>
  <c r="T239" i="2"/>
  <c r="X239" i="2"/>
  <c r="AB239" i="2"/>
  <c r="AF239" i="2"/>
  <c r="AJ239" i="2"/>
  <c r="T240" i="2"/>
  <c r="X240" i="2"/>
  <c r="AB240" i="2"/>
  <c r="AF240" i="2"/>
  <c r="AJ240" i="2"/>
  <c r="T241" i="2"/>
  <c r="X241" i="2"/>
  <c r="AB241" i="2"/>
  <c r="AF241" i="2"/>
  <c r="AJ241" i="2"/>
  <c r="T242" i="2"/>
  <c r="X242" i="2"/>
  <c r="AB242" i="2"/>
  <c r="AF242" i="2"/>
  <c r="AJ242" i="2"/>
  <c r="T243" i="2"/>
  <c r="X243" i="2"/>
  <c r="AB243" i="2"/>
  <c r="AF243" i="2"/>
  <c r="AJ243" i="2"/>
  <c r="T245" i="2"/>
  <c r="X245" i="2"/>
  <c r="AB245" i="2"/>
  <c r="AF245" i="2"/>
  <c r="AJ245" i="2"/>
  <c r="T246" i="2"/>
  <c r="X246" i="2"/>
  <c r="AB246" i="2"/>
  <c r="AF246" i="2"/>
  <c r="AJ246" i="2"/>
  <c r="T247" i="2"/>
  <c r="X247" i="2"/>
  <c r="AB247" i="2"/>
  <c r="W199" i="2"/>
  <c r="AM212" i="2"/>
  <c r="AL217" i="2"/>
  <c r="V221" i="2"/>
  <c r="Z229" i="2"/>
  <c r="AD232" i="2"/>
  <c r="AC233" i="2"/>
  <c r="Y234" i="2"/>
  <c r="U236" i="2"/>
  <c r="AK236" i="2"/>
  <c r="AG237" i="2"/>
  <c r="AC238" i="2"/>
  <c r="Y239" i="2"/>
  <c r="U240" i="2"/>
  <c r="AK240" i="2"/>
  <c r="AG241" i="2"/>
  <c r="AC242" i="2"/>
  <c r="Y243" i="2"/>
  <c r="U245" i="2"/>
  <c r="AK245" i="2"/>
  <c r="AG246" i="2"/>
  <c r="Y247" i="2"/>
  <c r="AF247" i="2"/>
  <c r="AK247" i="2"/>
  <c r="V248" i="2"/>
  <c r="Z248" i="2"/>
  <c r="AD248" i="2"/>
  <c r="AH248" i="2"/>
  <c r="AL248" i="2"/>
  <c r="V249" i="2"/>
  <c r="Z249" i="2"/>
  <c r="AD249" i="2"/>
  <c r="AH249" i="2"/>
  <c r="AL249" i="2"/>
  <c r="V250" i="2"/>
  <c r="Z250" i="2"/>
  <c r="AD250" i="2"/>
  <c r="AH250" i="2"/>
  <c r="AL250" i="2"/>
  <c r="V251" i="2"/>
  <c r="Z251" i="2"/>
  <c r="AD251" i="2"/>
  <c r="AH251" i="2"/>
  <c r="AL251" i="2"/>
  <c r="V252" i="2"/>
  <c r="Z252" i="2"/>
  <c r="AD252" i="2"/>
  <c r="AH252" i="2"/>
  <c r="AL252" i="2"/>
  <c r="Z220" i="2"/>
  <c r="U234" i="2"/>
  <c r="AC237" i="2"/>
  <c r="AK239" i="2"/>
  <c r="Y242" i="2"/>
  <c r="AG245" i="2"/>
  <c r="AD247" i="2"/>
  <c r="Y248" i="2"/>
  <c r="AK248" i="2"/>
  <c r="AC249" i="2"/>
  <c r="U250" i="2"/>
  <c r="AG250" i="2"/>
  <c r="Y251" i="2"/>
  <c r="AK251" i="2"/>
  <c r="AC252" i="2"/>
  <c r="AA202" i="2"/>
  <c r="AD215" i="2"/>
  <c r="AH218" i="2"/>
  <c r="AL221" i="2"/>
  <c r="V230" i="2"/>
  <c r="AK232" i="2"/>
  <c r="AG233" i="2"/>
  <c r="AC234" i="2"/>
  <c r="Y236" i="2"/>
  <c r="U237" i="2"/>
  <c r="AK237" i="2"/>
  <c r="AG238" i="2"/>
  <c r="AC239" i="2"/>
  <c r="Y240" i="2"/>
  <c r="U241" i="2"/>
  <c r="AK241" i="2"/>
  <c r="AG242" i="2"/>
  <c r="AC243" i="2"/>
  <c r="Y245" i="2"/>
  <c r="U246" i="2"/>
  <c r="AK246" i="2"/>
  <c r="Z247" i="2"/>
  <c r="AG247" i="2"/>
  <c r="AL247" i="2"/>
  <c r="W248" i="2"/>
  <c r="AA248" i="2"/>
  <c r="AE248" i="2"/>
  <c r="AI248" i="2"/>
  <c r="AM248" i="2"/>
  <c r="W249" i="2"/>
  <c r="AA249" i="2"/>
  <c r="AE249" i="2"/>
  <c r="AI249" i="2"/>
  <c r="AM249" i="2"/>
  <c r="W250" i="2"/>
  <c r="AA250" i="2"/>
  <c r="AE250" i="2"/>
  <c r="AI250" i="2"/>
  <c r="AM250" i="2"/>
  <c r="W251" i="2"/>
  <c r="AA251" i="2"/>
  <c r="AE251" i="2"/>
  <c r="AI251" i="2"/>
  <c r="AM251" i="2"/>
  <c r="W252" i="2"/>
  <c r="AA252" i="2"/>
  <c r="AE252" i="2"/>
  <c r="AI252" i="2"/>
  <c r="AM252" i="2"/>
  <c r="AI209" i="2"/>
  <c r="AD228" i="2"/>
  <c r="Y233" i="2"/>
  <c r="AG236" i="2"/>
  <c r="U239" i="2"/>
  <c r="AC241" i="2"/>
  <c r="AK243" i="2"/>
  <c r="V247" i="2"/>
  <c r="U248" i="2"/>
  <c r="AG248" i="2"/>
  <c r="Y249" i="2"/>
  <c r="AK249" i="2"/>
  <c r="AC250" i="2"/>
  <c r="U251" i="2"/>
  <c r="AG251" i="2"/>
  <c r="Y252" i="2"/>
  <c r="AK252" i="2"/>
  <c r="AE206" i="2"/>
  <c r="Z216" i="2"/>
  <c r="AD219" i="2"/>
  <c r="AH227" i="2"/>
  <c r="AL230" i="2"/>
  <c r="U233" i="2"/>
  <c r="AK233" i="2"/>
  <c r="AG234" i="2"/>
  <c r="AC236" i="2"/>
  <c r="Y237" i="2"/>
  <c r="U238" i="2"/>
  <c r="AK238" i="2"/>
  <c r="AG239" i="2"/>
  <c r="AC240" i="2"/>
  <c r="Y241" i="2"/>
  <c r="U242" i="2"/>
  <c r="AK242" i="2"/>
  <c r="AG243" i="2"/>
  <c r="AC245" i="2"/>
  <c r="Y246" i="2"/>
  <c r="U247" i="2"/>
  <c r="AC247" i="2"/>
  <c r="AH247" i="2"/>
  <c r="T248" i="2"/>
  <c r="X248" i="2"/>
  <c r="AB248" i="2"/>
  <c r="AF248" i="2"/>
  <c r="AJ248" i="2"/>
  <c r="T249" i="2"/>
  <c r="X249" i="2"/>
  <c r="AB249" i="2"/>
  <c r="AF249" i="2"/>
  <c r="AJ249" i="2"/>
  <c r="T250" i="2"/>
  <c r="X250" i="2"/>
  <c r="AB250" i="2"/>
  <c r="AF250" i="2"/>
  <c r="AJ250" i="2"/>
  <c r="T251" i="2"/>
  <c r="X251" i="2"/>
  <c r="AB251" i="2"/>
  <c r="AF251" i="2"/>
  <c r="AJ251" i="2"/>
  <c r="T252" i="2"/>
  <c r="X252" i="2"/>
  <c r="AB252" i="2"/>
  <c r="AF252" i="2"/>
  <c r="AJ252" i="2"/>
  <c r="V217" i="2"/>
  <c r="AH231" i="2"/>
  <c r="AK234" i="2"/>
  <c r="Y238" i="2"/>
  <c r="AG240" i="2"/>
  <c r="U243" i="2"/>
  <c r="AC246" i="2"/>
  <c r="AJ247" i="2"/>
  <c r="AC248" i="2"/>
  <c r="U249" i="2"/>
  <c r="AG249" i="2"/>
  <c r="Y250" i="2"/>
  <c r="AK250" i="2"/>
  <c r="AC251" i="2"/>
  <c r="U252" i="2"/>
  <c r="AG252" i="2"/>
  <c r="X60" i="10"/>
  <c r="AB60" i="10"/>
  <c r="AF60" i="10"/>
  <c r="AJ60" i="10"/>
  <c r="U61" i="10"/>
  <c r="Y61" i="10"/>
  <c r="AC61" i="10"/>
  <c r="AG61" i="10"/>
  <c r="AK61" i="10"/>
  <c r="V62" i="10"/>
  <c r="Z62" i="10"/>
  <c r="AD62" i="10"/>
  <c r="AH62" i="10"/>
  <c r="AL62" i="10"/>
  <c r="W63" i="10"/>
  <c r="AA63" i="10"/>
  <c r="AE63" i="10"/>
  <c r="AI63" i="10"/>
  <c r="AM63" i="10"/>
  <c r="X64" i="10"/>
  <c r="AB64" i="10"/>
  <c r="AF64" i="10"/>
  <c r="AJ64" i="10"/>
  <c r="U65" i="10"/>
  <c r="Y65" i="10"/>
  <c r="AC65" i="10"/>
  <c r="AG65" i="10"/>
  <c r="AK65" i="10"/>
  <c r="V66" i="10"/>
  <c r="Z66" i="10"/>
  <c r="AD66" i="10"/>
  <c r="AH66" i="10"/>
  <c r="AL66" i="10"/>
  <c r="W67" i="10"/>
  <c r="AA67" i="10"/>
  <c r="AE67" i="10"/>
  <c r="AI67" i="10"/>
  <c r="AM67" i="10"/>
  <c r="X51" i="10"/>
  <c r="AB51" i="10"/>
  <c r="AF51" i="10"/>
  <c r="AJ51" i="10"/>
  <c r="U52" i="10"/>
  <c r="Y52" i="10"/>
  <c r="AC52" i="10"/>
  <c r="AG52" i="10"/>
  <c r="AK52" i="10"/>
  <c r="V53" i="10"/>
  <c r="Z53" i="10"/>
  <c r="AD53" i="10"/>
  <c r="AH53" i="10"/>
  <c r="AL53" i="10"/>
  <c r="W54" i="10"/>
  <c r="AA54" i="10"/>
  <c r="AE54" i="10"/>
  <c r="AI54" i="10"/>
  <c r="AM54" i="10"/>
  <c r="X55" i="10"/>
  <c r="AB55" i="10"/>
  <c r="AF55" i="10"/>
  <c r="AJ55" i="10"/>
  <c r="U56" i="10"/>
  <c r="Y56" i="10"/>
  <c r="AC56" i="10"/>
  <c r="AG56" i="10"/>
  <c r="AK56" i="10"/>
  <c r="V57" i="10"/>
  <c r="Z57" i="10"/>
  <c r="AD57" i="10"/>
  <c r="AH57" i="10"/>
  <c r="AL57" i="10"/>
  <c r="W58" i="10"/>
  <c r="AA58" i="10"/>
  <c r="AE58" i="10"/>
  <c r="AI58" i="10"/>
  <c r="AM58" i="10"/>
  <c r="X42" i="10"/>
  <c r="AB42" i="10"/>
  <c r="AF42" i="10"/>
  <c r="AJ42" i="10"/>
  <c r="U43" i="10"/>
  <c r="Y43" i="10"/>
  <c r="AC43" i="10"/>
  <c r="AG43" i="10"/>
  <c r="AK43" i="10"/>
  <c r="U60" i="10"/>
  <c r="Y60" i="10"/>
  <c r="AC60" i="10"/>
  <c r="AG60" i="10"/>
  <c r="AK60" i="10"/>
  <c r="V61" i="10"/>
  <c r="Z61" i="10"/>
  <c r="AD61" i="10"/>
  <c r="AH61" i="10"/>
  <c r="AL61" i="10"/>
  <c r="W62" i="10"/>
  <c r="AA62" i="10"/>
  <c r="AE62" i="10"/>
  <c r="AI62" i="10"/>
  <c r="AM62" i="10"/>
  <c r="X63" i="10"/>
  <c r="AB63" i="10"/>
  <c r="AF63" i="10"/>
  <c r="AJ63" i="10"/>
  <c r="U64" i="10"/>
  <c r="Y64" i="10"/>
  <c r="AC64" i="10"/>
  <c r="AG64" i="10"/>
  <c r="AK64" i="10"/>
  <c r="V65" i="10"/>
  <c r="Z65" i="10"/>
  <c r="AD65" i="10"/>
  <c r="AH65" i="10"/>
  <c r="AL65" i="10"/>
  <c r="W66" i="10"/>
  <c r="AA66" i="10"/>
  <c r="AE66" i="10"/>
  <c r="AI66" i="10"/>
  <c r="AM66" i="10"/>
  <c r="X67" i="10"/>
  <c r="AB67" i="10"/>
  <c r="AF67" i="10"/>
  <c r="AJ67" i="10"/>
  <c r="U51" i="10"/>
  <c r="Y51" i="10"/>
  <c r="AC51" i="10"/>
  <c r="AG51" i="10"/>
  <c r="AK51" i="10"/>
  <c r="V52" i="10"/>
  <c r="Z52" i="10"/>
  <c r="AD52" i="10"/>
  <c r="AH52" i="10"/>
  <c r="AL52" i="10"/>
  <c r="W53" i="10"/>
  <c r="AA53" i="10"/>
  <c r="AE53" i="10"/>
  <c r="AI53" i="10"/>
  <c r="AM53" i="10"/>
  <c r="X54" i="10"/>
  <c r="AB54" i="10"/>
  <c r="AF54" i="10"/>
  <c r="AJ54" i="10"/>
  <c r="U55" i="10"/>
  <c r="Y55" i="10"/>
  <c r="AC55" i="10"/>
  <c r="AG55" i="10"/>
  <c r="AK55" i="10"/>
  <c r="V56" i="10"/>
  <c r="Z56" i="10"/>
  <c r="AD56" i="10"/>
  <c r="AH56" i="10"/>
  <c r="AL56" i="10"/>
  <c r="W57" i="10"/>
  <c r="AA57" i="10"/>
  <c r="AE57" i="10"/>
  <c r="AI57" i="10"/>
  <c r="AM57" i="10"/>
  <c r="X58" i="10"/>
  <c r="AB58" i="10"/>
  <c r="AF58" i="10"/>
  <c r="AJ58" i="10"/>
  <c r="U42" i="10"/>
  <c r="Y42" i="10"/>
  <c r="AC42" i="10"/>
  <c r="AG42" i="10"/>
  <c r="AK42" i="10"/>
  <c r="V43" i="10"/>
  <c r="Z43" i="10"/>
  <c r="AD43" i="10"/>
  <c r="AH43" i="10"/>
  <c r="V60" i="10"/>
  <c r="Z60" i="10"/>
  <c r="AD60" i="10"/>
  <c r="AH60" i="10"/>
  <c r="AL60" i="10"/>
  <c r="W61" i="10"/>
  <c r="AA61" i="10"/>
  <c r="AE61" i="10"/>
  <c r="AI61" i="10"/>
  <c r="AM61" i="10"/>
  <c r="X62" i="10"/>
  <c r="AB62" i="10"/>
  <c r="AF62" i="10"/>
  <c r="AJ62" i="10"/>
  <c r="U63" i="10"/>
  <c r="Y63" i="10"/>
  <c r="AC63" i="10"/>
  <c r="AG63" i="10"/>
  <c r="AK63" i="10"/>
  <c r="V64" i="10"/>
  <c r="Z64" i="10"/>
  <c r="AD64" i="10"/>
  <c r="AH64" i="10"/>
  <c r="AL64" i="10"/>
  <c r="W65" i="10"/>
  <c r="AA65" i="10"/>
  <c r="AE65" i="10"/>
  <c r="AI65" i="10"/>
  <c r="AM65" i="10"/>
  <c r="X66" i="10"/>
  <c r="AB66" i="10"/>
  <c r="AF66" i="10"/>
  <c r="AJ66" i="10"/>
  <c r="U67" i="10"/>
  <c r="Y67" i="10"/>
  <c r="AC67" i="10"/>
  <c r="AG67" i="10"/>
  <c r="AK67" i="10"/>
  <c r="V51" i="10"/>
  <c r="Z51" i="10"/>
  <c r="AD51" i="10"/>
  <c r="AH51" i="10"/>
  <c r="AL51" i="10"/>
  <c r="W52" i="10"/>
  <c r="AA52" i="10"/>
  <c r="AE52" i="10"/>
  <c r="AI52" i="10"/>
  <c r="AM52" i="10"/>
  <c r="X53" i="10"/>
  <c r="AB53" i="10"/>
  <c r="AF53" i="10"/>
  <c r="AJ53" i="10"/>
  <c r="U54" i="10"/>
  <c r="Y54" i="10"/>
  <c r="AC54" i="10"/>
  <c r="AG54" i="10"/>
  <c r="AK54" i="10"/>
  <c r="V55" i="10"/>
  <c r="Z55" i="10"/>
  <c r="AD55" i="10"/>
  <c r="AH55" i="10"/>
  <c r="AL55" i="10"/>
  <c r="W56" i="10"/>
  <c r="AA56" i="10"/>
  <c r="AE56" i="10"/>
  <c r="AI56" i="10"/>
  <c r="AM56" i="10"/>
  <c r="X57" i="10"/>
  <c r="AB57" i="10"/>
  <c r="AF57" i="10"/>
  <c r="AJ57" i="10"/>
  <c r="U58" i="10"/>
  <c r="Y58" i="10"/>
  <c r="AC58" i="10"/>
  <c r="AG58" i="10"/>
  <c r="W60" i="10"/>
  <c r="AA60" i="10"/>
  <c r="AE60" i="10"/>
  <c r="AI60" i="10"/>
  <c r="AM60" i="10"/>
  <c r="X61" i="10"/>
  <c r="AB61" i="10"/>
  <c r="AF61" i="10"/>
  <c r="AJ61" i="10"/>
  <c r="U62" i="10"/>
  <c r="Y62" i="10"/>
  <c r="AC62" i="10"/>
  <c r="AG62" i="10"/>
  <c r="AK62" i="10"/>
  <c r="V63" i="10"/>
  <c r="Z63" i="10"/>
  <c r="AD63" i="10"/>
  <c r="AH63" i="10"/>
  <c r="AL63" i="10"/>
  <c r="W64" i="10"/>
  <c r="AA64" i="10"/>
  <c r="AE64" i="10"/>
  <c r="AI64" i="10"/>
  <c r="AM64" i="10"/>
  <c r="X65" i="10"/>
  <c r="AB65" i="10"/>
  <c r="AF65" i="10"/>
  <c r="AJ65" i="10"/>
  <c r="U66" i="10"/>
  <c r="Y66" i="10"/>
  <c r="AC66" i="10"/>
  <c r="AG66" i="10"/>
  <c r="AK66" i="10"/>
  <c r="AH67" i="10"/>
  <c r="AE51" i="10"/>
  <c r="AB52" i="10"/>
  <c r="Y53" i="10"/>
  <c r="V54" i="10"/>
  <c r="AL54" i="10"/>
  <c r="AI55" i="10"/>
  <c r="AF56" i="10"/>
  <c r="AC57" i="10"/>
  <c r="Z58" i="10"/>
  <c r="AL58" i="10"/>
  <c r="AA42" i="10"/>
  <c r="AI42" i="10"/>
  <c r="X43" i="10"/>
  <c r="AF43" i="10"/>
  <c r="AM43" i="10"/>
  <c r="X44" i="10"/>
  <c r="AB44" i="10"/>
  <c r="AF44" i="10"/>
  <c r="AJ44" i="10"/>
  <c r="U45" i="10"/>
  <c r="Y45" i="10"/>
  <c r="AC45" i="10"/>
  <c r="AG45" i="10"/>
  <c r="AK45" i="10"/>
  <c r="V46" i="10"/>
  <c r="Z46" i="10"/>
  <c r="AH46" i="10"/>
  <c r="W47" i="10"/>
  <c r="AI47" i="10"/>
  <c r="V67" i="10"/>
  <c r="AL67" i="10"/>
  <c r="AI51" i="10"/>
  <c r="AF52" i="10"/>
  <c r="AC53" i="10"/>
  <c r="Z54" i="10"/>
  <c r="W55" i="10"/>
  <c r="AM55" i="10"/>
  <c r="AJ56" i="10"/>
  <c r="AG57" i="10"/>
  <c r="AD58" i="10"/>
  <c r="V42" i="10"/>
  <c r="AD42" i="10"/>
  <c r="AL42" i="10"/>
  <c r="AA43" i="10"/>
  <c r="AI43" i="10"/>
  <c r="U44" i="10"/>
  <c r="Y44" i="10"/>
  <c r="AC44" i="10"/>
  <c r="AG44" i="10"/>
  <c r="AK44" i="10"/>
  <c r="V45" i="10"/>
  <c r="Z45" i="10"/>
  <c r="AD45" i="10"/>
  <c r="AH45" i="10"/>
  <c r="AL45" i="10"/>
  <c r="W46" i="10"/>
  <c r="AA46" i="10"/>
  <c r="Z67" i="10"/>
  <c r="W51" i="10"/>
  <c r="AM51" i="10"/>
  <c r="AJ52" i="10"/>
  <c r="AG53" i="10"/>
  <c r="AD54" i="10"/>
  <c r="AA55" i="10"/>
  <c r="X56" i="10"/>
  <c r="U57" i="10"/>
  <c r="AK57" i="10"/>
  <c r="AH58" i="10"/>
  <c r="W42" i="10"/>
  <c r="AE42" i="10"/>
  <c r="AM42" i="10"/>
  <c r="AB43" i="10"/>
  <c r="AJ43" i="10"/>
  <c r="V44" i="10"/>
  <c r="Z44" i="10"/>
  <c r="AD44" i="10"/>
  <c r="AH44" i="10"/>
  <c r="AL44" i="10"/>
  <c r="W45" i="10"/>
  <c r="AA45" i="10"/>
  <c r="AE45" i="10"/>
  <c r="AI45" i="10"/>
  <c r="AM45" i="10"/>
  <c r="X46" i="10"/>
  <c r="AB46" i="10"/>
  <c r="AF46" i="10"/>
  <c r="AJ46" i="10"/>
  <c r="U47" i="10"/>
  <c r="Y47" i="10"/>
  <c r="AC47" i="10"/>
  <c r="AG47" i="10"/>
  <c r="AK47" i="10"/>
  <c r="V48" i="10"/>
  <c r="Z48" i="10"/>
  <c r="AD48" i="10"/>
  <c r="AH48" i="10"/>
  <c r="AL48" i="10"/>
  <c r="W49" i="10"/>
  <c r="AA49" i="10"/>
  <c r="AE49" i="10"/>
  <c r="AI49" i="10"/>
  <c r="AM49" i="10"/>
  <c r="X33" i="10"/>
  <c r="AB33" i="10"/>
  <c r="AF33" i="10"/>
  <c r="AJ33" i="10"/>
  <c r="U34" i="10"/>
  <c r="Y34" i="10"/>
  <c r="AC34" i="10"/>
  <c r="AG34" i="10"/>
  <c r="AK34" i="10"/>
  <c r="V35" i="10"/>
  <c r="Z35" i="10"/>
  <c r="AD35" i="10"/>
  <c r="AH35" i="10"/>
  <c r="AL35" i="10"/>
  <c r="W36" i="10"/>
  <c r="AA36" i="10"/>
  <c r="AE36" i="10"/>
  <c r="AI36" i="10"/>
  <c r="AM36" i="10"/>
  <c r="X37" i="10"/>
  <c r="AB37" i="10"/>
  <c r="AF37" i="10"/>
  <c r="AJ37" i="10"/>
  <c r="U38" i="10"/>
  <c r="Y38" i="10"/>
  <c r="AC38" i="10"/>
  <c r="AG38" i="10"/>
  <c r="AK38" i="10"/>
  <c r="V39" i="10"/>
  <c r="Z39" i="10"/>
  <c r="AD39" i="10"/>
  <c r="AH39" i="10"/>
  <c r="AL39" i="10"/>
  <c r="W40" i="10"/>
  <c r="AA40" i="10"/>
  <c r="AE40" i="10"/>
  <c r="AI40" i="10"/>
  <c r="AM40" i="10"/>
  <c r="AD46" i="10"/>
  <c r="AA47" i="10"/>
  <c r="AD67" i="10"/>
  <c r="AA51" i="10"/>
  <c r="X52" i="10"/>
  <c r="U53" i="10"/>
  <c r="AK53" i="10"/>
  <c r="AH54" i="10"/>
  <c r="AE55" i="10"/>
  <c r="AB56" i="10"/>
  <c r="Y57" i="10"/>
  <c r="V58" i="10"/>
  <c r="AK58" i="10"/>
  <c r="Z42" i="10"/>
  <c r="AH42" i="10"/>
  <c r="W43" i="10"/>
  <c r="AE43" i="10"/>
  <c r="AL43" i="10"/>
  <c r="W44" i="10"/>
  <c r="AA44" i="10"/>
  <c r="AE44" i="10"/>
  <c r="AI44" i="10"/>
  <c r="AM44" i="10"/>
  <c r="X45" i="10"/>
  <c r="AB45" i="10"/>
  <c r="AF45" i="10"/>
  <c r="AJ45" i="10"/>
  <c r="U46" i="10"/>
  <c r="Y46" i="10"/>
  <c r="AC46" i="10"/>
  <c r="AG46" i="10"/>
  <c r="AK46" i="10"/>
  <c r="V47" i="10"/>
  <c r="Z47" i="10"/>
  <c r="AD47" i="10"/>
  <c r="AH47" i="10"/>
  <c r="AL47" i="10"/>
  <c r="W48" i="10"/>
  <c r="AA48" i="10"/>
  <c r="AE48" i="10"/>
  <c r="AI48" i="10"/>
  <c r="AM48" i="10"/>
  <c r="X49" i="10"/>
  <c r="AB49" i="10"/>
  <c r="AF49" i="10"/>
  <c r="AJ49" i="10"/>
  <c r="U33" i="10"/>
  <c r="Y33" i="10"/>
  <c r="AC33" i="10"/>
  <c r="AG33" i="10"/>
  <c r="AK33" i="10"/>
  <c r="V34" i="10"/>
  <c r="Z34" i="10"/>
  <c r="AD34" i="10"/>
  <c r="AH34" i="10"/>
  <c r="AL34" i="10"/>
  <c r="W35" i="10"/>
  <c r="AA35" i="10"/>
  <c r="AE35" i="10"/>
  <c r="AI35" i="10"/>
  <c r="AM35" i="10"/>
  <c r="X36" i="10"/>
  <c r="AB36" i="10"/>
  <c r="AF36" i="10"/>
  <c r="AJ36" i="10"/>
  <c r="U37" i="10"/>
  <c r="Y37" i="10"/>
  <c r="AC37" i="10"/>
  <c r="AG37" i="10"/>
  <c r="AK37" i="10"/>
  <c r="V38" i="10"/>
  <c r="Z38" i="10"/>
  <c r="AD38" i="10"/>
  <c r="AH38" i="10"/>
  <c r="AL38" i="10"/>
  <c r="W39" i="10"/>
  <c r="AA39" i="10"/>
  <c r="AE39" i="10"/>
  <c r="AI39" i="10"/>
  <c r="AM39" i="10"/>
  <c r="X40" i="10"/>
  <c r="AB40" i="10"/>
  <c r="AF40" i="10"/>
  <c r="AJ40" i="10"/>
  <c r="AL46" i="10"/>
  <c r="AE47" i="10"/>
  <c r="X47" i="10"/>
  <c r="AM47" i="10"/>
  <c r="AB48" i="10"/>
  <c r="AJ48" i="10"/>
  <c r="Y49" i="10"/>
  <c r="AG49" i="10"/>
  <c r="V33" i="10"/>
  <c r="AD33" i="10"/>
  <c r="AL33" i="10"/>
  <c r="AA34" i="10"/>
  <c r="AI34" i="10"/>
  <c r="X35" i="10"/>
  <c r="AF35" i="10"/>
  <c r="U36" i="10"/>
  <c r="AC36" i="10"/>
  <c r="AK36" i="10"/>
  <c r="Z37" i="10"/>
  <c r="AH37" i="10"/>
  <c r="W38" i="10"/>
  <c r="AE38" i="10"/>
  <c r="AM38" i="10"/>
  <c r="AB39" i="10"/>
  <c r="AJ39" i="10"/>
  <c r="Y40" i="10"/>
  <c r="AG40" i="10"/>
  <c r="AH40" i="10"/>
  <c r="AE46" i="10"/>
  <c r="AB47" i="10"/>
  <c r="U48" i="10"/>
  <c r="AC48" i="10"/>
  <c r="AK48" i="10"/>
  <c r="Z49" i="10"/>
  <c r="AH49" i="10"/>
  <c r="W33" i="10"/>
  <c r="AE33" i="10"/>
  <c r="AM33" i="10"/>
  <c r="AB34" i="10"/>
  <c r="AJ34" i="10"/>
  <c r="Y35" i="10"/>
  <c r="AG35" i="10"/>
  <c r="V36" i="10"/>
  <c r="AD36" i="10"/>
  <c r="AL36" i="10"/>
  <c r="AA37" i="10"/>
  <c r="AI37" i="10"/>
  <c r="X38" i="10"/>
  <c r="AF38" i="10"/>
  <c r="U39" i="10"/>
  <c r="AC39" i="10"/>
  <c r="AK39" i="10"/>
  <c r="Z40" i="10"/>
  <c r="AK40" i="10"/>
  <c r="AI46" i="10"/>
  <c r="AF47" i="10"/>
  <c r="X48" i="10"/>
  <c r="AF48" i="10"/>
  <c r="U49" i="10"/>
  <c r="AC49" i="10"/>
  <c r="AK49" i="10"/>
  <c r="Z33" i="10"/>
  <c r="AH33" i="10"/>
  <c r="W34" i="10"/>
  <c r="AE34" i="10"/>
  <c r="AM34" i="10"/>
  <c r="AB35" i="10"/>
  <c r="AJ35" i="10"/>
  <c r="Y36" i="10"/>
  <c r="AG36" i="10"/>
  <c r="V37" i="10"/>
  <c r="AD37" i="10"/>
  <c r="AL37" i="10"/>
  <c r="AA38" i="10"/>
  <c r="AI38" i="10"/>
  <c r="X39" i="10"/>
  <c r="AF39" i="10"/>
  <c r="U40" i="10"/>
  <c r="AC40" i="10"/>
  <c r="AL40" i="10"/>
  <c r="AM46" i="10"/>
  <c r="AJ47" i="10"/>
  <c r="Y48" i="10"/>
  <c r="AG48" i="10"/>
  <c r="V49" i="10"/>
  <c r="AD49" i="10"/>
  <c r="AL49" i="10"/>
  <c r="AA33" i="10"/>
  <c r="AI33" i="10"/>
  <c r="X34" i="10"/>
  <c r="AF34" i="10"/>
  <c r="U35" i="10"/>
  <c r="AC35" i="10"/>
  <c r="AK35" i="10"/>
  <c r="Z36" i="10"/>
  <c r="AH36" i="10"/>
  <c r="W37" i="10"/>
  <c r="AE37" i="10"/>
  <c r="AM37" i="10"/>
  <c r="AB38" i="10"/>
  <c r="AJ38" i="10"/>
  <c r="Y39" i="10"/>
  <c r="AG39" i="10"/>
  <c r="V40" i="10"/>
  <c r="AD40" i="10"/>
  <c r="BS99" i="10"/>
  <c r="BW99" i="10"/>
  <c r="CA99" i="10"/>
  <c r="CE99" i="10"/>
  <c r="BS90" i="10"/>
  <c r="BW90" i="10"/>
  <c r="CA90" i="10"/>
  <c r="CE90" i="10"/>
  <c r="BS81" i="10"/>
  <c r="BW81" i="10"/>
  <c r="CA81" i="10"/>
  <c r="CE81" i="10"/>
  <c r="BS72" i="10"/>
  <c r="BW72" i="10"/>
  <c r="CA72" i="10"/>
  <c r="CE72" i="10"/>
  <c r="BS63" i="10"/>
  <c r="BW63" i="10"/>
  <c r="CA63" i="10"/>
  <c r="CE63" i="10"/>
  <c r="BS54" i="10"/>
  <c r="BW54" i="10"/>
  <c r="CA54" i="10"/>
  <c r="CE54" i="10"/>
  <c r="BS45" i="10"/>
  <c r="BW45" i="10"/>
  <c r="CA45" i="10"/>
  <c r="CE45" i="10"/>
  <c r="BS36" i="10"/>
  <c r="BW36" i="10"/>
  <c r="CA36" i="10"/>
  <c r="CE36" i="10"/>
  <c r="BO36" i="10"/>
  <c r="BX36" i="10"/>
  <c r="BU99" i="10"/>
  <c r="CC99" i="10"/>
  <c r="BQ90" i="10"/>
  <c r="CC90" i="10"/>
  <c r="BQ81" i="10"/>
  <c r="BY81" i="10"/>
  <c r="CG81" i="10"/>
  <c r="BU72" i="10"/>
  <c r="BY72" i="10"/>
  <c r="CG72" i="10"/>
  <c r="BU63" i="10"/>
  <c r="CC63" i="10"/>
  <c r="BQ54" i="10"/>
  <c r="BY54" i="10"/>
  <c r="CG54" i="10"/>
  <c r="BU45" i="10"/>
  <c r="BY45" i="10"/>
  <c r="CG45" i="10"/>
  <c r="BU36" i="10"/>
  <c r="BY36" i="10"/>
  <c r="CG36" i="10"/>
  <c r="BR99" i="10"/>
  <c r="BZ99" i="10"/>
  <c r="CH99" i="10"/>
  <c r="BR90" i="10"/>
  <c r="CD90" i="10"/>
  <c r="BZ81" i="10"/>
  <c r="CH81" i="10"/>
  <c r="BV72" i="10"/>
  <c r="CH72" i="10"/>
  <c r="BR63" i="10"/>
  <c r="CH63" i="10"/>
  <c r="BZ54" i="10"/>
  <c r="BV45" i="10"/>
  <c r="BV36" i="10"/>
  <c r="CH36" i="10"/>
  <c r="BP99" i="10"/>
  <c r="BT99" i="10"/>
  <c r="BX99" i="10"/>
  <c r="CB99" i="10"/>
  <c r="CF99" i="10"/>
  <c r="BO99" i="10"/>
  <c r="BP90" i="10"/>
  <c r="BT90" i="10"/>
  <c r="BX90" i="10"/>
  <c r="CB90" i="10"/>
  <c r="CF90" i="10"/>
  <c r="BO90" i="10"/>
  <c r="BP81" i="10"/>
  <c r="BT81" i="10"/>
  <c r="BX81" i="10"/>
  <c r="CB81" i="10"/>
  <c r="CF81" i="10"/>
  <c r="BO81" i="10"/>
  <c r="BP72" i="10"/>
  <c r="BT72" i="10"/>
  <c r="BX72" i="10"/>
  <c r="CB72" i="10"/>
  <c r="CF72" i="10"/>
  <c r="BO72" i="10"/>
  <c r="BO63" i="10"/>
  <c r="BP63" i="10"/>
  <c r="BT63" i="10"/>
  <c r="BX63" i="10"/>
  <c r="CB63" i="10"/>
  <c r="CF63" i="10"/>
  <c r="BP54" i="10"/>
  <c r="BT54" i="10"/>
  <c r="BX54" i="10"/>
  <c r="CB54" i="10"/>
  <c r="CF54" i="10"/>
  <c r="BO54" i="10"/>
  <c r="BP45" i="10"/>
  <c r="BT45" i="10"/>
  <c r="BX45" i="10"/>
  <c r="CB45" i="10"/>
  <c r="CF45" i="10"/>
  <c r="BO45" i="10"/>
  <c r="BP36" i="10"/>
  <c r="BT36" i="10"/>
  <c r="CB36" i="10"/>
  <c r="CF36" i="10"/>
  <c r="BQ99" i="10"/>
  <c r="BY99" i="10"/>
  <c r="CG99" i="10"/>
  <c r="BU90" i="10"/>
  <c r="BY90" i="10"/>
  <c r="CG90" i="10"/>
  <c r="BU81" i="10"/>
  <c r="CC81" i="10"/>
  <c r="BQ72" i="10"/>
  <c r="CC72" i="10"/>
  <c r="BQ63" i="10"/>
  <c r="BY63" i="10"/>
  <c r="CG63" i="10"/>
  <c r="BU54" i="10"/>
  <c r="CC54" i="10"/>
  <c r="BQ45" i="10"/>
  <c r="CC45" i="10"/>
  <c r="BQ36" i="10"/>
  <c r="CC36" i="10"/>
  <c r="BV99" i="10"/>
  <c r="CD99" i="10"/>
  <c r="BV90" i="10"/>
  <c r="CH90" i="10"/>
  <c r="CD81" i="10"/>
  <c r="BZ72" i="10"/>
  <c r="CD63" i="10"/>
  <c r="CD54" i="10"/>
  <c r="BZ45" i="10"/>
  <c r="BR36" i="10"/>
  <c r="BR81" i="10"/>
  <c r="CD72" i="10"/>
  <c r="BV63" i="10"/>
  <c r="BR54" i="10"/>
  <c r="BR45" i="10"/>
  <c r="CH45" i="10"/>
  <c r="CD36" i="10"/>
  <c r="BZ90" i="10"/>
  <c r="BV81" i="10"/>
  <c r="BR72" i="10"/>
  <c r="BZ63" i="10"/>
  <c r="BV54" i="10"/>
  <c r="CH54" i="10"/>
  <c r="CD45" i="10"/>
  <c r="BZ36" i="10"/>
  <c r="BS27" i="10"/>
  <c r="BW27" i="10"/>
  <c r="CA27" i="10"/>
  <c r="CE27" i="10"/>
  <c r="BP27" i="10"/>
  <c r="BT27" i="10"/>
  <c r="BX27" i="10"/>
  <c r="CB27" i="10"/>
  <c r="CF27" i="10"/>
  <c r="BQ27" i="10"/>
  <c r="BU27" i="10"/>
  <c r="BY27" i="10"/>
  <c r="CC27" i="10"/>
  <c r="CG27" i="10"/>
  <c r="BO27" i="10"/>
  <c r="BR27" i="10"/>
  <c r="BV27" i="10"/>
  <c r="BZ27" i="10"/>
  <c r="CD27" i="10"/>
  <c r="CH27" i="10"/>
  <c r="BP95" i="10"/>
  <c r="BT95" i="10"/>
  <c r="BX95" i="10"/>
  <c r="CB95" i="10"/>
  <c r="CF95" i="10"/>
  <c r="BQ96" i="10"/>
  <c r="BU96" i="10"/>
  <c r="BY96" i="10"/>
  <c r="CC96" i="10"/>
  <c r="CG96" i="10"/>
  <c r="BR97" i="10"/>
  <c r="BV97" i="10"/>
  <c r="BZ97" i="10"/>
  <c r="CD97" i="10"/>
  <c r="CH97" i="10"/>
  <c r="BS98" i="10"/>
  <c r="BW98" i="10"/>
  <c r="CA98" i="10"/>
  <c r="CE98" i="10"/>
  <c r="BO96" i="10"/>
  <c r="BP86" i="10"/>
  <c r="BT86" i="10"/>
  <c r="BX86" i="10"/>
  <c r="CB86" i="10"/>
  <c r="CF86" i="10"/>
  <c r="BQ87" i="10"/>
  <c r="BU87" i="10"/>
  <c r="BY87" i="10"/>
  <c r="CC87" i="10"/>
  <c r="CG87" i="10"/>
  <c r="BR88" i="10"/>
  <c r="BV88" i="10"/>
  <c r="BZ88" i="10"/>
  <c r="CD88" i="10"/>
  <c r="CH88" i="10"/>
  <c r="BS89" i="10"/>
  <c r="BW89" i="10"/>
  <c r="CA89" i="10"/>
  <c r="CE89" i="10"/>
  <c r="BO87" i="10"/>
  <c r="BP77" i="10"/>
  <c r="BT77" i="10"/>
  <c r="BX77" i="10"/>
  <c r="CB77" i="10"/>
  <c r="CF77" i="10"/>
  <c r="BQ78" i="10"/>
  <c r="BU78" i="10"/>
  <c r="BY78" i="10"/>
  <c r="CC78" i="10"/>
  <c r="CG78" i="10"/>
  <c r="BR79" i="10"/>
  <c r="BV79" i="10"/>
  <c r="BZ79" i="10"/>
  <c r="CD79" i="10"/>
  <c r="CH79" i="10"/>
  <c r="BS80" i="10"/>
  <c r="BW80" i="10"/>
  <c r="CA80" i="10"/>
  <c r="CE80" i="10"/>
  <c r="BO78" i="10"/>
  <c r="BP68" i="10"/>
  <c r="BT68" i="10"/>
  <c r="BX68" i="10"/>
  <c r="CB68" i="10"/>
  <c r="CF68" i="10"/>
  <c r="BQ69" i="10"/>
  <c r="BU69" i="10"/>
  <c r="BY69" i="10"/>
  <c r="CC69" i="10"/>
  <c r="CG69" i="10"/>
  <c r="BR70" i="10"/>
  <c r="BQ95" i="10"/>
  <c r="BU95" i="10"/>
  <c r="BY95" i="10"/>
  <c r="CC95" i="10"/>
  <c r="CG95" i="10"/>
  <c r="BR96" i="10"/>
  <c r="BV96" i="10"/>
  <c r="BZ96" i="10"/>
  <c r="CD96" i="10"/>
  <c r="CH96" i="10"/>
  <c r="BS97" i="10"/>
  <c r="BW97" i="10"/>
  <c r="CA97" i="10"/>
  <c r="CE97" i="10"/>
  <c r="BP98" i="10"/>
  <c r="BT98" i="10"/>
  <c r="BX98" i="10"/>
  <c r="CB98" i="10"/>
  <c r="CF98" i="10"/>
  <c r="BO97" i="10"/>
  <c r="BQ86" i="10"/>
  <c r="BU86" i="10"/>
  <c r="BY86" i="10"/>
  <c r="CC86" i="10"/>
  <c r="CG86" i="10"/>
  <c r="BR87" i="10"/>
  <c r="BV87" i="10"/>
  <c r="BZ87" i="10"/>
  <c r="CD87" i="10"/>
  <c r="CH87" i="10"/>
  <c r="BS88" i="10"/>
  <c r="BW88" i="10"/>
  <c r="CA88" i="10"/>
  <c r="CE88" i="10"/>
  <c r="BP89" i="10"/>
  <c r="BT89" i="10"/>
  <c r="BX89" i="10"/>
  <c r="CB89" i="10"/>
  <c r="CF89" i="10"/>
  <c r="BO88" i="10"/>
  <c r="BQ77" i="10"/>
  <c r="BU77" i="10"/>
  <c r="BY77" i="10"/>
  <c r="CC77" i="10"/>
  <c r="CG77" i="10"/>
  <c r="BR78" i="10"/>
  <c r="BV78" i="10"/>
  <c r="BZ78" i="10"/>
  <c r="CD78" i="10"/>
  <c r="CH78" i="10"/>
  <c r="BS79" i="10"/>
  <c r="BW79" i="10"/>
  <c r="CA79" i="10"/>
  <c r="CE79" i="10"/>
  <c r="BP80" i="10"/>
  <c r="BT80" i="10"/>
  <c r="BX80" i="10"/>
  <c r="CB80" i="10"/>
  <c r="CF80" i="10"/>
  <c r="BO79" i="10"/>
  <c r="BQ68" i="10"/>
  <c r="BU68" i="10"/>
  <c r="BY68" i="10"/>
  <c r="CC68" i="10"/>
  <c r="CG68" i="10"/>
  <c r="BR69" i="10"/>
  <c r="BV69" i="10"/>
  <c r="BZ69" i="10"/>
  <c r="CD69" i="10"/>
  <c r="CH69" i="10"/>
  <c r="BS70" i="10"/>
  <c r="BW70" i="10"/>
  <c r="CA70" i="10"/>
  <c r="CE70" i="10"/>
  <c r="BP71" i="10"/>
  <c r="BT71" i="10"/>
  <c r="BX71" i="10"/>
  <c r="CB71" i="10"/>
  <c r="CF71" i="10"/>
  <c r="BO70" i="10"/>
  <c r="BO60" i="10"/>
  <c r="BQ59" i="10"/>
  <c r="BS95" i="10"/>
  <c r="BW95" i="10"/>
  <c r="CA95" i="10"/>
  <c r="CE95" i="10"/>
  <c r="BP96" i="10"/>
  <c r="BT96" i="10"/>
  <c r="BX96" i="10"/>
  <c r="CB96" i="10"/>
  <c r="CF96" i="10"/>
  <c r="BQ97" i="10"/>
  <c r="BU97" i="10"/>
  <c r="BY97" i="10"/>
  <c r="CC97" i="10"/>
  <c r="CG97" i="10"/>
  <c r="BR98" i="10"/>
  <c r="BV98" i="10"/>
  <c r="BZ98" i="10"/>
  <c r="CD98" i="10"/>
  <c r="CH98" i="10"/>
  <c r="BO95" i="10"/>
  <c r="BS86" i="10"/>
  <c r="BW86" i="10"/>
  <c r="CA86" i="10"/>
  <c r="CE86" i="10"/>
  <c r="BP87" i="10"/>
  <c r="BT87" i="10"/>
  <c r="BX87" i="10"/>
  <c r="CB87" i="10"/>
  <c r="CF87" i="10"/>
  <c r="BQ88" i="10"/>
  <c r="BU88" i="10"/>
  <c r="BY88" i="10"/>
  <c r="CC88" i="10"/>
  <c r="CG88" i="10"/>
  <c r="BR89" i="10"/>
  <c r="BV89" i="10"/>
  <c r="BZ89" i="10"/>
  <c r="CD89" i="10"/>
  <c r="CH89" i="10"/>
  <c r="BO86" i="10"/>
  <c r="BS77" i="10"/>
  <c r="BW77" i="10"/>
  <c r="CA77" i="10"/>
  <c r="CE77" i="10"/>
  <c r="BP78" i="10"/>
  <c r="BT78" i="10"/>
  <c r="BX78" i="10"/>
  <c r="CB78" i="10"/>
  <c r="CF78" i="10"/>
  <c r="BQ79" i="10"/>
  <c r="BU79" i="10"/>
  <c r="BY79" i="10"/>
  <c r="CC79" i="10"/>
  <c r="CG79" i="10"/>
  <c r="BR80" i="10"/>
  <c r="BV80" i="10"/>
  <c r="BZ80" i="10"/>
  <c r="CD80" i="10"/>
  <c r="CH80" i="10"/>
  <c r="BO77" i="10"/>
  <c r="BS68" i="10"/>
  <c r="BW68" i="10"/>
  <c r="CA68" i="10"/>
  <c r="CE68" i="10"/>
  <c r="BP69" i="10"/>
  <c r="BT69" i="10"/>
  <c r="BX69" i="10"/>
  <c r="CB69" i="10"/>
  <c r="CF69" i="10"/>
  <c r="BQ70" i="10"/>
  <c r="BU70" i="10"/>
  <c r="BY70" i="10"/>
  <c r="CC70" i="10"/>
  <c r="CG70" i="10"/>
  <c r="BR71" i="10"/>
  <c r="BV71" i="10"/>
  <c r="BZ71" i="10"/>
  <c r="CD71" i="10"/>
  <c r="CH71" i="10"/>
  <c r="BO68" i="10"/>
  <c r="BO62" i="10"/>
  <c r="BS59" i="10"/>
  <c r="BW59" i="10"/>
  <c r="CA59" i="10"/>
  <c r="CE59" i="10"/>
  <c r="BR95" i="10"/>
  <c r="CH95" i="10"/>
  <c r="CE96" i="10"/>
  <c r="CB97" i="10"/>
  <c r="BY98" i="10"/>
  <c r="BR86" i="10"/>
  <c r="CH86" i="10"/>
  <c r="CE87" i="10"/>
  <c r="CB88" i="10"/>
  <c r="BY89" i="10"/>
  <c r="BR77" i="10"/>
  <c r="CH77" i="10"/>
  <c r="CE78" i="10"/>
  <c r="CB79" i="10"/>
  <c r="BY80" i="10"/>
  <c r="BR68" i="10"/>
  <c r="CH68" i="10"/>
  <c r="CE69" i="10"/>
  <c r="BX70" i="10"/>
  <c r="CF70" i="10"/>
  <c r="BU71" i="10"/>
  <c r="CC71" i="10"/>
  <c r="BO71" i="10"/>
  <c r="BR59" i="10"/>
  <c r="BX59" i="10"/>
  <c r="CC59" i="10"/>
  <c r="CH59" i="10"/>
  <c r="BS60" i="10"/>
  <c r="BW60" i="10"/>
  <c r="CA60" i="10"/>
  <c r="CE60" i="10"/>
  <c r="BP61" i="10"/>
  <c r="BT61" i="10"/>
  <c r="BX61" i="10"/>
  <c r="CB61" i="10"/>
  <c r="CF61" i="10"/>
  <c r="BQ62" i="10"/>
  <c r="BU62" i="10"/>
  <c r="BY62" i="10"/>
  <c r="CC62" i="10"/>
  <c r="CG62" i="10"/>
  <c r="BR50" i="10"/>
  <c r="BV50" i="10"/>
  <c r="BZ50" i="10"/>
  <c r="CD50" i="10"/>
  <c r="CH50" i="10"/>
  <c r="BS51" i="10"/>
  <c r="BW51" i="10"/>
  <c r="CA51" i="10"/>
  <c r="CE51" i="10"/>
  <c r="BP52" i="10"/>
  <c r="BT52" i="10"/>
  <c r="BX52" i="10"/>
  <c r="CB52" i="10"/>
  <c r="CF52" i="10"/>
  <c r="BQ53" i="10"/>
  <c r="BU53" i="10"/>
  <c r="BY53" i="10"/>
  <c r="CC53" i="10"/>
  <c r="CG53" i="10"/>
  <c r="BO53" i="10"/>
  <c r="BR41" i="10"/>
  <c r="BV41" i="10"/>
  <c r="BZ41" i="10"/>
  <c r="CD41" i="10"/>
  <c r="CH41" i="10"/>
  <c r="BS42" i="10"/>
  <c r="BW42" i="10"/>
  <c r="CA42" i="10"/>
  <c r="CE42" i="10"/>
  <c r="BP43" i="10"/>
  <c r="BT43" i="10"/>
  <c r="BX43" i="10"/>
  <c r="CB43" i="10"/>
  <c r="CF43" i="10"/>
  <c r="BQ44" i="10"/>
  <c r="BU44" i="10"/>
  <c r="BY44" i="10"/>
  <c r="CC44" i="10"/>
  <c r="CG44" i="10"/>
  <c r="BO44" i="10"/>
  <c r="BR32" i="10"/>
  <c r="BV32" i="10"/>
  <c r="BZ32" i="10"/>
  <c r="CD32" i="10"/>
  <c r="BV95" i="10"/>
  <c r="BS96" i="10"/>
  <c r="BP97" i="10"/>
  <c r="CF97" i="10"/>
  <c r="CC98" i="10"/>
  <c r="BV86" i="10"/>
  <c r="BS87" i="10"/>
  <c r="BP88" i="10"/>
  <c r="CF88" i="10"/>
  <c r="CC89" i="10"/>
  <c r="BV77" i="10"/>
  <c r="BS78" i="10"/>
  <c r="BP79" i="10"/>
  <c r="CF79" i="10"/>
  <c r="CC80" i="10"/>
  <c r="BV68" i="10"/>
  <c r="BS69" i="10"/>
  <c r="BP70" i="10"/>
  <c r="BZ70" i="10"/>
  <c r="CH70" i="10"/>
  <c r="BW71" i="10"/>
  <c r="CE71" i="10"/>
  <c r="BO59" i="10"/>
  <c r="BT59" i="10"/>
  <c r="BY59" i="10"/>
  <c r="CD59" i="10"/>
  <c r="BP60" i="10"/>
  <c r="BT60" i="10"/>
  <c r="BX60" i="10"/>
  <c r="CB60" i="10"/>
  <c r="CF60" i="10"/>
  <c r="BQ61" i="10"/>
  <c r="BU61" i="10"/>
  <c r="BY61" i="10"/>
  <c r="CC61" i="10"/>
  <c r="CG61" i="10"/>
  <c r="BR62" i="10"/>
  <c r="BV62" i="10"/>
  <c r="BZ62" i="10"/>
  <c r="CD62" i="10"/>
  <c r="CH62" i="10"/>
  <c r="BS50" i="10"/>
  <c r="BW50" i="10"/>
  <c r="CA50" i="10"/>
  <c r="CE50" i="10"/>
  <c r="BP51" i="10"/>
  <c r="BT51" i="10"/>
  <c r="BX51" i="10"/>
  <c r="CB51" i="10"/>
  <c r="CF51" i="10"/>
  <c r="BQ52" i="10"/>
  <c r="BU52" i="10"/>
  <c r="BY52" i="10"/>
  <c r="CC52" i="10"/>
  <c r="CG52" i="10"/>
  <c r="BR53" i="10"/>
  <c r="BV53" i="10"/>
  <c r="BZ53" i="10"/>
  <c r="CD53" i="10"/>
  <c r="CH53" i="10"/>
  <c r="BO50" i="10"/>
  <c r="BS41" i="10"/>
  <c r="BW41" i="10"/>
  <c r="CA41" i="10"/>
  <c r="CE41" i="10"/>
  <c r="BP42" i="10"/>
  <c r="BT42" i="10"/>
  <c r="BX42" i="10"/>
  <c r="CB42" i="10"/>
  <c r="CF42" i="10"/>
  <c r="BQ43" i="10"/>
  <c r="BU43" i="10"/>
  <c r="BY43" i="10"/>
  <c r="CC43" i="10"/>
  <c r="CG43" i="10"/>
  <c r="BR44" i="10"/>
  <c r="BV44" i="10"/>
  <c r="BZ44" i="10"/>
  <c r="CD44" i="10"/>
  <c r="CH44" i="10"/>
  <c r="BO41" i="10"/>
  <c r="CD95" i="10"/>
  <c r="CA96" i="10"/>
  <c r="BX97" i="10"/>
  <c r="BU98" i="10"/>
  <c r="BO98" i="10"/>
  <c r="CD86" i="10"/>
  <c r="CA87" i="10"/>
  <c r="BX88" i="10"/>
  <c r="BU89" i="10"/>
  <c r="BO89" i="10"/>
  <c r="CD77" i="10"/>
  <c r="CA78" i="10"/>
  <c r="BX79" i="10"/>
  <c r="BU80" i="10"/>
  <c r="BO80" i="10"/>
  <c r="CD68" i="10"/>
  <c r="CA69" i="10"/>
  <c r="BV70" i="10"/>
  <c r="CD70" i="10"/>
  <c r="BS71" i="10"/>
  <c r="CA71" i="10"/>
  <c r="BO69" i="10"/>
  <c r="BP59" i="10"/>
  <c r="BV59" i="10"/>
  <c r="CB59" i="10"/>
  <c r="CG59" i="10"/>
  <c r="BR60" i="10"/>
  <c r="BV60" i="10"/>
  <c r="BZ60" i="10"/>
  <c r="CD60" i="10"/>
  <c r="CH60" i="10"/>
  <c r="BS61" i="10"/>
  <c r="BW61" i="10"/>
  <c r="CA61" i="10"/>
  <c r="CE61" i="10"/>
  <c r="BP62" i="10"/>
  <c r="BT62" i="10"/>
  <c r="BX62" i="10"/>
  <c r="CB62" i="10"/>
  <c r="CF62" i="10"/>
  <c r="BQ50" i="10"/>
  <c r="BU50" i="10"/>
  <c r="BY50" i="10"/>
  <c r="CC50" i="10"/>
  <c r="CG50" i="10"/>
  <c r="BR51" i="10"/>
  <c r="BV51" i="10"/>
  <c r="BZ51" i="10"/>
  <c r="CD51" i="10"/>
  <c r="CH51" i="10"/>
  <c r="BS52" i="10"/>
  <c r="BW52" i="10"/>
  <c r="CA52" i="10"/>
  <c r="CE52" i="10"/>
  <c r="BP53" i="10"/>
  <c r="BT53" i="10"/>
  <c r="BX53" i="10"/>
  <c r="CB53" i="10"/>
  <c r="CF53" i="10"/>
  <c r="BO52" i="10"/>
  <c r="BQ41" i="10"/>
  <c r="BU41" i="10"/>
  <c r="BY41" i="10"/>
  <c r="CC41" i="10"/>
  <c r="CG41" i="10"/>
  <c r="BR42" i="10"/>
  <c r="BV42" i="10"/>
  <c r="BZ42" i="10"/>
  <c r="CD42" i="10"/>
  <c r="CH42" i="10"/>
  <c r="BS43" i="10"/>
  <c r="BW43" i="10"/>
  <c r="CA43" i="10"/>
  <c r="CE43" i="10"/>
  <c r="BP44" i="10"/>
  <c r="BT44" i="10"/>
  <c r="BX44" i="10"/>
  <c r="CB44" i="10"/>
  <c r="CF44" i="10"/>
  <c r="BO43" i="10"/>
  <c r="BQ32" i="10"/>
  <c r="BU32" i="10"/>
  <c r="BY32" i="10"/>
  <c r="CC32" i="10"/>
  <c r="CG32" i="10"/>
  <c r="BZ95" i="10"/>
  <c r="CG98" i="10"/>
  <c r="BQ89" i="10"/>
  <c r="BT79" i="10"/>
  <c r="BW69" i="10"/>
  <c r="BY71" i="10"/>
  <c r="BZ59" i="10"/>
  <c r="BY60" i="10"/>
  <c r="BV61" i="10"/>
  <c r="BS62" i="10"/>
  <c r="BP50" i="10"/>
  <c r="CF50" i="10"/>
  <c r="CC51" i="10"/>
  <c r="BZ52" i="10"/>
  <c r="BW53" i="10"/>
  <c r="BP41" i="10"/>
  <c r="CF41" i="10"/>
  <c r="CC42" i="10"/>
  <c r="BZ43" i="10"/>
  <c r="BW44" i="10"/>
  <c r="BP32" i="10"/>
  <c r="BX32" i="10"/>
  <c r="CF32" i="10"/>
  <c r="BR33" i="10"/>
  <c r="BV33" i="10"/>
  <c r="BZ33" i="10"/>
  <c r="CD33" i="10"/>
  <c r="CH33" i="10"/>
  <c r="BS34" i="10"/>
  <c r="BW34" i="10"/>
  <c r="CA34" i="10"/>
  <c r="CE34" i="10"/>
  <c r="BP35" i="10"/>
  <c r="BT35" i="10"/>
  <c r="BX35" i="10"/>
  <c r="CB35" i="10"/>
  <c r="CF35" i="10"/>
  <c r="BO34" i="10"/>
  <c r="BZ77" i="10"/>
  <c r="CB70" i="10"/>
  <c r="CG60" i="10"/>
  <c r="BX50" i="10"/>
  <c r="CH52" i="10"/>
  <c r="BU42" i="10"/>
  <c r="CE44" i="10"/>
  <c r="BP33" i="10"/>
  <c r="BX33" i="10"/>
  <c r="BQ34" i="10"/>
  <c r="BY34" i="10"/>
  <c r="CG34" i="10"/>
  <c r="BV35" i="10"/>
  <c r="CD35" i="10"/>
  <c r="BW96" i="10"/>
  <c r="BZ86" i="10"/>
  <c r="CG89" i="10"/>
  <c r="BQ80" i="10"/>
  <c r="BT70" i="10"/>
  <c r="CG71" i="10"/>
  <c r="CF59" i="10"/>
  <c r="CC60" i="10"/>
  <c r="BZ61" i="10"/>
  <c r="BW62" i="10"/>
  <c r="BT50" i="10"/>
  <c r="BQ51" i="10"/>
  <c r="CG51" i="10"/>
  <c r="CD52" i="10"/>
  <c r="CA53" i="10"/>
  <c r="BT41" i="10"/>
  <c r="BQ42" i="10"/>
  <c r="CG42" i="10"/>
  <c r="CD43" i="10"/>
  <c r="CA44" i="10"/>
  <c r="BS32" i="10"/>
  <c r="CA32" i="10"/>
  <c r="CH32" i="10"/>
  <c r="BS33" i="10"/>
  <c r="BW33" i="10"/>
  <c r="CA33" i="10"/>
  <c r="CE33" i="10"/>
  <c r="BP34" i="10"/>
  <c r="BT34" i="10"/>
  <c r="BX34" i="10"/>
  <c r="CB34" i="10"/>
  <c r="CF34" i="10"/>
  <c r="BQ35" i="10"/>
  <c r="BU35" i="10"/>
  <c r="BY35" i="10"/>
  <c r="CC35" i="10"/>
  <c r="CG35" i="10"/>
  <c r="BO33" i="10"/>
  <c r="BT97" i="10"/>
  <c r="BW87" i="10"/>
  <c r="CG80" i="10"/>
  <c r="BQ60" i="10"/>
  <c r="CD61" i="10"/>
  <c r="BU51" i="10"/>
  <c r="CE53" i="10"/>
  <c r="BR43" i="10"/>
  <c r="BT32" i="10"/>
  <c r="BT33" i="10"/>
  <c r="CF33" i="10"/>
  <c r="BU34" i="10"/>
  <c r="CC34" i="10"/>
  <c r="BR35" i="10"/>
  <c r="BZ35" i="10"/>
  <c r="CH35" i="10"/>
  <c r="BO32" i="10"/>
  <c r="BQ98" i="10"/>
  <c r="BT88" i="10"/>
  <c r="BW78" i="10"/>
  <c r="BZ68" i="10"/>
  <c r="BQ71" i="10"/>
  <c r="BU59" i="10"/>
  <c r="BU60" i="10"/>
  <c r="BR61" i="10"/>
  <c r="CH61" i="10"/>
  <c r="CE62" i="10"/>
  <c r="CB50" i="10"/>
  <c r="BY51" i="10"/>
  <c r="BV52" i="10"/>
  <c r="BS53" i="10"/>
  <c r="BO51" i="10"/>
  <c r="CB41" i="10"/>
  <c r="BY42" i="10"/>
  <c r="BV43" i="10"/>
  <c r="BS44" i="10"/>
  <c r="BO42" i="10"/>
  <c r="BW32" i="10"/>
  <c r="CE32" i="10"/>
  <c r="BQ33" i="10"/>
  <c r="BU33" i="10"/>
  <c r="BY33" i="10"/>
  <c r="CC33" i="10"/>
  <c r="CG33" i="10"/>
  <c r="BR34" i="10"/>
  <c r="BV34" i="10"/>
  <c r="BZ34" i="10"/>
  <c r="CD34" i="10"/>
  <c r="CH34" i="10"/>
  <c r="BS35" i="10"/>
  <c r="BW35" i="10"/>
  <c r="CA35" i="10"/>
  <c r="CE35" i="10"/>
  <c r="BO35" i="10"/>
  <c r="BO61" i="10"/>
  <c r="CA62" i="10"/>
  <c r="BR52" i="10"/>
  <c r="BX41" i="10"/>
  <c r="CH43" i="10"/>
  <c r="CB32" i="10"/>
  <c r="CB33" i="10"/>
  <c r="BS23" i="10"/>
  <c r="BW23" i="10"/>
  <c r="CA23" i="10"/>
  <c r="CE23" i="10"/>
  <c r="BP24" i="10"/>
  <c r="BT24" i="10"/>
  <c r="BX24" i="10"/>
  <c r="CB24" i="10"/>
  <c r="CF24" i="10"/>
  <c r="BQ25" i="10"/>
  <c r="BU25" i="10"/>
  <c r="BY25" i="10"/>
  <c r="CC25" i="10"/>
  <c r="CG25" i="10"/>
  <c r="BR26" i="10"/>
  <c r="BV26" i="10"/>
  <c r="BZ26" i="10"/>
  <c r="CD26" i="10"/>
  <c r="CH26" i="10"/>
  <c r="BO26" i="10"/>
  <c r="BQ23" i="10"/>
  <c r="BY23" i="10"/>
  <c r="CG23" i="10"/>
  <c r="BV24" i="10"/>
  <c r="CD24" i="10"/>
  <c r="BS25" i="10"/>
  <c r="CA25" i="10"/>
  <c r="BP26" i="10"/>
  <c r="BX26" i="10"/>
  <c r="CF26" i="10"/>
  <c r="BV23" i="10"/>
  <c r="CH23" i="10"/>
  <c r="CA24" i="10"/>
  <c r="BT25" i="10"/>
  <c r="CF25" i="10"/>
  <c r="BY26" i="10"/>
  <c r="BP23" i="10"/>
  <c r="BT23" i="10"/>
  <c r="BX23" i="10"/>
  <c r="CB23" i="10"/>
  <c r="CF23" i="10"/>
  <c r="BQ24" i="10"/>
  <c r="BU24" i="10"/>
  <c r="BY24" i="10"/>
  <c r="CC24" i="10"/>
  <c r="CG24" i="10"/>
  <c r="BR25" i="10"/>
  <c r="BV25" i="10"/>
  <c r="BZ25" i="10"/>
  <c r="CD25" i="10"/>
  <c r="CH25" i="10"/>
  <c r="BS26" i="10"/>
  <c r="BW26" i="10"/>
  <c r="CA26" i="10"/>
  <c r="CE26" i="10"/>
  <c r="BO25" i="10"/>
  <c r="BU23" i="10"/>
  <c r="CC23" i="10"/>
  <c r="BR24" i="10"/>
  <c r="BZ24" i="10"/>
  <c r="CH24" i="10"/>
  <c r="BW25" i="10"/>
  <c r="CE25" i="10"/>
  <c r="BT26" i="10"/>
  <c r="CB26" i="10"/>
  <c r="BO24" i="10"/>
  <c r="CD23" i="10"/>
  <c r="CE24" i="10"/>
  <c r="BX25" i="10"/>
  <c r="BQ26" i="10"/>
  <c r="CC26" i="10"/>
  <c r="BO23" i="10"/>
  <c r="BR23" i="10"/>
  <c r="BZ23" i="10"/>
  <c r="BS24" i="10"/>
  <c r="BW24" i="10"/>
  <c r="BP25" i="10"/>
  <c r="CB25" i="10"/>
  <c r="BU26" i="10"/>
  <c r="CG26" i="10"/>
  <c r="U96" i="10"/>
  <c r="Y96" i="10"/>
  <c r="AC96" i="10"/>
  <c r="AG96" i="10"/>
  <c r="AK96" i="10"/>
  <c r="V97" i="10"/>
  <c r="Z97" i="10"/>
  <c r="AD97" i="10"/>
  <c r="AH97" i="10"/>
  <c r="AL97" i="10"/>
  <c r="W98" i="10"/>
  <c r="AA98" i="10"/>
  <c r="AE98" i="10"/>
  <c r="AI98" i="10"/>
  <c r="AM98" i="10"/>
  <c r="X99" i="10"/>
  <c r="AB99" i="10"/>
  <c r="AF99" i="10"/>
  <c r="AJ99" i="10"/>
  <c r="U100" i="10"/>
  <c r="Y100" i="10"/>
  <c r="AC100" i="10"/>
  <c r="AG100" i="10"/>
  <c r="AK100" i="10"/>
  <c r="V101" i="10"/>
  <c r="Z101" i="10"/>
  <c r="AD101" i="10"/>
  <c r="AH101" i="10"/>
  <c r="AL101" i="10"/>
  <c r="W102" i="10"/>
  <c r="AA102" i="10"/>
  <c r="AE102" i="10"/>
  <c r="AI102" i="10"/>
  <c r="AM102" i="10"/>
  <c r="X103" i="10"/>
  <c r="AB103" i="10"/>
  <c r="AF103" i="10"/>
  <c r="AJ103" i="10"/>
  <c r="T97" i="10"/>
  <c r="T101" i="10"/>
  <c r="V87" i="10"/>
  <c r="Z87" i="10"/>
  <c r="AD87" i="10"/>
  <c r="AH87" i="10"/>
  <c r="AL87" i="10"/>
  <c r="W88" i="10"/>
  <c r="AA88" i="10"/>
  <c r="AE88" i="10"/>
  <c r="AI88" i="10"/>
  <c r="AM88" i="10"/>
  <c r="X89" i="10"/>
  <c r="AB89" i="10"/>
  <c r="AF89" i="10"/>
  <c r="AJ89" i="10"/>
  <c r="U90" i="10"/>
  <c r="Y90" i="10"/>
  <c r="AC90" i="10"/>
  <c r="AG90" i="10"/>
  <c r="AK90" i="10"/>
  <c r="V91" i="10"/>
  <c r="Z91" i="10"/>
  <c r="AD91" i="10"/>
  <c r="AH91" i="10"/>
  <c r="AL91" i="10"/>
  <c r="W92" i="10"/>
  <c r="AA92" i="10"/>
  <c r="AE92" i="10"/>
  <c r="AI92" i="10"/>
  <c r="AM92" i="10"/>
  <c r="X93" i="10"/>
  <c r="AB93" i="10"/>
  <c r="AF93" i="10"/>
  <c r="AJ93" i="10"/>
  <c r="U94" i="10"/>
  <c r="Y94" i="10"/>
  <c r="AC94" i="10"/>
  <c r="AG94" i="10"/>
  <c r="AK94" i="10"/>
  <c r="T89" i="10"/>
  <c r="T93" i="10"/>
  <c r="W78" i="10"/>
  <c r="AA78" i="10"/>
  <c r="AE78" i="10"/>
  <c r="AI78" i="10"/>
  <c r="AM78" i="10"/>
  <c r="V96" i="10"/>
  <c r="Z96" i="10"/>
  <c r="AD96" i="10"/>
  <c r="AH96" i="10"/>
  <c r="AL96" i="10"/>
  <c r="W97" i="10"/>
  <c r="AA97" i="10"/>
  <c r="AE97" i="10"/>
  <c r="AI97" i="10"/>
  <c r="AM97" i="10"/>
  <c r="X98" i="10"/>
  <c r="AB98" i="10"/>
  <c r="AF98" i="10"/>
  <c r="AJ98" i="10"/>
  <c r="U99" i="10"/>
  <c r="Y99" i="10"/>
  <c r="AC99" i="10"/>
  <c r="AG99" i="10"/>
  <c r="AK99" i="10"/>
  <c r="V100" i="10"/>
  <c r="Z100" i="10"/>
  <c r="AD100" i="10"/>
  <c r="AH100" i="10"/>
  <c r="AL100" i="10"/>
  <c r="W101" i="10"/>
  <c r="AA101" i="10"/>
  <c r="AE101" i="10"/>
  <c r="AI101" i="10"/>
  <c r="AM101" i="10"/>
  <c r="X102" i="10"/>
  <c r="AB102" i="10"/>
  <c r="AF102" i="10"/>
  <c r="AJ102" i="10"/>
  <c r="U103" i="10"/>
  <c r="Y103" i="10"/>
  <c r="AC103" i="10"/>
  <c r="AG103" i="10"/>
  <c r="AK103" i="10"/>
  <c r="T98" i="10"/>
  <c r="T102" i="10"/>
  <c r="W87" i="10"/>
  <c r="AA87" i="10"/>
  <c r="AE87" i="10"/>
  <c r="AI87" i="10"/>
  <c r="AM87" i="10"/>
  <c r="X88" i="10"/>
  <c r="AB88" i="10"/>
  <c r="AF88" i="10"/>
  <c r="AJ88" i="10"/>
  <c r="U89" i="10"/>
  <c r="Y89" i="10"/>
  <c r="AC89" i="10"/>
  <c r="AG89" i="10"/>
  <c r="AK89" i="10"/>
  <c r="V90" i="10"/>
  <c r="Z90" i="10"/>
  <c r="AD90" i="10"/>
  <c r="AH90" i="10"/>
  <c r="AL90" i="10"/>
  <c r="W91" i="10"/>
  <c r="AA91" i="10"/>
  <c r="AE91" i="10"/>
  <c r="AI91" i="10"/>
  <c r="AM91" i="10"/>
  <c r="X92" i="10"/>
  <c r="AB92" i="10"/>
  <c r="AF92" i="10"/>
  <c r="AJ92" i="10"/>
  <c r="U93" i="10"/>
  <c r="Y93" i="10"/>
  <c r="AC93" i="10"/>
  <c r="AG93" i="10"/>
  <c r="AK93" i="10"/>
  <c r="V94" i="10"/>
  <c r="Z94" i="10"/>
  <c r="AD94" i="10"/>
  <c r="AH94" i="10"/>
  <c r="AL94" i="10"/>
  <c r="T90" i="10"/>
  <c r="T94" i="10"/>
  <c r="X78" i="10"/>
  <c r="AB78" i="10"/>
  <c r="AF78" i="10"/>
  <c r="AJ78" i="10"/>
  <c r="U79" i="10"/>
  <c r="X96" i="10"/>
  <c r="AB96" i="10"/>
  <c r="AF96" i="10"/>
  <c r="AJ96" i="10"/>
  <c r="U97" i="10"/>
  <c r="Y97" i="10"/>
  <c r="AC97" i="10"/>
  <c r="AG97" i="10"/>
  <c r="AK97" i="10"/>
  <c r="V98" i="10"/>
  <c r="Z98" i="10"/>
  <c r="AD98" i="10"/>
  <c r="AH98" i="10"/>
  <c r="AL98" i="10"/>
  <c r="W99" i="10"/>
  <c r="AA99" i="10"/>
  <c r="AE99" i="10"/>
  <c r="AI99" i="10"/>
  <c r="AM99" i="10"/>
  <c r="X100" i="10"/>
  <c r="AB100" i="10"/>
  <c r="AF100" i="10"/>
  <c r="AJ100" i="10"/>
  <c r="U101" i="10"/>
  <c r="Y101" i="10"/>
  <c r="AC101" i="10"/>
  <c r="AG101" i="10"/>
  <c r="AK101" i="10"/>
  <c r="V102" i="10"/>
  <c r="Z102" i="10"/>
  <c r="AD102" i="10"/>
  <c r="AH102" i="10"/>
  <c r="AL102" i="10"/>
  <c r="W103" i="10"/>
  <c r="AA103" i="10"/>
  <c r="AE103" i="10"/>
  <c r="AI103" i="10"/>
  <c r="AM103" i="10"/>
  <c r="T100" i="10"/>
  <c r="U87" i="10"/>
  <c r="Y87" i="10"/>
  <c r="AC87" i="10"/>
  <c r="AG87" i="10"/>
  <c r="AK87" i="10"/>
  <c r="V88" i="10"/>
  <c r="Z88" i="10"/>
  <c r="AD88" i="10"/>
  <c r="AH88" i="10"/>
  <c r="AL88" i="10"/>
  <c r="W89" i="10"/>
  <c r="AA89" i="10"/>
  <c r="AE89" i="10"/>
  <c r="AI89" i="10"/>
  <c r="AM89" i="10"/>
  <c r="X90" i="10"/>
  <c r="AB90" i="10"/>
  <c r="AF90" i="10"/>
  <c r="AJ90" i="10"/>
  <c r="U91" i="10"/>
  <c r="Y91" i="10"/>
  <c r="AC91" i="10"/>
  <c r="AG91" i="10"/>
  <c r="AK91" i="10"/>
  <c r="V92" i="10"/>
  <c r="Z92" i="10"/>
  <c r="AD92" i="10"/>
  <c r="AH92" i="10"/>
  <c r="AL92" i="10"/>
  <c r="W93" i="10"/>
  <c r="AA93" i="10"/>
  <c r="AE93" i="10"/>
  <c r="AI93" i="10"/>
  <c r="AM93" i="10"/>
  <c r="X94" i="10"/>
  <c r="AB94" i="10"/>
  <c r="AF94" i="10"/>
  <c r="AJ94" i="10"/>
  <c r="T88" i="10"/>
  <c r="T92" i="10"/>
  <c r="V78" i="10"/>
  <c r="Z78" i="10"/>
  <c r="AD78" i="10"/>
  <c r="AH78" i="10"/>
  <c r="AL78" i="10"/>
  <c r="W79" i="10"/>
  <c r="AA79" i="10"/>
  <c r="AE79" i="10"/>
  <c r="AI79" i="10"/>
  <c r="W96" i="10"/>
  <c r="AM96" i="10"/>
  <c r="AJ97" i="10"/>
  <c r="AG98" i="10"/>
  <c r="AD99" i="10"/>
  <c r="AA100" i="10"/>
  <c r="X101" i="10"/>
  <c r="U102" i="10"/>
  <c r="AK102" i="10"/>
  <c r="AH103" i="10"/>
  <c r="X87" i="10"/>
  <c r="U88" i="10"/>
  <c r="AK88" i="10"/>
  <c r="AH89" i="10"/>
  <c r="AE90" i="10"/>
  <c r="AB91" i="10"/>
  <c r="Y92" i="10"/>
  <c r="V93" i="10"/>
  <c r="AL93" i="10"/>
  <c r="AI94" i="10"/>
  <c r="Y78" i="10"/>
  <c r="V79" i="10"/>
  <c r="AB79" i="10"/>
  <c r="AG79" i="10"/>
  <c r="AL79" i="10"/>
  <c r="W80" i="10"/>
  <c r="AA80" i="10"/>
  <c r="AE80" i="10"/>
  <c r="AI80" i="10"/>
  <c r="AM80" i="10"/>
  <c r="X81" i="10"/>
  <c r="AB81" i="10"/>
  <c r="AF81" i="10"/>
  <c r="AJ81" i="10"/>
  <c r="U82" i="10"/>
  <c r="Y82" i="10"/>
  <c r="AC82" i="10"/>
  <c r="AG82" i="10"/>
  <c r="AK82" i="10"/>
  <c r="V83" i="10"/>
  <c r="Z83" i="10"/>
  <c r="AD83" i="10"/>
  <c r="AH83" i="10"/>
  <c r="AL83" i="10"/>
  <c r="W84" i="10"/>
  <c r="AA84" i="10"/>
  <c r="AE84" i="10"/>
  <c r="AI84" i="10"/>
  <c r="AM84" i="10"/>
  <c r="X85" i="10"/>
  <c r="AB85" i="10"/>
  <c r="AF85" i="10"/>
  <c r="AJ85" i="10"/>
  <c r="T79" i="10"/>
  <c r="T83" i="10"/>
  <c r="AL76" i="10"/>
  <c r="AH76" i="10"/>
  <c r="AD76" i="10"/>
  <c r="Z76" i="10"/>
  <c r="V76" i="10"/>
  <c r="AK75" i="10"/>
  <c r="AG75" i="10"/>
  <c r="AC75" i="10"/>
  <c r="Y75" i="10"/>
  <c r="U75" i="10"/>
  <c r="AJ74" i="10"/>
  <c r="AF74" i="10"/>
  <c r="AB74" i="10"/>
  <c r="X74" i="10"/>
  <c r="AM73" i="10"/>
  <c r="AI73" i="10"/>
  <c r="AE73" i="10"/>
  <c r="AA73" i="10"/>
  <c r="W73" i="10"/>
  <c r="AL72" i="10"/>
  <c r="AH72" i="10"/>
  <c r="AD72" i="10"/>
  <c r="Z72" i="10"/>
  <c r="V72" i="10"/>
  <c r="AK71" i="10"/>
  <c r="AG71" i="10"/>
  <c r="AC71" i="10"/>
  <c r="Y71" i="10"/>
  <c r="U71" i="10"/>
  <c r="AJ70" i="10"/>
  <c r="AF70" i="10"/>
  <c r="AB70" i="10"/>
  <c r="X70" i="10"/>
  <c r="AM69" i="10"/>
  <c r="AI69" i="10"/>
  <c r="AE69" i="10"/>
  <c r="AA69" i="10"/>
  <c r="W69" i="10"/>
  <c r="T71" i="10"/>
  <c r="T75" i="10"/>
  <c r="T78" i="10"/>
  <c r="T63" i="10"/>
  <c r="T67" i="10"/>
  <c r="AA96" i="10"/>
  <c r="X97" i="10"/>
  <c r="U98" i="10"/>
  <c r="AK98" i="10"/>
  <c r="AH99" i="10"/>
  <c r="AE100" i="10"/>
  <c r="AB101" i="10"/>
  <c r="Y102" i="10"/>
  <c r="V103" i="10"/>
  <c r="AL103" i="10"/>
  <c r="AB87" i="10"/>
  <c r="Y88" i="10"/>
  <c r="V89" i="10"/>
  <c r="AL89" i="10"/>
  <c r="AI90" i="10"/>
  <c r="AF91" i="10"/>
  <c r="AC92" i="10"/>
  <c r="Z93" i="10"/>
  <c r="W94" i="10"/>
  <c r="AM94" i="10"/>
  <c r="AC78" i="10"/>
  <c r="X79" i="10"/>
  <c r="AC79" i="10"/>
  <c r="AH79" i="10"/>
  <c r="AM79" i="10"/>
  <c r="X80" i="10"/>
  <c r="AB80" i="10"/>
  <c r="AF80" i="10"/>
  <c r="AJ80" i="10"/>
  <c r="U81" i="10"/>
  <c r="Y81" i="10"/>
  <c r="AC81" i="10"/>
  <c r="AG81" i="10"/>
  <c r="AK81" i="10"/>
  <c r="V82" i="10"/>
  <c r="Z82" i="10"/>
  <c r="AD82" i="10"/>
  <c r="AH82" i="10"/>
  <c r="AL82" i="10"/>
  <c r="W83" i="10"/>
  <c r="AA83" i="10"/>
  <c r="AE83" i="10"/>
  <c r="AI83" i="10"/>
  <c r="AM83" i="10"/>
  <c r="X84" i="10"/>
  <c r="AB84" i="10"/>
  <c r="AF84" i="10"/>
  <c r="AJ84" i="10"/>
  <c r="U85" i="10"/>
  <c r="Y85" i="10"/>
  <c r="AC85" i="10"/>
  <c r="AG85" i="10"/>
  <c r="AK85" i="10"/>
  <c r="T80" i="10"/>
  <c r="T84" i="10"/>
  <c r="AK76" i="10"/>
  <c r="AG76" i="10"/>
  <c r="AC76" i="10"/>
  <c r="Y76" i="10"/>
  <c r="U76" i="10"/>
  <c r="AJ75" i="10"/>
  <c r="AF75" i="10"/>
  <c r="AB75" i="10"/>
  <c r="X75" i="10"/>
  <c r="AM74" i="10"/>
  <c r="AI74" i="10"/>
  <c r="AE74" i="10"/>
  <c r="AA74" i="10"/>
  <c r="W74" i="10"/>
  <c r="AL73" i="10"/>
  <c r="AH73" i="10"/>
  <c r="AD73" i="10"/>
  <c r="Z73" i="10"/>
  <c r="V73" i="10"/>
  <c r="AK72" i="10"/>
  <c r="AG72" i="10"/>
  <c r="AC72" i="10"/>
  <c r="Y72" i="10"/>
  <c r="U72" i="10"/>
  <c r="AJ71" i="10"/>
  <c r="AF71" i="10"/>
  <c r="AB71" i="10"/>
  <c r="X71" i="10"/>
  <c r="AM70" i="10"/>
  <c r="AI70" i="10"/>
  <c r="AE70" i="10"/>
  <c r="AA70" i="10"/>
  <c r="W70" i="10"/>
  <c r="AL69" i="10"/>
  <c r="AH69" i="10"/>
  <c r="AD69" i="10"/>
  <c r="Z69" i="10"/>
  <c r="V69" i="10"/>
  <c r="T72" i="10"/>
  <c r="T76" i="10"/>
  <c r="T69" i="10"/>
  <c r="T64" i="10"/>
  <c r="T60" i="10"/>
  <c r="AI96" i="10"/>
  <c r="AF97" i="10"/>
  <c r="AC98" i="10"/>
  <c r="Z99" i="10"/>
  <c r="W100" i="10"/>
  <c r="AM100" i="10"/>
  <c r="AJ101" i="10"/>
  <c r="AG102" i="10"/>
  <c r="AD103" i="10"/>
  <c r="T103" i="10"/>
  <c r="AJ87" i="10"/>
  <c r="AG88" i="10"/>
  <c r="AD89" i="10"/>
  <c r="AA90" i="10"/>
  <c r="X91" i="10"/>
  <c r="U92" i="10"/>
  <c r="AK92" i="10"/>
  <c r="AH93" i="10"/>
  <c r="AE94" i="10"/>
  <c r="U78" i="10"/>
  <c r="AK78" i="10"/>
  <c r="Z79" i="10"/>
  <c r="AF79" i="10"/>
  <c r="AK79" i="10"/>
  <c r="V80" i="10"/>
  <c r="Z80" i="10"/>
  <c r="AD80" i="10"/>
  <c r="AH80" i="10"/>
  <c r="AL80" i="10"/>
  <c r="W81" i="10"/>
  <c r="AA81" i="10"/>
  <c r="AE81" i="10"/>
  <c r="AI81" i="10"/>
  <c r="AM81" i="10"/>
  <c r="X82" i="10"/>
  <c r="AB82" i="10"/>
  <c r="AF82" i="10"/>
  <c r="AJ82" i="10"/>
  <c r="U83" i="10"/>
  <c r="Y83" i="10"/>
  <c r="AC83" i="10"/>
  <c r="AG83" i="10"/>
  <c r="AK83" i="10"/>
  <c r="V84" i="10"/>
  <c r="Z84" i="10"/>
  <c r="AD84" i="10"/>
  <c r="AH84" i="10"/>
  <c r="AL84" i="10"/>
  <c r="W85" i="10"/>
  <c r="AA85" i="10"/>
  <c r="AE85" i="10"/>
  <c r="AI85" i="10"/>
  <c r="AM85" i="10"/>
  <c r="T82" i="10"/>
  <c r="AM76" i="10"/>
  <c r="AI76" i="10"/>
  <c r="AE76" i="10"/>
  <c r="AA76" i="10"/>
  <c r="W76" i="10"/>
  <c r="AL75" i="10"/>
  <c r="AH75" i="10"/>
  <c r="AD75" i="10"/>
  <c r="Z75" i="10"/>
  <c r="V75" i="10"/>
  <c r="AK74" i="10"/>
  <c r="AG74" i="10"/>
  <c r="AC74" i="10"/>
  <c r="Y74" i="10"/>
  <c r="U74" i="10"/>
  <c r="AJ73" i="10"/>
  <c r="AF73" i="10"/>
  <c r="AB73" i="10"/>
  <c r="X73" i="10"/>
  <c r="AM72" i="10"/>
  <c r="AI72" i="10"/>
  <c r="AE72" i="10"/>
  <c r="AA72" i="10"/>
  <c r="W72" i="10"/>
  <c r="AL71" i="10"/>
  <c r="AH71" i="10"/>
  <c r="AD71" i="10"/>
  <c r="Z71" i="10"/>
  <c r="V71" i="10"/>
  <c r="AK70" i="10"/>
  <c r="AG70" i="10"/>
  <c r="AC70" i="10"/>
  <c r="Y70" i="10"/>
  <c r="U70" i="10"/>
  <c r="AJ69" i="10"/>
  <c r="AF69" i="10"/>
  <c r="AB69" i="10"/>
  <c r="X69" i="10"/>
  <c r="T70" i="10"/>
  <c r="T74" i="10"/>
  <c r="T87" i="10"/>
  <c r="T62" i="10"/>
  <c r="T66" i="10"/>
  <c r="AE96" i="10"/>
  <c r="AL99" i="10"/>
  <c r="Z103" i="10"/>
  <c r="Z89" i="10"/>
  <c r="AG92" i="10"/>
  <c r="AG78" i="10"/>
  <c r="U80" i="10"/>
  <c r="AK80" i="10"/>
  <c r="AH81" i="10"/>
  <c r="AE82" i="10"/>
  <c r="AB83" i="10"/>
  <c r="Y84" i="10"/>
  <c r="V85" i="10"/>
  <c r="AL85" i="10"/>
  <c r="AF76" i="10"/>
  <c r="AI75" i="10"/>
  <c r="AL74" i="10"/>
  <c r="V74" i="10"/>
  <c r="Y73" i="10"/>
  <c r="AB72" i="10"/>
  <c r="AE71" i="10"/>
  <c r="AH70" i="10"/>
  <c r="AK69" i="10"/>
  <c r="U69" i="10"/>
  <c r="T55" i="10"/>
  <c r="T51" i="10"/>
  <c r="T46" i="10"/>
  <c r="T42" i="10"/>
  <c r="T33" i="10"/>
  <c r="T36" i="10"/>
  <c r="AF101" i="10"/>
  <c r="AD79" i="10"/>
  <c r="W82" i="10"/>
  <c r="AG84" i="10"/>
  <c r="X76" i="10"/>
  <c r="AG73" i="10"/>
  <c r="W71" i="10"/>
  <c r="T65" i="10"/>
  <c r="T53" i="10"/>
  <c r="T44" i="10"/>
  <c r="AB97" i="10"/>
  <c r="AI100" i="10"/>
  <c r="T99" i="10"/>
  <c r="W90" i="10"/>
  <c r="AD93" i="10"/>
  <c r="Y79" i="10"/>
  <c r="Y80" i="10"/>
  <c r="V81" i="10"/>
  <c r="AL81" i="10"/>
  <c r="AI82" i="10"/>
  <c r="AF83" i="10"/>
  <c r="AC84" i="10"/>
  <c r="Z85" i="10"/>
  <c r="T81" i="10"/>
  <c r="AB76" i="10"/>
  <c r="AE75" i="10"/>
  <c r="AH74" i="10"/>
  <c r="AK73" i="10"/>
  <c r="U73" i="10"/>
  <c r="X72" i="10"/>
  <c r="AA71" i="10"/>
  <c r="AD70" i="10"/>
  <c r="AG69" i="10"/>
  <c r="T73" i="10"/>
  <c r="T61" i="10"/>
  <c r="T52" i="10"/>
  <c r="T56" i="10"/>
  <c r="T43" i="10"/>
  <c r="T47" i="10"/>
  <c r="Y98" i="10"/>
  <c r="AM90" i="10"/>
  <c r="AC80" i="10"/>
  <c r="AM82" i="10"/>
  <c r="T85" i="10"/>
  <c r="AD74" i="10"/>
  <c r="AM71" i="10"/>
  <c r="AC69" i="10"/>
  <c r="T34" i="10"/>
  <c r="V99" i="10"/>
  <c r="AC102" i="10"/>
  <c r="AC88" i="10"/>
  <c r="AJ91" i="10"/>
  <c r="T91" i="10"/>
  <c r="AJ79" i="10"/>
  <c r="AG80" i="10"/>
  <c r="AD81" i="10"/>
  <c r="AA82" i="10"/>
  <c r="X83" i="10"/>
  <c r="U84" i="10"/>
  <c r="AK84" i="10"/>
  <c r="AH85" i="10"/>
  <c r="AJ76" i="10"/>
  <c r="AM75" i="10"/>
  <c r="W75" i="10"/>
  <c r="Z74" i="10"/>
  <c r="AC73" i="10"/>
  <c r="AF72" i="10"/>
  <c r="AI71" i="10"/>
  <c r="AL70" i="10"/>
  <c r="V70" i="10"/>
  <c r="Y69" i="10"/>
  <c r="T54" i="10"/>
  <c r="T58" i="10"/>
  <c r="T45" i="10"/>
  <c r="T49" i="10"/>
  <c r="T38" i="10"/>
  <c r="T35" i="10"/>
  <c r="T39" i="10"/>
  <c r="T40" i="10"/>
  <c r="AF87" i="10"/>
  <c r="AA94" i="10"/>
  <c r="Z81" i="10"/>
  <c r="AJ83" i="10"/>
  <c r="AD85" i="10"/>
  <c r="AA75" i="10"/>
  <c r="AJ72" i="10"/>
  <c r="Z70" i="10"/>
  <c r="T96" i="10"/>
  <c r="T57" i="10"/>
  <c r="T48" i="10"/>
  <c r="T37" i="10"/>
  <c r="U31" i="10"/>
  <c r="Y31" i="10"/>
  <c r="AC31" i="10"/>
  <c r="AG31" i="10"/>
  <c r="AK31" i="10"/>
  <c r="U30" i="10"/>
  <c r="Y30" i="10"/>
  <c r="AC30" i="10"/>
  <c r="AG30" i="10"/>
  <c r="AK30" i="10"/>
  <c r="U29" i="10"/>
  <c r="Y29" i="10"/>
  <c r="AC29" i="10"/>
  <c r="AG29" i="10"/>
  <c r="AK29" i="10"/>
  <c r="U28" i="10"/>
  <c r="Y28" i="10"/>
  <c r="AC28" i="10"/>
  <c r="AG28" i="10"/>
  <c r="AK28" i="10"/>
  <c r="U27" i="10"/>
  <c r="Y27" i="10"/>
  <c r="AC27" i="10"/>
  <c r="AG27" i="10"/>
  <c r="AK27" i="10"/>
  <c r="U26" i="10"/>
  <c r="Y26" i="10"/>
  <c r="AC26" i="10"/>
  <c r="AG26" i="10"/>
  <c r="AK26" i="10"/>
  <c r="U25" i="10"/>
  <c r="Y25" i="10"/>
  <c r="AC25" i="10"/>
  <c r="AG25" i="10"/>
  <c r="AK25" i="10"/>
  <c r="U24" i="10"/>
  <c r="Y24" i="10"/>
  <c r="AC24" i="10"/>
  <c r="AG24" i="10"/>
  <c r="AK24" i="10"/>
  <c r="U15" i="10"/>
  <c r="Y15" i="10"/>
  <c r="AC15" i="10"/>
  <c r="AG15" i="10"/>
  <c r="AK15" i="10"/>
  <c r="AB31" i="10"/>
  <c r="X30" i="10"/>
  <c r="AJ30" i="10"/>
  <c r="AB29" i="10"/>
  <c r="T29" i="10"/>
  <c r="AF28" i="10"/>
  <c r="X27" i="10"/>
  <c r="AJ27" i="10"/>
  <c r="AF26" i="10"/>
  <c r="X25" i="10"/>
  <c r="AJ25" i="10"/>
  <c r="AB24" i="10"/>
  <c r="T24" i="10"/>
  <c r="V31" i="10"/>
  <c r="Z31" i="10"/>
  <c r="AD31" i="10"/>
  <c r="AH31" i="10"/>
  <c r="AL31" i="10"/>
  <c r="V30" i="10"/>
  <c r="Z30" i="10"/>
  <c r="AD30" i="10"/>
  <c r="AH30" i="10"/>
  <c r="AL30" i="10"/>
  <c r="V29" i="10"/>
  <c r="Z29" i="10"/>
  <c r="AD29" i="10"/>
  <c r="AH29" i="10"/>
  <c r="AL29" i="10"/>
  <c r="V28" i="10"/>
  <c r="Z28" i="10"/>
  <c r="AD28" i="10"/>
  <c r="AH28" i="10"/>
  <c r="AL28" i="10"/>
  <c r="V27" i="10"/>
  <c r="Z27" i="10"/>
  <c r="AD27" i="10"/>
  <c r="AH27" i="10"/>
  <c r="AL27" i="10"/>
  <c r="V26" i="10"/>
  <c r="Z26" i="10"/>
  <c r="AD26" i="10"/>
  <c r="AH26" i="10"/>
  <c r="AL26" i="10"/>
  <c r="V25" i="10"/>
  <c r="Z25" i="10"/>
  <c r="AD25" i="10"/>
  <c r="AH25" i="10"/>
  <c r="AL25" i="10"/>
  <c r="V24" i="10"/>
  <c r="Z24" i="10"/>
  <c r="AD24" i="10"/>
  <c r="AH24" i="10"/>
  <c r="AL24" i="10"/>
  <c r="V15" i="10"/>
  <c r="Z15" i="10"/>
  <c r="AD15" i="10"/>
  <c r="AH15" i="10"/>
  <c r="AL15" i="10"/>
  <c r="AF31" i="10"/>
  <c r="AJ31" i="10"/>
  <c r="AB30" i="10"/>
  <c r="T30" i="10"/>
  <c r="AF29" i="10"/>
  <c r="X28" i="10"/>
  <c r="AJ28" i="10"/>
  <c r="AB27" i="10"/>
  <c r="T27" i="10"/>
  <c r="AB26" i="10"/>
  <c r="T26" i="10"/>
  <c r="AF25" i="10"/>
  <c r="X24" i="10"/>
  <c r="AJ24" i="10"/>
  <c r="W31" i="10"/>
  <c r="AA31" i="10"/>
  <c r="AE31" i="10"/>
  <c r="AI31" i="10"/>
  <c r="AM31" i="10"/>
  <c r="W30" i="10"/>
  <c r="AA30" i="10"/>
  <c r="AE30" i="10"/>
  <c r="AI30" i="10"/>
  <c r="AM30" i="10"/>
  <c r="W29" i="10"/>
  <c r="AA29" i="10"/>
  <c r="AE29" i="10"/>
  <c r="AI29" i="10"/>
  <c r="AM29" i="10"/>
  <c r="W28" i="10"/>
  <c r="AA28" i="10"/>
  <c r="AE28" i="10"/>
  <c r="AI28" i="10"/>
  <c r="AM28" i="10"/>
  <c r="W27" i="10"/>
  <c r="AA27" i="10"/>
  <c r="AE27" i="10"/>
  <c r="AI27" i="10"/>
  <c r="AM27" i="10"/>
  <c r="W26" i="10"/>
  <c r="AA26" i="10"/>
  <c r="AE26" i="10"/>
  <c r="AI26" i="10"/>
  <c r="AM26" i="10"/>
  <c r="W25" i="10"/>
  <c r="AA25" i="10"/>
  <c r="AE25" i="10"/>
  <c r="AI25" i="10"/>
  <c r="AM25" i="10"/>
  <c r="W24" i="10"/>
  <c r="AA24" i="10"/>
  <c r="AE24" i="10"/>
  <c r="AI24" i="10"/>
  <c r="AM24" i="10"/>
  <c r="W15" i="10"/>
  <c r="AA15" i="10"/>
  <c r="AE15" i="10"/>
  <c r="AI15" i="10"/>
  <c r="AM15" i="10"/>
  <c r="X31" i="10"/>
  <c r="T31" i="10"/>
  <c r="AF30" i="10"/>
  <c r="X29" i="10"/>
  <c r="AJ29" i="10"/>
  <c r="AB28" i="10"/>
  <c r="T28" i="10"/>
  <c r="AF27" i="10"/>
  <c r="X26" i="10"/>
  <c r="AJ26" i="10"/>
  <c r="AB25" i="10"/>
  <c r="T25" i="10"/>
  <c r="AF24" i="10"/>
  <c r="AF15" i="10"/>
  <c r="AJ15" i="10"/>
  <c r="AB15" i="10"/>
  <c r="X15" i="10"/>
  <c r="AB19" i="10"/>
  <c r="AF16" i="10"/>
  <c r="X16" i="10"/>
  <c r="AF17" i="10"/>
  <c r="X17" i="10"/>
  <c r="AF18" i="10"/>
  <c r="X18" i="10"/>
  <c r="AF20" i="10"/>
  <c r="X20" i="10"/>
  <c r="AM18" i="10"/>
  <c r="T22" i="10"/>
  <c r="AJ22" i="10"/>
  <c r="AB22" i="10"/>
  <c r="AH21" i="10"/>
  <c r="Z21" i="10"/>
  <c r="AJ19" i="10"/>
  <c r="AL16" i="10"/>
  <c r="AD16" i="10"/>
  <c r="V16" i="10"/>
  <c r="AL17" i="10"/>
  <c r="AD17" i="10"/>
  <c r="V17" i="10"/>
  <c r="AD18" i="10"/>
  <c r="V18" i="10"/>
  <c r="AL20" i="10"/>
  <c r="AD20" i="10"/>
  <c r="V20" i="10"/>
  <c r="AK18" i="10"/>
  <c r="AH22" i="10"/>
  <c r="Z22" i="10"/>
  <c r="AF21" i="10"/>
  <c r="X21" i="10"/>
  <c r="AF19" i="10"/>
  <c r="T16" i="10"/>
  <c r="AJ16" i="10"/>
  <c r="AB16" i="10"/>
  <c r="T17" i="10"/>
  <c r="AJ17" i="10"/>
  <c r="AB17" i="10"/>
  <c r="T18" i="10"/>
  <c r="AB18" i="10"/>
  <c r="T20" i="10"/>
  <c r="AJ20" i="10"/>
  <c r="AB20" i="10"/>
  <c r="T19" i="10"/>
  <c r="AF22" i="10"/>
  <c r="X22" i="10"/>
  <c r="AL21" i="10"/>
  <c r="AD21" i="10"/>
  <c r="V21" i="10"/>
  <c r="U19" i="10"/>
  <c r="Y19" i="10"/>
  <c r="AC19" i="10"/>
  <c r="AG19" i="10"/>
  <c r="AK19" i="10"/>
  <c r="W21" i="10"/>
  <c r="AA21" i="10"/>
  <c r="AE21" i="10"/>
  <c r="AI21" i="10"/>
  <c r="AM21" i="10"/>
  <c r="U22" i="10"/>
  <c r="Y22" i="10"/>
  <c r="AC22" i="10"/>
  <c r="AG22" i="10"/>
  <c r="AK22" i="10"/>
  <c r="AJ18" i="10"/>
  <c r="U20" i="10"/>
  <c r="Y20" i="10"/>
  <c r="AC20" i="10"/>
  <c r="AG20" i="10"/>
  <c r="AK20" i="10"/>
  <c r="U18" i="10"/>
  <c r="Y18" i="10"/>
  <c r="AC18" i="10"/>
  <c r="AG18" i="10"/>
  <c r="U17" i="10"/>
  <c r="Y17" i="10"/>
  <c r="AC17" i="10"/>
  <c r="AG17" i="10"/>
  <c r="AK17" i="10"/>
  <c r="U16" i="10"/>
  <c r="Y16" i="10"/>
  <c r="AC16" i="10"/>
  <c r="AG16" i="10"/>
  <c r="AK16" i="10"/>
  <c r="Z19" i="10"/>
  <c r="AD19" i="10"/>
  <c r="AH19" i="10"/>
  <c r="AL19" i="10"/>
  <c r="V19" i="10"/>
  <c r="W19" i="10"/>
  <c r="AA19" i="10"/>
  <c r="AE19" i="10"/>
  <c r="AI19" i="10"/>
  <c r="AM19" i="10"/>
  <c r="U21" i="10"/>
  <c r="Y21" i="10"/>
  <c r="AC21" i="10"/>
  <c r="AG21" i="10"/>
  <c r="AK21" i="10"/>
  <c r="W22" i="10"/>
  <c r="AA22" i="10"/>
  <c r="AE22" i="10"/>
  <c r="AI22" i="10"/>
  <c r="AM22" i="10"/>
  <c r="AL18" i="10"/>
  <c r="W20" i="10"/>
  <c r="AA20" i="10"/>
  <c r="AE20" i="10"/>
  <c r="AI20" i="10"/>
  <c r="AM20" i="10"/>
  <c r="W18" i="10"/>
  <c r="AA18" i="10"/>
  <c r="AE18" i="10"/>
  <c r="AI18" i="10"/>
  <c r="W17" i="10"/>
  <c r="AA17" i="10"/>
  <c r="AE17" i="10"/>
  <c r="AI17" i="10"/>
  <c r="AM17" i="10"/>
  <c r="W16" i="10"/>
  <c r="AA16" i="10"/>
  <c r="AE16" i="10"/>
  <c r="AI16" i="10"/>
  <c r="AM16" i="10"/>
  <c r="AH16" i="10"/>
  <c r="Z16" i="10"/>
  <c r="AH17" i="10"/>
  <c r="Z17" i="10"/>
  <c r="AH18" i="10"/>
  <c r="Z18" i="10"/>
  <c r="AH20" i="10"/>
  <c r="Z20" i="10"/>
  <c r="T21" i="10"/>
  <c r="AL22" i="10"/>
  <c r="AD22" i="10"/>
  <c r="V22" i="10"/>
  <c r="AJ21" i="10"/>
  <c r="AB21" i="10"/>
  <c r="X19" i="10"/>
  <c r="J814" i="7"/>
  <c r="J1624" i="7"/>
  <c r="J2434" i="7"/>
  <c r="J3244" i="7"/>
  <c r="J5" i="7"/>
  <c r="J815" i="7"/>
  <c r="J1625" i="7"/>
  <c r="J2435" i="7"/>
  <c r="J3245" i="7"/>
  <c r="J6" i="7"/>
  <c r="J816" i="7"/>
  <c r="J1626" i="7"/>
  <c r="J2436" i="7"/>
  <c r="J3246" i="7"/>
  <c r="J7" i="7"/>
  <c r="J817" i="7"/>
  <c r="J1627" i="7"/>
  <c r="J2437" i="7"/>
  <c r="J3247" i="7"/>
  <c r="J8" i="7"/>
  <c r="J818" i="7"/>
  <c r="J1628" i="7"/>
  <c r="J2438" i="7"/>
  <c r="J3248" i="7"/>
  <c r="J9" i="7"/>
  <c r="J819" i="7"/>
  <c r="J1629" i="7"/>
  <c r="J2439" i="7"/>
  <c r="J3249" i="7"/>
  <c r="J10" i="7"/>
  <c r="J820" i="7"/>
  <c r="J1630" i="7"/>
  <c r="J2440" i="7"/>
  <c r="J3250" i="7"/>
  <c r="J11" i="7"/>
  <c r="J821" i="7"/>
  <c r="J1631" i="7"/>
  <c r="J2441" i="7"/>
  <c r="J3251" i="7"/>
  <c r="J12" i="7"/>
  <c r="J822" i="7"/>
  <c r="J1632" i="7"/>
  <c r="J2442" i="7"/>
  <c r="J3252" i="7"/>
  <c r="J13" i="7"/>
  <c r="J823" i="7"/>
  <c r="J1633" i="7"/>
  <c r="J2443" i="7"/>
  <c r="J3253" i="7"/>
  <c r="J14" i="7"/>
  <c r="J824" i="7"/>
  <c r="J1634" i="7"/>
  <c r="J2444" i="7"/>
  <c r="J3254" i="7"/>
  <c r="J15" i="7"/>
  <c r="J825" i="7"/>
  <c r="J1635" i="7"/>
  <c r="J2445" i="7"/>
  <c r="J3255" i="7"/>
  <c r="J16" i="7"/>
  <c r="J826" i="7"/>
  <c r="J1636" i="7"/>
  <c r="J2446" i="7"/>
  <c r="J3256" i="7"/>
  <c r="J17" i="7"/>
  <c r="J827" i="7"/>
  <c r="J1637" i="7"/>
  <c r="J2447" i="7"/>
  <c r="J3257" i="7"/>
  <c r="J18" i="7"/>
  <c r="J828" i="7"/>
  <c r="J1638" i="7"/>
  <c r="J2448" i="7"/>
  <c r="J3258" i="7"/>
  <c r="J139" i="7"/>
  <c r="J949" i="7"/>
  <c r="J1759" i="7"/>
  <c r="J2569" i="7"/>
  <c r="J3379" i="7"/>
  <c r="J140" i="7"/>
  <c r="J950" i="7"/>
  <c r="J1760" i="7"/>
  <c r="J2570" i="7"/>
  <c r="J3380" i="7"/>
  <c r="J141" i="7"/>
  <c r="J951" i="7"/>
  <c r="J1761" i="7"/>
  <c r="J2571" i="7"/>
  <c r="J3381" i="7"/>
  <c r="J142" i="7"/>
  <c r="J952" i="7"/>
  <c r="J1762" i="7"/>
  <c r="J2572" i="7"/>
  <c r="J3382" i="7"/>
  <c r="J143" i="7"/>
  <c r="J953" i="7"/>
  <c r="J1763" i="7"/>
  <c r="J2573" i="7"/>
  <c r="J3383" i="7"/>
  <c r="J144" i="7"/>
  <c r="J954" i="7"/>
  <c r="J1764" i="7"/>
  <c r="J2574" i="7"/>
  <c r="J3384" i="7"/>
  <c r="J145" i="7"/>
  <c r="J955" i="7"/>
  <c r="J1765" i="7"/>
  <c r="J2575" i="7"/>
  <c r="J3385" i="7"/>
  <c r="J146" i="7"/>
  <c r="J956" i="7"/>
  <c r="J1766" i="7"/>
  <c r="J2576" i="7"/>
  <c r="J3386" i="7"/>
  <c r="J147" i="7"/>
  <c r="J957" i="7"/>
  <c r="J1767" i="7"/>
  <c r="J2577" i="7"/>
  <c r="J3387" i="7"/>
  <c r="J148" i="7"/>
  <c r="J958" i="7"/>
  <c r="J1768" i="7"/>
  <c r="J2578" i="7"/>
  <c r="J3388" i="7"/>
  <c r="J149" i="7"/>
  <c r="J959" i="7"/>
  <c r="J1769" i="7"/>
  <c r="J2579" i="7"/>
  <c r="J3389" i="7"/>
  <c r="J150" i="7"/>
  <c r="J960" i="7"/>
  <c r="J1770" i="7"/>
  <c r="J2580" i="7"/>
  <c r="J3390" i="7"/>
  <c r="J151" i="7"/>
  <c r="J961" i="7"/>
  <c r="J1771" i="7"/>
  <c r="J2581" i="7"/>
  <c r="J3391" i="7"/>
  <c r="J152" i="7"/>
  <c r="J962" i="7"/>
  <c r="J1772" i="7"/>
  <c r="J2582" i="7"/>
  <c r="J3392" i="7"/>
  <c r="J153" i="7"/>
  <c r="J963" i="7"/>
  <c r="J1773" i="7"/>
  <c r="J2583" i="7"/>
  <c r="J3393" i="7"/>
  <c r="J274" i="7"/>
  <c r="J1084" i="7"/>
  <c r="J1894" i="7"/>
  <c r="J2704" i="7"/>
  <c r="J3514" i="7"/>
  <c r="J275" i="7"/>
  <c r="J1085" i="7"/>
  <c r="J1895" i="7"/>
  <c r="J2705" i="7"/>
  <c r="J3515" i="7"/>
  <c r="J276" i="7"/>
  <c r="J1086" i="7"/>
  <c r="J1896" i="7"/>
  <c r="J2706" i="7"/>
  <c r="J3516" i="7"/>
  <c r="J277" i="7"/>
  <c r="J1087" i="7"/>
  <c r="J1897" i="7"/>
  <c r="J2707" i="7"/>
  <c r="J3517" i="7"/>
  <c r="J278" i="7"/>
  <c r="J1088" i="7"/>
  <c r="J1898" i="7"/>
  <c r="J2708" i="7"/>
  <c r="J3518" i="7"/>
  <c r="J279" i="7"/>
  <c r="J1089" i="7"/>
  <c r="J1899" i="7"/>
  <c r="J2709" i="7"/>
  <c r="J3519" i="7"/>
  <c r="J280" i="7"/>
  <c r="J1090" i="7"/>
  <c r="J1900" i="7"/>
  <c r="J2710" i="7"/>
  <c r="J3520" i="7"/>
  <c r="J281" i="7"/>
  <c r="J1091" i="7"/>
  <c r="J1901" i="7"/>
  <c r="J2711" i="7"/>
  <c r="J3521" i="7"/>
  <c r="J282" i="7"/>
  <c r="J1092" i="7"/>
  <c r="J1902" i="7"/>
  <c r="J2712" i="7"/>
  <c r="J3522" i="7"/>
  <c r="J283" i="7"/>
  <c r="J1093" i="7"/>
  <c r="J1903" i="7"/>
  <c r="J2713" i="7"/>
  <c r="J3523" i="7"/>
  <c r="J284" i="7"/>
  <c r="J1094" i="7"/>
  <c r="J1904" i="7"/>
  <c r="J2714" i="7"/>
  <c r="J3524" i="7"/>
  <c r="J285" i="7"/>
  <c r="J1095" i="7"/>
  <c r="J1905" i="7"/>
  <c r="J2715" i="7"/>
  <c r="J3525" i="7"/>
  <c r="J286" i="7"/>
  <c r="J1096" i="7"/>
  <c r="J1906" i="7"/>
  <c r="J2716" i="7"/>
  <c r="J3526" i="7"/>
  <c r="J287" i="7"/>
  <c r="J1097" i="7"/>
  <c r="J1907" i="7"/>
  <c r="J2717" i="7"/>
  <c r="J3527" i="7"/>
  <c r="J288" i="7"/>
  <c r="J1098" i="7"/>
  <c r="J1908" i="7"/>
  <c r="J2718" i="7"/>
  <c r="J3528" i="7"/>
  <c r="J409" i="7"/>
  <c r="J1219" i="7"/>
  <c r="J2029" i="7"/>
  <c r="J2839" i="7"/>
  <c r="J3649" i="7"/>
  <c r="J410" i="7"/>
  <c r="J1220" i="7"/>
  <c r="J2030" i="7"/>
  <c r="J2840" i="7"/>
  <c r="J3650" i="7"/>
  <c r="J411" i="7"/>
  <c r="J1221" i="7"/>
  <c r="J2031" i="7"/>
  <c r="J2841" i="7"/>
  <c r="J3651" i="7"/>
  <c r="J412" i="7"/>
  <c r="J1222" i="7"/>
  <c r="J2032" i="7"/>
  <c r="J2842" i="7"/>
  <c r="J3652" i="7"/>
  <c r="J413" i="7"/>
  <c r="J1223" i="7"/>
  <c r="J2033" i="7"/>
  <c r="J2843" i="7"/>
  <c r="J3653" i="7"/>
  <c r="J414" i="7"/>
  <c r="J1224" i="7"/>
  <c r="J2034" i="7"/>
  <c r="J2844" i="7"/>
  <c r="J3654" i="7"/>
  <c r="J415" i="7"/>
  <c r="J1225" i="7"/>
  <c r="J2035" i="7"/>
  <c r="J2845" i="7"/>
  <c r="J3655" i="7"/>
  <c r="J416" i="7"/>
  <c r="J1226" i="7"/>
  <c r="J2036" i="7"/>
  <c r="J2846" i="7"/>
  <c r="J3656" i="7"/>
  <c r="J417" i="7"/>
  <c r="J1227" i="7"/>
  <c r="J2037" i="7"/>
  <c r="J2847" i="7"/>
  <c r="J3657" i="7"/>
  <c r="J418" i="7"/>
  <c r="J1228" i="7"/>
  <c r="J2038" i="7"/>
  <c r="J2848" i="7"/>
  <c r="J3658" i="7"/>
  <c r="J419" i="7"/>
  <c r="J1229" i="7"/>
  <c r="J2039" i="7"/>
  <c r="J2849" i="7"/>
  <c r="J3659" i="7"/>
  <c r="J420" i="7"/>
  <c r="J1230" i="7"/>
  <c r="J2040" i="7"/>
  <c r="J2850" i="7"/>
  <c r="J3660" i="7"/>
  <c r="J421" i="7"/>
  <c r="J1231" i="7"/>
  <c r="J2041" i="7"/>
  <c r="J2851" i="7"/>
  <c r="J3661" i="7"/>
  <c r="J422" i="7"/>
  <c r="J1232" i="7"/>
  <c r="J2042" i="7"/>
  <c r="J2852" i="7"/>
  <c r="J3662" i="7"/>
  <c r="J423" i="7"/>
  <c r="J1233" i="7"/>
  <c r="J2043" i="7"/>
  <c r="J2853" i="7"/>
  <c r="J3663" i="7"/>
  <c r="J544" i="7"/>
  <c r="J1354" i="7"/>
  <c r="J2164" i="7"/>
  <c r="J2974" i="7"/>
  <c r="J3784" i="7"/>
  <c r="J545" i="7"/>
  <c r="J1355" i="7"/>
  <c r="J2165" i="7"/>
  <c r="J2975" i="7"/>
  <c r="J3785" i="7"/>
  <c r="J546" i="7"/>
  <c r="J1356" i="7"/>
  <c r="J2166" i="7"/>
  <c r="J2976" i="7"/>
  <c r="J3786" i="7"/>
  <c r="J547" i="7"/>
  <c r="J1357" i="7"/>
  <c r="J2167" i="7"/>
  <c r="J2977" i="7"/>
  <c r="J3787" i="7"/>
  <c r="J548" i="7"/>
  <c r="J1358" i="7"/>
  <c r="J2168" i="7"/>
  <c r="J2978" i="7"/>
  <c r="J3788" i="7"/>
  <c r="J549" i="7"/>
  <c r="J1359" i="7"/>
  <c r="J2169" i="7"/>
  <c r="J2979" i="7"/>
  <c r="J3789" i="7"/>
  <c r="J550" i="7"/>
  <c r="J1360" i="7"/>
  <c r="J2170" i="7"/>
  <c r="J2980" i="7"/>
  <c r="J3790" i="7"/>
  <c r="J551" i="7"/>
  <c r="J1361" i="7"/>
  <c r="J2171" i="7"/>
  <c r="J2981" i="7"/>
  <c r="J3791" i="7"/>
  <c r="J552" i="7"/>
  <c r="J1362" i="7"/>
  <c r="J2172" i="7"/>
  <c r="J2982" i="7"/>
  <c r="J3792" i="7"/>
  <c r="J553" i="7"/>
  <c r="J1363" i="7"/>
  <c r="J2173" i="7"/>
  <c r="J2983" i="7"/>
  <c r="J3793" i="7"/>
  <c r="J554" i="7"/>
  <c r="J1364" i="7"/>
  <c r="J2174" i="7"/>
  <c r="J2984" i="7"/>
  <c r="J3794" i="7"/>
  <c r="J555" i="7"/>
  <c r="J1365" i="7"/>
  <c r="J2175" i="7"/>
  <c r="J2985" i="7"/>
  <c r="J3795" i="7"/>
  <c r="J556" i="7"/>
  <c r="J1366" i="7"/>
  <c r="J2176" i="7"/>
  <c r="J2986" i="7"/>
  <c r="J3796" i="7"/>
  <c r="J557" i="7"/>
  <c r="J1367" i="7"/>
  <c r="J2177" i="7"/>
  <c r="J2987" i="7"/>
  <c r="J3797" i="7"/>
  <c r="J558" i="7"/>
  <c r="J1368" i="7"/>
  <c r="J2178" i="7"/>
  <c r="J2988" i="7"/>
  <c r="J3798" i="7"/>
  <c r="J679" i="7"/>
  <c r="J1489" i="7"/>
  <c r="J2299" i="7"/>
  <c r="J3109" i="7"/>
  <c r="J3919" i="7"/>
  <c r="J680" i="7"/>
  <c r="J1490" i="7"/>
  <c r="J2300" i="7"/>
  <c r="J3110" i="7"/>
  <c r="J3920" i="7"/>
  <c r="J681" i="7"/>
  <c r="J1491" i="7"/>
  <c r="J2301" i="7"/>
  <c r="J3111" i="7"/>
  <c r="J3921" i="7"/>
  <c r="J682" i="7"/>
  <c r="J1492" i="7"/>
  <c r="J2302" i="7"/>
  <c r="J3112" i="7"/>
  <c r="J3922" i="7"/>
  <c r="J683" i="7"/>
  <c r="J1493" i="7"/>
  <c r="J2303" i="7"/>
  <c r="J3113" i="7"/>
  <c r="J3923" i="7"/>
  <c r="J684" i="7"/>
  <c r="J1494" i="7"/>
  <c r="J2304" i="7"/>
  <c r="J3114" i="7"/>
  <c r="J3924" i="7"/>
  <c r="J685" i="7"/>
  <c r="J1495" i="7"/>
  <c r="J2305" i="7"/>
  <c r="J3115" i="7"/>
  <c r="J3925" i="7"/>
  <c r="J686" i="7"/>
  <c r="J1496" i="7"/>
  <c r="J2306" i="7"/>
  <c r="J3116" i="7"/>
  <c r="J3926" i="7"/>
  <c r="J687" i="7"/>
  <c r="J1497" i="7"/>
  <c r="J2307" i="7"/>
  <c r="J3117" i="7"/>
  <c r="J3927" i="7"/>
  <c r="J688" i="7"/>
  <c r="J1498" i="7"/>
  <c r="J2308" i="7"/>
  <c r="J3118" i="7"/>
  <c r="J3928" i="7"/>
  <c r="J689" i="7"/>
  <c r="J1499" i="7"/>
  <c r="J2309" i="7"/>
  <c r="J3119" i="7"/>
  <c r="J3929" i="7"/>
  <c r="J690" i="7"/>
  <c r="J1500" i="7"/>
  <c r="J2310" i="7"/>
  <c r="J3120" i="7"/>
  <c r="J3930" i="7"/>
  <c r="J691" i="7"/>
  <c r="J1501" i="7"/>
  <c r="J2311" i="7"/>
  <c r="J3121" i="7"/>
  <c r="J3931" i="7"/>
  <c r="J692" i="7"/>
  <c r="J1502" i="7"/>
  <c r="J2312" i="7"/>
  <c r="J3122" i="7"/>
  <c r="J3932" i="7"/>
  <c r="J693" i="7"/>
  <c r="J1503" i="7"/>
  <c r="J2313" i="7"/>
  <c r="J3123" i="7"/>
  <c r="J3933" i="7"/>
  <c r="J19" i="7"/>
  <c r="J829" i="7"/>
  <c r="J1639" i="7"/>
  <c r="J2449" i="7"/>
  <c r="J3259" i="7"/>
  <c r="J20" i="7"/>
  <c r="J830" i="7"/>
  <c r="J1640" i="7"/>
  <c r="J2450" i="7"/>
  <c r="J3260" i="7"/>
  <c r="J21" i="7"/>
  <c r="J831" i="7"/>
  <c r="J1641" i="7"/>
  <c r="J2451" i="7"/>
  <c r="J3261" i="7"/>
  <c r="J22" i="7"/>
  <c r="J832" i="7"/>
  <c r="J1642" i="7"/>
  <c r="J2452" i="7"/>
  <c r="J3262" i="7"/>
  <c r="J23" i="7"/>
  <c r="J833" i="7"/>
  <c r="J1643" i="7"/>
  <c r="J2453" i="7"/>
  <c r="J3263" i="7"/>
  <c r="J24" i="7"/>
  <c r="J834" i="7"/>
  <c r="J1644" i="7"/>
  <c r="J2454" i="7"/>
  <c r="J3264" i="7"/>
  <c r="J25" i="7"/>
  <c r="J835" i="7"/>
  <c r="J1645" i="7"/>
  <c r="J2455" i="7"/>
  <c r="J3265" i="7"/>
  <c r="J26" i="7"/>
  <c r="J836" i="7"/>
  <c r="J1646" i="7"/>
  <c r="J2456" i="7"/>
  <c r="J3266" i="7"/>
  <c r="J27" i="7"/>
  <c r="J837" i="7"/>
  <c r="J1647" i="7"/>
  <c r="J2457" i="7"/>
  <c r="J3267" i="7"/>
  <c r="J28" i="7"/>
  <c r="J838" i="7"/>
  <c r="J1648" i="7"/>
  <c r="J2458" i="7"/>
  <c r="J3268" i="7"/>
  <c r="J29" i="7"/>
  <c r="J839" i="7"/>
  <c r="J1649" i="7"/>
  <c r="J2459" i="7"/>
  <c r="J3269" i="7"/>
  <c r="J30" i="7"/>
  <c r="J840" i="7"/>
  <c r="J1650" i="7"/>
  <c r="J2460" i="7"/>
  <c r="J3270" i="7"/>
  <c r="J31" i="7"/>
  <c r="J841" i="7"/>
  <c r="J1651" i="7"/>
  <c r="J2461" i="7"/>
  <c r="J3271" i="7"/>
  <c r="J32" i="7"/>
  <c r="J842" i="7"/>
  <c r="J1652" i="7"/>
  <c r="J2462" i="7"/>
  <c r="J3272" i="7"/>
  <c r="J33" i="7"/>
  <c r="J843" i="7"/>
  <c r="J1653" i="7"/>
  <c r="J2463" i="7"/>
  <c r="J3273" i="7"/>
  <c r="J154" i="7"/>
  <c r="J964" i="7"/>
  <c r="J1774" i="7"/>
  <c r="J2584" i="7"/>
  <c r="J3394" i="7"/>
  <c r="J155" i="7"/>
  <c r="J965" i="7"/>
  <c r="J1775" i="7"/>
  <c r="J2585" i="7"/>
  <c r="J3395" i="7"/>
  <c r="J156" i="7"/>
  <c r="J966" i="7"/>
  <c r="J1776" i="7"/>
  <c r="J2586" i="7"/>
  <c r="J3396" i="7"/>
  <c r="J157" i="7"/>
  <c r="J967" i="7"/>
  <c r="J1777" i="7"/>
  <c r="J2587" i="7"/>
  <c r="J3397" i="7"/>
  <c r="J158" i="7"/>
  <c r="J968" i="7"/>
  <c r="J1778" i="7"/>
  <c r="J2588" i="7"/>
  <c r="J3398" i="7"/>
  <c r="J159" i="7"/>
  <c r="J969" i="7"/>
  <c r="J1779" i="7"/>
  <c r="J2589" i="7"/>
  <c r="J3399" i="7"/>
  <c r="J160" i="7"/>
  <c r="J970" i="7"/>
  <c r="J1780" i="7"/>
  <c r="J2590" i="7"/>
  <c r="J3400" i="7"/>
  <c r="J161" i="7"/>
  <c r="J971" i="7"/>
  <c r="J1781" i="7"/>
  <c r="J2591" i="7"/>
  <c r="J3401" i="7"/>
  <c r="J162" i="7"/>
  <c r="J972" i="7"/>
  <c r="J1782" i="7"/>
  <c r="J2592" i="7"/>
  <c r="J3402" i="7"/>
  <c r="J163" i="7"/>
  <c r="J973" i="7"/>
  <c r="J1783" i="7"/>
  <c r="J2593" i="7"/>
  <c r="J3403" i="7"/>
  <c r="J164" i="7"/>
  <c r="J974" i="7"/>
  <c r="J1784" i="7"/>
  <c r="J2594" i="7"/>
  <c r="J3404" i="7"/>
  <c r="J165" i="7"/>
  <c r="J975" i="7"/>
  <c r="J1785" i="7"/>
  <c r="J2595" i="7"/>
  <c r="J3405" i="7"/>
  <c r="J166" i="7"/>
  <c r="J976" i="7"/>
  <c r="J1786" i="7"/>
  <c r="J2596" i="7"/>
  <c r="J3406" i="7"/>
  <c r="J167" i="7"/>
  <c r="J977" i="7"/>
  <c r="J1787" i="7"/>
  <c r="J2597" i="7"/>
  <c r="J3407" i="7"/>
  <c r="J168" i="7"/>
  <c r="J978" i="7"/>
  <c r="J1788" i="7"/>
  <c r="J2598" i="7"/>
  <c r="J3408" i="7"/>
  <c r="J289" i="7"/>
  <c r="J1099" i="7"/>
  <c r="J1909" i="7"/>
  <c r="J2719" i="7"/>
  <c r="J3529" i="7"/>
  <c r="J290" i="7"/>
  <c r="J1100" i="7"/>
  <c r="J1910" i="7"/>
  <c r="J2720" i="7"/>
  <c r="J3530" i="7"/>
  <c r="J291" i="7"/>
  <c r="J1101" i="7"/>
  <c r="J1911" i="7"/>
  <c r="J2721" i="7"/>
  <c r="J3531" i="7"/>
  <c r="J292" i="7"/>
  <c r="J1102" i="7"/>
  <c r="J1912" i="7"/>
  <c r="J2722" i="7"/>
  <c r="J3532" i="7"/>
  <c r="J293" i="7"/>
  <c r="J1103" i="7"/>
  <c r="J1913" i="7"/>
  <c r="J2723" i="7"/>
  <c r="J3533" i="7"/>
  <c r="J294" i="7"/>
  <c r="J1104" i="7"/>
  <c r="J1914" i="7"/>
  <c r="J2724" i="7"/>
  <c r="J3534" i="7"/>
  <c r="J295" i="7"/>
  <c r="J1105" i="7"/>
  <c r="J1915" i="7"/>
  <c r="J2725" i="7"/>
  <c r="J3535" i="7"/>
  <c r="J296" i="7"/>
  <c r="J1106" i="7"/>
  <c r="J1916" i="7"/>
  <c r="J2726" i="7"/>
  <c r="J3536" i="7"/>
  <c r="J297" i="7"/>
  <c r="J1107" i="7"/>
  <c r="J1917" i="7"/>
  <c r="J2727" i="7"/>
  <c r="J3537" i="7"/>
  <c r="J298" i="7"/>
  <c r="J1108" i="7"/>
  <c r="J1918" i="7"/>
  <c r="J2728" i="7"/>
  <c r="J3538" i="7"/>
  <c r="J299" i="7"/>
  <c r="J1109" i="7"/>
  <c r="J1919" i="7"/>
  <c r="J2729" i="7"/>
  <c r="J3539" i="7"/>
  <c r="J300" i="7"/>
  <c r="J1110" i="7"/>
  <c r="J1920" i="7"/>
  <c r="J2730" i="7"/>
  <c r="J3540" i="7"/>
  <c r="J301" i="7"/>
  <c r="J1111" i="7"/>
  <c r="J1921" i="7"/>
  <c r="J2731" i="7"/>
  <c r="J3541" i="7"/>
  <c r="J302" i="7"/>
  <c r="J1112" i="7"/>
  <c r="J1922" i="7"/>
  <c r="J2732" i="7"/>
  <c r="J3542" i="7"/>
  <c r="J303" i="7"/>
  <c r="J1113" i="7"/>
  <c r="J1923" i="7"/>
  <c r="J2733" i="7"/>
  <c r="J3543" i="7"/>
  <c r="J424" i="7"/>
  <c r="J1234" i="7"/>
  <c r="J2044" i="7"/>
  <c r="J2854" i="7"/>
  <c r="J3664" i="7"/>
  <c r="J425" i="7"/>
  <c r="J1235" i="7"/>
  <c r="J2045" i="7"/>
  <c r="J2855" i="7"/>
  <c r="J3665" i="7"/>
  <c r="J426" i="7"/>
  <c r="J1236" i="7"/>
  <c r="J2046" i="7"/>
  <c r="J2856" i="7"/>
  <c r="J3666" i="7"/>
  <c r="J427" i="7"/>
  <c r="J1237" i="7"/>
  <c r="J2047" i="7"/>
  <c r="J2857" i="7"/>
  <c r="J3667" i="7"/>
  <c r="J428" i="7"/>
  <c r="J1238" i="7"/>
  <c r="J2048" i="7"/>
  <c r="J2858" i="7"/>
  <c r="J3668" i="7"/>
  <c r="J429" i="7"/>
  <c r="J1239" i="7"/>
  <c r="J2049" i="7"/>
  <c r="J2859" i="7"/>
  <c r="J3669" i="7"/>
  <c r="J430" i="7"/>
  <c r="J1240" i="7"/>
  <c r="J2050" i="7"/>
  <c r="J2860" i="7"/>
  <c r="J3670" i="7"/>
  <c r="J431" i="7"/>
  <c r="J1241" i="7"/>
  <c r="J2051" i="7"/>
  <c r="J2861" i="7"/>
  <c r="J3671" i="7"/>
  <c r="J432" i="7"/>
  <c r="J1242" i="7"/>
  <c r="J2052" i="7"/>
  <c r="J2862" i="7"/>
  <c r="J3672" i="7"/>
  <c r="J433" i="7"/>
  <c r="J1243" i="7"/>
  <c r="J2053" i="7"/>
  <c r="J2863" i="7"/>
  <c r="J3673" i="7"/>
  <c r="J434" i="7"/>
  <c r="J1244" i="7"/>
  <c r="J2054" i="7"/>
  <c r="J2864" i="7"/>
  <c r="J3674" i="7"/>
  <c r="J435" i="7"/>
  <c r="J1245" i="7"/>
  <c r="J2055" i="7"/>
  <c r="J2865" i="7"/>
  <c r="J3675" i="7"/>
  <c r="J436" i="7"/>
  <c r="J1246" i="7"/>
  <c r="J2056" i="7"/>
  <c r="J2866" i="7"/>
  <c r="J3676" i="7"/>
  <c r="J437" i="7"/>
  <c r="J1247" i="7"/>
  <c r="J2057" i="7"/>
  <c r="J2867" i="7"/>
  <c r="J3677" i="7"/>
  <c r="J438" i="7"/>
  <c r="J1248" i="7"/>
  <c r="J2058" i="7"/>
  <c r="J2868" i="7"/>
  <c r="J3678" i="7"/>
  <c r="J559" i="7"/>
  <c r="J1369" i="7"/>
  <c r="J2179" i="7"/>
  <c r="J2989" i="7"/>
  <c r="J3799" i="7"/>
  <c r="J560" i="7"/>
  <c r="J1370" i="7"/>
  <c r="J2180" i="7"/>
  <c r="J2990" i="7"/>
  <c r="J3800" i="7"/>
  <c r="J561" i="7"/>
  <c r="J1371" i="7"/>
  <c r="J2181" i="7"/>
  <c r="J2991" i="7"/>
  <c r="J3801" i="7"/>
  <c r="J562" i="7"/>
  <c r="J1372" i="7"/>
  <c r="J2182" i="7"/>
  <c r="J2992" i="7"/>
  <c r="J3802" i="7"/>
  <c r="J563" i="7"/>
  <c r="J1373" i="7"/>
  <c r="J2183" i="7"/>
  <c r="J2993" i="7"/>
  <c r="J3803" i="7"/>
  <c r="J564" i="7"/>
  <c r="J1374" i="7"/>
  <c r="J2184" i="7"/>
  <c r="J2994" i="7"/>
  <c r="J3804" i="7"/>
  <c r="J565" i="7"/>
  <c r="J1375" i="7"/>
  <c r="J2185" i="7"/>
  <c r="J2995" i="7"/>
  <c r="J3805" i="7"/>
  <c r="J566" i="7"/>
  <c r="J1376" i="7"/>
  <c r="J2186" i="7"/>
  <c r="J2996" i="7"/>
  <c r="J3806" i="7"/>
  <c r="J567" i="7"/>
  <c r="J1377" i="7"/>
  <c r="J2187" i="7"/>
  <c r="J2997" i="7"/>
  <c r="J3807" i="7"/>
  <c r="J568" i="7"/>
  <c r="J1378" i="7"/>
  <c r="J2188" i="7"/>
  <c r="J2998" i="7"/>
  <c r="J3808" i="7"/>
  <c r="J569" i="7"/>
  <c r="J1379" i="7"/>
  <c r="J2189" i="7"/>
  <c r="J2999" i="7"/>
  <c r="J3809" i="7"/>
  <c r="J570" i="7"/>
  <c r="J1380" i="7"/>
  <c r="J2190" i="7"/>
  <c r="J3000" i="7"/>
  <c r="J3810" i="7"/>
  <c r="J571" i="7"/>
  <c r="J1381" i="7"/>
  <c r="J2191" i="7"/>
  <c r="J3001" i="7"/>
  <c r="J3811" i="7"/>
  <c r="J572" i="7"/>
  <c r="J1382" i="7"/>
  <c r="J2192" i="7"/>
  <c r="J3002" i="7"/>
  <c r="J3812" i="7"/>
  <c r="J573" i="7"/>
  <c r="J1383" i="7"/>
  <c r="J2193" i="7"/>
  <c r="J3003" i="7"/>
  <c r="J3813" i="7"/>
  <c r="J694" i="7"/>
  <c r="J1504" i="7"/>
  <c r="J2314" i="7"/>
  <c r="J3124" i="7"/>
  <c r="J3934" i="7"/>
  <c r="J695" i="7"/>
  <c r="J1505" i="7"/>
  <c r="J2315" i="7"/>
  <c r="J3125" i="7"/>
  <c r="J3935" i="7"/>
  <c r="J696" i="7"/>
  <c r="J1506" i="7"/>
  <c r="J2316" i="7"/>
  <c r="J3126" i="7"/>
  <c r="J3936" i="7"/>
  <c r="J697" i="7"/>
  <c r="J1507" i="7"/>
  <c r="J2317" i="7"/>
  <c r="J3127" i="7"/>
  <c r="J3937" i="7"/>
  <c r="J698" i="7"/>
  <c r="J1508" i="7"/>
  <c r="J2318" i="7"/>
  <c r="J3128" i="7"/>
  <c r="J3938" i="7"/>
  <c r="J699" i="7"/>
  <c r="J1509" i="7"/>
  <c r="J2319" i="7"/>
  <c r="J3129" i="7"/>
  <c r="J3939" i="7"/>
  <c r="J700" i="7"/>
  <c r="J1510" i="7"/>
  <c r="J2320" i="7"/>
  <c r="J3130" i="7"/>
  <c r="J3940" i="7"/>
  <c r="J701" i="7"/>
  <c r="J1511" i="7"/>
  <c r="J2321" i="7"/>
  <c r="J3131" i="7"/>
  <c r="J3941" i="7"/>
  <c r="J702" i="7"/>
  <c r="J1512" i="7"/>
  <c r="J2322" i="7"/>
  <c r="J3132" i="7"/>
  <c r="J3942" i="7"/>
  <c r="J703" i="7"/>
  <c r="J1513" i="7"/>
  <c r="J2323" i="7"/>
  <c r="J3133" i="7"/>
  <c r="J3943" i="7"/>
  <c r="J704" i="7"/>
  <c r="J1514" i="7"/>
  <c r="J2324" i="7"/>
  <c r="J3134" i="7"/>
  <c r="J3944" i="7"/>
  <c r="J705" i="7"/>
  <c r="J1515" i="7"/>
  <c r="J2325" i="7"/>
  <c r="J3135" i="7"/>
  <c r="J3945" i="7"/>
  <c r="J706" i="7"/>
  <c r="J1516" i="7"/>
  <c r="J2326" i="7"/>
  <c r="J3136" i="7"/>
  <c r="J3946" i="7"/>
  <c r="J707" i="7"/>
  <c r="J1517" i="7"/>
  <c r="J2327" i="7"/>
  <c r="J3137" i="7"/>
  <c r="J3947" i="7"/>
  <c r="J708" i="7"/>
  <c r="J1518" i="7"/>
  <c r="J2328" i="7"/>
  <c r="J3138" i="7"/>
  <c r="J3948" i="7"/>
  <c r="J34" i="7"/>
  <c r="J844" i="7"/>
  <c r="J1654" i="7"/>
  <c r="J2464" i="7"/>
  <c r="J3274" i="7"/>
  <c r="J35" i="7"/>
  <c r="J845" i="7"/>
  <c r="J1655" i="7"/>
  <c r="J2465" i="7"/>
  <c r="J3275" i="7"/>
  <c r="J36" i="7"/>
  <c r="J846" i="7"/>
  <c r="J1656" i="7"/>
  <c r="J2466" i="7"/>
  <c r="J3276" i="7"/>
  <c r="J37" i="7"/>
  <c r="J847" i="7"/>
  <c r="J1657" i="7"/>
  <c r="J2467" i="7"/>
  <c r="J3277" i="7"/>
  <c r="J38" i="7"/>
  <c r="J848" i="7"/>
  <c r="J1658" i="7"/>
  <c r="J2468" i="7"/>
  <c r="J3278" i="7"/>
  <c r="J39" i="7"/>
  <c r="J849" i="7"/>
  <c r="J1659" i="7"/>
  <c r="J2469" i="7"/>
  <c r="J3279" i="7"/>
  <c r="J40" i="7"/>
  <c r="J850" i="7"/>
  <c r="J1660" i="7"/>
  <c r="J2470" i="7"/>
  <c r="J3280" i="7"/>
  <c r="J41" i="7"/>
  <c r="J851" i="7"/>
  <c r="J1661" i="7"/>
  <c r="J2471" i="7"/>
  <c r="J3281" i="7"/>
  <c r="J42" i="7"/>
  <c r="J852" i="7"/>
  <c r="J1662" i="7"/>
  <c r="J2472" i="7"/>
  <c r="J3282" i="7"/>
  <c r="J43" i="7"/>
  <c r="J853" i="7"/>
  <c r="J1663" i="7"/>
  <c r="J2473" i="7"/>
  <c r="J3283" i="7"/>
  <c r="J44" i="7"/>
  <c r="J854" i="7"/>
  <c r="J1664" i="7"/>
  <c r="J2474" i="7"/>
  <c r="J3284" i="7"/>
  <c r="J45" i="7"/>
  <c r="J855" i="7"/>
  <c r="J1665" i="7"/>
  <c r="J2475" i="7"/>
  <c r="J3285" i="7"/>
  <c r="J46" i="7"/>
  <c r="J856" i="7"/>
  <c r="J1666" i="7"/>
  <c r="J2476" i="7"/>
  <c r="J3286" i="7"/>
  <c r="J47" i="7"/>
  <c r="J857" i="7"/>
  <c r="J1667" i="7"/>
  <c r="J2477" i="7"/>
  <c r="J3287" i="7"/>
  <c r="J48" i="7"/>
  <c r="J858" i="7"/>
  <c r="J1668" i="7"/>
  <c r="J2478" i="7"/>
  <c r="J3288" i="7"/>
  <c r="J169" i="7"/>
  <c r="J979" i="7"/>
  <c r="J1789" i="7"/>
  <c r="J2599" i="7"/>
  <c r="J3409" i="7"/>
  <c r="J170" i="7"/>
  <c r="J980" i="7"/>
  <c r="J1790" i="7"/>
  <c r="J2600" i="7"/>
  <c r="J3410" i="7"/>
  <c r="J171" i="7"/>
  <c r="J981" i="7"/>
  <c r="J1791" i="7"/>
  <c r="J2601" i="7"/>
  <c r="J3411" i="7"/>
  <c r="J172" i="7"/>
  <c r="J982" i="7"/>
  <c r="J1792" i="7"/>
  <c r="J2602" i="7"/>
  <c r="J3412" i="7"/>
  <c r="J173" i="7"/>
  <c r="J983" i="7"/>
  <c r="J1793" i="7"/>
  <c r="J2603" i="7"/>
  <c r="J3413" i="7"/>
  <c r="J174" i="7"/>
  <c r="J984" i="7"/>
  <c r="J1794" i="7"/>
  <c r="J2604" i="7"/>
  <c r="J3414" i="7"/>
  <c r="J175" i="7"/>
  <c r="J985" i="7"/>
  <c r="J1795" i="7"/>
  <c r="J2605" i="7"/>
  <c r="J3415" i="7"/>
  <c r="J176" i="7"/>
  <c r="J986" i="7"/>
  <c r="J1796" i="7"/>
  <c r="J2606" i="7"/>
  <c r="J3416" i="7"/>
  <c r="J177" i="7"/>
  <c r="J987" i="7"/>
  <c r="J1797" i="7"/>
  <c r="J2607" i="7"/>
  <c r="J3417" i="7"/>
  <c r="J178" i="7"/>
  <c r="J988" i="7"/>
  <c r="J1798" i="7"/>
  <c r="J2608" i="7"/>
  <c r="J3418" i="7"/>
  <c r="J179" i="7"/>
  <c r="J989" i="7"/>
  <c r="J1799" i="7"/>
  <c r="J2609" i="7"/>
  <c r="J3419" i="7"/>
  <c r="J180" i="7"/>
  <c r="J990" i="7"/>
  <c r="J1800" i="7"/>
  <c r="J2610" i="7"/>
  <c r="J3420" i="7"/>
  <c r="J181" i="7"/>
  <c r="J991" i="7"/>
  <c r="J1801" i="7"/>
  <c r="J2611" i="7"/>
  <c r="J3421" i="7"/>
  <c r="J182" i="7"/>
  <c r="J992" i="7"/>
  <c r="J1802" i="7"/>
  <c r="J2612" i="7"/>
  <c r="J3422" i="7"/>
  <c r="J183" i="7"/>
  <c r="J993" i="7"/>
  <c r="J1803" i="7"/>
  <c r="J2613" i="7"/>
  <c r="J3423" i="7"/>
  <c r="J304" i="7"/>
  <c r="J1114" i="7"/>
  <c r="J1924" i="7"/>
  <c r="J2734" i="7"/>
  <c r="J3544" i="7"/>
  <c r="J305" i="7"/>
  <c r="J1115" i="7"/>
  <c r="J1925" i="7"/>
  <c r="J2735" i="7"/>
  <c r="J3545" i="7"/>
  <c r="J306" i="7"/>
  <c r="J1116" i="7"/>
  <c r="J1926" i="7"/>
  <c r="J2736" i="7"/>
  <c r="J3546" i="7"/>
  <c r="J307" i="7"/>
  <c r="J1117" i="7"/>
  <c r="J1927" i="7"/>
  <c r="J2737" i="7"/>
  <c r="J3547" i="7"/>
  <c r="J308" i="7"/>
  <c r="J1118" i="7"/>
  <c r="J1928" i="7"/>
  <c r="J2738" i="7"/>
  <c r="J3548" i="7"/>
  <c r="J309" i="7"/>
  <c r="J1119" i="7"/>
  <c r="J1929" i="7"/>
  <c r="J2739" i="7"/>
  <c r="J3549" i="7"/>
  <c r="J310" i="7"/>
  <c r="J1120" i="7"/>
  <c r="J1930" i="7"/>
  <c r="J2740" i="7"/>
  <c r="J3550" i="7"/>
  <c r="J311" i="7"/>
  <c r="J1121" i="7"/>
  <c r="J1931" i="7"/>
  <c r="J2741" i="7"/>
  <c r="J3551" i="7"/>
  <c r="J312" i="7"/>
  <c r="J1122" i="7"/>
  <c r="J1932" i="7"/>
  <c r="J2742" i="7"/>
  <c r="J3552" i="7"/>
  <c r="J313" i="7"/>
  <c r="J1123" i="7"/>
  <c r="J1933" i="7"/>
  <c r="J2743" i="7"/>
  <c r="J3553" i="7"/>
  <c r="J314" i="7"/>
  <c r="J1124" i="7"/>
  <c r="J1934" i="7"/>
  <c r="J2744" i="7"/>
  <c r="J3554" i="7"/>
  <c r="J315" i="7"/>
  <c r="J1125" i="7"/>
  <c r="J1935" i="7"/>
  <c r="J2745" i="7"/>
  <c r="J3555" i="7"/>
  <c r="J316" i="7"/>
  <c r="J1126" i="7"/>
  <c r="J1936" i="7"/>
  <c r="J2746" i="7"/>
  <c r="J3556" i="7"/>
  <c r="J317" i="7"/>
  <c r="J1127" i="7"/>
  <c r="J1937" i="7"/>
  <c r="J2747" i="7"/>
  <c r="J3557" i="7"/>
  <c r="J318" i="7"/>
  <c r="J1128" i="7"/>
  <c r="J1938" i="7"/>
  <c r="J2748" i="7"/>
  <c r="J3558" i="7"/>
  <c r="J439" i="7"/>
  <c r="J1249" i="7"/>
  <c r="J2059" i="7"/>
  <c r="J2869" i="7"/>
  <c r="J3679" i="7"/>
  <c r="J440" i="7"/>
  <c r="J1250" i="7"/>
  <c r="J2060" i="7"/>
  <c r="J2870" i="7"/>
  <c r="J3680" i="7"/>
  <c r="J441" i="7"/>
  <c r="J1251" i="7"/>
  <c r="J2061" i="7"/>
  <c r="J2871" i="7"/>
  <c r="J3681" i="7"/>
  <c r="J442" i="7"/>
  <c r="J1252" i="7"/>
  <c r="J2062" i="7"/>
  <c r="J2872" i="7"/>
  <c r="J3682" i="7"/>
  <c r="J443" i="7"/>
  <c r="J1253" i="7"/>
  <c r="J2063" i="7"/>
  <c r="J2873" i="7"/>
  <c r="J3683" i="7"/>
  <c r="J444" i="7"/>
  <c r="J1254" i="7"/>
  <c r="J2064" i="7"/>
  <c r="J2874" i="7"/>
  <c r="J3684" i="7"/>
  <c r="J445" i="7"/>
  <c r="J1255" i="7"/>
  <c r="J2065" i="7"/>
  <c r="J2875" i="7"/>
  <c r="J3685" i="7"/>
  <c r="J446" i="7"/>
  <c r="J1256" i="7"/>
  <c r="J2066" i="7"/>
  <c r="J2876" i="7"/>
  <c r="J3686" i="7"/>
  <c r="J447" i="7"/>
  <c r="J1257" i="7"/>
  <c r="J2067" i="7"/>
  <c r="J2877" i="7"/>
  <c r="J3687" i="7"/>
  <c r="J448" i="7"/>
  <c r="J1258" i="7"/>
  <c r="J2068" i="7"/>
  <c r="J2878" i="7"/>
  <c r="J3688" i="7"/>
  <c r="J449" i="7"/>
  <c r="J1259" i="7"/>
  <c r="J2069" i="7"/>
  <c r="J2879" i="7"/>
  <c r="J3689" i="7"/>
  <c r="J450" i="7"/>
  <c r="J1260" i="7"/>
  <c r="J2070" i="7"/>
  <c r="J2880" i="7"/>
  <c r="J3690" i="7"/>
  <c r="J451" i="7"/>
  <c r="J1261" i="7"/>
  <c r="J2071" i="7"/>
  <c r="J2881" i="7"/>
  <c r="J3691" i="7"/>
  <c r="J452" i="7"/>
  <c r="J1262" i="7"/>
  <c r="J2072" i="7"/>
  <c r="J2882" i="7"/>
  <c r="J3692" i="7"/>
  <c r="J453" i="7"/>
  <c r="J1263" i="7"/>
  <c r="J2073" i="7"/>
  <c r="J2883" i="7"/>
  <c r="J3693" i="7"/>
  <c r="J574" i="7"/>
  <c r="J1384" i="7"/>
  <c r="J2194" i="7"/>
  <c r="J3004" i="7"/>
  <c r="J3814" i="7"/>
  <c r="J575" i="7"/>
  <c r="J1385" i="7"/>
  <c r="J2195" i="7"/>
  <c r="J3005" i="7"/>
  <c r="J3815" i="7"/>
  <c r="J576" i="7"/>
  <c r="J1386" i="7"/>
  <c r="J2196" i="7"/>
  <c r="J3006" i="7"/>
  <c r="J3816" i="7"/>
  <c r="J577" i="7"/>
  <c r="J1387" i="7"/>
  <c r="J2197" i="7"/>
  <c r="J3007" i="7"/>
  <c r="J3817" i="7"/>
  <c r="J578" i="7"/>
  <c r="J1388" i="7"/>
  <c r="J2198" i="7"/>
  <c r="J3008" i="7"/>
  <c r="J3818" i="7"/>
  <c r="J579" i="7"/>
  <c r="J1389" i="7"/>
  <c r="J2199" i="7"/>
  <c r="J3009" i="7"/>
  <c r="J3819" i="7"/>
  <c r="J580" i="7"/>
  <c r="J1390" i="7"/>
  <c r="J2200" i="7"/>
  <c r="J3010" i="7"/>
  <c r="J3820" i="7"/>
  <c r="J581" i="7"/>
  <c r="J1391" i="7"/>
  <c r="J2201" i="7"/>
  <c r="J3011" i="7"/>
  <c r="J3821" i="7"/>
  <c r="J582" i="7"/>
  <c r="J1392" i="7"/>
  <c r="J2202" i="7"/>
  <c r="J3012" i="7"/>
  <c r="J3822" i="7"/>
  <c r="J583" i="7"/>
  <c r="J1393" i="7"/>
  <c r="J2203" i="7"/>
  <c r="J3013" i="7"/>
  <c r="J3823" i="7"/>
  <c r="J584" i="7"/>
  <c r="J1394" i="7"/>
  <c r="J2204" i="7"/>
  <c r="J3014" i="7"/>
  <c r="J3824" i="7"/>
  <c r="J585" i="7"/>
  <c r="J1395" i="7"/>
  <c r="J2205" i="7"/>
  <c r="J3015" i="7"/>
  <c r="J3825" i="7"/>
  <c r="J586" i="7"/>
  <c r="J1396" i="7"/>
  <c r="J2206" i="7"/>
  <c r="J3016" i="7"/>
  <c r="J3826" i="7"/>
  <c r="J587" i="7"/>
  <c r="J1397" i="7"/>
  <c r="J2207" i="7"/>
  <c r="J3017" i="7"/>
  <c r="J3827" i="7"/>
  <c r="J588" i="7"/>
  <c r="J1398" i="7"/>
  <c r="J2208" i="7"/>
  <c r="J3018" i="7"/>
  <c r="J3828" i="7"/>
  <c r="J709" i="7"/>
  <c r="J1519" i="7"/>
  <c r="J2329" i="7"/>
  <c r="J3139" i="7"/>
  <c r="J3949" i="7"/>
  <c r="J710" i="7"/>
  <c r="J1520" i="7"/>
  <c r="J2330" i="7"/>
  <c r="J3140" i="7"/>
  <c r="J3950" i="7"/>
  <c r="J711" i="7"/>
  <c r="J1521" i="7"/>
  <c r="J2331" i="7"/>
  <c r="J3141" i="7"/>
  <c r="J3951" i="7"/>
  <c r="J712" i="7"/>
  <c r="J1522" i="7"/>
  <c r="J2332" i="7"/>
  <c r="J3142" i="7"/>
  <c r="J3952" i="7"/>
  <c r="J713" i="7"/>
  <c r="J1523" i="7"/>
  <c r="J2333" i="7"/>
  <c r="J3143" i="7"/>
  <c r="J3953" i="7"/>
  <c r="J714" i="7"/>
  <c r="J1524" i="7"/>
  <c r="J2334" i="7"/>
  <c r="J3144" i="7"/>
  <c r="J3954" i="7"/>
  <c r="J715" i="7"/>
  <c r="J1525" i="7"/>
  <c r="J2335" i="7"/>
  <c r="J3145" i="7"/>
  <c r="J3955" i="7"/>
  <c r="J716" i="7"/>
  <c r="J1526" i="7"/>
  <c r="J2336" i="7"/>
  <c r="J3146" i="7"/>
  <c r="J3956" i="7"/>
  <c r="J717" i="7"/>
  <c r="J1527" i="7"/>
  <c r="J2337" i="7"/>
  <c r="J3147" i="7"/>
  <c r="J3957" i="7"/>
  <c r="J718" i="7"/>
  <c r="J1528" i="7"/>
  <c r="J2338" i="7"/>
  <c r="J3148" i="7"/>
  <c r="J3958" i="7"/>
  <c r="J719" i="7"/>
  <c r="J1529" i="7"/>
  <c r="J2339" i="7"/>
  <c r="J3149" i="7"/>
  <c r="J3959" i="7"/>
  <c r="J720" i="7"/>
  <c r="J1530" i="7"/>
  <c r="J2340" i="7"/>
  <c r="J3150" i="7"/>
  <c r="J3960" i="7"/>
  <c r="J721" i="7"/>
  <c r="J1531" i="7"/>
  <c r="J2341" i="7"/>
  <c r="J3151" i="7"/>
  <c r="J3961" i="7"/>
  <c r="J722" i="7"/>
  <c r="J1532" i="7"/>
  <c r="J2342" i="7"/>
  <c r="J3152" i="7"/>
  <c r="J3962" i="7"/>
  <c r="J723" i="7"/>
  <c r="J1533" i="7"/>
  <c r="J2343" i="7"/>
  <c r="J3153" i="7"/>
  <c r="J3963" i="7"/>
  <c r="J49" i="7"/>
  <c r="J859" i="7"/>
  <c r="J1669" i="7"/>
  <c r="J2479" i="7"/>
  <c r="J3289" i="7"/>
  <c r="J50" i="7"/>
  <c r="J860" i="7"/>
  <c r="J1670" i="7"/>
  <c r="J2480" i="7"/>
  <c r="J3290" i="7"/>
  <c r="J51" i="7"/>
  <c r="J861" i="7"/>
  <c r="J1671" i="7"/>
  <c r="J2481" i="7"/>
  <c r="J3291" i="7"/>
  <c r="J52" i="7"/>
  <c r="J862" i="7"/>
  <c r="J1672" i="7"/>
  <c r="J2482" i="7"/>
  <c r="J3292" i="7"/>
  <c r="J53" i="7"/>
  <c r="J863" i="7"/>
  <c r="J1673" i="7"/>
  <c r="J2483" i="7"/>
  <c r="J3293" i="7"/>
  <c r="J54" i="7"/>
  <c r="J864" i="7"/>
  <c r="J1674" i="7"/>
  <c r="J2484" i="7"/>
  <c r="J3294" i="7"/>
  <c r="J55" i="7"/>
  <c r="J865" i="7"/>
  <c r="J1675" i="7"/>
  <c r="J2485" i="7"/>
  <c r="J3295" i="7"/>
  <c r="J56" i="7"/>
  <c r="J866" i="7"/>
  <c r="J1676" i="7"/>
  <c r="J2486" i="7"/>
  <c r="J3296" i="7"/>
  <c r="J57" i="7"/>
  <c r="J867" i="7"/>
  <c r="J1677" i="7"/>
  <c r="J2487" i="7"/>
  <c r="J3297" i="7"/>
  <c r="J58" i="7"/>
  <c r="J868" i="7"/>
  <c r="J1678" i="7"/>
  <c r="J2488" i="7"/>
  <c r="J3298" i="7"/>
  <c r="J59" i="7"/>
  <c r="J869" i="7"/>
  <c r="J1679" i="7"/>
  <c r="J2489" i="7"/>
  <c r="J3299" i="7"/>
  <c r="J60" i="7"/>
  <c r="J870" i="7"/>
  <c r="J1680" i="7"/>
  <c r="J2490" i="7"/>
  <c r="J3300" i="7"/>
  <c r="J61" i="7"/>
  <c r="J871" i="7"/>
  <c r="J1681" i="7"/>
  <c r="J2491" i="7"/>
  <c r="J3301" i="7"/>
  <c r="J62" i="7"/>
  <c r="J872" i="7"/>
  <c r="J1682" i="7"/>
  <c r="J2492" i="7"/>
  <c r="J3302" i="7"/>
  <c r="J63" i="7"/>
  <c r="J873" i="7"/>
  <c r="J1683" i="7"/>
  <c r="J2493" i="7"/>
  <c r="J3303" i="7"/>
  <c r="J184" i="7"/>
  <c r="J994" i="7"/>
  <c r="J1804" i="7"/>
  <c r="J2614" i="7"/>
  <c r="J3424" i="7"/>
  <c r="J185" i="7"/>
  <c r="J995" i="7"/>
  <c r="J1805" i="7"/>
  <c r="J2615" i="7"/>
  <c r="J3425" i="7"/>
  <c r="J186" i="7"/>
  <c r="J996" i="7"/>
  <c r="J1806" i="7"/>
  <c r="J2616" i="7"/>
  <c r="J3426" i="7"/>
  <c r="J187" i="7"/>
  <c r="J997" i="7"/>
  <c r="J1807" i="7"/>
  <c r="J2617" i="7"/>
  <c r="J3427" i="7"/>
  <c r="J188" i="7"/>
  <c r="J998" i="7"/>
  <c r="J1808" i="7"/>
  <c r="J2618" i="7"/>
  <c r="J3428" i="7"/>
  <c r="J189" i="7"/>
  <c r="J999" i="7"/>
  <c r="J1809" i="7"/>
  <c r="J2619" i="7"/>
  <c r="J3429" i="7"/>
  <c r="J190" i="7"/>
  <c r="J1000" i="7"/>
  <c r="J1810" i="7"/>
  <c r="J2620" i="7"/>
  <c r="J3430" i="7"/>
  <c r="J191" i="7"/>
  <c r="J1001" i="7"/>
  <c r="J1811" i="7"/>
  <c r="J2621" i="7"/>
  <c r="J3431" i="7"/>
  <c r="J192" i="7"/>
  <c r="J1002" i="7"/>
  <c r="J1812" i="7"/>
  <c r="J2622" i="7"/>
  <c r="J3432" i="7"/>
  <c r="J193" i="7"/>
  <c r="J1003" i="7"/>
  <c r="J1813" i="7"/>
  <c r="J2623" i="7"/>
  <c r="J3433" i="7"/>
  <c r="J194" i="7"/>
  <c r="J1004" i="7"/>
  <c r="J1814" i="7"/>
  <c r="J2624" i="7"/>
  <c r="J3434" i="7"/>
  <c r="J195" i="7"/>
  <c r="J1005" i="7"/>
  <c r="J1815" i="7"/>
  <c r="J2625" i="7"/>
  <c r="J3435" i="7"/>
  <c r="J196" i="7"/>
  <c r="J1006" i="7"/>
  <c r="J1816" i="7"/>
  <c r="J2626" i="7"/>
  <c r="J3436" i="7"/>
  <c r="J197" i="7"/>
  <c r="J1007" i="7"/>
  <c r="J1817" i="7"/>
  <c r="J2627" i="7"/>
  <c r="J3437" i="7"/>
  <c r="J198" i="7"/>
  <c r="J1008" i="7"/>
  <c r="J1818" i="7"/>
  <c r="J2628" i="7"/>
  <c r="J3438" i="7"/>
  <c r="J319" i="7"/>
  <c r="J1129" i="7"/>
  <c r="J1939" i="7"/>
  <c r="J2749" i="7"/>
  <c r="J3559" i="7"/>
  <c r="J320" i="7"/>
  <c r="J1130" i="7"/>
  <c r="J1940" i="7"/>
  <c r="J2750" i="7"/>
  <c r="J3560" i="7"/>
  <c r="J321" i="7"/>
  <c r="J1131" i="7"/>
  <c r="J1941" i="7"/>
  <c r="J2751" i="7"/>
  <c r="J3561" i="7"/>
  <c r="J322" i="7"/>
  <c r="J1132" i="7"/>
  <c r="J1942" i="7"/>
  <c r="J2752" i="7"/>
  <c r="J3562" i="7"/>
  <c r="J323" i="7"/>
  <c r="J1133" i="7"/>
  <c r="J1943" i="7"/>
  <c r="J2753" i="7"/>
  <c r="J3563" i="7"/>
  <c r="J324" i="7"/>
  <c r="J1134" i="7"/>
  <c r="J1944" i="7"/>
  <c r="J2754" i="7"/>
  <c r="J3564" i="7"/>
  <c r="J325" i="7"/>
  <c r="J1135" i="7"/>
  <c r="J1945" i="7"/>
  <c r="J2755" i="7"/>
  <c r="J3565" i="7"/>
  <c r="J326" i="7"/>
  <c r="J1136" i="7"/>
  <c r="J1946" i="7"/>
  <c r="J2756" i="7"/>
  <c r="J3566" i="7"/>
  <c r="J327" i="7"/>
  <c r="J1137" i="7"/>
  <c r="J1947" i="7"/>
  <c r="J2757" i="7"/>
  <c r="J3567" i="7"/>
  <c r="J328" i="7"/>
  <c r="J1138" i="7"/>
  <c r="J1948" i="7"/>
  <c r="J2758" i="7"/>
  <c r="J3568" i="7"/>
  <c r="J329" i="7"/>
  <c r="J1139" i="7"/>
  <c r="J1949" i="7"/>
  <c r="J2759" i="7"/>
  <c r="J3569" i="7"/>
  <c r="J330" i="7"/>
  <c r="J1140" i="7"/>
  <c r="J1950" i="7"/>
  <c r="J2760" i="7"/>
  <c r="J3570" i="7"/>
  <c r="J331" i="7"/>
  <c r="J1141" i="7"/>
  <c r="J1951" i="7"/>
  <c r="J2761" i="7"/>
  <c r="J3571" i="7"/>
  <c r="J332" i="7"/>
  <c r="J1142" i="7"/>
  <c r="J1952" i="7"/>
  <c r="J2762" i="7"/>
  <c r="J3572" i="7"/>
  <c r="J333" i="7"/>
  <c r="J1143" i="7"/>
  <c r="J1953" i="7"/>
  <c r="J2763" i="7"/>
  <c r="J3573" i="7"/>
  <c r="J454" i="7"/>
  <c r="J1264" i="7"/>
  <c r="J2074" i="7"/>
  <c r="J2884" i="7"/>
  <c r="J3694" i="7"/>
  <c r="J455" i="7"/>
  <c r="J1265" i="7"/>
  <c r="J2075" i="7"/>
  <c r="J2885" i="7"/>
  <c r="J3695" i="7"/>
  <c r="J456" i="7"/>
  <c r="J1266" i="7"/>
  <c r="J2076" i="7"/>
  <c r="J2886" i="7"/>
  <c r="J3696" i="7"/>
  <c r="J457" i="7"/>
  <c r="J1267" i="7"/>
  <c r="J2077" i="7"/>
  <c r="J2887" i="7"/>
  <c r="J3697" i="7"/>
  <c r="J458" i="7"/>
  <c r="J1268" i="7"/>
  <c r="J2078" i="7"/>
  <c r="J2888" i="7"/>
  <c r="J3698" i="7"/>
  <c r="J459" i="7"/>
  <c r="J1269" i="7"/>
  <c r="J2079" i="7"/>
  <c r="J2889" i="7"/>
  <c r="J3699" i="7"/>
  <c r="J460" i="7"/>
  <c r="J1270" i="7"/>
  <c r="J2080" i="7"/>
  <c r="J2890" i="7"/>
  <c r="J3700" i="7"/>
  <c r="J461" i="7"/>
  <c r="J1271" i="7"/>
  <c r="J2081" i="7"/>
  <c r="J2891" i="7"/>
  <c r="J3701" i="7"/>
  <c r="J462" i="7"/>
  <c r="J1272" i="7"/>
  <c r="J2082" i="7"/>
  <c r="J2892" i="7"/>
  <c r="J3702" i="7"/>
  <c r="J463" i="7"/>
  <c r="J1273" i="7"/>
  <c r="J2083" i="7"/>
  <c r="J2893" i="7"/>
  <c r="J3703" i="7"/>
  <c r="J464" i="7"/>
  <c r="J1274" i="7"/>
  <c r="J2084" i="7"/>
  <c r="J2894" i="7"/>
  <c r="J3704" i="7"/>
  <c r="J465" i="7"/>
  <c r="J1275" i="7"/>
  <c r="J2085" i="7"/>
  <c r="J2895" i="7"/>
  <c r="J3705" i="7"/>
  <c r="J466" i="7"/>
  <c r="J1276" i="7"/>
  <c r="J2086" i="7"/>
  <c r="J2896" i="7"/>
  <c r="J3706" i="7"/>
  <c r="J467" i="7"/>
  <c r="J1277" i="7"/>
  <c r="J2087" i="7"/>
  <c r="J2897" i="7"/>
  <c r="J3707" i="7"/>
  <c r="J468" i="7"/>
  <c r="J1278" i="7"/>
  <c r="J2088" i="7"/>
  <c r="J2898" i="7"/>
  <c r="J3708" i="7"/>
  <c r="J589" i="7"/>
  <c r="J1399" i="7"/>
  <c r="J2209" i="7"/>
  <c r="J3019" i="7"/>
  <c r="J3829" i="7"/>
  <c r="J590" i="7"/>
  <c r="J1400" i="7"/>
  <c r="J2210" i="7"/>
  <c r="J3020" i="7"/>
  <c r="J3830" i="7"/>
  <c r="J591" i="7"/>
  <c r="J1401" i="7"/>
  <c r="J2211" i="7"/>
  <c r="J3021" i="7"/>
  <c r="J3831" i="7"/>
  <c r="J592" i="7"/>
  <c r="J1402" i="7"/>
  <c r="J2212" i="7"/>
  <c r="J3022" i="7"/>
  <c r="J3832" i="7"/>
  <c r="J593" i="7"/>
  <c r="J1403" i="7"/>
  <c r="J2213" i="7"/>
  <c r="J3023" i="7"/>
  <c r="J3833" i="7"/>
  <c r="J594" i="7"/>
  <c r="J1404" i="7"/>
  <c r="J2214" i="7"/>
  <c r="J3024" i="7"/>
  <c r="J3834" i="7"/>
  <c r="J595" i="7"/>
  <c r="J1405" i="7"/>
  <c r="J2215" i="7"/>
  <c r="J3025" i="7"/>
  <c r="J3835" i="7"/>
  <c r="J596" i="7"/>
  <c r="J1406" i="7"/>
  <c r="J2216" i="7"/>
  <c r="J3026" i="7"/>
  <c r="J3836" i="7"/>
  <c r="J597" i="7"/>
  <c r="J1407" i="7"/>
  <c r="J2217" i="7"/>
  <c r="J3027" i="7"/>
  <c r="J3837" i="7"/>
  <c r="J598" i="7"/>
  <c r="J1408" i="7"/>
  <c r="J2218" i="7"/>
  <c r="J3028" i="7"/>
  <c r="J3838" i="7"/>
  <c r="J599" i="7"/>
  <c r="J1409" i="7"/>
  <c r="J2219" i="7"/>
  <c r="J3029" i="7"/>
  <c r="J3839" i="7"/>
  <c r="J600" i="7"/>
  <c r="J1410" i="7"/>
  <c r="J2220" i="7"/>
  <c r="J3030" i="7"/>
  <c r="J3840" i="7"/>
  <c r="J601" i="7"/>
  <c r="J1411" i="7"/>
  <c r="J2221" i="7"/>
  <c r="J3031" i="7"/>
  <c r="J3841" i="7"/>
  <c r="J602" i="7"/>
  <c r="J1412" i="7"/>
  <c r="J2222" i="7"/>
  <c r="J3032" i="7"/>
  <c r="J3842" i="7"/>
  <c r="J603" i="7"/>
  <c r="J1413" i="7"/>
  <c r="J2223" i="7"/>
  <c r="J3033" i="7"/>
  <c r="J3843" i="7"/>
  <c r="J724" i="7"/>
  <c r="J1534" i="7"/>
  <c r="J2344" i="7"/>
  <c r="J3154" i="7"/>
  <c r="J3964" i="7"/>
  <c r="J725" i="7"/>
  <c r="J1535" i="7"/>
  <c r="J2345" i="7"/>
  <c r="J3155" i="7"/>
  <c r="J3965" i="7"/>
  <c r="J726" i="7"/>
  <c r="J1536" i="7"/>
  <c r="J2346" i="7"/>
  <c r="J3156" i="7"/>
  <c r="J3966" i="7"/>
  <c r="J727" i="7"/>
  <c r="J1537" i="7"/>
  <c r="J2347" i="7"/>
  <c r="J3157" i="7"/>
  <c r="J3967" i="7"/>
  <c r="J728" i="7"/>
  <c r="J1538" i="7"/>
  <c r="J2348" i="7"/>
  <c r="J3158" i="7"/>
  <c r="J3968" i="7"/>
  <c r="J729" i="7"/>
  <c r="J1539" i="7"/>
  <c r="J2349" i="7"/>
  <c r="J3159" i="7"/>
  <c r="J3969" i="7"/>
  <c r="J730" i="7"/>
  <c r="J1540" i="7"/>
  <c r="J2350" i="7"/>
  <c r="J3160" i="7"/>
  <c r="J3970" i="7"/>
  <c r="J731" i="7"/>
  <c r="J1541" i="7"/>
  <c r="J2351" i="7"/>
  <c r="J3161" i="7"/>
  <c r="J3971" i="7"/>
  <c r="J732" i="7"/>
  <c r="J1542" i="7"/>
  <c r="J2352" i="7"/>
  <c r="J3162" i="7"/>
  <c r="J3972" i="7"/>
  <c r="J733" i="7"/>
  <c r="J1543" i="7"/>
  <c r="J2353" i="7"/>
  <c r="J3163" i="7"/>
  <c r="J3973" i="7"/>
  <c r="J734" i="7"/>
  <c r="J1544" i="7"/>
  <c r="J2354" i="7"/>
  <c r="J3164" i="7"/>
  <c r="J3974" i="7"/>
  <c r="J735" i="7"/>
  <c r="J1545" i="7"/>
  <c r="J2355" i="7"/>
  <c r="J3165" i="7"/>
  <c r="J3975" i="7"/>
  <c r="J736" i="7"/>
  <c r="J1546" i="7"/>
  <c r="J2356" i="7"/>
  <c r="J3166" i="7"/>
  <c r="J3976" i="7"/>
  <c r="J737" i="7"/>
  <c r="J1547" i="7"/>
  <c r="J2357" i="7"/>
  <c r="J3167" i="7"/>
  <c r="J3977" i="7"/>
  <c r="J738" i="7"/>
  <c r="J1548" i="7"/>
  <c r="J2358" i="7"/>
  <c r="J3168" i="7"/>
  <c r="J3978" i="7"/>
  <c r="J64" i="7"/>
  <c r="J874" i="7"/>
  <c r="J1684" i="7"/>
  <c r="J2494" i="7"/>
  <c r="J3304" i="7"/>
  <c r="J65" i="7"/>
  <c r="J875" i="7"/>
  <c r="J1685" i="7"/>
  <c r="J2495" i="7"/>
  <c r="J3305" i="7"/>
  <c r="J66" i="7"/>
  <c r="J876" i="7"/>
  <c r="J1686" i="7"/>
  <c r="J2496" i="7"/>
  <c r="J3306" i="7"/>
  <c r="J67" i="7"/>
  <c r="J877" i="7"/>
  <c r="J1687" i="7"/>
  <c r="J2497" i="7"/>
  <c r="J3307" i="7"/>
  <c r="J68" i="7"/>
  <c r="J878" i="7"/>
  <c r="J1688" i="7"/>
  <c r="J2498" i="7"/>
  <c r="J3308" i="7"/>
  <c r="J69" i="7"/>
  <c r="J879" i="7"/>
  <c r="J1689" i="7"/>
  <c r="J2499" i="7"/>
  <c r="J3309" i="7"/>
  <c r="J70" i="7"/>
  <c r="J880" i="7"/>
  <c r="J1690" i="7"/>
  <c r="J2500" i="7"/>
  <c r="J3310" i="7"/>
  <c r="J71" i="7"/>
  <c r="J881" i="7"/>
  <c r="J1691" i="7"/>
  <c r="J2501" i="7"/>
  <c r="J3311" i="7"/>
  <c r="J72" i="7"/>
  <c r="J882" i="7"/>
  <c r="J1692" i="7"/>
  <c r="J2502" i="7"/>
  <c r="J3312" i="7"/>
  <c r="J73" i="7"/>
  <c r="J883" i="7"/>
  <c r="J1693" i="7"/>
  <c r="J2503" i="7"/>
  <c r="J3313" i="7"/>
  <c r="J74" i="7"/>
  <c r="J884" i="7"/>
  <c r="J1694" i="7"/>
  <c r="J2504" i="7"/>
  <c r="J3314" i="7"/>
  <c r="J75" i="7"/>
  <c r="J885" i="7"/>
  <c r="J1695" i="7"/>
  <c r="J2505" i="7"/>
  <c r="J3315" i="7"/>
  <c r="J76" i="7"/>
  <c r="J886" i="7"/>
  <c r="J1696" i="7"/>
  <c r="J2506" i="7"/>
  <c r="J3316" i="7"/>
  <c r="J77" i="7"/>
  <c r="J887" i="7"/>
  <c r="J1697" i="7"/>
  <c r="J2507" i="7"/>
  <c r="J3317" i="7"/>
  <c r="J78" i="7"/>
  <c r="J888" i="7"/>
  <c r="J1698" i="7"/>
  <c r="J2508" i="7"/>
  <c r="J3318" i="7"/>
  <c r="J199" i="7"/>
  <c r="J1009" i="7"/>
  <c r="J1819" i="7"/>
  <c r="J2629" i="7"/>
  <c r="J3439" i="7"/>
  <c r="J200" i="7"/>
  <c r="J1010" i="7"/>
  <c r="J1820" i="7"/>
  <c r="J2630" i="7"/>
  <c r="J3440" i="7"/>
  <c r="J201" i="7"/>
  <c r="J1011" i="7"/>
  <c r="J1821" i="7"/>
  <c r="J2631" i="7"/>
  <c r="J3441" i="7"/>
  <c r="J202" i="7"/>
  <c r="J1012" i="7"/>
  <c r="J1822" i="7"/>
  <c r="J2632" i="7"/>
  <c r="J3442" i="7"/>
  <c r="J203" i="7"/>
  <c r="J1013" i="7"/>
  <c r="J1823" i="7"/>
  <c r="J2633" i="7"/>
  <c r="J3443" i="7"/>
  <c r="J204" i="7"/>
  <c r="J1014" i="7"/>
  <c r="J1824" i="7"/>
  <c r="J2634" i="7"/>
  <c r="J3444" i="7"/>
  <c r="J205" i="7"/>
  <c r="J1015" i="7"/>
  <c r="J1825" i="7"/>
  <c r="J2635" i="7"/>
  <c r="J3445" i="7"/>
  <c r="J206" i="7"/>
  <c r="J1016" i="7"/>
  <c r="J1826" i="7"/>
  <c r="J2636" i="7"/>
  <c r="J3446" i="7"/>
  <c r="J207" i="7"/>
  <c r="J1017" i="7"/>
  <c r="J1827" i="7"/>
  <c r="J2637" i="7"/>
  <c r="J3447" i="7"/>
  <c r="J208" i="7"/>
  <c r="J1018" i="7"/>
  <c r="J1828" i="7"/>
  <c r="J2638" i="7"/>
  <c r="J3448" i="7"/>
  <c r="J209" i="7"/>
  <c r="J1019" i="7"/>
  <c r="J1829" i="7"/>
  <c r="J2639" i="7"/>
  <c r="J3449" i="7"/>
  <c r="J210" i="7"/>
  <c r="J1020" i="7"/>
  <c r="J1830" i="7"/>
  <c r="J2640" i="7"/>
  <c r="J3450" i="7"/>
  <c r="J211" i="7"/>
  <c r="J1021" i="7"/>
  <c r="J1831" i="7"/>
  <c r="J2641" i="7"/>
  <c r="J3451" i="7"/>
  <c r="J212" i="7"/>
  <c r="J1022" i="7"/>
  <c r="J1832" i="7"/>
  <c r="J2642" i="7"/>
  <c r="J3452" i="7"/>
  <c r="J213" i="7"/>
  <c r="J1023" i="7"/>
  <c r="J1833" i="7"/>
  <c r="J2643" i="7"/>
  <c r="J3453" i="7"/>
  <c r="J334" i="7"/>
  <c r="J1144" i="7"/>
  <c r="J1954" i="7"/>
  <c r="J2764" i="7"/>
  <c r="J3574" i="7"/>
  <c r="J335" i="7"/>
  <c r="J1145" i="7"/>
  <c r="J1955" i="7"/>
  <c r="J2765" i="7"/>
  <c r="J3575" i="7"/>
  <c r="J336" i="7"/>
  <c r="J1146" i="7"/>
  <c r="J1956" i="7"/>
  <c r="J2766" i="7"/>
  <c r="J3576" i="7"/>
  <c r="J337" i="7"/>
  <c r="J1147" i="7"/>
  <c r="J1957" i="7"/>
  <c r="J2767" i="7"/>
  <c r="J3577" i="7"/>
  <c r="J338" i="7"/>
  <c r="J1148" i="7"/>
  <c r="J1958" i="7"/>
  <c r="J2768" i="7"/>
  <c r="J3578" i="7"/>
  <c r="J339" i="7"/>
  <c r="J1149" i="7"/>
  <c r="J1959" i="7"/>
  <c r="J2769" i="7"/>
  <c r="J3579" i="7"/>
  <c r="J340" i="7"/>
  <c r="J1150" i="7"/>
  <c r="J1960" i="7"/>
  <c r="J2770" i="7"/>
  <c r="J3580" i="7"/>
  <c r="J341" i="7"/>
  <c r="J1151" i="7"/>
  <c r="J1961" i="7"/>
  <c r="J2771" i="7"/>
  <c r="J3581" i="7"/>
  <c r="J342" i="7"/>
  <c r="J1152" i="7"/>
  <c r="J1962" i="7"/>
  <c r="J2772" i="7"/>
  <c r="J3582" i="7"/>
  <c r="J343" i="7"/>
  <c r="J1153" i="7"/>
  <c r="J1963" i="7"/>
  <c r="J2773" i="7"/>
  <c r="J3583" i="7"/>
  <c r="J344" i="7"/>
  <c r="J1154" i="7"/>
  <c r="J1964" i="7"/>
  <c r="J2774" i="7"/>
  <c r="J3584" i="7"/>
  <c r="J345" i="7"/>
  <c r="J1155" i="7"/>
  <c r="J1965" i="7"/>
  <c r="J2775" i="7"/>
  <c r="J3585" i="7"/>
  <c r="J346" i="7"/>
  <c r="J1156" i="7"/>
  <c r="J1966" i="7"/>
  <c r="J2776" i="7"/>
  <c r="J3586" i="7"/>
  <c r="J347" i="7"/>
  <c r="J1157" i="7"/>
  <c r="J1967" i="7"/>
  <c r="J2777" i="7"/>
  <c r="J3587" i="7"/>
  <c r="J348" i="7"/>
  <c r="J1158" i="7"/>
  <c r="J1968" i="7"/>
  <c r="J2778" i="7"/>
  <c r="J3588" i="7"/>
  <c r="J469" i="7"/>
  <c r="J1279" i="7"/>
  <c r="J2089" i="7"/>
  <c r="J2899" i="7"/>
  <c r="J3709" i="7"/>
  <c r="J470" i="7"/>
  <c r="J1280" i="7"/>
  <c r="J2090" i="7"/>
  <c r="J2900" i="7"/>
  <c r="J3710" i="7"/>
  <c r="J471" i="7"/>
  <c r="J1281" i="7"/>
  <c r="J2091" i="7"/>
  <c r="J2901" i="7"/>
  <c r="J3711" i="7"/>
  <c r="J472" i="7"/>
  <c r="J1282" i="7"/>
  <c r="J2092" i="7"/>
  <c r="J2902" i="7"/>
  <c r="J3712" i="7"/>
  <c r="J473" i="7"/>
  <c r="J1283" i="7"/>
  <c r="J2093" i="7"/>
  <c r="J2903" i="7"/>
  <c r="J3713" i="7"/>
  <c r="J474" i="7"/>
  <c r="J1284" i="7"/>
  <c r="J2094" i="7"/>
  <c r="J2904" i="7"/>
  <c r="J3714" i="7"/>
  <c r="J475" i="7"/>
  <c r="J1285" i="7"/>
  <c r="J2095" i="7"/>
  <c r="J2905" i="7"/>
  <c r="J3715" i="7"/>
  <c r="J476" i="7"/>
  <c r="J1286" i="7"/>
  <c r="J2096" i="7"/>
  <c r="J2906" i="7"/>
  <c r="J3716" i="7"/>
  <c r="J477" i="7"/>
  <c r="J1287" i="7"/>
  <c r="J2097" i="7"/>
  <c r="J2907" i="7"/>
  <c r="J3717" i="7"/>
  <c r="J478" i="7"/>
  <c r="J1288" i="7"/>
  <c r="J2098" i="7"/>
  <c r="J2908" i="7"/>
  <c r="J3718" i="7"/>
  <c r="J479" i="7"/>
  <c r="J1289" i="7"/>
  <c r="J2099" i="7"/>
  <c r="J2909" i="7"/>
  <c r="J3719" i="7"/>
  <c r="J480" i="7"/>
  <c r="J1290" i="7"/>
  <c r="J2100" i="7"/>
  <c r="J2910" i="7"/>
  <c r="J3720" i="7"/>
  <c r="J481" i="7"/>
  <c r="J1291" i="7"/>
  <c r="J2101" i="7"/>
  <c r="J2911" i="7"/>
  <c r="J3721" i="7"/>
  <c r="J482" i="7"/>
  <c r="J1292" i="7"/>
  <c r="J2102" i="7"/>
  <c r="J2912" i="7"/>
  <c r="J3722" i="7"/>
  <c r="J483" i="7"/>
  <c r="J1293" i="7"/>
  <c r="J2103" i="7"/>
  <c r="J2913" i="7"/>
  <c r="J3723" i="7"/>
  <c r="J604" i="7"/>
  <c r="J1414" i="7"/>
  <c r="J2224" i="7"/>
  <c r="J3034" i="7"/>
  <c r="J3844" i="7"/>
  <c r="J605" i="7"/>
  <c r="J1415" i="7"/>
  <c r="J2225" i="7"/>
  <c r="J3035" i="7"/>
  <c r="J3845" i="7"/>
  <c r="J606" i="7"/>
  <c r="J1416" i="7"/>
  <c r="J2226" i="7"/>
  <c r="J3036" i="7"/>
  <c r="J3846" i="7"/>
  <c r="J607" i="7"/>
  <c r="J1417" i="7"/>
  <c r="J2227" i="7"/>
  <c r="J3037" i="7"/>
  <c r="J3847" i="7"/>
  <c r="J608" i="7"/>
  <c r="J1418" i="7"/>
  <c r="J2228" i="7"/>
  <c r="J3038" i="7"/>
  <c r="J3848" i="7"/>
  <c r="J609" i="7"/>
  <c r="J1419" i="7"/>
  <c r="J2229" i="7"/>
  <c r="J3039" i="7"/>
  <c r="J3849" i="7"/>
  <c r="J610" i="7"/>
  <c r="J1420" i="7"/>
  <c r="J2230" i="7"/>
  <c r="J3040" i="7"/>
  <c r="J3850" i="7"/>
  <c r="J611" i="7"/>
  <c r="J1421" i="7"/>
  <c r="J2231" i="7"/>
  <c r="J3041" i="7"/>
  <c r="J3851" i="7"/>
  <c r="J612" i="7"/>
  <c r="J1422" i="7"/>
  <c r="J2232" i="7"/>
  <c r="J3042" i="7"/>
  <c r="J3852" i="7"/>
  <c r="J613" i="7"/>
  <c r="J1423" i="7"/>
  <c r="J2233" i="7"/>
  <c r="J3043" i="7"/>
  <c r="J3853" i="7"/>
  <c r="J614" i="7"/>
  <c r="J1424" i="7"/>
  <c r="J2234" i="7"/>
  <c r="J3044" i="7"/>
  <c r="J3854" i="7"/>
  <c r="J615" i="7"/>
  <c r="J1425" i="7"/>
  <c r="J2235" i="7"/>
  <c r="J3045" i="7"/>
  <c r="J3855" i="7"/>
  <c r="J616" i="7"/>
  <c r="J1426" i="7"/>
  <c r="J2236" i="7"/>
  <c r="J3046" i="7"/>
  <c r="J3856" i="7"/>
  <c r="J617" i="7"/>
  <c r="J1427" i="7"/>
  <c r="J2237" i="7"/>
  <c r="J3047" i="7"/>
  <c r="J3857" i="7"/>
  <c r="J618" i="7"/>
  <c r="J1428" i="7"/>
  <c r="J2238" i="7"/>
  <c r="J3048" i="7"/>
  <c r="J3858" i="7"/>
  <c r="J739" i="7"/>
  <c r="J1549" i="7"/>
  <c r="J2359" i="7"/>
  <c r="J3169" i="7"/>
  <c r="J3979" i="7"/>
  <c r="J740" i="7"/>
  <c r="J1550" i="7"/>
  <c r="J2360" i="7"/>
  <c r="J3170" i="7"/>
  <c r="J3980" i="7"/>
  <c r="J741" i="7"/>
  <c r="J1551" i="7"/>
  <c r="J2361" i="7"/>
  <c r="J3171" i="7"/>
  <c r="J3981" i="7"/>
  <c r="J742" i="7"/>
  <c r="J1552" i="7"/>
  <c r="J2362" i="7"/>
  <c r="J3172" i="7"/>
  <c r="J3982" i="7"/>
  <c r="J743" i="7"/>
  <c r="J1553" i="7"/>
  <c r="J2363" i="7"/>
  <c r="J3173" i="7"/>
  <c r="J3983" i="7"/>
  <c r="J744" i="7"/>
  <c r="J1554" i="7"/>
  <c r="J2364" i="7"/>
  <c r="J3174" i="7"/>
  <c r="J3984" i="7"/>
  <c r="J745" i="7"/>
  <c r="J1555" i="7"/>
  <c r="J2365" i="7"/>
  <c r="J3175" i="7"/>
  <c r="J3985" i="7"/>
  <c r="J746" i="7"/>
  <c r="J1556" i="7"/>
  <c r="J2366" i="7"/>
  <c r="J3176" i="7"/>
  <c r="J3986" i="7"/>
  <c r="J747" i="7"/>
  <c r="J1557" i="7"/>
  <c r="J2367" i="7"/>
  <c r="J3177" i="7"/>
  <c r="J3987" i="7"/>
  <c r="J748" i="7"/>
  <c r="J1558" i="7"/>
  <c r="J2368" i="7"/>
  <c r="J3178" i="7"/>
  <c r="J3988" i="7"/>
  <c r="J749" i="7"/>
  <c r="J1559" i="7"/>
  <c r="J2369" i="7"/>
  <c r="J3179" i="7"/>
  <c r="J3989" i="7"/>
  <c r="J750" i="7"/>
  <c r="J1560" i="7"/>
  <c r="J2370" i="7"/>
  <c r="J3180" i="7"/>
  <c r="J3990" i="7"/>
  <c r="J751" i="7"/>
  <c r="J1561" i="7"/>
  <c r="J2371" i="7"/>
  <c r="J3181" i="7"/>
  <c r="J3991" i="7"/>
  <c r="J752" i="7"/>
  <c r="J1562" i="7"/>
  <c r="J2372" i="7"/>
  <c r="J3182" i="7"/>
  <c r="J3992" i="7"/>
  <c r="J753" i="7"/>
  <c r="J1563" i="7"/>
  <c r="J2373" i="7"/>
  <c r="J3183" i="7"/>
  <c r="J3993" i="7"/>
  <c r="J79" i="7"/>
  <c r="J889" i="7"/>
  <c r="J1699" i="7"/>
  <c r="J2509" i="7"/>
  <c r="J3319" i="7"/>
  <c r="J80" i="7"/>
  <c r="J890" i="7"/>
  <c r="J1700" i="7"/>
  <c r="J2510" i="7"/>
  <c r="J3320" i="7"/>
  <c r="J81" i="7"/>
  <c r="J891" i="7"/>
  <c r="J1701" i="7"/>
  <c r="J2511" i="7"/>
  <c r="J3321" i="7"/>
  <c r="J82" i="7"/>
  <c r="J892" i="7"/>
  <c r="J1702" i="7"/>
  <c r="J2512" i="7"/>
  <c r="J3322" i="7"/>
  <c r="J83" i="7"/>
  <c r="J893" i="7"/>
  <c r="J1703" i="7"/>
  <c r="J2513" i="7"/>
  <c r="J3323" i="7"/>
  <c r="J84" i="7"/>
  <c r="J894" i="7"/>
  <c r="J1704" i="7"/>
  <c r="J2514" i="7"/>
  <c r="J3324" i="7"/>
  <c r="J85" i="7"/>
  <c r="J895" i="7"/>
  <c r="J1705" i="7"/>
  <c r="J2515" i="7"/>
  <c r="J3325" i="7"/>
  <c r="J86" i="7"/>
  <c r="J896" i="7"/>
  <c r="J1706" i="7"/>
  <c r="J2516" i="7"/>
  <c r="J3326" i="7"/>
  <c r="J87" i="7"/>
  <c r="J897" i="7"/>
  <c r="J1707" i="7"/>
  <c r="J2517" i="7"/>
  <c r="J3327" i="7"/>
  <c r="J88" i="7"/>
  <c r="J898" i="7"/>
  <c r="J1708" i="7"/>
  <c r="J2518" i="7"/>
  <c r="J3328" i="7"/>
  <c r="J89" i="7"/>
  <c r="J899" i="7"/>
  <c r="J1709" i="7"/>
  <c r="J2519" i="7"/>
  <c r="J3329" i="7"/>
  <c r="J90" i="7"/>
  <c r="J900" i="7"/>
  <c r="J1710" i="7"/>
  <c r="J2520" i="7"/>
  <c r="J3330" i="7"/>
  <c r="J91" i="7"/>
  <c r="J901" i="7"/>
  <c r="J1711" i="7"/>
  <c r="J2521" i="7"/>
  <c r="J3331" i="7"/>
  <c r="J92" i="7"/>
  <c r="J902" i="7"/>
  <c r="J1712" i="7"/>
  <c r="J2522" i="7"/>
  <c r="J3332" i="7"/>
  <c r="J93" i="7"/>
  <c r="J903" i="7"/>
  <c r="J1713" i="7"/>
  <c r="J2523" i="7"/>
  <c r="J3333" i="7"/>
  <c r="J214" i="7"/>
  <c r="J1024" i="7"/>
  <c r="J1834" i="7"/>
  <c r="J2644" i="7"/>
  <c r="J3454" i="7"/>
  <c r="J215" i="7"/>
  <c r="J1025" i="7"/>
  <c r="J1835" i="7"/>
  <c r="J2645" i="7"/>
  <c r="J3455" i="7"/>
  <c r="J216" i="7"/>
  <c r="J1026" i="7"/>
  <c r="J1836" i="7"/>
  <c r="J2646" i="7"/>
  <c r="J3456" i="7"/>
  <c r="J217" i="7"/>
  <c r="J1027" i="7"/>
  <c r="J1837" i="7"/>
  <c r="J2647" i="7"/>
  <c r="J3457" i="7"/>
  <c r="J218" i="7"/>
  <c r="J1028" i="7"/>
  <c r="J1838" i="7"/>
  <c r="J2648" i="7"/>
  <c r="J3458" i="7"/>
  <c r="J219" i="7"/>
  <c r="J1029" i="7"/>
  <c r="J1839" i="7"/>
  <c r="J2649" i="7"/>
  <c r="J3459" i="7"/>
  <c r="J220" i="7"/>
  <c r="J1030" i="7"/>
  <c r="J1840" i="7"/>
  <c r="J2650" i="7"/>
  <c r="J3460" i="7"/>
  <c r="J221" i="7"/>
  <c r="J1031" i="7"/>
  <c r="J1841" i="7"/>
  <c r="J2651" i="7"/>
  <c r="J3461" i="7"/>
  <c r="J222" i="7"/>
  <c r="J1032" i="7"/>
  <c r="J1842" i="7"/>
  <c r="J2652" i="7"/>
  <c r="J3462" i="7"/>
  <c r="J223" i="7"/>
  <c r="J1033" i="7"/>
  <c r="J1843" i="7"/>
  <c r="J2653" i="7"/>
  <c r="J3463" i="7"/>
  <c r="J224" i="7"/>
  <c r="J1034" i="7"/>
  <c r="J1844" i="7"/>
  <c r="J2654" i="7"/>
  <c r="J3464" i="7"/>
  <c r="J225" i="7"/>
  <c r="J1035" i="7"/>
  <c r="J1845" i="7"/>
  <c r="J2655" i="7"/>
  <c r="J3465" i="7"/>
  <c r="J226" i="7"/>
  <c r="J1036" i="7"/>
  <c r="J1846" i="7"/>
  <c r="J2656" i="7"/>
  <c r="J3466" i="7"/>
  <c r="J227" i="7"/>
  <c r="J1037" i="7"/>
  <c r="J1847" i="7"/>
  <c r="J2657" i="7"/>
  <c r="J3467" i="7"/>
  <c r="J228" i="7"/>
  <c r="J1038" i="7"/>
  <c r="J1848" i="7"/>
  <c r="J2658" i="7"/>
  <c r="J3468" i="7"/>
  <c r="J349" i="7"/>
  <c r="J1159" i="7"/>
  <c r="J1969" i="7"/>
  <c r="J2779" i="7"/>
  <c r="J3589" i="7"/>
  <c r="J350" i="7"/>
  <c r="J1160" i="7"/>
  <c r="J1970" i="7"/>
  <c r="J2780" i="7"/>
  <c r="J3590" i="7"/>
  <c r="J351" i="7"/>
  <c r="J1161" i="7"/>
  <c r="J1971" i="7"/>
  <c r="J2781" i="7"/>
  <c r="J3591" i="7"/>
  <c r="J352" i="7"/>
  <c r="J1162" i="7"/>
  <c r="J1972" i="7"/>
  <c r="J2782" i="7"/>
  <c r="J3592" i="7"/>
  <c r="J353" i="7"/>
  <c r="J1163" i="7"/>
  <c r="J1973" i="7"/>
  <c r="J2783" i="7"/>
  <c r="J3593" i="7"/>
  <c r="J354" i="7"/>
  <c r="J1164" i="7"/>
  <c r="J1974" i="7"/>
  <c r="J2784" i="7"/>
  <c r="J3594" i="7"/>
  <c r="J355" i="7"/>
  <c r="J1165" i="7"/>
  <c r="J1975" i="7"/>
  <c r="J2785" i="7"/>
  <c r="J3595" i="7"/>
  <c r="J356" i="7"/>
  <c r="J1166" i="7"/>
  <c r="J1976" i="7"/>
  <c r="J2786" i="7"/>
  <c r="J3596" i="7"/>
  <c r="J357" i="7"/>
  <c r="J1167" i="7"/>
  <c r="J1977" i="7"/>
  <c r="J2787" i="7"/>
  <c r="J3597" i="7"/>
  <c r="J358" i="7"/>
  <c r="J1168" i="7"/>
  <c r="J1978" i="7"/>
  <c r="J2788" i="7"/>
  <c r="J3598" i="7"/>
  <c r="J359" i="7"/>
  <c r="J1169" i="7"/>
  <c r="J1979" i="7"/>
  <c r="J2789" i="7"/>
  <c r="J3599" i="7"/>
  <c r="J360" i="7"/>
  <c r="J1170" i="7"/>
  <c r="J1980" i="7"/>
  <c r="J2790" i="7"/>
  <c r="J3600" i="7"/>
  <c r="J361" i="7"/>
  <c r="J1171" i="7"/>
  <c r="J1981" i="7"/>
  <c r="J2791" i="7"/>
  <c r="J3601" i="7"/>
  <c r="J362" i="7"/>
  <c r="J1172" i="7"/>
  <c r="J1982" i="7"/>
  <c r="J2792" i="7"/>
  <c r="J3602" i="7"/>
  <c r="J363" i="7"/>
  <c r="J1173" i="7"/>
  <c r="J1983" i="7"/>
  <c r="J2793" i="7"/>
  <c r="J3603" i="7"/>
  <c r="J484" i="7"/>
  <c r="J1294" i="7"/>
  <c r="J2104" i="7"/>
  <c r="J2914" i="7"/>
  <c r="J3724" i="7"/>
  <c r="J485" i="7"/>
  <c r="J1295" i="7"/>
  <c r="J2105" i="7"/>
  <c r="J2915" i="7"/>
  <c r="J3725" i="7"/>
  <c r="J486" i="7"/>
  <c r="J1296" i="7"/>
  <c r="J2106" i="7"/>
  <c r="J2916" i="7"/>
  <c r="J3726" i="7"/>
  <c r="J487" i="7"/>
  <c r="J1297" i="7"/>
  <c r="J2107" i="7"/>
  <c r="J2917" i="7"/>
  <c r="J3727" i="7"/>
  <c r="J488" i="7"/>
  <c r="J1298" i="7"/>
  <c r="J2108" i="7"/>
  <c r="J2918" i="7"/>
  <c r="J3728" i="7"/>
  <c r="J489" i="7"/>
  <c r="J1299" i="7"/>
  <c r="J2109" i="7"/>
  <c r="J2919" i="7"/>
  <c r="J3729" i="7"/>
  <c r="J490" i="7"/>
  <c r="J1300" i="7"/>
  <c r="J2110" i="7"/>
  <c r="J2920" i="7"/>
  <c r="J3730" i="7"/>
  <c r="J491" i="7"/>
  <c r="J1301" i="7"/>
  <c r="J2111" i="7"/>
  <c r="J2921" i="7"/>
  <c r="J3731" i="7"/>
  <c r="J492" i="7"/>
  <c r="J1302" i="7"/>
  <c r="J2112" i="7"/>
  <c r="J2922" i="7"/>
  <c r="J3732" i="7"/>
  <c r="J493" i="7"/>
  <c r="J1303" i="7"/>
  <c r="J2113" i="7"/>
  <c r="J2923" i="7"/>
  <c r="J3733" i="7"/>
  <c r="J494" i="7"/>
  <c r="J1304" i="7"/>
  <c r="J2114" i="7"/>
  <c r="J2924" i="7"/>
  <c r="J3734" i="7"/>
  <c r="J495" i="7"/>
  <c r="J1305" i="7"/>
  <c r="J2115" i="7"/>
  <c r="J2925" i="7"/>
  <c r="J3735" i="7"/>
  <c r="J496" i="7"/>
  <c r="J1306" i="7"/>
  <c r="J2116" i="7"/>
  <c r="J2926" i="7"/>
  <c r="J3736" i="7"/>
  <c r="J497" i="7"/>
  <c r="J1307" i="7"/>
  <c r="J2117" i="7"/>
  <c r="J2927" i="7"/>
  <c r="J3737" i="7"/>
  <c r="J498" i="7"/>
  <c r="J1308" i="7"/>
  <c r="J2118" i="7"/>
  <c r="J2928" i="7"/>
  <c r="J3738" i="7"/>
  <c r="J619" i="7"/>
  <c r="J1429" i="7"/>
  <c r="J2239" i="7"/>
  <c r="J3049" i="7"/>
  <c r="J3859" i="7"/>
  <c r="J620" i="7"/>
  <c r="J1430" i="7"/>
  <c r="J2240" i="7"/>
  <c r="J3050" i="7"/>
  <c r="J3860" i="7"/>
  <c r="J621" i="7"/>
  <c r="J1431" i="7"/>
  <c r="J2241" i="7"/>
  <c r="J3051" i="7"/>
  <c r="J3861" i="7"/>
  <c r="J622" i="7"/>
  <c r="J1432" i="7"/>
  <c r="J2242" i="7"/>
  <c r="J3052" i="7"/>
  <c r="J3862" i="7"/>
  <c r="J623" i="7"/>
  <c r="J1433" i="7"/>
  <c r="J2243" i="7"/>
  <c r="J3053" i="7"/>
  <c r="J3863" i="7"/>
  <c r="J624" i="7"/>
  <c r="J1434" i="7"/>
  <c r="J2244" i="7"/>
  <c r="J3054" i="7"/>
  <c r="J3864" i="7"/>
  <c r="J625" i="7"/>
  <c r="J1435" i="7"/>
  <c r="J2245" i="7"/>
  <c r="J3055" i="7"/>
  <c r="J3865" i="7"/>
  <c r="J626" i="7"/>
  <c r="J1436" i="7"/>
  <c r="J2246" i="7"/>
  <c r="J3056" i="7"/>
  <c r="J3866" i="7"/>
  <c r="J627" i="7"/>
  <c r="J1437" i="7"/>
  <c r="J2247" i="7"/>
  <c r="J3057" i="7"/>
  <c r="J3867" i="7"/>
  <c r="J628" i="7"/>
  <c r="J1438" i="7"/>
  <c r="J2248" i="7"/>
  <c r="J3058" i="7"/>
  <c r="J3868" i="7"/>
  <c r="J629" i="7"/>
  <c r="J1439" i="7"/>
  <c r="J2249" i="7"/>
  <c r="J3059" i="7"/>
  <c r="J3869" i="7"/>
  <c r="J630" i="7"/>
  <c r="J1440" i="7"/>
  <c r="J2250" i="7"/>
  <c r="J3060" i="7"/>
  <c r="J3870" i="7"/>
  <c r="J631" i="7"/>
  <c r="J1441" i="7"/>
  <c r="J2251" i="7"/>
  <c r="J3061" i="7"/>
  <c r="J3871" i="7"/>
  <c r="J632" i="7"/>
  <c r="J1442" i="7"/>
  <c r="J2252" i="7"/>
  <c r="J3062" i="7"/>
  <c r="J3872" i="7"/>
  <c r="J633" i="7"/>
  <c r="J1443" i="7"/>
  <c r="J2253" i="7"/>
  <c r="J3063" i="7"/>
  <c r="J3873" i="7"/>
  <c r="J754" i="7"/>
  <c r="J1564" i="7"/>
  <c r="J2374" i="7"/>
  <c r="J3184" i="7"/>
  <c r="J3994" i="7"/>
  <c r="J755" i="7"/>
  <c r="J1565" i="7"/>
  <c r="J2375" i="7"/>
  <c r="J3185" i="7"/>
  <c r="J3995" i="7"/>
  <c r="J756" i="7"/>
  <c r="J1566" i="7"/>
  <c r="J2376" i="7"/>
  <c r="J3186" i="7"/>
  <c r="J3996" i="7"/>
  <c r="J757" i="7"/>
  <c r="J1567" i="7"/>
  <c r="J2377" i="7"/>
  <c r="J3187" i="7"/>
  <c r="J3997" i="7"/>
  <c r="J758" i="7"/>
  <c r="J1568" i="7"/>
  <c r="J2378" i="7"/>
  <c r="J3188" i="7"/>
  <c r="J3998" i="7"/>
  <c r="J759" i="7"/>
  <c r="J1569" i="7"/>
  <c r="J2379" i="7"/>
  <c r="J3189" i="7"/>
  <c r="J3999" i="7"/>
  <c r="J760" i="7"/>
  <c r="J1570" i="7"/>
  <c r="J2380" i="7"/>
  <c r="J3190" i="7"/>
  <c r="J4000" i="7"/>
  <c r="J761" i="7"/>
  <c r="J1571" i="7"/>
  <c r="J2381" i="7"/>
  <c r="J3191" i="7"/>
  <c r="J4001" i="7"/>
  <c r="J762" i="7"/>
  <c r="J1572" i="7"/>
  <c r="J2382" i="7"/>
  <c r="J3192" i="7"/>
  <c r="J4002" i="7"/>
  <c r="J763" i="7"/>
  <c r="J1573" i="7"/>
  <c r="J2383" i="7"/>
  <c r="J3193" i="7"/>
  <c r="J4003" i="7"/>
  <c r="J764" i="7"/>
  <c r="J1574" i="7"/>
  <c r="J2384" i="7"/>
  <c r="J3194" i="7"/>
  <c r="J4004" i="7"/>
  <c r="J765" i="7"/>
  <c r="J1575" i="7"/>
  <c r="J2385" i="7"/>
  <c r="J3195" i="7"/>
  <c r="J4005" i="7"/>
  <c r="J766" i="7"/>
  <c r="J1576" i="7"/>
  <c r="J2386" i="7"/>
  <c r="J3196" i="7"/>
  <c r="J4006" i="7"/>
  <c r="J767" i="7"/>
  <c r="J1577" i="7"/>
  <c r="J2387" i="7"/>
  <c r="J3197" i="7"/>
  <c r="J4007" i="7"/>
  <c r="J768" i="7"/>
  <c r="J1578" i="7"/>
  <c r="J2388" i="7"/>
  <c r="J3198" i="7"/>
  <c r="J4008" i="7"/>
  <c r="J94" i="7"/>
  <c r="J904" i="7"/>
  <c r="J1714" i="7"/>
  <c r="J2524" i="7"/>
  <c r="J3334" i="7"/>
  <c r="J95" i="7"/>
  <c r="J905" i="7"/>
  <c r="J1715" i="7"/>
  <c r="J2525" i="7"/>
  <c r="J3335" i="7"/>
  <c r="J96" i="7"/>
  <c r="J906" i="7"/>
  <c r="J1716" i="7"/>
  <c r="J2526" i="7"/>
  <c r="J3336" i="7"/>
  <c r="J97" i="7"/>
  <c r="J907" i="7"/>
  <c r="J1717" i="7"/>
  <c r="J2527" i="7"/>
  <c r="J3337" i="7"/>
  <c r="J98" i="7"/>
  <c r="J908" i="7"/>
  <c r="J1718" i="7"/>
  <c r="J2528" i="7"/>
  <c r="J3338" i="7"/>
  <c r="J99" i="7"/>
  <c r="J909" i="7"/>
  <c r="J1719" i="7"/>
  <c r="J2529" i="7"/>
  <c r="J3339" i="7"/>
  <c r="J100" i="7"/>
  <c r="J910" i="7"/>
  <c r="J1720" i="7"/>
  <c r="J2530" i="7"/>
  <c r="J3340" i="7"/>
  <c r="J101" i="7"/>
  <c r="J911" i="7"/>
  <c r="J1721" i="7"/>
  <c r="J2531" i="7"/>
  <c r="J3341" i="7"/>
  <c r="J102" i="7"/>
  <c r="J912" i="7"/>
  <c r="J1722" i="7"/>
  <c r="J2532" i="7"/>
  <c r="J3342" i="7"/>
  <c r="J103" i="7"/>
  <c r="J913" i="7"/>
  <c r="J1723" i="7"/>
  <c r="J2533" i="7"/>
  <c r="J3343" i="7"/>
  <c r="J104" i="7"/>
  <c r="J914" i="7"/>
  <c r="J1724" i="7"/>
  <c r="J2534" i="7"/>
  <c r="J3344" i="7"/>
  <c r="J105" i="7"/>
  <c r="J915" i="7"/>
  <c r="J1725" i="7"/>
  <c r="J2535" i="7"/>
  <c r="J3345" i="7"/>
  <c r="J106" i="7"/>
  <c r="J916" i="7"/>
  <c r="J1726" i="7"/>
  <c r="J2536" i="7"/>
  <c r="J3346" i="7"/>
  <c r="J107" i="7"/>
  <c r="J917" i="7"/>
  <c r="J1727" i="7"/>
  <c r="J2537" i="7"/>
  <c r="J3347" i="7"/>
  <c r="J108" i="7"/>
  <c r="J918" i="7"/>
  <c r="J1728" i="7"/>
  <c r="J2538" i="7"/>
  <c r="J3348" i="7"/>
  <c r="J229" i="7"/>
  <c r="J1039" i="7"/>
  <c r="J1849" i="7"/>
  <c r="J2659" i="7"/>
  <c r="J3469" i="7"/>
  <c r="J230" i="7"/>
  <c r="J1040" i="7"/>
  <c r="J1850" i="7"/>
  <c r="J2660" i="7"/>
  <c r="J3470" i="7"/>
  <c r="J231" i="7"/>
  <c r="J1041" i="7"/>
  <c r="J1851" i="7"/>
  <c r="J2661" i="7"/>
  <c r="J3471" i="7"/>
  <c r="J232" i="7"/>
  <c r="J1042" i="7"/>
  <c r="J1852" i="7"/>
  <c r="J2662" i="7"/>
  <c r="J3472" i="7"/>
  <c r="J233" i="7"/>
  <c r="J1043" i="7"/>
  <c r="J1853" i="7"/>
  <c r="J2663" i="7"/>
  <c r="J3473" i="7"/>
  <c r="J234" i="7"/>
  <c r="J1044" i="7"/>
  <c r="J1854" i="7"/>
  <c r="J2664" i="7"/>
  <c r="J3474" i="7"/>
  <c r="J235" i="7"/>
  <c r="J1045" i="7"/>
  <c r="J1855" i="7"/>
  <c r="J2665" i="7"/>
  <c r="J3475" i="7"/>
  <c r="J236" i="7"/>
  <c r="J1046" i="7"/>
  <c r="J1856" i="7"/>
  <c r="J2666" i="7"/>
  <c r="J3476" i="7"/>
  <c r="J237" i="7"/>
  <c r="J1047" i="7"/>
  <c r="J1857" i="7"/>
  <c r="J2667" i="7"/>
  <c r="J3477" i="7"/>
  <c r="J238" i="7"/>
  <c r="J1048" i="7"/>
  <c r="J1858" i="7"/>
  <c r="J2668" i="7"/>
  <c r="J3478" i="7"/>
  <c r="J239" i="7"/>
  <c r="J1049" i="7"/>
  <c r="J1859" i="7"/>
  <c r="J2669" i="7"/>
  <c r="J3479" i="7"/>
  <c r="J240" i="7"/>
  <c r="J1050" i="7"/>
  <c r="J1860" i="7"/>
  <c r="J2670" i="7"/>
  <c r="J3480" i="7"/>
  <c r="J241" i="7"/>
  <c r="J1051" i="7"/>
  <c r="J1861" i="7"/>
  <c r="J2671" i="7"/>
  <c r="J3481" i="7"/>
  <c r="J242" i="7"/>
  <c r="J1052" i="7"/>
  <c r="J1862" i="7"/>
  <c r="J2672" i="7"/>
  <c r="J3482" i="7"/>
  <c r="J243" i="7"/>
  <c r="J1053" i="7"/>
  <c r="J1863" i="7"/>
  <c r="J2673" i="7"/>
  <c r="J3483" i="7"/>
  <c r="J364" i="7"/>
  <c r="J1174" i="7"/>
  <c r="J1984" i="7"/>
  <c r="J2794" i="7"/>
  <c r="J3604" i="7"/>
  <c r="J365" i="7"/>
  <c r="J1175" i="7"/>
  <c r="J1985" i="7"/>
  <c r="J2795" i="7"/>
  <c r="J3605" i="7"/>
  <c r="J366" i="7"/>
  <c r="J1176" i="7"/>
  <c r="J1986" i="7"/>
  <c r="J2796" i="7"/>
  <c r="J3606" i="7"/>
  <c r="J367" i="7"/>
  <c r="J1177" i="7"/>
  <c r="J1987" i="7"/>
  <c r="J2797" i="7"/>
  <c r="J3607" i="7"/>
  <c r="J368" i="7"/>
  <c r="J1178" i="7"/>
  <c r="J1988" i="7"/>
  <c r="J2798" i="7"/>
  <c r="J3608" i="7"/>
  <c r="J369" i="7"/>
  <c r="J1179" i="7"/>
  <c r="J1989" i="7"/>
  <c r="J2799" i="7"/>
  <c r="J3609" i="7"/>
  <c r="J370" i="7"/>
  <c r="J1180" i="7"/>
  <c r="J1990" i="7"/>
  <c r="J2800" i="7"/>
  <c r="J3610" i="7"/>
  <c r="J371" i="7"/>
  <c r="J1181" i="7"/>
  <c r="J1991" i="7"/>
  <c r="J2801" i="7"/>
  <c r="J3611" i="7"/>
  <c r="J372" i="7"/>
  <c r="J1182" i="7"/>
  <c r="J1992" i="7"/>
  <c r="J2802" i="7"/>
  <c r="J3612" i="7"/>
  <c r="J373" i="7"/>
  <c r="J1183" i="7"/>
  <c r="J1993" i="7"/>
  <c r="J2803" i="7"/>
  <c r="J3613" i="7"/>
  <c r="J374" i="7"/>
  <c r="J1184" i="7"/>
  <c r="J1994" i="7"/>
  <c r="J2804" i="7"/>
  <c r="J3614" i="7"/>
  <c r="J375" i="7"/>
  <c r="J1185" i="7"/>
  <c r="J1995" i="7"/>
  <c r="J2805" i="7"/>
  <c r="J3615" i="7"/>
  <c r="J376" i="7"/>
  <c r="J1186" i="7"/>
  <c r="J1996" i="7"/>
  <c r="J2806" i="7"/>
  <c r="J3616" i="7"/>
  <c r="J377" i="7"/>
  <c r="J1187" i="7"/>
  <c r="J1997" i="7"/>
  <c r="J2807" i="7"/>
  <c r="J3617" i="7"/>
  <c r="J378" i="7"/>
  <c r="J1188" i="7"/>
  <c r="J1998" i="7"/>
  <c r="J2808" i="7"/>
  <c r="J3618" i="7"/>
  <c r="J499" i="7"/>
  <c r="J1309" i="7"/>
  <c r="J2119" i="7"/>
  <c r="J2929" i="7"/>
  <c r="J3739" i="7"/>
  <c r="J500" i="7"/>
  <c r="J1310" i="7"/>
  <c r="J2120" i="7"/>
  <c r="J2930" i="7"/>
  <c r="J3740" i="7"/>
  <c r="J501" i="7"/>
  <c r="J1311" i="7"/>
  <c r="J2121" i="7"/>
  <c r="J2931" i="7"/>
  <c r="J3741" i="7"/>
  <c r="J502" i="7"/>
  <c r="J1312" i="7"/>
  <c r="J2122" i="7"/>
  <c r="J2932" i="7"/>
  <c r="J3742" i="7"/>
  <c r="J503" i="7"/>
  <c r="J1313" i="7"/>
  <c r="J2123" i="7"/>
  <c r="J2933" i="7"/>
  <c r="J3743" i="7"/>
  <c r="J504" i="7"/>
  <c r="J1314" i="7"/>
  <c r="J2124" i="7"/>
  <c r="J2934" i="7"/>
  <c r="J3744" i="7"/>
  <c r="J505" i="7"/>
  <c r="J1315" i="7"/>
  <c r="J2125" i="7"/>
  <c r="J2935" i="7"/>
  <c r="J3745" i="7"/>
  <c r="J506" i="7"/>
  <c r="J1316" i="7"/>
  <c r="J2126" i="7"/>
  <c r="J2936" i="7"/>
  <c r="J3746" i="7"/>
  <c r="J507" i="7"/>
  <c r="J1317" i="7"/>
  <c r="J2127" i="7"/>
  <c r="J2937" i="7"/>
  <c r="J3747" i="7"/>
  <c r="J508" i="7"/>
  <c r="J1318" i="7"/>
  <c r="J2128" i="7"/>
  <c r="J2938" i="7"/>
  <c r="J3748" i="7"/>
  <c r="J509" i="7"/>
  <c r="J1319" i="7"/>
  <c r="J2129" i="7"/>
  <c r="J2939" i="7"/>
  <c r="J3749" i="7"/>
  <c r="J510" i="7"/>
  <c r="J1320" i="7"/>
  <c r="J2130" i="7"/>
  <c r="J2940" i="7"/>
  <c r="J3750" i="7"/>
  <c r="J511" i="7"/>
  <c r="J1321" i="7"/>
  <c r="J2131" i="7"/>
  <c r="J2941" i="7"/>
  <c r="J3751" i="7"/>
  <c r="J512" i="7"/>
  <c r="J1322" i="7"/>
  <c r="J2132" i="7"/>
  <c r="J2942" i="7"/>
  <c r="J3752" i="7"/>
  <c r="J513" i="7"/>
  <c r="J1323" i="7"/>
  <c r="J2133" i="7"/>
  <c r="J2943" i="7"/>
  <c r="J3753" i="7"/>
  <c r="J634" i="7"/>
  <c r="J1444" i="7"/>
  <c r="J2254" i="7"/>
  <c r="J3064" i="7"/>
  <c r="J3874" i="7"/>
  <c r="J635" i="7"/>
  <c r="J1445" i="7"/>
  <c r="J2255" i="7"/>
  <c r="J3065" i="7"/>
  <c r="J3875" i="7"/>
  <c r="J636" i="7"/>
  <c r="J1446" i="7"/>
  <c r="J2256" i="7"/>
  <c r="J3066" i="7"/>
  <c r="J3876" i="7"/>
  <c r="J637" i="7"/>
  <c r="J1447" i="7"/>
  <c r="J2257" i="7"/>
  <c r="J3067" i="7"/>
  <c r="J3877" i="7"/>
  <c r="J638" i="7"/>
  <c r="J1448" i="7"/>
  <c r="J2258" i="7"/>
  <c r="J3068" i="7"/>
  <c r="J3878" i="7"/>
  <c r="J639" i="7"/>
  <c r="J1449" i="7"/>
  <c r="J2259" i="7"/>
  <c r="J3069" i="7"/>
  <c r="J3879" i="7"/>
  <c r="J640" i="7"/>
  <c r="J1450" i="7"/>
  <c r="J2260" i="7"/>
  <c r="J3070" i="7"/>
  <c r="J3880" i="7"/>
  <c r="J641" i="7"/>
  <c r="J1451" i="7"/>
  <c r="J2261" i="7"/>
  <c r="J3071" i="7"/>
  <c r="J3881" i="7"/>
  <c r="J642" i="7"/>
  <c r="J1452" i="7"/>
  <c r="J2262" i="7"/>
  <c r="J3072" i="7"/>
  <c r="J3882" i="7"/>
  <c r="J643" i="7"/>
  <c r="J1453" i="7"/>
  <c r="J2263" i="7"/>
  <c r="J3073" i="7"/>
  <c r="J3883" i="7"/>
  <c r="J644" i="7"/>
  <c r="J1454" i="7"/>
  <c r="J2264" i="7"/>
  <c r="J3074" i="7"/>
  <c r="J3884" i="7"/>
  <c r="J645" i="7"/>
  <c r="J1455" i="7"/>
  <c r="J2265" i="7"/>
  <c r="J3075" i="7"/>
  <c r="J3885" i="7"/>
  <c r="J646" i="7"/>
  <c r="J1456" i="7"/>
  <c r="J2266" i="7"/>
  <c r="J3076" i="7"/>
  <c r="J3886" i="7"/>
  <c r="J647" i="7"/>
  <c r="J1457" i="7"/>
  <c r="J2267" i="7"/>
  <c r="J3077" i="7"/>
  <c r="J3887" i="7"/>
  <c r="J648" i="7"/>
  <c r="J1458" i="7"/>
  <c r="J2268" i="7"/>
  <c r="J3078" i="7"/>
  <c r="J3888" i="7"/>
  <c r="J769" i="7"/>
  <c r="J1579" i="7"/>
  <c r="J2389" i="7"/>
  <c r="J3199" i="7"/>
  <c r="J4009" i="7"/>
  <c r="J770" i="7"/>
  <c r="J1580" i="7"/>
  <c r="J2390" i="7"/>
  <c r="J3200" i="7"/>
  <c r="J4010" i="7"/>
  <c r="J771" i="7"/>
  <c r="J1581" i="7"/>
  <c r="J2391" i="7"/>
  <c r="J3201" i="7"/>
  <c r="J4011" i="7"/>
  <c r="J772" i="7"/>
  <c r="J1582" i="7"/>
  <c r="J2392" i="7"/>
  <c r="J3202" i="7"/>
  <c r="J4012" i="7"/>
  <c r="J773" i="7"/>
  <c r="J1583" i="7"/>
  <c r="J2393" i="7"/>
  <c r="J3203" i="7"/>
  <c r="J4013" i="7"/>
  <c r="J774" i="7"/>
  <c r="J1584" i="7"/>
  <c r="J2394" i="7"/>
  <c r="J3204" i="7"/>
  <c r="J4014" i="7"/>
  <c r="J775" i="7"/>
  <c r="J1585" i="7"/>
  <c r="J2395" i="7"/>
  <c r="J3205" i="7"/>
  <c r="J4015" i="7"/>
  <c r="J776" i="7"/>
  <c r="J1586" i="7"/>
  <c r="J2396" i="7"/>
  <c r="J3206" i="7"/>
  <c r="J4016" i="7"/>
  <c r="J777" i="7"/>
  <c r="J1587" i="7"/>
  <c r="J2397" i="7"/>
  <c r="J3207" i="7"/>
  <c r="J4017" i="7"/>
  <c r="J778" i="7"/>
  <c r="J1588" i="7"/>
  <c r="J2398" i="7"/>
  <c r="J3208" i="7"/>
  <c r="J4018" i="7"/>
  <c r="J779" i="7"/>
  <c r="J1589" i="7"/>
  <c r="J2399" i="7"/>
  <c r="J3209" i="7"/>
  <c r="J4019" i="7"/>
  <c r="J780" i="7"/>
  <c r="J1590" i="7"/>
  <c r="J2400" i="7"/>
  <c r="J3210" i="7"/>
  <c r="J4020" i="7"/>
  <c r="J781" i="7"/>
  <c r="J1591" i="7"/>
  <c r="J2401" i="7"/>
  <c r="J3211" i="7"/>
  <c r="J4021" i="7"/>
  <c r="J782" i="7"/>
  <c r="J1592" i="7"/>
  <c r="J2402" i="7"/>
  <c r="J3212" i="7"/>
  <c r="J4022" i="7"/>
  <c r="J783" i="7"/>
  <c r="J1593" i="7"/>
  <c r="J2403" i="7"/>
  <c r="J3213" i="7"/>
  <c r="J4023" i="7"/>
  <c r="J109" i="7"/>
  <c r="J919" i="7"/>
  <c r="J1729" i="7"/>
  <c r="J2539" i="7"/>
  <c r="J3349" i="7"/>
  <c r="J110" i="7"/>
  <c r="J920" i="7"/>
  <c r="J1730" i="7"/>
  <c r="J2540" i="7"/>
  <c r="J3350" i="7"/>
  <c r="J111" i="7"/>
  <c r="J921" i="7"/>
  <c r="J1731" i="7"/>
  <c r="J2541" i="7"/>
  <c r="J3351" i="7"/>
  <c r="J112" i="7"/>
  <c r="J922" i="7"/>
  <c r="J1732" i="7"/>
  <c r="J2542" i="7"/>
  <c r="J3352" i="7"/>
  <c r="J113" i="7"/>
  <c r="J923" i="7"/>
  <c r="J1733" i="7"/>
  <c r="J2543" i="7"/>
  <c r="J3353" i="7"/>
  <c r="J114" i="7"/>
  <c r="J924" i="7"/>
  <c r="J1734" i="7"/>
  <c r="J2544" i="7"/>
  <c r="J3354" i="7"/>
  <c r="J115" i="7"/>
  <c r="J925" i="7"/>
  <c r="J1735" i="7"/>
  <c r="J2545" i="7"/>
  <c r="J3355" i="7"/>
  <c r="J116" i="7"/>
  <c r="J926" i="7"/>
  <c r="J1736" i="7"/>
  <c r="J2546" i="7"/>
  <c r="J3356" i="7"/>
  <c r="J117" i="7"/>
  <c r="J927" i="7"/>
  <c r="J1737" i="7"/>
  <c r="J2547" i="7"/>
  <c r="J3357" i="7"/>
  <c r="J118" i="7"/>
  <c r="J928" i="7"/>
  <c r="J1738" i="7"/>
  <c r="J2548" i="7"/>
  <c r="J3358" i="7"/>
  <c r="J119" i="7"/>
  <c r="J929" i="7"/>
  <c r="J1739" i="7"/>
  <c r="J2549" i="7"/>
  <c r="J3359" i="7"/>
  <c r="J120" i="7"/>
  <c r="J930" i="7"/>
  <c r="J1740" i="7"/>
  <c r="J2550" i="7"/>
  <c r="J3360" i="7"/>
  <c r="J121" i="7"/>
  <c r="J931" i="7"/>
  <c r="J1741" i="7"/>
  <c r="J2551" i="7"/>
  <c r="J3361" i="7"/>
  <c r="J122" i="7"/>
  <c r="J932" i="7"/>
  <c r="J1742" i="7"/>
  <c r="J2552" i="7"/>
  <c r="J3362" i="7"/>
  <c r="J123" i="7"/>
  <c r="J933" i="7"/>
  <c r="J1743" i="7"/>
  <c r="J2553" i="7"/>
  <c r="J3363" i="7"/>
  <c r="J244" i="7"/>
  <c r="J1054" i="7"/>
  <c r="J1864" i="7"/>
  <c r="J2674" i="7"/>
  <c r="J3484" i="7"/>
  <c r="J245" i="7"/>
  <c r="J1055" i="7"/>
  <c r="J1865" i="7"/>
  <c r="J2675" i="7"/>
  <c r="J3485" i="7"/>
  <c r="J246" i="7"/>
  <c r="J1056" i="7"/>
  <c r="J1866" i="7"/>
  <c r="J2676" i="7"/>
  <c r="J3486" i="7"/>
  <c r="J247" i="7"/>
  <c r="J1057" i="7"/>
  <c r="J1867" i="7"/>
  <c r="J2677" i="7"/>
  <c r="J3487" i="7"/>
  <c r="J248" i="7"/>
  <c r="J1058" i="7"/>
  <c r="J1868" i="7"/>
  <c r="J2678" i="7"/>
  <c r="J3488" i="7"/>
  <c r="J249" i="7"/>
  <c r="J1059" i="7"/>
  <c r="J1869" i="7"/>
  <c r="J2679" i="7"/>
  <c r="J3489" i="7"/>
  <c r="J250" i="7"/>
  <c r="J1060" i="7"/>
  <c r="J1870" i="7"/>
  <c r="J2680" i="7"/>
  <c r="J3490" i="7"/>
  <c r="J251" i="7"/>
  <c r="J1061" i="7"/>
  <c r="J1871" i="7"/>
  <c r="J2681" i="7"/>
  <c r="J3491" i="7"/>
  <c r="J252" i="7"/>
  <c r="J1062" i="7"/>
  <c r="J1872" i="7"/>
  <c r="J2682" i="7"/>
  <c r="J3492" i="7"/>
  <c r="J253" i="7"/>
  <c r="J1063" i="7"/>
  <c r="J1873" i="7"/>
  <c r="J2683" i="7"/>
  <c r="J3493" i="7"/>
  <c r="J254" i="7"/>
  <c r="J1064" i="7"/>
  <c r="J1874" i="7"/>
  <c r="J2684" i="7"/>
  <c r="J3494" i="7"/>
  <c r="J255" i="7"/>
  <c r="J1065" i="7"/>
  <c r="J1875" i="7"/>
  <c r="J2685" i="7"/>
  <c r="J3495" i="7"/>
  <c r="J256" i="7"/>
  <c r="J1066" i="7"/>
  <c r="J1876" i="7"/>
  <c r="J2686" i="7"/>
  <c r="J3496" i="7"/>
  <c r="J257" i="7"/>
  <c r="J1067" i="7"/>
  <c r="J1877" i="7"/>
  <c r="J2687" i="7"/>
  <c r="J3497" i="7"/>
  <c r="J258" i="7"/>
  <c r="J1068" i="7"/>
  <c r="J1878" i="7"/>
  <c r="J2688" i="7"/>
  <c r="J3498" i="7"/>
  <c r="J379" i="7"/>
  <c r="J1189" i="7"/>
  <c r="J1999" i="7"/>
  <c r="J2809" i="7"/>
  <c r="J3619" i="7"/>
  <c r="J380" i="7"/>
  <c r="J1190" i="7"/>
  <c r="J2000" i="7"/>
  <c r="J2810" i="7"/>
  <c r="J3620" i="7"/>
  <c r="J381" i="7"/>
  <c r="J1191" i="7"/>
  <c r="J2001" i="7"/>
  <c r="J2811" i="7"/>
  <c r="J3621" i="7"/>
  <c r="J382" i="7"/>
  <c r="J1192" i="7"/>
  <c r="J2002" i="7"/>
  <c r="J2812" i="7"/>
  <c r="J3622" i="7"/>
  <c r="J383" i="7"/>
  <c r="J1193" i="7"/>
  <c r="J2003" i="7"/>
  <c r="J2813" i="7"/>
  <c r="J3623" i="7"/>
  <c r="J384" i="7"/>
  <c r="J1194" i="7"/>
  <c r="J2004" i="7"/>
  <c r="J2814" i="7"/>
  <c r="J3624" i="7"/>
  <c r="J385" i="7"/>
  <c r="J1195" i="7"/>
  <c r="J2005" i="7"/>
  <c r="J2815" i="7"/>
  <c r="J3625" i="7"/>
  <c r="J386" i="7"/>
  <c r="J1196" i="7"/>
  <c r="J2006" i="7"/>
  <c r="J2816" i="7"/>
  <c r="J3626" i="7"/>
  <c r="J387" i="7"/>
  <c r="J1197" i="7"/>
  <c r="J2007" i="7"/>
  <c r="J2817" i="7"/>
  <c r="J3627" i="7"/>
  <c r="J388" i="7"/>
  <c r="J1198" i="7"/>
  <c r="J2008" i="7"/>
  <c r="J2818" i="7"/>
  <c r="J3628" i="7"/>
  <c r="J389" i="7"/>
  <c r="J1199" i="7"/>
  <c r="J2009" i="7"/>
  <c r="J2819" i="7"/>
  <c r="J3629" i="7"/>
  <c r="J390" i="7"/>
  <c r="J1200" i="7"/>
  <c r="J2010" i="7"/>
  <c r="J2820" i="7"/>
  <c r="J3630" i="7"/>
  <c r="J391" i="7"/>
  <c r="J1201" i="7"/>
  <c r="J2011" i="7"/>
  <c r="J2821" i="7"/>
  <c r="J3631" i="7"/>
  <c r="J392" i="7"/>
  <c r="J1202" i="7"/>
  <c r="J2012" i="7"/>
  <c r="J2822" i="7"/>
  <c r="J3632" i="7"/>
  <c r="J393" i="7"/>
  <c r="J1203" i="7"/>
  <c r="J2013" i="7"/>
  <c r="J2823" i="7"/>
  <c r="J3633" i="7"/>
  <c r="J514" i="7"/>
  <c r="J1324" i="7"/>
  <c r="J2134" i="7"/>
  <c r="J2944" i="7"/>
  <c r="J3754" i="7"/>
  <c r="J515" i="7"/>
  <c r="J1325" i="7"/>
  <c r="J2135" i="7"/>
  <c r="J2945" i="7"/>
  <c r="J3755" i="7"/>
  <c r="J516" i="7"/>
  <c r="J1326" i="7"/>
  <c r="J2136" i="7"/>
  <c r="J2946" i="7"/>
  <c r="J3756" i="7"/>
  <c r="J517" i="7"/>
  <c r="J1327" i="7"/>
  <c r="J2137" i="7"/>
  <c r="J2947" i="7"/>
  <c r="J3757" i="7"/>
  <c r="J518" i="7"/>
  <c r="J1328" i="7"/>
  <c r="J2138" i="7"/>
  <c r="J2948" i="7"/>
  <c r="J3758" i="7"/>
  <c r="J519" i="7"/>
  <c r="J1329" i="7"/>
  <c r="J2139" i="7"/>
  <c r="J2949" i="7"/>
  <c r="J3759" i="7"/>
  <c r="J520" i="7"/>
  <c r="J1330" i="7"/>
  <c r="J2140" i="7"/>
  <c r="J2950" i="7"/>
  <c r="J3760" i="7"/>
  <c r="J521" i="7"/>
  <c r="J1331" i="7"/>
  <c r="J2141" i="7"/>
  <c r="J2951" i="7"/>
  <c r="J3761" i="7"/>
  <c r="J522" i="7"/>
  <c r="J1332" i="7"/>
  <c r="J2142" i="7"/>
  <c r="J2952" i="7"/>
  <c r="J3762" i="7"/>
  <c r="J523" i="7"/>
  <c r="J1333" i="7"/>
  <c r="J2143" i="7"/>
  <c r="J2953" i="7"/>
  <c r="J3763" i="7"/>
  <c r="J524" i="7"/>
  <c r="J1334" i="7"/>
  <c r="J2144" i="7"/>
  <c r="J2954" i="7"/>
  <c r="J3764" i="7"/>
  <c r="J525" i="7"/>
  <c r="J1335" i="7"/>
  <c r="J2145" i="7"/>
  <c r="J2955" i="7"/>
  <c r="J3765" i="7"/>
  <c r="J526" i="7"/>
  <c r="J1336" i="7"/>
  <c r="J2146" i="7"/>
  <c r="J2956" i="7"/>
  <c r="J3766" i="7"/>
  <c r="J527" i="7"/>
  <c r="J1337" i="7"/>
  <c r="J2147" i="7"/>
  <c r="J2957" i="7"/>
  <c r="J3767" i="7"/>
  <c r="J528" i="7"/>
  <c r="J1338" i="7"/>
  <c r="J2148" i="7"/>
  <c r="J2958" i="7"/>
  <c r="J3768" i="7"/>
  <c r="J649" i="7"/>
  <c r="J1459" i="7"/>
  <c r="J2269" i="7"/>
  <c r="J3079" i="7"/>
  <c r="J3889" i="7"/>
  <c r="J650" i="7"/>
  <c r="J1460" i="7"/>
  <c r="J2270" i="7"/>
  <c r="J3080" i="7"/>
  <c r="J3890" i="7"/>
  <c r="J651" i="7"/>
  <c r="J1461" i="7"/>
  <c r="J2271" i="7"/>
  <c r="J3081" i="7"/>
  <c r="J3891" i="7"/>
  <c r="J652" i="7"/>
  <c r="J1462" i="7"/>
  <c r="J2272" i="7"/>
  <c r="J3082" i="7"/>
  <c r="J3892" i="7"/>
  <c r="J653" i="7"/>
  <c r="J1463" i="7"/>
  <c r="J2273" i="7"/>
  <c r="J3083" i="7"/>
  <c r="J3893" i="7"/>
  <c r="J654" i="7"/>
  <c r="J1464" i="7"/>
  <c r="J2274" i="7"/>
  <c r="J3084" i="7"/>
  <c r="J3894" i="7"/>
  <c r="J655" i="7"/>
  <c r="J1465" i="7"/>
  <c r="J2275" i="7"/>
  <c r="J3085" i="7"/>
  <c r="J3895" i="7"/>
  <c r="J656" i="7"/>
  <c r="J1466" i="7"/>
  <c r="J2276" i="7"/>
  <c r="J3086" i="7"/>
  <c r="J3896" i="7"/>
  <c r="J657" i="7"/>
  <c r="J1467" i="7"/>
  <c r="J2277" i="7"/>
  <c r="J3087" i="7"/>
  <c r="J3897" i="7"/>
  <c r="J658" i="7"/>
  <c r="J1468" i="7"/>
  <c r="J2278" i="7"/>
  <c r="J3088" i="7"/>
  <c r="J3898" i="7"/>
  <c r="J659" i="7"/>
  <c r="J1469" i="7"/>
  <c r="J2279" i="7"/>
  <c r="J3089" i="7"/>
  <c r="J3899" i="7"/>
  <c r="J660" i="7"/>
  <c r="J1470" i="7"/>
  <c r="J2280" i="7"/>
  <c r="J3090" i="7"/>
  <c r="J3900" i="7"/>
  <c r="J661" i="7"/>
  <c r="J1471" i="7"/>
  <c r="J2281" i="7"/>
  <c r="J3091" i="7"/>
  <c r="J3901" i="7"/>
  <c r="J662" i="7"/>
  <c r="J1472" i="7"/>
  <c r="J2282" i="7"/>
  <c r="J3092" i="7"/>
  <c r="J3902" i="7"/>
  <c r="J663" i="7"/>
  <c r="J1473" i="7"/>
  <c r="J2283" i="7"/>
  <c r="J3093" i="7"/>
  <c r="J3903" i="7"/>
  <c r="J784" i="7"/>
  <c r="J1594" i="7"/>
  <c r="J2404" i="7"/>
  <c r="J3214" i="7"/>
  <c r="J4024" i="7"/>
  <c r="J785" i="7"/>
  <c r="J1595" i="7"/>
  <c r="J2405" i="7"/>
  <c r="J3215" i="7"/>
  <c r="J4025" i="7"/>
  <c r="J786" i="7"/>
  <c r="J1596" i="7"/>
  <c r="J2406" i="7"/>
  <c r="J3216" i="7"/>
  <c r="J4026" i="7"/>
  <c r="J787" i="7"/>
  <c r="J1597" i="7"/>
  <c r="J2407" i="7"/>
  <c r="J3217" i="7"/>
  <c r="J4027" i="7"/>
  <c r="J788" i="7"/>
  <c r="J1598" i="7"/>
  <c r="J2408" i="7"/>
  <c r="J3218" i="7"/>
  <c r="J4028" i="7"/>
  <c r="J789" i="7"/>
  <c r="J1599" i="7"/>
  <c r="J2409" i="7"/>
  <c r="J3219" i="7"/>
  <c r="J4029" i="7"/>
  <c r="J790" i="7"/>
  <c r="J1600" i="7"/>
  <c r="J2410" i="7"/>
  <c r="J3220" i="7"/>
  <c r="J4030" i="7"/>
  <c r="J791" i="7"/>
  <c r="J1601" i="7"/>
  <c r="J2411" i="7"/>
  <c r="J3221" i="7"/>
  <c r="J4031" i="7"/>
  <c r="J792" i="7"/>
  <c r="J1602" i="7"/>
  <c r="J2412" i="7"/>
  <c r="J3222" i="7"/>
  <c r="J4032" i="7"/>
  <c r="J793" i="7"/>
  <c r="J1603" i="7"/>
  <c r="J2413" i="7"/>
  <c r="J3223" i="7"/>
  <c r="J4033" i="7"/>
  <c r="J794" i="7"/>
  <c r="J1604" i="7"/>
  <c r="J2414" i="7"/>
  <c r="J3224" i="7"/>
  <c r="J4034" i="7"/>
  <c r="J795" i="7"/>
  <c r="J1605" i="7"/>
  <c r="J2415" i="7"/>
  <c r="J3225" i="7"/>
  <c r="J4035" i="7"/>
  <c r="J796" i="7"/>
  <c r="J1606" i="7"/>
  <c r="J2416" i="7"/>
  <c r="J3226" i="7"/>
  <c r="J4036" i="7"/>
  <c r="J797" i="7"/>
  <c r="J1607" i="7"/>
  <c r="J2417" i="7"/>
  <c r="J3227" i="7"/>
  <c r="J4037" i="7"/>
  <c r="J798" i="7"/>
  <c r="J1608" i="7"/>
  <c r="J2418" i="7"/>
  <c r="J3228" i="7"/>
  <c r="J4038" i="7"/>
  <c r="J124" i="7"/>
  <c r="J934" i="7"/>
  <c r="J1744" i="7"/>
  <c r="J2554" i="7"/>
  <c r="J3364" i="7"/>
  <c r="J125" i="7"/>
  <c r="J935" i="7"/>
  <c r="J1745" i="7"/>
  <c r="J2555" i="7"/>
  <c r="J3365" i="7"/>
  <c r="J126" i="7"/>
  <c r="J936" i="7"/>
  <c r="J1746" i="7"/>
  <c r="J2556" i="7"/>
  <c r="J3366" i="7"/>
  <c r="J127" i="7"/>
  <c r="J937" i="7"/>
  <c r="J1747" i="7"/>
  <c r="J2557" i="7"/>
  <c r="J3367" i="7"/>
  <c r="J128" i="7"/>
  <c r="J938" i="7"/>
  <c r="J1748" i="7"/>
  <c r="J2558" i="7"/>
  <c r="J3368" i="7"/>
  <c r="J129" i="7"/>
  <c r="J939" i="7"/>
  <c r="J1749" i="7"/>
  <c r="J2559" i="7"/>
  <c r="J3369" i="7"/>
  <c r="J130" i="7"/>
  <c r="J940" i="7"/>
  <c r="J1750" i="7"/>
  <c r="J2560" i="7"/>
  <c r="J3370" i="7"/>
  <c r="J131" i="7"/>
  <c r="J941" i="7"/>
  <c r="J1751" i="7"/>
  <c r="J2561" i="7"/>
  <c r="J3371" i="7"/>
  <c r="J132" i="7"/>
  <c r="J942" i="7"/>
  <c r="J1752" i="7"/>
  <c r="J2562" i="7"/>
  <c r="J3372" i="7"/>
  <c r="J133" i="7"/>
  <c r="J943" i="7"/>
  <c r="J1753" i="7"/>
  <c r="J2563" i="7"/>
  <c r="J3373" i="7"/>
  <c r="J134" i="7"/>
  <c r="J944" i="7"/>
  <c r="J1754" i="7"/>
  <c r="J2564" i="7"/>
  <c r="J3374" i="7"/>
  <c r="J135" i="7"/>
  <c r="J945" i="7"/>
  <c r="J1755" i="7"/>
  <c r="J2565" i="7"/>
  <c r="J3375" i="7"/>
  <c r="J136" i="7"/>
  <c r="J946" i="7"/>
  <c r="J1756" i="7"/>
  <c r="J2566" i="7"/>
  <c r="J3376" i="7"/>
  <c r="J137" i="7"/>
  <c r="J947" i="7"/>
  <c r="J1757" i="7"/>
  <c r="J2567" i="7"/>
  <c r="J3377" i="7"/>
  <c r="J138" i="7"/>
  <c r="J948" i="7"/>
  <c r="J1758" i="7"/>
  <c r="J2568" i="7"/>
  <c r="J3378" i="7"/>
  <c r="J259" i="7"/>
  <c r="J1069" i="7"/>
  <c r="J1879" i="7"/>
  <c r="J2689" i="7"/>
  <c r="J3499" i="7"/>
  <c r="J260" i="7"/>
  <c r="J1070" i="7"/>
  <c r="J1880" i="7"/>
  <c r="J2690" i="7"/>
  <c r="J3500" i="7"/>
  <c r="J261" i="7"/>
  <c r="J1071" i="7"/>
  <c r="J1881" i="7"/>
  <c r="J2691" i="7"/>
  <c r="J3501" i="7"/>
  <c r="J262" i="7"/>
  <c r="J1072" i="7"/>
  <c r="J1882" i="7"/>
  <c r="J2692" i="7"/>
  <c r="J3502" i="7"/>
  <c r="J263" i="7"/>
  <c r="J1073" i="7"/>
  <c r="J1883" i="7"/>
  <c r="J2693" i="7"/>
  <c r="J3503" i="7"/>
  <c r="J264" i="7"/>
  <c r="J1074" i="7"/>
  <c r="J1884" i="7"/>
  <c r="J2694" i="7"/>
  <c r="J3504" i="7"/>
  <c r="J265" i="7"/>
  <c r="J1075" i="7"/>
  <c r="J1885" i="7"/>
  <c r="J2695" i="7"/>
  <c r="J3505" i="7"/>
  <c r="J266" i="7"/>
  <c r="J1076" i="7"/>
  <c r="J1886" i="7"/>
  <c r="J2696" i="7"/>
  <c r="J3506" i="7"/>
  <c r="J267" i="7"/>
  <c r="J1077" i="7"/>
  <c r="J1887" i="7"/>
  <c r="J2697" i="7"/>
  <c r="J3507" i="7"/>
  <c r="J268" i="7"/>
  <c r="J1078" i="7"/>
  <c r="J1888" i="7"/>
  <c r="J2698" i="7"/>
  <c r="J3508" i="7"/>
  <c r="J269" i="7"/>
  <c r="J1079" i="7"/>
  <c r="J1889" i="7"/>
  <c r="J2699" i="7"/>
  <c r="J3509" i="7"/>
  <c r="J270" i="7"/>
  <c r="J1080" i="7"/>
  <c r="J1890" i="7"/>
  <c r="J2700" i="7"/>
  <c r="J3510" i="7"/>
  <c r="J271" i="7"/>
  <c r="J1081" i="7"/>
  <c r="J1891" i="7"/>
  <c r="J2701" i="7"/>
  <c r="J3511" i="7"/>
  <c r="J272" i="7"/>
  <c r="J1082" i="7"/>
  <c r="J1892" i="7"/>
  <c r="J2702" i="7"/>
  <c r="J3512" i="7"/>
  <c r="J273" i="7"/>
  <c r="J1083" i="7"/>
  <c r="J1893" i="7"/>
  <c r="J2703" i="7"/>
  <c r="J3513" i="7"/>
  <c r="J394" i="7"/>
  <c r="J1204" i="7"/>
  <c r="J2014" i="7"/>
  <c r="J2824" i="7"/>
  <c r="J3634" i="7"/>
  <c r="J395" i="7"/>
  <c r="J1205" i="7"/>
  <c r="J2015" i="7"/>
  <c r="J2825" i="7"/>
  <c r="J3635" i="7"/>
  <c r="J396" i="7"/>
  <c r="J1206" i="7"/>
  <c r="J2016" i="7"/>
  <c r="J2826" i="7"/>
  <c r="J3636" i="7"/>
  <c r="J397" i="7"/>
  <c r="J1207" i="7"/>
  <c r="J2017" i="7"/>
  <c r="J2827" i="7"/>
  <c r="J3637" i="7"/>
  <c r="J398" i="7"/>
  <c r="J1208" i="7"/>
  <c r="J2018" i="7"/>
  <c r="J2828" i="7"/>
  <c r="J3638" i="7"/>
  <c r="J399" i="7"/>
  <c r="J1209" i="7"/>
  <c r="J2019" i="7"/>
  <c r="J2829" i="7"/>
  <c r="J3639" i="7"/>
  <c r="J400" i="7"/>
  <c r="J1210" i="7"/>
  <c r="J2020" i="7"/>
  <c r="J2830" i="7"/>
  <c r="J3640" i="7"/>
  <c r="J401" i="7"/>
  <c r="J1211" i="7"/>
  <c r="J2021" i="7"/>
  <c r="J2831" i="7"/>
  <c r="J3641" i="7"/>
  <c r="J402" i="7"/>
  <c r="J1212" i="7"/>
  <c r="J2022" i="7"/>
  <c r="J2832" i="7"/>
  <c r="J3642" i="7"/>
  <c r="J403" i="7"/>
  <c r="J1213" i="7"/>
  <c r="J2023" i="7"/>
  <c r="J2833" i="7"/>
  <c r="J3643" i="7"/>
  <c r="J404" i="7"/>
  <c r="J1214" i="7"/>
  <c r="J2024" i="7"/>
  <c r="J2834" i="7"/>
  <c r="J3644" i="7"/>
  <c r="J405" i="7"/>
  <c r="J1215" i="7"/>
  <c r="J2025" i="7"/>
  <c r="J2835" i="7"/>
  <c r="J3645" i="7"/>
  <c r="J406" i="7"/>
  <c r="J1216" i="7"/>
  <c r="J2026" i="7"/>
  <c r="J2836" i="7"/>
  <c r="J3646" i="7"/>
  <c r="J407" i="7"/>
  <c r="J1217" i="7"/>
  <c r="J2027" i="7"/>
  <c r="J2837" i="7"/>
  <c r="J3647" i="7"/>
  <c r="J408" i="7"/>
  <c r="J1218" i="7"/>
  <c r="J2028" i="7"/>
  <c r="J2838" i="7"/>
  <c r="J3648" i="7"/>
  <c r="J529" i="7"/>
  <c r="J1339" i="7"/>
  <c r="J2149" i="7"/>
  <c r="J2959" i="7"/>
  <c r="J3769" i="7"/>
  <c r="J530" i="7"/>
  <c r="J1340" i="7"/>
  <c r="J2150" i="7"/>
  <c r="J2960" i="7"/>
  <c r="J3770" i="7"/>
  <c r="J531" i="7"/>
  <c r="J1341" i="7"/>
  <c r="J2151" i="7"/>
  <c r="J2961" i="7"/>
  <c r="J3771" i="7"/>
  <c r="J532" i="7"/>
  <c r="J1342" i="7"/>
  <c r="J2152" i="7"/>
  <c r="J2962" i="7"/>
  <c r="J3772" i="7"/>
  <c r="J533" i="7"/>
  <c r="J1343" i="7"/>
  <c r="J2153" i="7"/>
  <c r="J2963" i="7"/>
  <c r="J3773" i="7"/>
  <c r="J534" i="7"/>
  <c r="J1344" i="7"/>
  <c r="J2154" i="7"/>
  <c r="J2964" i="7"/>
  <c r="J3774" i="7"/>
  <c r="J535" i="7"/>
  <c r="J1345" i="7"/>
  <c r="J2155" i="7"/>
  <c r="J2965" i="7"/>
  <c r="J3775" i="7"/>
  <c r="J536" i="7"/>
  <c r="J1346" i="7"/>
  <c r="J2156" i="7"/>
  <c r="J2966" i="7"/>
  <c r="J3776" i="7"/>
  <c r="J537" i="7"/>
  <c r="J1347" i="7"/>
  <c r="J2157" i="7"/>
  <c r="J2967" i="7"/>
  <c r="J3777" i="7"/>
  <c r="J538" i="7"/>
  <c r="J1348" i="7"/>
  <c r="J2158" i="7"/>
  <c r="J2968" i="7"/>
  <c r="J3778" i="7"/>
  <c r="J539" i="7"/>
  <c r="J1349" i="7"/>
  <c r="J2159" i="7"/>
  <c r="J2969" i="7"/>
  <c r="J3779" i="7"/>
  <c r="J540" i="7"/>
  <c r="J1350" i="7"/>
  <c r="J2160" i="7"/>
  <c r="J2970" i="7"/>
  <c r="J3780" i="7"/>
  <c r="J541" i="7"/>
  <c r="J1351" i="7"/>
  <c r="J2161" i="7"/>
  <c r="J2971" i="7"/>
  <c r="J3781" i="7"/>
  <c r="J542" i="7"/>
  <c r="J1352" i="7"/>
  <c r="J2162" i="7"/>
  <c r="J2972" i="7"/>
  <c r="J3782" i="7"/>
  <c r="J543" i="7"/>
  <c r="J1353" i="7"/>
  <c r="J2163" i="7"/>
  <c r="J2973" i="7"/>
  <c r="J3783" i="7"/>
  <c r="J664" i="7"/>
  <c r="J1474" i="7"/>
  <c r="J2284" i="7"/>
  <c r="J3094" i="7"/>
  <c r="J3904" i="7"/>
  <c r="J665" i="7"/>
  <c r="J1475" i="7"/>
  <c r="J2285" i="7"/>
  <c r="J3095" i="7"/>
  <c r="J3905" i="7"/>
  <c r="J666" i="7"/>
  <c r="J1476" i="7"/>
  <c r="J2286" i="7"/>
  <c r="J3096" i="7"/>
  <c r="J3906" i="7"/>
  <c r="J667" i="7"/>
  <c r="J1477" i="7"/>
  <c r="J2287" i="7"/>
  <c r="J3097" i="7"/>
  <c r="J3907" i="7"/>
  <c r="J668" i="7"/>
  <c r="J1478" i="7"/>
  <c r="J2288" i="7"/>
  <c r="J3098" i="7"/>
  <c r="J3908" i="7"/>
  <c r="J669" i="7"/>
  <c r="J1479" i="7"/>
  <c r="J2289" i="7"/>
  <c r="J3099" i="7"/>
  <c r="J3909" i="7"/>
  <c r="J670" i="7"/>
  <c r="J1480" i="7"/>
  <c r="J2290" i="7"/>
  <c r="J3100" i="7"/>
  <c r="J3910" i="7"/>
  <c r="J671" i="7"/>
  <c r="J1481" i="7"/>
  <c r="J2291" i="7"/>
  <c r="J3101" i="7"/>
  <c r="J3911" i="7"/>
  <c r="J672" i="7"/>
  <c r="J1482" i="7"/>
  <c r="J2292" i="7"/>
  <c r="J3102" i="7"/>
  <c r="J3912" i="7"/>
  <c r="J673" i="7"/>
  <c r="J1483" i="7"/>
  <c r="J2293" i="7"/>
  <c r="J3103" i="7"/>
  <c r="J3913" i="7"/>
  <c r="J674" i="7"/>
  <c r="J1484" i="7"/>
  <c r="J2294" i="7"/>
  <c r="J3104" i="7"/>
  <c r="J3914" i="7"/>
  <c r="J675" i="7"/>
  <c r="J1485" i="7"/>
  <c r="J2295" i="7"/>
  <c r="J3105" i="7"/>
  <c r="J3915" i="7"/>
  <c r="J676" i="7"/>
  <c r="J1486" i="7"/>
  <c r="J2296" i="7"/>
  <c r="J3106" i="7"/>
  <c r="J3916" i="7"/>
  <c r="J677" i="7"/>
  <c r="J1487" i="7"/>
  <c r="J2297" i="7"/>
  <c r="J3107" i="7"/>
  <c r="J3917" i="7"/>
  <c r="J678" i="7"/>
  <c r="J1488" i="7"/>
  <c r="J2298" i="7"/>
  <c r="J3108" i="7"/>
  <c r="J3918" i="7"/>
  <c r="J799" i="7"/>
  <c r="J1609" i="7"/>
  <c r="J2419" i="7"/>
  <c r="J3229" i="7"/>
  <c r="J4039" i="7"/>
  <c r="J800" i="7"/>
  <c r="J1610" i="7"/>
  <c r="J2420" i="7"/>
  <c r="J3230" i="7"/>
  <c r="J4040" i="7"/>
  <c r="J801" i="7"/>
  <c r="J1611" i="7"/>
  <c r="J2421" i="7"/>
  <c r="J3231" i="7"/>
  <c r="J4041" i="7"/>
  <c r="J802" i="7"/>
  <c r="J1612" i="7"/>
  <c r="J2422" i="7"/>
  <c r="J3232" i="7"/>
  <c r="J4042" i="7"/>
  <c r="J803" i="7"/>
  <c r="J1613" i="7"/>
  <c r="J2423" i="7"/>
  <c r="J3233" i="7"/>
  <c r="J4043" i="7"/>
  <c r="J804" i="7"/>
  <c r="J1614" i="7"/>
  <c r="J2424" i="7"/>
  <c r="J3234" i="7"/>
  <c r="J4044" i="7"/>
  <c r="J805" i="7"/>
  <c r="J1615" i="7"/>
  <c r="J2425" i="7"/>
  <c r="J3235" i="7"/>
  <c r="J4045" i="7"/>
  <c r="J806" i="7"/>
  <c r="J1616" i="7"/>
  <c r="J2426" i="7"/>
  <c r="J3236" i="7"/>
  <c r="J4046" i="7"/>
  <c r="J807" i="7"/>
  <c r="J1617" i="7"/>
  <c r="J2427" i="7"/>
  <c r="J3237" i="7"/>
  <c r="J4047" i="7"/>
  <c r="J808" i="7"/>
  <c r="J1618" i="7"/>
  <c r="J2428" i="7"/>
  <c r="J3238" i="7"/>
  <c r="J4048" i="7"/>
  <c r="J809" i="7"/>
  <c r="J1619" i="7"/>
  <c r="J2429" i="7"/>
  <c r="J3239" i="7"/>
  <c r="J4049" i="7"/>
  <c r="J810" i="7"/>
  <c r="J1620" i="7"/>
  <c r="J2430" i="7"/>
  <c r="J3240" i="7"/>
  <c r="J4050" i="7"/>
  <c r="J811" i="7"/>
  <c r="J1621" i="7"/>
  <c r="J2431" i="7"/>
  <c r="J3241" i="7"/>
  <c r="J4051" i="7"/>
  <c r="J812" i="7"/>
  <c r="J1622" i="7"/>
  <c r="J2432" i="7"/>
  <c r="J3242" i="7"/>
  <c r="J4052" i="7"/>
  <c r="J813" i="7"/>
  <c r="J1623" i="7"/>
  <c r="J2433" i="7"/>
  <c r="J3243" i="7"/>
  <c r="J4053" i="7"/>
  <c r="J4" i="7"/>
  <c r="A24" i="7"/>
  <c r="A44" i="7"/>
  <c r="A64" i="7"/>
  <c r="A84" i="7"/>
  <c r="A104" i="7"/>
  <c r="A144" i="7"/>
  <c r="A164" i="7"/>
  <c r="A184" i="7"/>
  <c r="A204" i="7"/>
  <c r="A224" i="7"/>
  <c r="A264" i="7"/>
  <c r="A284" i="7"/>
  <c r="A304" i="7"/>
  <c r="A324" i="7"/>
  <c r="A344" i="7"/>
  <c r="A384" i="7"/>
  <c r="A404" i="7"/>
  <c r="A424" i="7"/>
  <c r="A444" i="7"/>
  <c r="A464" i="7"/>
  <c r="A504" i="7"/>
  <c r="A524" i="7"/>
  <c r="A544" i="7"/>
  <c r="A564" i="7"/>
  <c r="A584" i="7"/>
  <c r="A624" i="7"/>
  <c r="A644" i="7"/>
  <c r="A664" i="7"/>
  <c r="A684" i="7"/>
  <c r="A704" i="7"/>
  <c r="A744" i="7"/>
  <c r="A764" i="7"/>
  <c r="A784" i="7"/>
  <c r="A804" i="7"/>
  <c r="A824" i="7"/>
  <c r="A864" i="7"/>
  <c r="A884" i="7"/>
  <c r="A904" i="7"/>
  <c r="A924" i="7"/>
  <c r="A944" i="7"/>
  <c r="A984" i="7"/>
  <c r="A1004" i="7"/>
  <c r="A1024" i="7"/>
  <c r="A1044" i="7"/>
  <c r="A1064" i="7"/>
  <c r="A25" i="7"/>
  <c r="A45" i="7"/>
  <c r="A65" i="7"/>
  <c r="A85" i="7"/>
  <c r="A105" i="7"/>
  <c r="A145" i="7"/>
  <c r="A165" i="7"/>
  <c r="A185" i="7"/>
  <c r="A205" i="7"/>
  <c r="A225" i="7"/>
  <c r="A265" i="7"/>
  <c r="A285" i="7"/>
  <c r="A305" i="7"/>
  <c r="A325" i="7"/>
  <c r="A345" i="7"/>
  <c r="A385" i="7"/>
  <c r="A405" i="7"/>
  <c r="A425" i="7"/>
  <c r="A445" i="7"/>
  <c r="A465" i="7"/>
  <c r="A505" i="7"/>
  <c r="A525" i="7"/>
  <c r="A545" i="7"/>
  <c r="A565" i="7"/>
  <c r="A585" i="7"/>
  <c r="A625" i="7"/>
  <c r="A645" i="7"/>
  <c r="A665" i="7"/>
  <c r="A685" i="7"/>
  <c r="A705" i="7"/>
  <c r="A745" i="7"/>
  <c r="A765" i="7"/>
  <c r="A785" i="7"/>
  <c r="A805" i="7"/>
  <c r="A825" i="7"/>
  <c r="A865" i="7"/>
  <c r="A885" i="7"/>
  <c r="A905" i="7"/>
  <c r="A925" i="7"/>
  <c r="A945" i="7"/>
  <c r="A985" i="7"/>
  <c r="A1005" i="7"/>
  <c r="A1025" i="7"/>
  <c r="A1045" i="7"/>
  <c r="A1065" i="7"/>
  <c r="A26" i="7"/>
  <c r="A46" i="7"/>
  <c r="A66" i="7"/>
  <c r="A86" i="7"/>
  <c r="A106" i="7"/>
  <c r="A146" i="7"/>
  <c r="A166" i="7"/>
  <c r="A186" i="7"/>
  <c r="A206" i="7"/>
  <c r="A226" i="7"/>
  <c r="A266" i="7"/>
  <c r="A286" i="7"/>
  <c r="A306" i="7"/>
  <c r="A326" i="7"/>
  <c r="A346" i="7"/>
  <c r="A386" i="7"/>
  <c r="A406" i="7"/>
  <c r="A426" i="7"/>
  <c r="A446" i="7"/>
  <c r="A466" i="7"/>
  <c r="A506" i="7"/>
  <c r="A526" i="7"/>
  <c r="A546" i="7"/>
  <c r="A566" i="7"/>
  <c r="A586" i="7"/>
  <c r="A626" i="7"/>
  <c r="A646" i="7"/>
  <c r="A666" i="7"/>
  <c r="A686" i="7"/>
  <c r="A706" i="7"/>
  <c r="A746" i="7"/>
  <c r="A766" i="7"/>
  <c r="A786" i="7"/>
  <c r="A806" i="7"/>
  <c r="A826" i="7"/>
  <c r="A866" i="7"/>
  <c r="A886" i="7"/>
  <c r="A906" i="7"/>
  <c r="A926" i="7"/>
  <c r="A946" i="7"/>
  <c r="A986" i="7"/>
  <c r="A1006" i="7"/>
  <c r="A1026" i="7"/>
  <c r="A1046" i="7"/>
  <c r="A1066" i="7"/>
  <c r="A27" i="7"/>
  <c r="A47" i="7"/>
  <c r="A67" i="7"/>
  <c r="A87" i="7"/>
  <c r="A107" i="7"/>
  <c r="A147" i="7"/>
  <c r="A167" i="7"/>
  <c r="A187" i="7"/>
  <c r="A207" i="7"/>
  <c r="A227" i="7"/>
  <c r="A267" i="7"/>
  <c r="A287" i="7"/>
  <c r="A307" i="7"/>
  <c r="A327" i="7"/>
  <c r="A347" i="7"/>
  <c r="A387" i="7"/>
  <c r="A407" i="7"/>
  <c r="A427" i="7"/>
  <c r="A447" i="7"/>
  <c r="A467" i="7"/>
  <c r="A507" i="7"/>
  <c r="A527" i="7"/>
  <c r="A547" i="7"/>
  <c r="A567" i="7"/>
  <c r="A587" i="7"/>
  <c r="A627" i="7"/>
  <c r="A647" i="7"/>
  <c r="A667" i="7"/>
  <c r="A687" i="7"/>
  <c r="A707" i="7"/>
  <c r="A747" i="7"/>
  <c r="A767" i="7"/>
  <c r="A787" i="7"/>
  <c r="A807" i="7"/>
  <c r="A827" i="7"/>
  <c r="A867" i="7"/>
  <c r="A887" i="7"/>
  <c r="A907" i="7"/>
  <c r="A927" i="7"/>
  <c r="A947" i="7"/>
  <c r="A987" i="7"/>
  <c r="A1007" i="7"/>
  <c r="A1027" i="7"/>
  <c r="A1047" i="7"/>
  <c r="A1067" i="7"/>
  <c r="A28" i="7"/>
  <c r="A48" i="7"/>
  <c r="A68" i="7"/>
  <c r="A88" i="7"/>
  <c r="A108" i="7"/>
  <c r="A148" i="7"/>
  <c r="A168" i="7"/>
  <c r="A188" i="7"/>
  <c r="A208" i="7"/>
  <c r="A228" i="7"/>
  <c r="A268" i="7"/>
  <c r="A288" i="7"/>
  <c r="A308" i="7"/>
  <c r="A328" i="7"/>
  <c r="A348" i="7"/>
  <c r="A388" i="7"/>
  <c r="A408" i="7"/>
  <c r="A428" i="7"/>
  <c r="A448" i="7"/>
  <c r="A468" i="7"/>
  <c r="A508" i="7"/>
  <c r="A528" i="7"/>
  <c r="A548" i="7"/>
  <c r="A568" i="7"/>
  <c r="A588" i="7"/>
  <c r="A628" i="7"/>
  <c r="A648" i="7"/>
  <c r="A668" i="7"/>
  <c r="A688" i="7"/>
  <c r="A708" i="7"/>
  <c r="A748" i="7"/>
  <c r="A768" i="7"/>
  <c r="A788" i="7"/>
  <c r="A808" i="7"/>
  <c r="A828" i="7"/>
  <c r="A868" i="7"/>
  <c r="A888" i="7"/>
  <c r="A908" i="7"/>
  <c r="A928" i="7"/>
  <c r="A948" i="7"/>
  <c r="A988" i="7"/>
  <c r="A1008" i="7"/>
  <c r="A1028" i="7"/>
  <c r="A1048" i="7"/>
  <c r="A1068" i="7"/>
  <c r="A29" i="7"/>
  <c r="A49" i="7"/>
  <c r="A69" i="7"/>
  <c r="A89" i="7"/>
  <c r="A109" i="7"/>
  <c r="A149" i="7"/>
  <c r="A169" i="7"/>
  <c r="A189" i="7"/>
  <c r="A209" i="7"/>
  <c r="A229" i="7"/>
  <c r="A269" i="7"/>
  <c r="A289" i="7"/>
  <c r="A309" i="7"/>
  <c r="A329" i="7"/>
  <c r="A349" i="7"/>
  <c r="A389" i="7"/>
  <c r="A409" i="7"/>
  <c r="A429" i="7"/>
  <c r="A449" i="7"/>
  <c r="A469" i="7"/>
  <c r="A509" i="7"/>
  <c r="A529" i="7"/>
  <c r="A549" i="7"/>
  <c r="A569" i="7"/>
  <c r="A589" i="7"/>
  <c r="A629" i="7"/>
  <c r="A649" i="7"/>
  <c r="A669" i="7"/>
  <c r="A689" i="7"/>
  <c r="A709" i="7"/>
  <c r="A749" i="7"/>
  <c r="A769" i="7"/>
  <c r="A789" i="7"/>
  <c r="A809" i="7"/>
  <c r="A829" i="7"/>
  <c r="A869" i="7"/>
  <c r="A889" i="7"/>
  <c r="A909" i="7"/>
  <c r="A929" i="7"/>
  <c r="A949" i="7"/>
  <c r="A989" i="7"/>
  <c r="A1009" i="7"/>
  <c r="A1029" i="7"/>
  <c r="A1049" i="7"/>
  <c r="A1069" i="7"/>
  <c r="A30" i="7"/>
  <c r="A50" i="7"/>
  <c r="A70" i="7"/>
  <c r="A90" i="7"/>
  <c r="A110" i="7"/>
  <c r="A150" i="7"/>
  <c r="A170" i="7"/>
  <c r="A190" i="7"/>
  <c r="A210" i="7"/>
  <c r="A230" i="7"/>
  <c r="A270" i="7"/>
  <c r="A290" i="7"/>
  <c r="A310" i="7"/>
  <c r="A330" i="7"/>
  <c r="A350" i="7"/>
  <c r="A390" i="7"/>
  <c r="A410" i="7"/>
  <c r="A430" i="7"/>
  <c r="A450" i="7"/>
  <c r="A470" i="7"/>
  <c r="A510" i="7"/>
  <c r="A530" i="7"/>
  <c r="A550" i="7"/>
  <c r="A570" i="7"/>
  <c r="A590" i="7"/>
  <c r="A630" i="7"/>
  <c r="A650" i="7"/>
  <c r="A670" i="7"/>
  <c r="A690" i="7"/>
  <c r="A710" i="7"/>
  <c r="A750" i="7"/>
  <c r="A770" i="7"/>
  <c r="A790" i="7"/>
  <c r="A810" i="7"/>
  <c r="A830" i="7"/>
  <c r="A870" i="7"/>
  <c r="A890" i="7"/>
  <c r="A910" i="7"/>
  <c r="A930" i="7"/>
  <c r="A950" i="7"/>
  <c r="A990" i="7"/>
  <c r="A1010" i="7"/>
  <c r="A1030" i="7"/>
  <c r="A1050" i="7"/>
  <c r="A1070" i="7"/>
  <c r="A31" i="7"/>
  <c r="A51" i="7"/>
  <c r="A71" i="7"/>
  <c r="A91" i="7"/>
  <c r="A111" i="7"/>
  <c r="A151" i="7"/>
  <c r="A171" i="7"/>
  <c r="A191" i="7"/>
  <c r="A211" i="7"/>
  <c r="A231" i="7"/>
  <c r="A271" i="7"/>
  <c r="A291" i="7"/>
  <c r="A311" i="7"/>
  <c r="A331" i="7"/>
  <c r="A351" i="7"/>
  <c r="A391" i="7"/>
  <c r="A411" i="7"/>
  <c r="A431" i="7"/>
  <c r="A451" i="7"/>
  <c r="A471" i="7"/>
  <c r="A511" i="7"/>
  <c r="A531" i="7"/>
  <c r="A551" i="7"/>
  <c r="A571" i="7"/>
  <c r="A591" i="7"/>
  <c r="A631" i="7"/>
  <c r="A651" i="7"/>
  <c r="A671" i="7"/>
  <c r="A691" i="7"/>
  <c r="A711" i="7"/>
  <c r="A751" i="7"/>
  <c r="A771" i="7"/>
  <c r="A791" i="7"/>
  <c r="A811" i="7"/>
  <c r="A831" i="7"/>
  <c r="A871" i="7"/>
  <c r="A891" i="7"/>
  <c r="A911" i="7"/>
  <c r="A931" i="7"/>
  <c r="A951" i="7"/>
  <c r="A991" i="7"/>
  <c r="A1011" i="7"/>
  <c r="A1031" i="7"/>
  <c r="A1051" i="7"/>
  <c r="A1071" i="7"/>
  <c r="A32" i="7"/>
  <c r="A52" i="7"/>
  <c r="A72" i="7"/>
  <c r="A92" i="7"/>
  <c r="A112" i="7"/>
  <c r="A152" i="7"/>
  <c r="A172" i="7"/>
  <c r="A192" i="7"/>
  <c r="A212" i="7"/>
  <c r="A232" i="7"/>
  <c r="A272" i="7"/>
  <c r="A292" i="7"/>
  <c r="A312" i="7"/>
  <c r="A332" i="7"/>
  <c r="A352" i="7"/>
  <c r="A392" i="7"/>
  <c r="A412" i="7"/>
  <c r="A432" i="7"/>
  <c r="A452" i="7"/>
  <c r="A472" i="7"/>
  <c r="A512" i="7"/>
  <c r="A532" i="7"/>
  <c r="A552" i="7"/>
  <c r="A572" i="7"/>
  <c r="A592" i="7"/>
  <c r="A632" i="7"/>
  <c r="A652" i="7"/>
  <c r="A672" i="7"/>
  <c r="A692" i="7"/>
  <c r="A712" i="7"/>
  <c r="A752" i="7"/>
  <c r="A772" i="7"/>
  <c r="A792" i="7"/>
  <c r="A812" i="7"/>
  <c r="A832" i="7"/>
  <c r="A872" i="7"/>
  <c r="A892" i="7"/>
  <c r="A912" i="7"/>
  <c r="A932" i="7"/>
  <c r="A952" i="7"/>
  <c r="A992" i="7"/>
  <c r="A1012" i="7"/>
  <c r="A1032" i="7"/>
  <c r="A1052" i="7"/>
  <c r="A1072" i="7"/>
  <c r="A33" i="7"/>
  <c r="A53" i="7"/>
  <c r="A73" i="7"/>
  <c r="A93" i="7"/>
  <c r="A113" i="7"/>
  <c r="A153" i="7"/>
  <c r="A173" i="7"/>
  <c r="A193" i="7"/>
  <c r="A213" i="7"/>
  <c r="A233" i="7"/>
  <c r="A273" i="7"/>
  <c r="A293" i="7"/>
  <c r="A313" i="7"/>
  <c r="A333" i="7"/>
  <c r="A353" i="7"/>
  <c r="A393" i="7"/>
  <c r="A413" i="7"/>
  <c r="A433" i="7"/>
  <c r="A453" i="7"/>
  <c r="A473" i="7"/>
  <c r="A513" i="7"/>
  <c r="A533" i="7"/>
  <c r="A553" i="7"/>
  <c r="A573" i="7"/>
  <c r="A593" i="7"/>
  <c r="A633" i="7"/>
  <c r="A653" i="7"/>
  <c r="A673" i="7"/>
  <c r="A693" i="7"/>
  <c r="A713" i="7"/>
  <c r="A753" i="7"/>
  <c r="A773" i="7"/>
  <c r="A793" i="7"/>
  <c r="A813" i="7"/>
  <c r="A833" i="7"/>
  <c r="A873" i="7"/>
  <c r="A893" i="7"/>
  <c r="A913" i="7"/>
  <c r="A933" i="7"/>
  <c r="A953" i="7"/>
  <c r="A993" i="7"/>
  <c r="A1013" i="7"/>
  <c r="A1033" i="7"/>
  <c r="A1053" i="7"/>
  <c r="A1073" i="7"/>
  <c r="A34" i="7"/>
  <c r="A54" i="7"/>
  <c r="A74" i="7"/>
  <c r="A94" i="7"/>
  <c r="A114" i="7"/>
  <c r="A154" i="7"/>
  <c r="A174" i="7"/>
  <c r="A194" i="7"/>
  <c r="A214" i="7"/>
  <c r="A234" i="7"/>
  <c r="A274" i="7"/>
  <c r="A294" i="7"/>
  <c r="A314" i="7"/>
  <c r="A334" i="7"/>
  <c r="A354" i="7"/>
  <c r="A394" i="7"/>
  <c r="A414" i="7"/>
  <c r="A434" i="7"/>
  <c r="A454" i="7"/>
  <c r="A474" i="7"/>
  <c r="A514" i="7"/>
  <c r="A534" i="7"/>
  <c r="A554" i="7"/>
  <c r="A574" i="7"/>
  <c r="A594" i="7"/>
  <c r="A634" i="7"/>
  <c r="A654" i="7"/>
  <c r="A674" i="7"/>
  <c r="A694" i="7"/>
  <c r="A714" i="7"/>
  <c r="A754" i="7"/>
  <c r="A774" i="7"/>
  <c r="A794" i="7"/>
  <c r="A814" i="7"/>
  <c r="A834" i="7"/>
  <c r="A874" i="7"/>
  <c r="A894" i="7"/>
  <c r="A914" i="7"/>
  <c r="A934" i="7"/>
  <c r="A954" i="7"/>
  <c r="A994" i="7"/>
  <c r="A1014" i="7"/>
  <c r="A1034" i="7"/>
  <c r="A1054" i="7"/>
  <c r="A1074" i="7"/>
  <c r="A35" i="7"/>
  <c r="A55" i="7"/>
  <c r="A75" i="7"/>
  <c r="A95" i="7"/>
  <c r="A115" i="7"/>
  <c r="A155" i="7"/>
  <c r="A175" i="7"/>
  <c r="A195" i="7"/>
  <c r="A215" i="7"/>
  <c r="A235" i="7"/>
  <c r="A275" i="7"/>
  <c r="A295" i="7"/>
  <c r="A315" i="7"/>
  <c r="A335" i="7"/>
  <c r="A355" i="7"/>
  <c r="A395" i="7"/>
  <c r="A415" i="7"/>
  <c r="A435" i="7"/>
  <c r="A455" i="7"/>
  <c r="A475" i="7"/>
  <c r="A515" i="7"/>
  <c r="A535" i="7"/>
  <c r="A555" i="7"/>
  <c r="A575" i="7"/>
  <c r="A595" i="7"/>
  <c r="A635" i="7"/>
  <c r="A655" i="7"/>
  <c r="A675" i="7"/>
  <c r="A695" i="7"/>
  <c r="A715" i="7"/>
  <c r="A755" i="7"/>
  <c r="A775" i="7"/>
  <c r="A795" i="7"/>
  <c r="A815" i="7"/>
  <c r="A835" i="7"/>
  <c r="A875" i="7"/>
  <c r="A895" i="7"/>
  <c r="A915" i="7"/>
  <c r="A935" i="7"/>
  <c r="A955" i="7"/>
  <c r="A995" i="7"/>
  <c r="A1015" i="7"/>
  <c r="A1035" i="7"/>
  <c r="A1055" i="7"/>
  <c r="A1075" i="7"/>
  <c r="A36" i="7"/>
  <c r="A56" i="7"/>
  <c r="A76" i="7"/>
  <c r="A96" i="7"/>
  <c r="A116" i="7"/>
  <c r="A156" i="7"/>
  <c r="A176" i="7"/>
  <c r="A196" i="7"/>
  <c r="A216" i="7"/>
  <c r="A236" i="7"/>
  <c r="A276" i="7"/>
  <c r="A296" i="7"/>
  <c r="A316" i="7"/>
  <c r="A336" i="7"/>
  <c r="A356" i="7"/>
  <c r="A396" i="7"/>
  <c r="A416" i="7"/>
  <c r="A436" i="7"/>
  <c r="A456" i="7"/>
  <c r="A476" i="7"/>
  <c r="A516" i="7"/>
  <c r="A536" i="7"/>
  <c r="A556" i="7"/>
  <c r="A576" i="7"/>
  <c r="A596" i="7"/>
  <c r="A636" i="7"/>
  <c r="A656" i="7"/>
  <c r="A676" i="7"/>
  <c r="A696" i="7"/>
  <c r="A716" i="7"/>
  <c r="A756" i="7"/>
  <c r="A776" i="7"/>
  <c r="A796" i="7"/>
  <c r="A816" i="7"/>
  <c r="A836" i="7"/>
  <c r="A876" i="7"/>
  <c r="A896" i="7"/>
  <c r="A916" i="7"/>
  <c r="A936" i="7"/>
  <c r="A956" i="7"/>
  <c r="A996" i="7"/>
  <c r="A1016" i="7"/>
  <c r="A1036" i="7"/>
  <c r="A1056" i="7"/>
  <c r="A1076" i="7"/>
  <c r="A37" i="7"/>
  <c r="A57" i="7"/>
  <c r="A77" i="7"/>
  <c r="A97" i="7"/>
  <c r="A117" i="7"/>
  <c r="A157" i="7"/>
  <c r="A177" i="7"/>
  <c r="A197" i="7"/>
  <c r="A217" i="7"/>
  <c r="A237" i="7"/>
  <c r="A277" i="7"/>
  <c r="A297" i="7"/>
  <c r="A317" i="7"/>
  <c r="A337" i="7"/>
  <c r="A357" i="7"/>
  <c r="A397" i="7"/>
  <c r="A417" i="7"/>
  <c r="A437" i="7"/>
  <c r="A457" i="7"/>
  <c r="A477" i="7"/>
  <c r="A517" i="7"/>
  <c r="A537" i="7"/>
  <c r="A557" i="7"/>
  <c r="A577" i="7"/>
  <c r="A597" i="7"/>
  <c r="A637" i="7"/>
  <c r="A657" i="7"/>
  <c r="A677" i="7"/>
  <c r="A697" i="7"/>
  <c r="A717" i="7"/>
  <c r="A757" i="7"/>
  <c r="A777" i="7"/>
  <c r="A797" i="7"/>
  <c r="A817" i="7"/>
  <c r="A837" i="7"/>
  <c r="A877" i="7"/>
  <c r="A897" i="7"/>
  <c r="A917" i="7"/>
  <c r="A937" i="7"/>
  <c r="A957" i="7"/>
  <c r="A997" i="7"/>
  <c r="A1017" i="7"/>
  <c r="A1037" i="7"/>
  <c r="A1057" i="7"/>
  <c r="A1077" i="7"/>
  <c r="A38" i="7"/>
  <c r="A58" i="7"/>
  <c r="A78" i="7"/>
  <c r="A98" i="7"/>
  <c r="A118" i="7"/>
  <c r="A158" i="7"/>
  <c r="A178" i="7"/>
  <c r="A198" i="7"/>
  <c r="A218" i="7"/>
  <c r="A238" i="7"/>
  <c r="A278" i="7"/>
  <c r="A298" i="7"/>
  <c r="A318" i="7"/>
  <c r="A338" i="7"/>
  <c r="A358" i="7"/>
  <c r="A398" i="7"/>
  <c r="A418" i="7"/>
  <c r="A438" i="7"/>
  <c r="A458" i="7"/>
  <c r="A478" i="7"/>
  <c r="A518" i="7"/>
  <c r="A538" i="7"/>
  <c r="A558" i="7"/>
  <c r="A578" i="7"/>
  <c r="A598" i="7"/>
  <c r="A638" i="7"/>
  <c r="A658" i="7"/>
  <c r="A678" i="7"/>
  <c r="A698" i="7"/>
  <c r="A718" i="7"/>
  <c r="A758" i="7"/>
  <c r="A778" i="7"/>
  <c r="A798" i="7"/>
  <c r="A818" i="7"/>
  <c r="A838" i="7"/>
  <c r="A878" i="7"/>
  <c r="A898" i="7"/>
  <c r="A918" i="7"/>
  <c r="A938" i="7"/>
  <c r="A958" i="7"/>
  <c r="A998" i="7"/>
  <c r="A1018" i="7"/>
  <c r="A1038" i="7"/>
  <c r="A1058" i="7"/>
  <c r="A1078" i="7"/>
  <c r="A39" i="7"/>
  <c r="A59" i="7"/>
  <c r="A79" i="7"/>
  <c r="A99" i="7"/>
  <c r="A119" i="7"/>
  <c r="A159" i="7"/>
  <c r="A179" i="7"/>
  <c r="A199" i="7"/>
  <c r="A219" i="7"/>
  <c r="A239" i="7"/>
  <c r="A279" i="7"/>
  <c r="A299" i="7"/>
  <c r="A319" i="7"/>
  <c r="A339" i="7"/>
  <c r="A359" i="7"/>
  <c r="A399" i="7"/>
  <c r="A419" i="7"/>
  <c r="A439" i="7"/>
  <c r="A459" i="7"/>
  <c r="A479" i="7"/>
  <c r="A519" i="7"/>
  <c r="A539" i="7"/>
  <c r="A559" i="7"/>
  <c r="A579" i="7"/>
  <c r="A599" i="7"/>
  <c r="A639" i="7"/>
  <c r="A659" i="7"/>
  <c r="A679" i="7"/>
  <c r="A699" i="7"/>
  <c r="A719" i="7"/>
  <c r="A759" i="7"/>
  <c r="A779" i="7"/>
  <c r="A799" i="7"/>
  <c r="A819" i="7"/>
  <c r="A839" i="7"/>
  <c r="A879" i="7"/>
  <c r="A899" i="7"/>
  <c r="A919" i="7"/>
  <c r="A939" i="7"/>
  <c r="A959" i="7"/>
  <c r="A999" i="7"/>
  <c r="A1019" i="7"/>
  <c r="A1039" i="7"/>
  <c r="A1059" i="7"/>
  <c r="A1079" i="7"/>
  <c r="A40" i="7"/>
  <c r="A60" i="7"/>
  <c r="A80" i="7"/>
  <c r="A100" i="7"/>
  <c r="A120" i="7"/>
  <c r="A160" i="7"/>
  <c r="A180" i="7"/>
  <c r="A200" i="7"/>
  <c r="A220" i="7"/>
  <c r="A240" i="7"/>
  <c r="A280" i="7"/>
  <c r="A300" i="7"/>
  <c r="A320" i="7"/>
  <c r="A340" i="7"/>
  <c r="A360" i="7"/>
  <c r="A400" i="7"/>
  <c r="A420" i="7"/>
  <c r="A440" i="7"/>
  <c r="A460" i="7"/>
  <c r="A480" i="7"/>
  <c r="A520" i="7"/>
  <c r="A540" i="7"/>
  <c r="A560" i="7"/>
  <c r="A580" i="7"/>
  <c r="A600" i="7"/>
  <c r="A640" i="7"/>
  <c r="A660" i="7"/>
  <c r="A680" i="7"/>
  <c r="A700" i="7"/>
  <c r="A720" i="7"/>
  <c r="A760" i="7"/>
  <c r="A780" i="7"/>
  <c r="A800" i="7"/>
  <c r="A820" i="7"/>
  <c r="A840" i="7"/>
  <c r="A880" i="7"/>
  <c r="A900" i="7"/>
  <c r="A920" i="7"/>
  <c r="A940" i="7"/>
  <c r="A960" i="7"/>
  <c r="A1000" i="7"/>
  <c r="A1020" i="7"/>
  <c r="A1040" i="7"/>
  <c r="A1060" i="7"/>
  <c r="A1080" i="7"/>
  <c r="A41" i="7"/>
  <c r="A61" i="7"/>
  <c r="A81" i="7"/>
  <c r="A101" i="7"/>
  <c r="A121" i="7"/>
  <c r="A161" i="7"/>
  <c r="A181" i="7"/>
  <c r="A201" i="7"/>
  <c r="A221" i="7"/>
  <c r="A241" i="7"/>
  <c r="A281" i="7"/>
  <c r="A301" i="7"/>
  <c r="A321" i="7"/>
  <c r="A341" i="7"/>
  <c r="A361" i="7"/>
  <c r="A401" i="7"/>
  <c r="A421" i="7"/>
  <c r="A441" i="7"/>
  <c r="A461" i="7"/>
  <c r="A481" i="7"/>
  <c r="A521" i="7"/>
  <c r="A541" i="7"/>
  <c r="A561" i="7"/>
  <c r="A581" i="7"/>
  <c r="A601" i="7"/>
  <c r="A641" i="7"/>
  <c r="A661" i="7"/>
  <c r="A681" i="7"/>
  <c r="A701" i="7"/>
  <c r="A721" i="7"/>
  <c r="A761" i="7"/>
  <c r="A781" i="7"/>
  <c r="A801" i="7"/>
  <c r="A821" i="7"/>
  <c r="A841" i="7"/>
  <c r="A881" i="7"/>
  <c r="A901" i="7"/>
  <c r="A921" i="7"/>
  <c r="A941" i="7"/>
  <c r="A961" i="7"/>
  <c r="A1001" i="7"/>
  <c r="A1021" i="7"/>
  <c r="A1041" i="7"/>
  <c r="A1061" i="7"/>
  <c r="A1081" i="7"/>
  <c r="A42" i="7"/>
  <c r="A62" i="7"/>
  <c r="A82" i="7"/>
  <c r="A102" i="7"/>
  <c r="A122" i="7"/>
  <c r="A162" i="7"/>
  <c r="A182" i="7"/>
  <c r="A202" i="7"/>
  <c r="A222" i="7"/>
  <c r="A242" i="7"/>
  <c r="A282" i="7"/>
  <c r="A302" i="7"/>
  <c r="A322" i="7"/>
  <c r="A342" i="7"/>
  <c r="A362" i="7"/>
  <c r="A402" i="7"/>
  <c r="A422" i="7"/>
  <c r="A442" i="7"/>
  <c r="A462" i="7"/>
  <c r="A482" i="7"/>
  <c r="A522" i="7"/>
  <c r="A542" i="7"/>
  <c r="A562" i="7"/>
  <c r="A582" i="7"/>
  <c r="A602" i="7"/>
  <c r="A642" i="7"/>
  <c r="A662" i="7"/>
  <c r="A682" i="7"/>
  <c r="A702" i="7"/>
  <c r="A722" i="7"/>
  <c r="A762" i="7"/>
  <c r="A782" i="7"/>
  <c r="A802" i="7"/>
  <c r="A822" i="7"/>
  <c r="A842" i="7"/>
  <c r="A882" i="7"/>
  <c r="A902" i="7"/>
  <c r="A922" i="7"/>
  <c r="A942" i="7"/>
  <c r="A962" i="7"/>
  <c r="A1002" i="7"/>
  <c r="A1022" i="7"/>
  <c r="A1042" i="7"/>
  <c r="A1062" i="7"/>
  <c r="A1082" i="7"/>
  <c r="A43" i="7"/>
  <c r="A63" i="7"/>
  <c r="A83" i="7"/>
  <c r="A103" i="7"/>
  <c r="A123" i="7"/>
  <c r="A163" i="7"/>
  <c r="A183" i="7"/>
  <c r="A203" i="7"/>
  <c r="A223" i="7"/>
  <c r="A243" i="7"/>
  <c r="A283" i="7"/>
  <c r="A303" i="7"/>
  <c r="A323" i="7"/>
  <c r="A343" i="7"/>
  <c r="A363" i="7"/>
  <c r="A403" i="7"/>
  <c r="A423" i="7"/>
  <c r="A443" i="7"/>
  <c r="A463" i="7"/>
  <c r="A483" i="7"/>
  <c r="A523" i="7"/>
  <c r="A543" i="7"/>
  <c r="A563" i="7"/>
  <c r="A583" i="7"/>
  <c r="A603" i="7"/>
  <c r="A643" i="7"/>
  <c r="A663" i="7"/>
  <c r="A683" i="7"/>
  <c r="A703" i="7"/>
  <c r="A723" i="7"/>
  <c r="A763" i="7"/>
  <c r="A783" i="7"/>
  <c r="A803" i="7"/>
  <c r="A823" i="7"/>
  <c r="A843" i="7"/>
  <c r="A883" i="7"/>
  <c r="A903" i="7"/>
  <c r="A923" i="7"/>
  <c r="A943" i="7"/>
  <c r="A963" i="7"/>
  <c r="A1003" i="7"/>
  <c r="A1023" i="7"/>
  <c r="A1043" i="7"/>
  <c r="A1063" i="7"/>
  <c r="A1083" i="7"/>
  <c r="A5" i="7"/>
  <c r="A6" i="7"/>
  <c r="A7" i="7"/>
  <c r="A8" i="7"/>
  <c r="A9" i="7"/>
  <c r="A10" i="7"/>
  <c r="A11" i="7"/>
  <c r="A12" i="7"/>
  <c r="A13" i="7"/>
  <c r="A14" i="7"/>
  <c r="A15" i="7"/>
  <c r="A16" i="7"/>
  <c r="A17" i="7"/>
  <c r="A18" i="7"/>
  <c r="A19" i="7"/>
  <c r="A20" i="7"/>
  <c r="A21" i="7"/>
  <c r="A22" i="7"/>
  <c r="A23" i="7"/>
  <c r="A124" i="7"/>
  <c r="A125" i="7"/>
  <c r="A126" i="7"/>
  <c r="A127" i="7"/>
  <c r="A128" i="7"/>
  <c r="A129" i="7"/>
  <c r="A130" i="7"/>
  <c r="A131" i="7"/>
  <c r="A132" i="7"/>
  <c r="A133" i="7"/>
  <c r="A134" i="7"/>
  <c r="A135" i="7"/>
  <c r="A136" i="7"/>
  <c r="A137" i="7"/>
  <c r="A138" i="7"/>
  <c r="A139" i="7"/>
  <c r="A140" i="7"/>
  <c r="A141" i="7"/>
  <c r="A142" i="7"/>
  <c r="A143" i="7"/>
  <c r="A244" i="7"/>
  <c r="A245" i="7"/>
  <c r="A246" i="7"/>
  <c r="A247" i="7"/>
  <c r="A248" i="7"/>
  <c r="A249" i="7"/>
  <c r="A250" i="7"/>
  <c r="A251" i="7"/>
  <c r="A252" i="7"/>
  <c r="A253" i="7"/>
  <c r="A254" i="7"/>
  <c r="A255" i="7"/>
  <c r="A256" i="7"/>
  <c r="A257" i="7"/>
  <c r="A258" i="7"/>
  <c r="A259" i="7"/>
  <c r="A260" i="7"/>
  <c r="A261" i="7"/>
  <c r="A262" i="7"/>
  <c r="A263" i="7"/>
  <c r="A364" i="7"/>
  <c r="A365" i="7"/>
  <c r="A366" i="7"/>
  <c r="A367" i="7"/>
  <c r="A368" i="7"/>
  <c r="A369" i="7"/>
  <c r="A370" i="7"/>
  <c r="A371" i="7"/>
  <c r="A372" i="7"/>
  <c r="A373" i="7"/>
  <c r="A374" i="7"/>
  <c r="A375" i="7"/>
  <c r="A376" i="7"/>
  <c r="A377" i="7"/>
  <c r="A378" i="7"/>
  <c r="A379" i="7"/>
  <c r="A380" i="7"/>
  <c r="A381" i="7"/>
  <c r="A382" i="7"/>
  <c r="A383" i="7"/>
  <c r="A484" i="7"/>
  <c r="A485" i="7"/>
  <c r="A486" i="7"/>
  <c r="A487" i="7"/>
  <c r="A488" i="7"/>
  <c r="A489" i="7"/>
  <c r="A490" i="7"/>
  <c r="A491" i="7"/>
  <c r="A492" i="7"/>
  <c r="A493" i="7"/>
  <c r="A494" i="7"/>
  <c r="A495" i="7"/>
  <c r="A496" i="7"/>
  <c r="A497" i="7"/>
  <c r="A498" i="7"/>
  <c r="A499" i="7"/>
  <c r="A500" i="7"/>
  <c r="A501" i="7"/>
  <c r="A502" i="7"/>
  <c r="A503" i="7"/>
  <c r="A604" i="7"/>
  <c r="A605" i="7"/>
  <c r="A606" i="7"/>
  <c r="A607" i="7"/>
  <c r="A608" i="7"/>
  <c r="A609" i="7"/>
  <c r="A610" i="7"/>
  <c r="A611" i="7"/>
  <c r="A612" i="7"/>
  <c r="A613" i="7"/>
  <c r="A614" i="7"/>
  <c r="A615" i="7"/>
  <c r="A616" i="7"/>
  <c r="A617" i="7"/>
  <c r="A618" i="7"/>
  <c r="A619" i="7"/>
  <c r="A620" i="7"/>
  <c r="A621" i="7"/>
  <c r="A622" i="7"/>
  <c r="A623" i="7"/>
  <c r="A724" i="7"/>
  <c r="A725" i="7"/>
  <c r="A726" i="7"/>
  <c r="A727" i="7"/>
  <c r="A728" i="7"/>
  <c r="A729" i="7"/>
  <c r="A730" i="7"/>
  <c r="A731" i="7"/>
  <c r="A732" i="7"/>
  <c r="A733" i="7"/>
  <c r="A734" i="7"/>
  <c r="A735" i="7"/>
  <c r="A736" i="7"/>
  <c r="A737" i="7"/>
  <c r="A738" i="7"/>
  <c r="A739" i="7"/>
  <c r="A740" i="7"/>
  <c r="A741" i="7"/>
  <c r="A742" i="7"/>
  <c r="A743" i="7"/>
  <c r="A844" i="7"/>
  <c r="A845" i="7"/>
  <c r="A846" i="7"/>
  <c r="A847" i="7"/>
  <c r="A848" i="7"/>
  <c r="A849" i="7"/>
  <c r="A850" i="7"/>
  <c r="A851" i="7"/>
  <c r="A852" i="7"/>
  <c r="A853" i="7"/>
  <c r="A854" i="7"/>
  <c r="A855" i="7"/>
  <c r="A856" i="7"/>
  <c r="A857" i="7"/>
  <c r="A858" i="7"/>
  <c r="A859" i="7"/>
  <c r="A860" i="7"/>
  <c r="A861" i="7"/>
  <c r="A862" i="7"/>
  <c r="A863" i="7"/>
  <c r="A964" i="7"/>
  <c r="A965" i="7"/>
  <c r="A966" i="7"/>
  <c r="A967" i="7"/>
  <c r="A968" i="7"/>
  <c r="A969" i="7"/>
  <c r="A970" i="7"/>
  <c r="A971" i="7"/>
  <c r="A972" i="7"/>
  <c r="A973" i="7"/>
  <c r="A974" i="7"/>
  <c r="A975" i="7"/>
  <c r="A976" i="7"/>
  <c r="A977" i="7"/>
  <c r="A978" i="7"/>
  <c r="A979" i="7"/>
  <c r="A980" i="7"/>
  <c r="A981" i="7"/>
  <c r="A982" i="7"/>
  <c r="A983" i="7"/>
  <c r="A4" i="7"/>
  <c r="AD91" i="2"/>
  <c r="AK90" i="2"/>
  <c r="AA90" i="2"/>
  <c r="X49" i="2"/>
  <c r="X64" i="2"/>
  <c r="P33" i="8"/>
  <c r="U136" i="2"/>
  <c r="U143" i="2" s="1"/>
  <c r="S136" i="2"/>
  <c r="S143" i="2"/>
  <c r="X136" i="2"/>
  <c r="X143" i="2" s="1"/>
  <c r="AB136" i="2"/>
  <c r="AB143" i="2"/>
  <c r="V137" i="2"/>
  <c r="V144" i="2" s="1"/>
  <c r="Z137" i="2"/>
  <c r="Z144" i="2"/>
  <c r="T138" i="2"/>
  <c r="T145" i="2" s="1"/>
  <c r="X138" i="2"/>
  <c r="AB138" i="2"/>
  <c r="AB145" i="2" s="1"/>
  <c r="V139" i="2"/>
  <c r="Z139" i="2"/>
  <c r="Z146" i="2"/>
  <c r="T140" i="2"/>
  <c r="X140" i="2"/>
  <c r="AB140" i="2"/>
  <c r="Y140" i="2"/>
  <c r="Y147" i="2"/>
  <c r="AA144" i="2"/>
  <c r="W138" i="2"/>
  <c r="Y139" i="2"/>
  <c r="AA140" i="2"/>
  <c r="AA147" i="2" s="1"/>
  <c r="T136" i="2"/>
  <c r="T143" i="2"/>
  <c r="Y136" i="2"/>
  <c r="Y143" i="2" s="1"/>
  <c r="S137" i="2"/>
  <c r="S144" i="2"/>
  <c r="W137" i="2"/>
  <c r="W144" i="2" s="1"/>
  <c r="AA137" i="2"/>
  <c r="U138" i="2"/>
  <c r="Y138" i="2"/>
  <c r="Y145" i="2" s="1"/>
  <c r="S139" i="2"/>
  <c r="S146" i="2" s="1"/>
  <c r="W139" i="2"/>
  <c r="AA139" i="2"/>
  <c r="AA146" i="2" s="1"/>
  <c r="U140" i="2"/>
  <c r="Y137" i="2"/>
  <c r="Y144" i="2"/>
  <c r="AA138" i="2"/>
  <c r="AA145" i="2" s="1"/>
  <c r="S140" i="2"/>
  <c r="V136" i="2"/>
  <c r="V143" i="2"/>
  <c r="Z136" i="2"/>
  <c r="Z143" i="2" s="1"/>
  <c r="T137" i="2"/>
  <c r="T144" i="2"/>
  <c r="X137" i="2"/>
  <c r="X144" i="2" s="1"/>
  <c r="AB137" i="2"/>
  <c r="AB144" i="2"/>
  <c r="V138" i="2"/>
  <c r="V145" i="2" s="1"/>
  <c r="Z138" i="2"/>
  <c r="T139" i="2"/>
  <c r="X139" i="2"/>
  <c r="AB139" i="2"/>
  <c r="AB146" i="2"/>
  <c r="V140" i="2"/>
  <c r="Z140" i="2"/>
  <c r="Z147" i="2" s="1"/>
  <c r="W136" i="2"/>
  <c r="W143" i="2"/>
  <c r="AA136" i="2"/>
  <c r="AA143" i="2"/>
  <c r="U137" i="2"/>
  <c r="U144" i="2"/>
  <c r="S138" i="2"/>
  <c r="U139" i="2"/>
  <c r="U146" i="2" s="1"/>
  <c r="W140" i="2"/>
  <c r="W147" i="2"/>
  <c r="Y70" i="16"/>
  <c r="AC70" i="16"/>
  <c r="AG70" i="16"/>
  <c r="AK70" i="16"/>
  <c r="AO70" i="16"/>
  <c r="Y69" i="16"/>
  <c r="AC69" i="16"/>
  <c r="AG69" i="16"/>
  <c r="AK69" i="16"/>
  <c r="AO69" i="16"/>
  <c r="Y67" i="16"/>
  <c r="AC67" i="16"/>
  <c r="AG67" i="16"/>
  <c r="AK67" i="16"/>
  <c r="AO67" i="16"/>
  <c r="Y64" i="16"/>
  <c r="AC64" i="16"/>
  <c r="AG64" i="16"/>
  <c r="AK64" i="16"/>
  <c r="AO64" i="16"/>
  <c r="Y63" i="16"/>
  <c r="AC63" i="16"/>
  <c r="AG63" i="16"/>
  <c r="AK63" i="16"/>
  <c r="AO63" i="16"/>
  <c r="Y59" i="16"/>
  <c r="AC59" i="16"/>
  <c r="AG59" i="16"/>
  <c r="AK59" i="16"/>
  <c r="AO59" i="16"/>
  <c r="Y58" i="16"/>
  <c r="AC58" i="16"/>
  <c r="AG58" i="16"/>
  <c r="AK58" i="16"/>
  <c r="AO58" i="16"/>
  <c r="Y56" i="16"/>
  <c r="AC56" i="16"/>
  <c r="AG56" i="16"/>
  <c r="AK56" i="16"/>
  <c r="AO56" i="16"/>
  <c r="X55" i="16"/>
  <c r="AB53" i="16"/>
  <c r="AF53" i="16"/>
  <c r="AJ53" i="16"/>
  <c r="AN53" i="16"/>
  <c r="X53" i="16"/>
  <c r="AB52" i="16"/>
  <c r="AF52" i="16"/>
  <c r="AJ52" i="16"/>
  <c r="AN52" i="16"/>
  <c r="X52" i="16"/>
  <c r="AN66" i="16"/>
  <c r="AJ66" i="16"/>
  <c r="AF66" i="16"/>
  <c r="AB66" i="16"/>
  <c r="X66" i="16"/>
  <c r="AN55" i="16"/>
  <c r="AJ55" i="16"/>
  <c r="AF55" i="16"/>
  <c r="AB55" i="16"/>
  <c r="Y35" i="16"/>
  <c r="AC35" i="16"/>
  <c r="AG35" i="16"/>
  <c r="AK35" i="16"/>
  <c r="AO35" i="16"/>
  <c r="Z37" i="16"/>
  <c r="AD37" i="16"/>
  <c r="AH37" i="16"/>
  <c r="AL37" i="16"/>
  <c r="AP37" i="16"/>
  <c r="AA38" i="16"/>
  <c r="AE38" i="16"/>
  <c r="AI38" i="16"/>
  <c r="AM38" i="16"/>
  <c r="AQ38" i="16"/>
  <c r="AB39" i="16"/>
  <c r="AF39" i="16"/>
  <c r="AJ39" i="16"/>
  <c r="AN39" i="16"/>
  <c r="X39" i="16"/>
  <c r="Y34" i="16"/>
  <c r="AC34" i="16"/>
  <c r="AG34" i="16"/>
  <c r="AK34" i="16"/>
  <c r="Z70" i="16"/>
  <c r="AD70" i="16"/>
  <c r="AH70" i="16"/>
  <c r="AL70" i="16"/>
  <c r="AP70" i="16"/>
  <c r="Z69" i="16"/>
  <c r="AD69" i="16"/>
  <c r="AH69" i="16"/>
  <c r="AL69" i="16"/>
  <c r="AP69" i="16"/>
  <c r="Z67" i="16"/>
  <c r="AD67" i="16"/>
  <c r="AH67" i="16"/>
  <c r="AL67" i="16"/>
  <c r="AP67" i="16"/>
  <c r="Z64" i="16"/>
  <c r="AD64" i="16"/>
  <c r="AH64" i="16"/>
  <c r="AL64" i="16"/>
  <c r="AP64" i="16"/>
  <c r="Z63" i="16"/>
  <c r="AD63" i="16"/>
  <c r="AH63" i="16"/>
  <c r="AL63" i="16"/>
  <c r="AP63" i="16"/>
  <c r="Z59" i="16"/>
  <c r="AD59" i="16"/>
  <c r="AH59" i="16"/>
  <c r="AL59" i="16"/>
  <c r="AP59" i="16"/>
  <c r="Z58" i="16"/>
  <c r="AD58" i="16"/>
  <c r="AH58" i="16"/>
  <c r="AL58" i="16"/>
  <c r="AP58" i="16"/>
  <c r="Z56" i="16"/>
  <c r="AD56" i="16"/>
  <c r="AH56" i="16"/>
  <c r="AL56" i="16"/>
  <c r="AP56" i="16"/>
  <c r="Y53" i="16"/>
  <c r="AC53" i="16"/>
  <c r="AG53" i="16"/>
  <c r="AK53" i="16"/>
  <c r="AO53" i="16"/>
  <c r="Y52" i="16"/>
  <c r="AC52" i="16"/>
  <c r="AG52" i="16"/>
  <c r="AK52" i="16"/>
  <c r="AO52" i="16"/>
  <c r="AQ66" i="16"/>
  <c r="AM66" i="16"/>
  <c r="AI66" i="16"/>
  <c r="AE66" i="16"/>
  <c r="AA66" i="16"/>
  <c r="AQ55" i="16"/>
  <c r="AM55" i="16"/>
  <c r="AI55" i="16"/>
  <c r="AE55" i="16"/>
  <c r="AA55" i="16"/>
  <c r="Z35" i="16"/>
  <c r="AD35" i="16"/>
  <c r="AH35" i="16"/>
  <c r="AL35" i="16"/>
  <c r="AP35" i="16"/>
  <c r="AA37" i="16"/>
  <c r="AE37" i="16"/>
  <c r="AI37" i="16"/>
  <c r="AM37" i="16"/>
  <c r="AQ37" i="16"/>
  <c r="AB38" i="16"/>
  <c r="AF38" i="16"/>
  <c r="AJ38" i="16"/>
  <c r="AN38" i="16"/>
  <c r="Y39" i="16"/>
  <c r="AC39" i="16"/>
  <c r="AG39" i="16"/>
  <c r="AK39" i="16"/>
  <c r="AO39" i="16"/>
  <c r="X38" i="16"/>
  <c r="Z34" i="16"/>
  <c r="AD34" i="16"/>
  <c r="AH34" i="16"/>
  <c r="AL34" i="16"/>
  <c r="AP34" i="16"/>
  <c r="AA70" i="16"/>
  <c r="AE70" i="16"/>
  <c r="AI70" i="16"/>
  <c r="AM70" i="16"/>
  <c r="AQ70" i="16"/>
  <c r="AA69" i="16"/>
  <c r="AE69" i="16"/>
  <c r="AI69" i="16"/>
  <c r="AM69" i="16"/>
  <c r="AQ69" i="16"/>
  <c r="AA67" i="16"/>
  <c r="AE67" i="16"/>
  <c r="AI67" i="16"/>
  <c r="AM67" i="16"/>
  <c r="AQ67" i="16"/>
  <c r="AA64" i="16"/>
  <c r="AE64" i="16"/>
  <c r="AI64" i="16"/>
  <c r="AM64" i="16"/>
  <c r="AQ64" i="16"/>
  <c r="AA63" i="16"/>
  <c r="AE63" i="16"/>
  <c r="AI63" i="16"/>
  <c r="AM63" i="16"/>
  <c r="AQ63" i="16"/>
  <c r="AA59" i="16"/>
  <c r="AE59" i="16"/>
  <c r="AI59" i="16"/>
  <c r="AM59" i="16"/>
  <c r="AQ59" i="16"/>
  <c r="AA58" i="16"/>
  <c r="AE58" i="16"/>
  <c r="AI58" i="16"/>
  <c r="AM58" i="16"/>
  <c r="AQ58" i="16"/>
  <c r="AA56" i="16"/>
  <c r="AE56" i="16"/>
  <c r="AI56" i="16"/>
  <c r="AM56" i="16"/>
  <c r="AQ56" i="16"/>
  <c r="Z53" i="16"/>
  <c r="AD53" i="16"/>
  <c r="AH53" i="16"/>
  <c r="AL53" i="16"/>
  <c r="AP53" i="16"/>
  <c r="Z52" i="16"/>
  <c r="AD52" i="16"/>
  <c r="AH52" i="16"/>
  <c r="AL52" i="16"/>
  <c r="AP52" i="16"/>
  <c r="AP66" i="16"/>
  <c r="AL66" i="16"/>
  <c r="AH66" i="16"/>
  <c r="AD66" i="16"/>
  <c r="Z66" i="16"/>
  <c r="AP55" i="16"/>
  <c r="AL55" i="16"/>
  <c r="AH55" i="16"/>
  <c r="AD55" i="16"/>
  <c r="Z55" i="16"/>
  <c r="AA35" i="16"/>
  <c r="AE35" i="16"/>
  <c r="AI35" i="16"/>
  <c r="AM35" i="16"/>
  <c r="AQ35" i="16"/>
  <c r="AB37" i="16"/>
  <c r="AF37" i="16"/>
  <c r="AJ37" i="16"/>
  <c r="AN37" i="16"/>
  <c r="Y38" i="16"/>
  <c r="AC38" i="16"/>
  <c r="AG38" i="16"/>
  <c r="AK38" i="16"/>
  <c r="AO38" i="16"/>
  <c r="Z39" i="16"/>
  <c r="AD39" i="16"/>
  <c r="AH39" i="16"/>
  <c r="AL39" i="16"/>
  <c r="AP39" i="16"/>
  <c r="X37" i="16"/>
  <c r="AA34" i="16"/>
  <c r="AE34" i="16"/>
  <c r="AI34" i="16"/>
  <c r="AM34" i="16"/>
  <c r="AQ34" i="16"/>
  <c r="AB70" i="16"/>
  <c r="X70" i="16"/>
  <c r="AN69" i="16"/>
  <c r="AJ67" i="16"/>
  <c r="AF64" i="16"/>
  <c r="AB63" i="16"/>
  <c r="X63" i="16"/>
  <c r="AN59" i="16"/>
  <c r="AJ58" i="16"/>
  <c r="AF56" i="16"/>
  <c r="AA53" i="16"/>
  <c r="AQ53" i="16"/>
  <c r="AM52" i="16"/>
  <c r="AG66" i="16"/>
  <c r="AK55" i="16"/>
  <c r="AB35" i="16"/>
  <c r="Y37" i="16"/>
  <c r="AO37" i="16"/>
  <c r="AL38" i="16"/>
  <c r="AI39" i="16"/>
  <c r="AB34" i="16"/>
  <c r="AO34" i="16"/>
  <c r="AA33" i="16"/>
  <c r="AE33" i="16"/>
  <c r="AI33" i="16"/>
  <c r="AM33" i="16"/>
  <c r="AQ33" i="16"/>
  <c r="AF70" i="16"/>
  <c r="AB69" i="16"/>
  <c r="X69" i="16"/>
  <c r="AN67" i="16"/>
  <c r="AJ64" i="16"/>
  <c r="AF63" i="16"/>
  <c r="AB59" i="16"/>
  <c r="X59" i="16"/>
  <c r="AN58" i="16"/>
  <c r="AJ56" i="16"/>
  <c r="AE53" i="16"/>
  <c r="AA52" i="16"/>
  <c r="AQ52" i="16"/>
  <c r="AC66" i="16"/>
  <c r="AG55" i="16"/>
  <c r="AF35" i="16"/>
  <c r="AC37" i="16"/>
  <c r="Z38" i="16"/>
  <c r="AP38" i="16"/>
  <c r="AM39" i="16"/>
  <c r="AF34" i="16"/>
  <c r="X34" i="16"/>
  <c r="AB33" i="16"/>
  <c r="AF33" i="16"/>
  <c r="AJ33" i="16"/>
  <c r="AN33" i="16"/>
  <c r="X33" i="16"/>
  <c r="X64" i="16"/>
  <c r="AB56" i="16"/>
  <c r="AI52" i="16"/>
  <c r="AO55" i="16"/>
  <c r="AN35" i="16"/>
  <c r="AE39" i="16"/>
  <c r="AN34" i="16"/>
  <c r="AD33" i="16"/>
  <c r="AP33" i="16"/>
  <c r="AJ70" i="16"/>
  <c r="AF69" i="16"/>
  <c r="AB67" i="16"/>
  <c r="X67" i="16"/>
  <c r="AN64" i="16"/>
  <c r="AJ63" i="16"/>
  <c r="AF59" i="16"/>
  <c r="AB58" i="16"/>
  <c r="X58" i="16"/>
  <c r="AN56" i="16"/>
  <c r="AI53" i="16"/>
  <c r="AE52" i="16"/>
  <c r="AO66" i="16"/>
  <c r="Y66" i="16"/>
  <c r="AC55" i="16"/>
  <c r="AJ35" i="16"/>
  <c r="AG37" i="16"/>
  <c r="AD38" i="16"/>
  <c r="AA39" i="16"/>
  <c r="AQ39" i="16"/>
  <c r="AJ34" i="16"/>
  <c r="Y33" i="16"/>
  <c r="AC33" i="16"/>
  <c r="AG33" i="16"/>
  <c r="AK33" i="16"/>
  <c r="AO33" i="16"/>
  <c r="AN70" i="16"/>
  <c r="AJ69" i="16"/>
  <c r="AF67" i="16"/>
  <c r="AB64" i="16"/>
  <c r="AN63" i="16"/>
  <c r="AJ59" i="16"/>
  <c r="AF58" i="16"/>
  <c r="X56" i="16"/>
  <c r="AM53" i="16"/>
  <c r="AK66" i="16"/>
  <c r="Y55" i="16"/>
  <c r="AK37" i="16"/>
  <c r="AH38" i="16"/>
  <c r="X35" i="16"/>
  <c r="Z33" i="16"/>
  <c r="AH33" i="16"/>
  <c r="AL33" i="16"/>
  <c r="S147" i="2"/>
  <c r="S145" i="2"/>
  <c r="AZ33" i="8"/>
  <c r="BD33" i="8"/>
  <c r="BH33" i="8"/>
  <c r="AW33" i="8"/>
  <c r="BA30" i="8"/>
  <c r="BE30" i="8"/>
  <c r="BI30" i="8"/>
  <c r="AX32" i="8"/>
  <c r="BB32" i="8"/>
  <c r="BF32" i="8"/>
  <c r="BJ32" i="8"/>
  <c r="AY29" i="8"/>
  <c r="BC29" i="8"/>
  <c r="BG29" i="8"/>
  <c r="BK29" i="8"/>
  <c r="AW29" i="8"/>
  <c r="BC33" i="8"/>
  <c r="AZ30" i="8"/>
  <c r="AW30" i="8"/>
  <c r="BI32" i="8"/>
  <c r="BF29" i="8"/>
  <c r="BA33" i="8"/>
  <c r="BE33" i="8"/>
  <c r="BI33" i="8"/>
  <c r="AX30" i="8"/>
  <c r="BB30" i="8"/>
  <c r="BF30" i="8"/>
  <c r="BJ30" i="8"/>
  <c r="AY32" i="8"/>
  <c r="BC32" i="8"/>
  <c r="BG32" i="8"/>
  <c r="BK32" i="8"/>
  <c r="AZ29" i="8"/>
  <c r="BD29" i="8"/>
  <c r="BH29" i="8"/>
  <c r="AY33" i="8"/>
  <c r="BK33" i="8"/>
  <c r="BH30" i="8"/>
  <c r="BE32" i="8"/>
  <c r="BB29" i="8"/>
  <c r="AX33" i="8"/>
  <c r="BB33" i="8"/>
  <c r="BF33" i="8"/>
  <c r="BJ33" i="8"/>
  <c r="AY30" i="8"/>
  <c r="BC30" i="8"/>
  <c r="BG30" i="8"/>
  <c r="BK30" i="8"/>
  <c r="AZ32" i="8"/>
  <c r="BD32" i="8"/>
  <c r="BH32" i="8"/>
  <c r="AW32" i="8"/>
  <c r="BA29" i="8"/>
  <c r="BE29" i="8"/>
  <c r="BI29" i="8"/>
  <c r="BG33" i="8"/>
  <c r="BD30" i="8"/>
  <c r="BA32" i="8"/>
  <c r="AX29" i="8"/>
  <c r="BJ29" i="8"/>
  <c r="BM12" i="1"/>
  <c r="BQ12" i="1"/>
  <c r="BU12" i="1"/>
  <c r="BY12" i="1"/>
  <c r="BI12" i="1"/>
  <c r="BM10" i="1"/>
  <c r="BQ10" i="1"/>
  <c r="BU10" i="1"/>
  <c r="BY10" i="1"/>
  <c r="BI10" i="1"/>
  <c r="BY11" i="1"/>
  <c r="BU11" i="1"/>
  <c r="BQ11" i="1"/>
  <c r="BM11" i="1"/>
  <c r="BI11" i="1"/>
  <c r="BY9" i="1"/>
  <c r="BU9" i="1"/>
  <c r="BQ9" i="1"/>
  <c r="BM9" i="1"/>
  <c r="BI9" i="1"/>
  <c r="BP17" i="2"/>
  <c r="BT17" i="2"/>
  <c r="BX17" i="2"/>
  <c r="CB17" i="2"/>
  <c r="BL17" i="2"/>
  <c r="CB16" i="2"/>
  <c r="BX16" i="2"/>
  <c r="BT16" i="2"/>
  <c r="BP16" i="2"/>
  <c r="BL16" i="2"/>
  <c r="BP10" i="2"/>
  <c r="BT10" i="2"/>
  <c r="BX10" i="2"/>
  <c r="CB10" i="2"/>
  <c r="BL10" i="2"/>
  <c r="CB9" i="2"/>
  <c r="BX9" i="2"/>
  <c r="BT9" i="2"/>
  <c r="BP9" i="2"/>
  <c r="BL9" i="2"/>
  <c r="BP12" i="1"/>
  <c r="CB12" i="1"/>
  <c r="BX10" i="1"/>
  <c r="BV11" i="1"/>
  <c r="BJ11" i="1"/>
  <c r="BR9" i="1"/>
  <c r="BO17" i="2"/>
  <c r="CA17" i="2"/>
  <c r="BY16" i="2"/>
  <c r="BM16" i="2"/>
  <c r="BW10" i="2"/>
  <c r="CC9" i="2"/>
  <c r="BU9" i="2"/>
  <c r="BJ12" i="1"/>
  <c r="BN12" i="1"/>
  <c r="BR12" i="1"/>
  <c r="BV12" i="1"/>
  <c r="BZ12" i="1"/>
  <c r="BJ10" i="1"/>
  <c r="BN10" i="1"/>
  <c r="BR10" i="1"/>
  <c r="BV10" i="1"/>
  <c r="BZ10" i="1"/>
  <c r="CB11" i="1"/>
  <c r="BX11" i="1"/>
  <c r="BT11" i="1"/>
  <c r="BP11" i="1"/>
  <c r="BL11" i="1"/>
  <c r="CB9" i="1"/>
  <c r="BX9" i="1"/>
  <c r="BT9" i="1"/>
  <c r="BP9" i="1"/>
  <c r="BL9" i="1"/>
  <c r="BM17" i="2"/>
  <c r="BQ17" i="2"/>
  <c r="BU17" i="2"/>
  <c r="BY17" i="2"/>
  <c r="CC17" i="2"/>
  <c r="CE16" i="2"/>
  <c r="CA16" i="2"/>
  <c r="BW16" i="2"/>
  <c r="BS16" i="2"/>
  <c r="BO16" i="2"/>
  <c r="BM10" i="2"/>
  <c r="BQ10" i="2"/>
  <c r="BU10" i="2"/>
  <c r="BY10" i="2"/>
  <c r="CC10" i="2"/>
  <c r="CC11" i="2" s="1"/>
  <c r="CE9" i="2"/>
  <c r="CA9" i="2"/>
  <c r="BW9" i="2"/>
  <c r="BS9" i="2"/>
  <c r="BO9" i="2"/>
  <c r="BT12" i="1"/>
  <c r="BL10" i="1"/>
  <c r="BT10" i="1"/>
  <c r="BZ11" i="1"/>
  <c r="BN11" i="1"/>
  <c r="BZ9" i="1"/>
  <c r="BN9" i="1"/>
  <c r="BS17" i="2"/>
  <c r="CE17" i="2"/>
  <c r="BU16" i="2"/>
  <c r="BO10" i="2"/>
  <c r="CA10" i="2"/>
  <c r="BY9" i="2"/>
  <c r="BM9" i="2"/>
  <c r="BK12" i="1"/>
  <c r="BO12" i="1"/>
  <c r="BS12" i="1"/>
  <c r="BW12" i="1"/>
  <c r="CA12" i="1"/>
  <c r="BK10" i="1"/>
  <c r="BO10" i="1"/>
  <c r="BS10" i="1"/>
  <c r="BW10" i="1"/>
  <c r="CA10" i="1"/>
  <c r="CA11" i="1"/>
  <c r="BW11" i="1"/>
  <c r="BS11" i="1"/>
  <c r="BO11" i="1"/>
  <c r="BK11" i="1"/>
  <c r="CA9" i="1"/>
  <c r="BW9" i="1"/>
  <c r="BS9" i="1"/>
  <c r="BO9" i="1"/>
  <c r="BK9" i="1"/>
  <c r="BN17" i="2"/>
  <c r="BR17" i="2"/>
  <c r="BV17" i="2"/>
  <c r="BZ17" i="2"/>
  <c r="CD17" i="2"/>
  <c r="CD16" i="2"/>
  <c r="BZ16" i="2"/>
  <c r="BV16" i="2"/>
  <c r="BR16" i="2"/>
  <c r="BN16" i="2"/>
  <c r="BN10" i="2"/>
  <c r="BR10" i="2"/>
  <c r="BV10" i="2"/>
  <c r="BZ10" i="2"/>
  <c r="CD10" i="2"/>
  <c r="CD9" i="2"/>
  <c r="BZ9" i="2"/>
  <c r="BV9" i="2"/>
  <c r="BR9" i="2"/>
  <c r="BN9" i="2"/>
  <c r="BL12" i="1"/>
  <c r="BX12" i="1"/>
  <c r="BP10" i="1"/>
  <c r="CB10" i="1"/>
  <c r="BR11" i="1"/>
  <c r="BV9" i="1"/>
  <c r="BJ9" i="1"/>
  <c r="BW17" i="2"/>
  <c r="CC16" i="2"/>
  <c r="BQ16" i="2"/>
  <c r="BS10" i="2"/>
  <c r="CE10" i="2"/>
  <c r="BQ9" i="2"/>
  <c r="X11" i="2"/>
  <c r="S23" i="2"/>
  <c r="Z22" i="2"/>
  <c r="Y22" i="2"/>
  <c r="Y23" i="2"/>
  <c r="W59" i="2"/>
  <c r="W74" i="2"/>
  <c r="AB164" i="2"/>
  <c r="X164" i="2"/>
  <c r="T164" i="2"/>
  <c r="AA163" i="2"/>
  <c r="W163" i="2"/>
  <c r="S163" i="2"/>
  <c r="Z162" i="2"/>
  <c r="V162" i="2"/>
  <c r="Y161" i="2"/>
  <c r="U161" i="2"/>
  <c r="AB160" i="2"/>
  <c r="X160" i="2"/>
  <c r="T160" i="2"/>
  <c r="AA157" i="2"/>
  <c r="W157" i="2"/>
  <c r="S157" i="2"/>
  <c r="Z156" i="2"/>
  <c r="V156" i="2"/>
  <c r="Y155" i="2"/>
  <c r="U155" i="2"/>
  <c r="AB154" i="2"/>
  <c r="X154" i="2"/>
  <c r="T154" i="2"/>
  <c r="AA153" i="2"/>
  <c r="W153" i="2"/>
  <c r="S153" i="2"/>
  <c r="V147" i="2"/>
  <c r="X146" i="2"/>
  <c r="T146" i="2"/>
  <c r="Z145" i="2"/>
  <c r="AA162" i="2"/>
  <c r="U160" i="2"/>
  <c r="X157" i="2"/>
  <c r="AA156" i="2"/>
  <c r="U154" i="2"/>
  <c r="X153" i="2"/>
  <c r="AA164" i="2"/>
  <c r="W164" i="2"/>
  <c r="S164" i="2"/>
  <c r="Z163" i="2"/>
  <c r="V163" i="2"/>
  <c r="Y162" i="2"/>
  <c r="U162" i="2"/>
  <c r="AB161" i="2"/>
  <c r="X161" i="2"/>
  <c r="T161" i="2"/>
  <c r="AA160" i="2"/>
  <c r="W160" i="2"/>
  <c r="S160" i="2"/>
  <c r="Z157" i="2"/>
  <c r="V157" i="2"/>
  <c r="Y156" i="2"/>
  <c r="U156" i="2"/>
  <c r="AB155" i="2"/>
  <c r="X155" i="2"/>
  <c r="T155" i="2"/>
  <c r="AA154" i="2"/>
  <c r="W154" i="2"/>
  <c r="S154" i="2"/>
  <c r="Z153" i="2"/>
  <c r="V153" i="2"/>
  <c r="U147" i="2"/>
  <c r="W146" i="2"/>
  <c r="U145" i="2"/>
  <c r="Y164" i="2"/>
  <c r="X163" i="2"/>
  <c r="S162" i="2"/>
  <c r="Z161" i="2"/>
  <c r="T157" i="2"/>
  <c r="W156" i="2"/>
  <c r="V155" i="2"/>
  <c r="Y154" i="2"/>
  <c r="T153" i="2"/>
  <c r="Y146" i="2"/>
  <c r="Z164" i="2"/>
  <c r="V164" i="2"/>
  <c r="Y163" i="2"/>
  <c r="U163" i="2"/>
  <c r="AB162" i="2"/>
  <c r="X162" i="2"/>
  <c r="T162" i="2"/>
  <c r="AA161" i="2"/>
  <c r="W161" i="2"/>
  <c r="S161" i="2"/>
  <c r="Z160" i="2"/>
  <c r="V160" i="2"/>
  <c r="Y157" i="2"/>
  <c r="U157" i="2"/>
  <c r="AB156" i="2"/>
  <c r="X156" i="2"/>
  <c r="T156" i="2"/>
  <c r="AA155" i="2"/>
  <c r="W155" i="2"/>
  <c r="S155" i="2"/>
  <c r="Z154" i="2"/>
  <c r="V154" i="2"/>
  <c r="Y153" i="2"/>
  <c r="U153" i="2"/>
  <c r="AB147" i="2"/>
  <c r="X147" i="2"/>
  <c r="T147" i="2"/>
  <c r="V146" i="2"/>
  <c r="X145" i="2"/>
  <c r="U164" i="2"/>
  <c r="AB163" i="2"/>
  <c r="T163" i="2"/>
  <c r="W162" i="2"/>
  <c r="V161" i="2"/>
  <c r="Y160" i="2"/>
  <c r="AB157" i="2"/>
  <c r="S156" i="2"/>
  <c r="Z155" i="2"/>
  <c r="AB153" i="2"/>
  <c r="W145" i="2"/>
  <c r="Y11" i="2"/>
  <c r="S11" i="2"/>
  <c r="AL112" i="2"/>
  <c r="AH112" i="2"/>
  <c r="AD112" i="2"/>
  <c r="Z112" i="2"/>
  <c r="V112" i="2"/>
  <c r="AL111" i="2"/>
  <c r="AH111" i="2"/>
  <c r="AD111" i="2"/>
  <c r="Z111" i="2"/>
  <c r="V111" i="2"/>
  <c r="AL110" i="2"/>
  <c r="AH110" i="2"/>
  <c r="AD110" i="2"/>
  <c r="Z110" i="2"/>
  <c r="V110" i="2"/>
  <c r="AL109" i="2"/>
  <c r="AH109" i="2"/>
  <c r="AD109" i="2"/>
  <c r="Z109" i="2"/>
  <c r="V109" i="2"/>
  <c r="AL107" i="2"/>
  <c r="AH107" i="2"/>
  <c r="AD107" i="2"/>
  <c r="Z107" i="2"/>
  <c r="V107" i="2"/>
  <c r="AL106" i="2"/>
  <c r="AH106" i="2"/>
  <c r="AD106" i="2"/>
  <c r="Z106" i="2"/>
  <c r="V106" i="2"/>
  <c r="AL105" i="2"/>
  <c r="AH105" i="2"/>
  <c r="AD105" i="2"/>
  <c r="Z105" i="2"/>
  <c r="V105" i="2"/>
  <c r="AL104" i="2"/>
  <c r="AH104" i="2"/>
  <c r="AD104" i="2"/>
  <c r="Z104" i="2"/>
  <c r="V104" i="2"/>
  <c r="AL102" i="2"/>
  <c r="AH102" i="2"/>
  <c r="AD102" i="2"/>
  <c r="Z102" i="2"/>
  <c r="V102" i="2"/>
  <c r="AL101" i="2"/>
  <c r="AH101" i="2"/>
  <c r="AD101" i="2"/>
  <c r="Z101" i="2"/>
  <c r="V101" i="2"/>
  <c r="AL100" i="2"/>
  <c r="AH100" i="2"/>
  <c r="AD100" i="2"/>
  <c r="Z100" i="2"/>
  <c r="V100" i="2"/>
  <c r="AL99" i="2"/>
  <c r="AH99" i="2"/>
  <c r="AD99" i="2"/>
  <c r="Z99" i="2"/>
  <c r="V99" i="2"/>
  <c r="AL97" i="2"/>
  <c r="AH97" i="2"/>
  <c r="AD97" i="2"/>
  <c r="Z97" i="2"/>
  <c r="V97" i="2"/>
  <c r="AL96" i="2"/>
  <c r="AH96" i="2"/>
  <c r="AD96" i="2"/>
  <c r="Z96" i="2"/>
  <c r="V96" i="2"/>
  <c r="AL95" i="2"/>
  <c r="AH95" i="2"/>
  <c r="AD95" i="2"/>
  <c r="Z95" i="2"/>
  <c r="V95" i="2"/>
  <c r="AL94" i="2"/>
  <c r="AH94" i="2"/>
  <c r="AD94" i="2"/>
  <c r="Z94" i="2"/>
  <c r="V94" i="2"/>
  <c r="AL92" i="2"/>
  <c r="AH92" i="2"/>
  <c r="AD92" i="2"/>
  <c r="Z92" i="2"/>
  <c r="V92" i="2"/>
  <c r="AL91" i="2"/>
  <c r="AH91" i="2"/>
  <c r="Z91" i="2"/>
  <c r="V91" i="2"/>
  <c r="AL90" i="2"/>
  <c r="AH90" i="2"/>
  <c r="AD90" i="2"/>
  <c r="Z90" i="2"/>
  <c r="V90" i="2"/>
  <c r="AL89" i="2"/>
  <c r="AH89" i="2"/>
  <c r="AD89" i="2"/>
  <c r="Z89" i="2"/>
  <c r="V89" i="2"/>
  <c r="AL87" i="2"/>
  <c r="AH87" i="2"/>
  <c r="AD87" i="2"/>
  <c r="Z87" i="2"/>
  <c r="V87" i="2"/>
  <c r="AL86" i="2"/>
  <c r="AH86" i="2"/>
  <c r="AD86" i="2"/>
  <c r="Z86" i="2"/>
  <c r="V86" i="2"/>
  <c r="AL85" i="2"/>
  <c r="AH85" i="2"/>
  <c r="AD85" i="2"/>
  <c r="Z85" i="2"/>
  <c r="V85" i="2"/>
  <c r="AL84" i="2"/>
  <c r="AH84" i="2"/>
  <c r="AD84" i="2"/>
  <c r="Z84" i="2"/>
  <c r="V84" i="2"/>
  <c r="T49" i="2"/>
  <c r="T64" i="2"/>
  <c r="AB49" i="2"/>
  <c r="AB64" i="2" s="1"/>
  <c r="AF49" i="2"/>
  <c r="AF64" i="2" s="1"/>
  <c r="AJ49" i="2"/>
  <c r="AJ64" i="2" s="1"/>
  <c r="U50" i="2"/>
  <c r="U65" i="2" s="1"/>
  <c r="Y50" i="2"/>
  <c r="Y65" i="2" s="1"/>
  <c r="AC50" i="2"/>
  <c r="AC65" i="2" s="1"/>
  <c r="AG50" i="2"/>
  <c r="AG65" i="2" s="1"/>
  <c r="AK50" i="2"/>
  <c r="AK65" i="2" s="1"/>
  <c r="V51" i="2"/>
  <c r="V66" i="2" s="1"/>
  <c r="V116" i="2" s="1"/>
  <c r="Z51" i="2"/>
  <c r="Z66" i="2" s="1"/>
  <c r="Z116" i="2" s="1"/>
  <c r="AD51" i="2"/>
  <c r="AD66" i="2" s="1"/>
  <c r="AD116" i="2" s="1"/>
  <c r="AH51" i="2"/>
  <c r="AH66" i="2"/>
  <c r="AH116" i="2" s="1"/>
  <c r="AL51" i="2"/>
  <c r="AL66" i="2" s="1"/>
  <c r="AL116" i="2" s="1"/>
  <c r="W52" i="2"/>
  <c r="W67" i="2" s="1"/>
  <c r="AA52" i="2"/>
  <c r="AA67" i="2" s="1"/>
  <c r="AE52" i="2"/>
  <c r="AE67" i="2" s="1"/>
  <c r="AI52" i="2"/>
  <c r="AI67" i="2" s="1"/>
  <c r="T54" i="2"/>
  <c r="T69" i="2" s="1"/>
  <c r="X54" i="2"/>
  <c r="X69" i="2" s="1"/>
  <c r="AB54" i="2"/>
  <c r="AB69" i="2" s="1"/>
  <c r="AF54" i="2"/>
  <c r="AF69" i="2" s="1"/>
  <c r="AJ54" i="2"/>
  <c r="AJ69" i="2" s="1"/>
  <c r="U55" i="2"/>
  <c r="U70" i="2" s="1"/>
  <c r="Y55" i="2"/>
  <c r="Y70" i="2" s="1"/>
  <c r="AC55" i="2"/>
  <c r="AC70" i="2" s="1"/>
  <c r="AG55" i="2"/>
  <c r="AG70" i="2" s="1"/>
  <c r="AK55" i="2"/>
  <c r="AK70" i="2" s="1"/>
  <c r="V56" i="2"/>
  <c r="V71" i="2" s="1"/>
  <c r="Z56" i="2"/>
  <c r="Z71" i="2" s="1"/>
  <c r="AD56" i="2"/>
  <c r="AD71" i="2" s="1"/>
  <c r="AH56" i="2"/>
  <c r="AH71" i="2" s="1"/>
  <c r="AL56" i="2"/>
  <c r="AL71" i="2" s="1"/>
  <c r="W57" i="2"/>
  <c r="W72" i="2" s="1"/>
  <c r="AA57" i="2"/>
  <c r="AA72" i="2" s="1"/>
  <c r="AE57" i="2"/>
  <c r="AE72" i="2" s="1"/>
  <c r="AI57" i="2"/>
  <c r="AI72" i="2" s="1"/>
  <c r="AK112" i="2"/>
  <c r="AG112" i="2"/>
  <c r="AC112" i="2"/>
  <c r="Y112" i="2"/>
  <c r="U112" i="2"/>
  <c r="AK111" i="2"/>
  <c r="AG111" i="2"/>
  <c r="AC111" i="2"/>
  <c r="Y111" i="2"/>
  <c r="U111" i="2"/>
  <c r="AK110" i="2"/>
  <c r="AG110" i="2"/>
  <c r="AC110" i="2"/>
  <c r="Y110" i="2"/>
  <c r="U110" i="2"/>
  <c r="AK109" i="2"/>
  <c r="AG109" i="2"/>
  <c r="AC109" i="2"/>
  <c r="Y109" i="2"/>
  <c r="U109" i="2"/>
  <c r="AK107" i="2"/>
  <c r="AG107" i="2"/>
  <c r="AC107" i="2"/>
  <c r="Y107" i="2"/>
  <c r="U107" i="2"/>
  <c r="AK106" i="2"/>
  <c r="AG106" i="2"/>
  <c r="AC106" i="2"/>
  <c r="Y106" i="2"/>
  <c r="U106" i="2"/>
  <c r="AK105" i="2"/>
  <c r="AG105" i="2"/>
  <c r="AC105" i="2"/>
  <c r="Y105" i="2"/>
  <c r="U105" i="2"/>
  <c r="AK104" i="2"/>
  <c r="AG104" i="2"/>
  <c r="AC104" i="2"/>
  <c r="Y104" i="2"/>
  <c r="U104" i="2"/>
  <c r="AK102" i="2"/>
  <c r="AG102" i="2"/>
  <c r="AC102" i="2"/>
  <c r="Y102" i="2"/>
  <c r="U102" i="2"/>
  <c r="AK101" i="2"/>
  <c r="AG101" i="2"/>
  <c r="AC101" i="2"/>
  <c r="Y101" i="2"/>
  <c r="U101" i="2"/>
  <c r="AK100" i="2"/>
  <c r="AG100" i="2"/>
  <c r="AC100" i="2"/>
  <c r="Y100" i="2"/>
  <c r="U100" i="2"/>
  <c r="AK99" i="2"/>
  <c r="AG99" i="2"/>
  <c r="AC99" i="2"/>
  <c r="Y99" i="2"/>
  <c r="U99" i="2"/>
  <c r="AK97" i="2"/>
  <c r="AG97" i="2"/>
  <c r="AC97" i="2"/>
  <c r="Y97" i="2"/>
  <c r="U97" i="2"/>
  <c r="AK96" i="2"/>
  <c r="AG96" i="2"/>
  <c r="AC96" i="2"/>
  <c r="Y96" i="2"/>
  <c r="U96" i="2"/>
  <c r="AK95" i="2"/>
  <c r="AG95" i="2"/>
  <c r="AC95" i="2"/>
  <c r="Y95" i="2"/>
  <c r="U95" i="2"/>
  <c r="AK94" i="2"/>
  <c r="AG94" i="2"/>
  <c r="AC94" i="2"/>
  <c r="Y94" i="2"/>
  <c r="U94" i="2"/>
  <c r="AK92" i="2"/>
  <c r="AG92" i="2"/>
  <c r="AC92" i="2"/>
  <c r="Y92" i="2"/>
  <c r="U92" i="2"/>
  <c r="AK91" i="2"/>
  <c r="AG91" i="2"/>
  <c r="AC91" i="2"/>
  <c r="Y91" i="2"/>
  <c r="U91" i="2"/>
  <c r="AG90" i="2"/>
  <c r="AC90" i="2"/>
  <c r="Y90" i="2"/>
  <c r="U90" i="2"/>
  <c r="AK89" i="2"/>
  <c r="AG89" i="2"/>
  <c r="AC89" i="2"/>
  <c r="Y89" i="2"/>
  <c r="U89" i="2"/>
  <c r="AK87" i="2"/>
  <c r="AG87" i="2"/>
  <c r="AC87" i="2"/>
  <c r="Y87" i="2"/>
  <c r="U87" i="2"/>
  <c r="AK86" i="2"/>
  <c r="AG86" i="2"/>
  <c r="AC86" i="2"/>
  <c r="Y86" i="2"/>
  <c r="U86" i="2"/>
  <c r="AK85" i="2"/>
  <c r="AG85" i="2"/>
  <c r="AC85" i="2"/>
  <c r="Y85" i="2"/>
  <c r="U85" i="2"/>
  <c r="AK84" i="2"/>
  <c r="AG84" i="2"/>
  <c r="AC84" i="2"/>
  <c r="Y84" i="2"/>
  <c r="U84" i="2"/>
  <c r="U49" i="2"/>
  <c r="U64" i="2"/>
  <c r="Y49" i="2"/>
  <c r="Y64" i="2"/>
  <c r="AC49" i="2"/>
  <c r="AC64" i="2"/>
  <c r="AC114" i="2" s="1"/>
  <c r="AG49" i="2"/>
  <c r="AG64" i="2" s="1"/>
  <c r="AG114" i="2" s="1"/>
  <c r="AK49" i="2"/>
  <c r="AK64" i="2" s="1"/>
  <c r="V50" i="2"/>
  <c r="V65" i="2" s="1"/>
  <c r="V115" i="2" s="1"/>
  <c r="AI112" i="2"/>
  <c r="AE112" i="2"/>
  <c r="AA112" i="2"/>
  <c r="W112" i="2"/>
  <c r="S112" i="2"/>
  <c r="AI111" i="2"/>
  <c r="AE111" i="2"/>
  <c r="AA111" i="2"/>
  <c r="W111" i="2"/>
  <c r="S111" i="2"/>
  <c r="AI110" i="2"/>
  <c r="AE110" i="2"/>
  <c r="AA110" i="2"/>
  <c r="W110" i="2"/>
  <c r="S110" i="2"/>
  <c r="AI109" i="2"/>
  <c r="AE109" i="2"/>
  <c r="AA109" i="2"/>
  <c r="W109" i="2"/>
  <c r="S109" i="2"/>
  <c r="AI107" i="2"/>
  <c r="AE107" i="2"/>
  <c r="AA107" i="2"/>
  <c r="W107" i="2"/>
  <c r="S107" i="2"/>
  <c r="AI106" i="2"/>
  <c r="AE106" i="2"/>
  <c r="AA106" i="2"/>
  <c r="W106" i="2"/>
  <c r="S106" i="2"/>
  <c r="AI105" i="2"/>
  <c r="AE105" i="2"/>
  <c r="AA105" i="2"/>
  <c r="W105" i="2"/>
  <c r="S105" i="2"/>
  <c r="AI104" i="2"/>
  <c r="AE104" i="2"/>
  <c r="AA104" i="2"/>
  <c r="W104" i="2"/>
  <c r="S104" i="2"/>
  <c r="AI102" i="2"/>
  <c r="AE102" i="2"/>
  <c r="AA102" i="2"/>
  <c r="W102" i="2"/>
  <c r="S102" i="2"/>
  <c r="AI101" i="2"/>
  <c r="AE101" i="2"/>
  <c r="AA101" i="2"/>
  <c r="W101" i="2"/>
  <c r="S101" i="2"/>
  <c r="AI100" i="2"/>
  <c r="AE100" i="2"/>
  <c r="AA100" i="2"/>
  <c r="W100" i="2"/>
  <c r="S100" i="2"/>
  <c r="AI99" i="2"/>
  <c r="AE99" i="2"/>
  <c r="AA99" i="2"/>
  <c r="W99" i="2"/>
  <c r="S99" i="2"/>
  <c r="AI97" i="2"/>
  <c r="AE97" i="2"/>
  <c r="AA97" i="2"/>
  <c r="W97" i="2"/>
  <c r="S97" i="2"/>
  <c r="AI96" i="2"/>
  <c r="AE96" i="2"/>
  <c r="AA96" i="2"/>
  <c r="W96" i="2"/>
  <c r="S96" i="2"/>
  <c r="AI95" i="2"/>
  <c r="AE95" i="2"/>
  <c r="AA95" i="2"/>
  <c r="W95" i="2"/>
  <c r="S95" i="2"/>
  <c r="AI94" i="2"/>
  <c r="AE94" i="2"/>
  <c r="AA94" i="2"/>
  <c r="W94" i="2"/>
  <c r="S94" i="2"/>
  <c r="AI92" i="2"/>
  <c r="AE92" i="2"/>
  <c r="AA92" i="2"/>
  <c r="W92" i="2"/>
  <c r="S92" i="2"/>
  <c r="AI91" i="2"/>
  <c r="AE91" i="2"/>
  <c r="AA91" i="2"/>
  <c r="W91" i="2"/>
  <c r="S91" i="2"/>
  <c r="AI90" i="2"/>
  <c r="AE90" i="2"/>
  <c r="W90" i="2"/>
  <c r="S90" i="2"/>
  <c r="AI89" i="2"/>
  <c r="AE89" i="2"/>
  <c r="AA89" i="2"/>
  <c r="W89" i="2"/>
  <c r="S89" i="2"/>
  <c r="AI87" i="2"/>
  <c r="AE87" i="2"/>
  <c r="AA87" i="2"/>
  <c r="W87" i="2"/>
  <c r="S87" i="2"/>
  <c r="AI86" i="2"/>
  <c r="AE86" i="2"/>
  <c r="AA86" i="2"/>
  <c r="W86" i="2"/>
  <c r="S86" i="2"/>
  <c r="AI85" i="2"/>
  <c r="AE85" i="2"/>
  <c r="AA85" i="2"/>
  <c r="W85" i="2"/>
  <c r="S85" i="2"/>
  <c r="AI84" i="2"/>
  <c r="AE84" i="2"/>
  <c r="AA84" i="2"/>
  <c r="W84" i="2"/>
  <c r="S84" i="2"/>
  <c r="W49" i="2"/>
  <c r="W64" i="2" s="1"/>
  <c r="AA49" i="2"/>
  <c r="AA64" i="2" s="1"/>
  <c r="AA114" i="2" s="1"/>
  <c r="AE49" i="2"/>
  <c r="AE64" i="2" s="1"/>
  <c r="AI49" i="2"/>
  <c r="AI64" i="2" s="1"/>
  <c r="T50" i="2"/>
  <c r="T65" i="2" s="1"/>
  <c r="X50" i="2"/>
  <c r="X65" i="2" s="1"/>
  <c r="X115" i="2" s="1"/>
  <c r="AB50" i="2"/>
  <c r="AB65" i="2" s="1"/>
  <c r="AB115" i="2" s="1"/>
  <c r="AF50" i="2"/>
  <c r="AF65" i="2" s="1"/>
  <c r="AJ50" i="2"/>
  <c r="AJ65" i="2" s="1"/>
  <c r="AJ115" i="2" s="1"/>
  <c r="U51" i="2"/>
  <c r="U66" i="2" s="1"/>
  <c r="U116" i="2" s="1"/>
  <c r="Y51" i="2"/>
  <c r="Y66" i="2"/>
  <c r="AC51" i="2"/>
  <c r="AC66" i="2"/>
  <c r="AC116" i="2" s="1"/>
  <c r="AG51" i="2"/>
  <c r="AG66" i="2" s="1"/>
  <c r="AG116" i="2" s="1"/>
  <c r="AK51" i="2"/>
  <c r="AK66" i="2"/>
  <c r="AK116" i="2" s="1"/>
  <c r="V52" i="2"/>
  <c r="V67" i="2" s="1"/>
  <c r="Z52" i="2"/>
  <c r="Z67" i="2" s="1"/>
  <c r="AD52" i="2"/>
  <c r="AD67" i="2" s="1"/>
  <c r="AH52" i="2"/>
  <c r="AH67" i="2" s="1"/>
  <c r="AL52" i="2"/>
  <c r="AL67" i="2" s="1"/>
  <c r="W54" i="2"/>
  <c r="W69" i="2" s="1"/>
  <c r="AA54" i="2"/>
  <c r="AA69" i="2" s="1"/>
  <c r="AE54" i="2"/>
  <c r="AE69" i="2" s="1"/>
  <c r="AI54" i="2"/>
  <c r="AI69" i="2" s="1"/>
  <c r="T55" i="2"/>
  <c r="T70" i="2" s="1"/>
  <c r="X55" i="2"/>
  <c r="X70" i="2" s="1"/>
  <c r="AB55" i="2"/>
  <c r="AB70" i="2" s="1"/>
  <c r="AF55" i="2"/>
  <c r="AF70" i="2" s="1"/>
  <c r="AJ55" i="2"/>
  <c r="AJ70" i="2" s="1"/>
  <c r="U56" i="2"/>
  <c r="U71" i="2" s="1"/>
  <c r="Y56" i="2"/>
  <c r="Y71" i="2" s="1"/>
  <c r="AC56" i="2"/>
  <c r="AC71" i="2" s="1"/>
  <c r="AG56" i="2"/>
  <c r="AG71" i="2" s="1"/>
  <c r="AK56" i="2"/>
  <c r="AK71" i="2" s="1"/>
  <c r="V57" i="2"/>
  <c r="V72" i="2" s="1"/>
  <c r="Z57" i="2"/>
  <c r="Z72" i="2" s="1"/>
  <c r="AD57" i="2"/>
  <c r="AD72" i="2" s="1"/>
  <c r="AH57" i="2"/>
  <c r="AH72" i="2" s="1"/>
  <c r="AL57" i="2"/>
  <c r="AL72" i="2" s="1"/>
  <c r="AA59" i="2"/>
  <c r="AA74" i="2" s="1"/>
  <c r="AE59" i="2"/>
  <c r="AE74" i="2" s="1"/>
  <c r="AI59" i="2"/>
  <c r="AI74" i="2" s="1"/>
  <c r="T60" i="2"/>
  <c r="T75" i="2" s="1"/>
  <c r="X60" i="2"/>
  <c r="X75" i="2" s="1"/>
  <c r="AB60" i="2"/>
  <c r="AB75" i="2" s="1"/>
  <c r="AF60" i="2"/>
  <c r="AF75" i="2" s="1"/>
  <c r="AJ60" i="2"/>
  <c r="AJ75" i="2" s="1"/>
  <c r="U61" i="2"/>
  <c r="U76" i="2" s="1"/>
  <c r="Y61" i="2"/>
  <c r="Y76" i="2" s="1"/>
  <c r="AC61" i="2"/>
  <c r="AC76" i="2" s="1"/>
  <c r="AJ112" i="2"/>
  <c r="T112" i="2"/>
  <c r="X111" i="2"/>
  <c r="AB110" i="2"/>
  <c r="AF109" i="2"/>
  <c r="AJ107" i="2"/>
  <c r="T107" i="2"/>
  <c r="X106" i="2"/>
  <c r="AB105" i="2"/>
  <c r="AF104" i="2"/>
  <c r="AJ102" i="2"/>
  <c r="T102" i="2"/>
  <c r="X101" i="2"/>
  <c r="AB100" i="2"/>
  <c r="AF99" i="2"/>
  <c r="AJ97" i="2"/>
  <c r="T97" i="2"/>
  <c r="X96" i="2"/>
  <c r="AB95" i="2"/>
  <c r="AF94" i="2"/>
  <c r="AJ92" i="2"/>
  <c r="T92" i="2"/>
  <c r="X91" i="2"/>
  <c r="AB90" i="2"/>
  <c r="AF89" i="2"/>
  <c r="AJ87" i="2"/>
  <c r="T87" i="2"/>
  <c r="X86" i="2"/>
  <c r="AB85" i="2"/>
  <c r="AF84" i="2"/>
  <c r="V49" i="2"/>
  <c r="V64" i="2" s="1"/>
  <c r="V114" i="2" s="1"/>
  <c r="AL49" i="2"/>
  <c r="AL64" i="2"/>
  <c r="AL114" i="2" s="1"/>
  <c r="AD50" i="2"/>
  <c r="AD65" i="2" s="1"/>
  <c r="AD115" i="2" s="1"/>
  <c r="AL50" i="2"/>
  <c r="AL65" i="2"/>
  <c r="AL115" i="2" s="1"/>
  <c r="AA51" i="2"/>
  <c r="AA66" i="2" s="1"/>
  <c r="AI51" i="2"/>
  <c r="AI66" i="2" s="1"/>
  <c r="AI116" i="2" s="1"/>
  <c r="X52" i="2"/>
  <c r="X67" i="2"/>
  <c r="AF52" i="2"/>
  <c r="AF67" i="2"/>
  <c r="U54" i="2"/>
  <c r="U69" i="2"/>
  <c r="AC54" i="2"/>
  <c r="AC69" i="2"/>
  <c r="AK54" i="2"/>
  <c r="AK69" i="2"/>
  <c r="Z55" i="2"/>
  <c r="Z70" i="2"/>
  <c r="AH55" i="2"/>
  <c r="AH70" i="2"/>
  <c r="W56" i="2"/>
  <c r="W71" i="2"/>
  <c r="AE56" i="2"/>
  <c r="AE71" i="2"/>
  <c r="T57" i="2"/>
  <c r="T72" i="2"/>
  <c r="AB57" i="2"/>
  <c r="AB72" i="2"/>
  <c r="AJ57" i="2"/>
  <c r="AJ72" i="2"/>
  <c r="V59" i="2"/>
  <c r="V74" i="2"/>
  <c r="AB59" i="2"/>
  <c r="AB74" i="2"/>
  <c r="AG59" i="2"/>
  <c r="AG74" i="2"/>
  <c r="AL59" i="2"/>
  <c r="AL74" i="2"/>
  <c r="Y60" i="2"/>
  <c r="Y75" i="2"/>
  <c r="AD60" i="2"/>
  <c r="AD75" i="2"/>
  <c r="AI60" i="2"/>
  <c r="AI75" i="2"/>
  <c r="V61" i="2"/>
  <c r="V76" i="2"/>
  <c r="AA61" i="2"/>
  <c r="AA76" i="2"/>
  <c r="AF61" i="2"/>
  <c r="AF76" i="2"/>
  <c r="AJ61" i="2"/>
  <c r="AJ76" i="2"/>
  <c r="U62" i="2"/>
  <c r="U77" i="2"/>
  <c r="Y62" i="2"/>
  <c r="Y77" i="2"/>
  <c r="AC62" i="2"/>
  <c r="AC77" i="2"/>
  <c r="AG62" i="2"/>
  <c r="AG77" i="2"/>
  <c r="AK62" i="2"/>
  <c r="AK77" i="2"/>
  <c r="S59" i="2"/>
  <c r="S74" i="2"/>
  <c r="S54" i="2"/>
  <c r="S69" i="2"/>
  <c r="S49" i="2"/>
  <c r="S64" i="2"/>
  <c r="W25" i="2"/>
  <c r="AA25" i="2"/>
  <c r="AE25" i="2"/>
  <c r="AI25" i="2"/>
  <c r="S25" i="2"/>
  <c r="AJ29" i="2"/>
  <c r="AF29" i="2"/>
  <c r="AB29" i="2"/>
  <c r="X29" i="2"/>
  <c r="T29" i="2"/>
  <c r="AJ28" i="2"/>
  <c r="AF28" i="2"/>
  <c r="AB28" i="2"/>
  <c r="X28" i="2"/>
  <c r="T28" i="2"/>
  <c r="AJ26" i="2"/>
  <c r="AF26" i="2"/>
  <c r="AB26" i="2"/>
  <c r="X26" i="2"/>
  <c r="T26" i="2"/>
  <c r="AJ23" i="2"/>
  <c r="AF23" i="2"/>
  <c r="AB23" i="2"/>
  <c r="X23" i="2"/>
  <c r="T23" i="2"/>
  <c r="AI22" i="2"/>
  <c r="AE22" i="2"/>
  <c r="AA22" i="2"/>
  <c r="V22" i="2"/>
  <c r="T18" i="2"/>
  <c r="X18" i="2"/>
  <c r="AB18" i="2"/>
  <c r="AF18" i="2"/>
  <c r="AJ18" i="2"/>
  <c r="T17" i="2"/>
  <c r="X17" i="2"/>
  <c r="AB17" i="2"/>
  <c r="AF17" i="2"/>
  <c r="AJ17" i="2"/>
  <c r="T15" i="2"/>
  <c r="X15" i="2"/>
  <c r="AB15" i="2"/>
  <c r="AF15" i="2"/>
  <c r="AJ15" i="2"/>
  <c r="AF112" i="2"/>
  <c r="AJ111" i="2"/>
  <c r="T111" i="2"/>
  <c r="X110" i="2"/>
  <c r="AB109" i="2"/>
  <c r="AF107" i="2"/>
  <c r="AJ106" i="2"/>
  <c r="T106" i="2"/>
  <c r="X105" i="2"/>
  <c r="AB104" i="2"/>
  <c r="AF102" i="2"/>
  <c r="AJ101" i="2"/>
  <c r="T101" i="2"/>
  <c r="X100" i="2"/>
  <c r="AB99" i="2"/>
  <c r="AF97" i="2"/>
  <c r="AJ96" i="2"/>
  <c r="T96" i="2"/>
  <c r="X95" i="2"/>
  <c r="AB94" i="2"/>
  <c r="AF92" i="2"/>
  <c r="AJ91" i="2"/>
  <c r="T91" i="2"/>
  <c r="X90" i="2"/>
  <c r="AB89" i="2"/>
  <c r="AF87" i="2"/>
  <c r="AJ86" i="2"/>
  <c r="T86" i="2"/>
  <c r="X85" i="2"/>
  <c r="AB84" i="2"/>
  <c r="Z49" i="2"/>
  <c r="Z64" i="2"/>
  <c r="Z114" i="2" s="1"/>
  <c r="W50" i="2"/>
  <c r="W65" i="2" s="1"/>
  <c r="W115" i="2" s="1"/>
  <c r="AE50" i="2"/>
  <c r="AE65" i="2"/>
  <c r="AE115" i="2" s="1"/>
  <c r="T51" i="2"/>
  <c r="T66" i="2" s="1"/>
  <c r="AB51" i="2"/>
  <c r="AB66" i="2" s="1"/>
  <c r="AJ51" i="2"/>
  <c r="AJ66" i="2" s="1"/>
  <c r="AJ116" i="2" s="1"/>
  <c r="Y52" i="2"/>
  <c r="Y67" i="2"/>
  <c r="AG52" i="2"/>
  <c r="AG67" i="2"/>
  <c r="V54" i="2"/>
  <c r="V69" i="2"/>
  <c r="AD54" i="2"/>
  <c r="AD69" i="2"/>
  <c r="AL54" i="2"/>
  <c r="AL69" i="2"/>
  <c r="AA55" i="2"/>
  <c r="AA70" i="2"/>
  <c r="AI55" i="2"/>
  <c r="AI70" i="2"/>
  <c r="X56" i="2"/>
  <c r="X71" i="2"/>
  <c r="AF56" i="2"/>
  <c r="AF71" i="2"/>
  <c r="U57" i="2"/>
  <c r="U72" i="2"/>
  <c r="AC57" i="2"/>
  <c r="AC72" i="2"/>
  <c r="AK57" i="2"/>
  <c r="AK72" i="2"/>
  <c r="X59" i="2"/>
  <c r="X74" i="2"/>
  <c r="AC59" i="2"/>
  <c r="AC74" i="2"/>
  <c r="AH59" i="2"/>
  <c r="AH74" i="2"/>
  <c r="U60" i="2"/>
  <c r="U75" i="2"/>
  <c r="Z60" i="2"/>
  <c r="Z75" i="2"/>
  <c r="AE60" i="2"/>
  <c r="AE75" i="2"/>
  <c r="AK60" i="2"/>
  <c r="AK75" i="2"/>
  <c r="W61" i="2"/>
  <c r="W76" i="2"/>
  <c r="AB61" i="2"/>
  <c r="AB76" i="2"/>
  <c r="AG61" i="2"/>
  <c r="AG76" i="2"/>
  <c r="AK61" i="2"/>
  <c r="AK76" i="2"/>
  <c r="V62" i="2"/>
  <c r="V77" i="2"/>
  <c r="Z62" i="2"/>
  <c r="Z77" i="2"/>
  <c r="AD62" i="2"/>
  <c r="AD77" i="2"/>
  <c r="AH62" i="2"/>
  <c r="AH77" i="2"/>
  <c r="AL62" i="2"/>
  <c r="AL77" i="2"/>
  <c r="S62" i="2"/>
  <c r="S77" i="2"/>
  <c r="S57" i="2"/>
  <c r="S72" i="2"/>
  <c r="S52" i="2"/>
  <c r="S67" i="2"/>
  <c r="T25" i="2"/>
  <c r="X25" i="2"/>
  <c r="AB25" i="2"/>
  <c r="AF25" i="2"/>
  <c r="AJ25" i="2"/>
  <c r="AI29" i="2"/>
  <c r="AE29" i="2"/>
  <c r="AA29" i="2"/>
  <c r="W29" i="2"/>
  <c r="S29" i="2"/>
  <c r="AI28" i="2"/>
  <c r="AE28" i="2"/>
  <c r="AA28" i="2"/>
  <c r="W28" i="2"/>
  <c r="S28" i="2"/>
  <c r="AI26" i="2"/>
  <c r="AE26" i="2"/>
  <c r="AA26" i="2"/>
  <c r="W26" i="2"/>
  <c r="S26" i="2"/>
  <c r="AI23" i="2"/>
  <c r="AE23" i="2"/>
  <c r="AA23" i="2"/>
  <c r="W23" i="2"/>
  <c r="AL22" i="2"/>
  <c r="AH22" i="2"/>
  <c r="AD22" i="2"/>
  <c r="U22" i="2"/>
  <c r="U18" i="2"/>
  <c r="Y18" i="2"/>
  <c r="AC18" i="2"/>
  <c r="AG18" i="2"/>
  <c r="AK18" i="2"/>
  <c r="U17" i="2"/>
  <c r="Y17" i="2"/>
  <c r="AC17" i="2"/>
  <c r="AG17" i="2"/>
  <c r="AK17" i="2"/>
  <c r="U15" i="2"/>
  <c r="Y15" i="2"/>
  <c r="AC15" i="2"/>
  <c r="AG15" i="2"/>
  <c r="X112" i="2"/>
  <c r="AB111" i="2"/>
  <c r="AF110" i="2"/>
  <c r="AJ109" i="2"/>
  <c r="T109" i="2"/>
  <c r="X107" i="2"/>
  <c r="AB106" i="2"/>
  <c r="AF105" i="2"/>
  <c r="AJ104" i="2"/>
  <c r="T104" i="2"/>
  <c r="X102" i="2"/>
  <c r="AB101" i="2"/>
  <c r="AF100" i="2"/>
  <c r="AJ99" i="2"/>
  <c r="T99" i="2"/>
  <c r="X97" i="2"/>
  <c r="AB96" i="2"/>
  <c r="AF95" i="2"/>
  <c r="AJ94" i="2"/>
  <c r="T94" i="2"/>
  <c r="X92" i="2"/>
  <c r="AB91" i="2"/>
  <c r="AF90" i="2"/>
  <c r="AJ89" i="2"/>
  <c r="T89" i="2"/>
  <c r="X87" i="2"/>
  <c r="AB86" i="2"/>
  <c r="AF85" i="2"/>
  <c r="AJ84" i="2"/>
  <c r="T84" i="2"/>
  <c r="AH49" i="2"/>
  <c r="AH64" i="2"/>
  <c r="AH114" i="2" s="1"/>
  <c r="AA50" i="2"/>
  <c r="AA65" i="2" s="1"/>
  <c r="AI50" i="2"/>
  <c r="AI65" i="2" s="1"/>
  <c r="AI115" i="2" s="1"/>
  <c r="X51" i="2"/>
  <c r="X66" i="2"/>
  <c r="AF51" i="2"/>
  <c r="AF66" i="2"/>
  <c r="U52" i="2"/>
  <c r="U67" i="2"/>
  <c r="AC52" i="2"/>
  <c r="AC67" i="2"/>
  <c r="AK52" i="2"/>
  <c r="AK67" i="2"/>
  <c r="Z54" i="2"/>
  <c r="Z69" i="2"/>
  <c r="AH54" i="2"/>
  <c r="AH69" i="2"/>
  <c r="W55" i="2"/>
  <c r="W70" i="2"/>
  <c r="AE55" i="2"/>
  <c r="AE70" i="2"/>
  <c r="T56" i="2"/>
  <c r="T71" i="2"/>
  <c r="AB56" i="2"/>
  <c r="AB71" i="2"/>
  <c r="AJ56" i="2"/>
  <c r="AJ71" i="2"/>
  <c r="Y57" i="2"/>
  <c r="Y72" i="2"/>
  <c r="AG57" i="2"/>
  <c r="AG72" i="2"/>
  <c r="U59" i="2"/>
  <c r="U74" i="2"/>
  <c r="Z59" i="2"/>
  <c r="Z74" i="2"/>
  <c r="AF59" i="2"/>
  <c r="AF74" i="2"/>
  <c r="AK59" i="2"/>
  <c r="AK74" i="2"/>
  <c r="W60" i="2"/>
  <c r="W75" i="2"/>
  <c r="AC60" i="2"/>
  <c r="AC75" i="2"/>
  <c r="AH60" i="2"/>
  <c r="AH75" i="2"/>
  <c r="T61" i="2"/>
  <c r="T76" i="2"/>
  <c r="Z61" i="2"/>
  <c r="Z76" i="2"/>
  <c r="AE61" i="2"/>
  <c r="AE76" i="2"/>
  <c r="AI61" i="2"/>
  <c r="AI76" i="2"/>
  <c r="T62" i="2"/>
  <c r="T77" i="2"/>
  <c r="X62" i="2"/>
  <c r="X77" i="2"/>
  <c r="AB62" i="2"/>
  <c r="AB77" i="2"/>
  <c r="AF62" i="2"/>
  <c r="AF77" i="2"/>
  <c r="AJ62" i="2"/>
  <c r="AJ77" i="2"/>
  <c r="S60" i="2"/>
  <c r="S75" i="2"/>
  <c r="S55" i="2"/>
  <c r="S70" i="2"/>
  <c r="S50" i="2"/>
  <c r="S65" i="2"/>
  <c r="S115" i="2" s="1"/>
  <c r="V25" i="2"/>
  <c r="Z25" i="2"/>
  <c r="AD25" i="2"/>
  <c r="AH25" i="2"/>
  <c r="AL25" i="2"/>
  <c r="AK29" i="2"/>
  <c r="AG29" i="2"/>
  <c r="AC29" i="2"/>
  <c r="Y29" i="2"/>
  <c r="U29" i="2"/>
  <c r="AK28" i="2"/>
  <c r="AG28" i="2"/>
  <c r="AC28" i="2"/>
  <c r="Y28" i="2"/>
  <c r="U28" i="2"/>
  <c r="AK26" i="2"/>
  <c r="AG26" i="2"/>
  <c r="AC26" i="2"/>
  <c r="Y26" i="2"/>
  <c r="U26" i="2"/>
  <c r="AK23" i="2"/>
  <c r="AG23" i="2"/>
  <c r="AC23" i="2"/>
  <c r="U23" i="2"/>
  <c r="AJ22" i="2"/>
  <c r="AF22" i="2"/>
  <c r="AB22" i="2"/>
  <c r="W22" i="2"/>
  <c r="S22" i="2"/>
  <c r="W18" i="2"/>
  <c r="AA18" i="2"/>
  <c r="AE18" i="2"/>
  <c r="AI18" i="2"/>
  <c r="S18" i="2"/>
  <c r="W17" i="2"/>
  <c r="AA17" i="2"/>
  <c r="AE17" i="2"/>
  <c r="AI17" i="2"/>
  <c r="S17" i="2"/>
  <c r="W15" i="2"/>
  <c r="AA15" i="2"/>
  <c r="AE15" i="2"/>
  <c r="AI15" i="2"/>
  <c r="AB112" i="2"/>
  <c r="X109" i="2"/>
  <c r="T105" i="2"/>
  <c r="AJ100" i="2"/>
  <c r="AF96" i="2"/>
  <c r="AB92" i="2"/>
  <c r="X89" i="2"/>
  <c r="T85" i="2"/>
  <c r="AH50" i="2"/>
  <c r="AH65" i="2"/>
  <c r="AH115" i="2" s="1"/>
  <c r="AB52" i="2"/>
  <c r="AB67" i="2" s="1"/>
  <c r="V55" i="2"/>
  <c r="V70" i="2" s="1"/>
  <c r="AI56" i="2"/>
  <c r="AI71" i="2" s="1"/>
  <c r="Y59" i="2"/>
  <c r="Y74" i="2" s="1"/>
  <c r="AA60" i="2"/>
  <c r="AA75" i="2" s="1"/>
  <c r="AD61" i="2"/>
  <c r="AD76" i="2" s="1"/>
  <c r="AA62" i="2"/>
  <c r="AA77" i="2" s="1"/>
  <c r="S56" i="2"/>
  <c r="S71" i="2" s="1"/>
  <c r="AC25" i="2"/>
  <c r="AH29" i="2"/>
  <c r="AL28" i="2"/>
  <c r="V28" i="2"/>
  <c r="Z26" i="2"/>
  <c r="AD23" i="2"/>
  <c r="AG22" i="2"/>
  <c r="V18" i="2"/>
  <c r="AL18" i="2"/>
  <c r="AH17" i="2"/>
  <c r="AD15" i="2"/>
  <c r="S15" i="2"/>
  <c r="W14" i="2"/>
  <c r="AA14" i="2"/>
  <c r="AE14" i="2"/>
  <c r="AI14" i="2"/>
  <c r="S14" i="2"/>
  <c r="V12" i="2"/>
  <c r="Z12" i="2"/>
  <c r="AD12" i="2"/>
  <c r="AH12" i="2"/>
  <c r="AL12" i="2"/>
  <c r="W11" i="2"/>
  <c r="AF11" i="2"/>
  <c r="AH15" i="2"/>
  <c r="AF14" i="2"/>
  <c r="W12" i="2"/>
  <c r="T11" i="2"/>
  <c r="AG11" i="2"/>
  <c r="AJ110" i="2"/>
  <c r="AJ90" i="2"/>
  <c r="AE51" i="2"/>
  <c r="AE66" i="2"/>
  <c r="AE116" i="2" s="1"/>
  <c r="AF57" i="2"/>
  <c r="AF72" i="2" s="1"/>
  <c r="AL61" i="2"/>
  <c r="AL76" i="2" s="1"/>
  <c r="U25" i="2"/>
  <c r="AK25" i="2"/>
  <c r="AH26" i="2"/>
  <c r="AL23" i="2"/>
  <c r="X22" i="2"/>
  <c r="V15" i="2"/>
  <c r="U14" i="2"/>
  <c r="Y14" i="2"/>
  <c r="AG14" i="2"/>
  <c r="T12" i="2"/>
  <c r="AB12" i="2"/>
  <c r="AJ12" i="2"/>
  <c r="Z11" i="2"/>
  <c r="AH11" i="2"/>
  <c r="AF111" i="2"/>
  <c r="AB107" i="2"/>
  <c r="X104" i="2"/>
  <c r="T100" i="2"/>
  <c r="AJ95" i="2"/>
  <c r="AF91" i="2"/>
  <c r="AB87" i="2"/>
  <c r="X84" i="2"/>
  <c r="W51" i="2"/>
  <c r="W66" i="2" s="1"/>
  <c r="W116" i="2" s="1"/>
  <c r="AJ52" i="2"/>
  <c r="AJ67" i="2" s="1"/>
  <c r="AD55" i="2"/>
  <c r="AD70" i="2" s="1"/>
  <c r="X57" i="2"/>
  <c r="X72" i="2" s="1"/>
  <c r="AD59" i="2"/>
  <c r="AD74" i="2" s="1"/>
  <c r="AG60" i="2"/>
  <c r="AG75" i="2" s="1"/>
  <c r="AH61" i="2"/>
  <c r="AH76" i="2" s="1"/>
  <c r="AE62" i="2"/>
  <c r="AE77" i="2" s="1"/>
  <c r="S51" i="2"/>
  <c r="S66" i="2" s="1"/>
  <c r="S116" i="2" s="1"/>
  <c r="AG25" i="2"/>
  <c r="AD29" i="2"/>
  <c r="AH28" i="2"/>
  <c r="AL26" i="2"/>
  <c r="V26" i="2"/>
  <c r="Z23" i="2"/>
  <c r="AC22" i="2"/>
  <c r="Z18" i="2"/>
  <c r="V17" i="2"/>
  <c r="T14" i="2"/>
  <c r="AB14" i="2"/>
  <c r="S12" i="2"/>
  <c r="S31" i="2" s="1"/>
  <c r="AE12" i="2"/>
  <c r="AC11" i="2"/>
  <c r="AF106" i="2"/>
  <c r="T95" i="2"/>
  <c r="AD49" i="2"/>
  <c r="AD64" i="2" s="1"/>
  <c r="AD114" i="2" s="1"/>
  <c r="AL55" i="2"/>
  <c r="AL70" i="2"/>
  <c r="AL60" i="2"/>
  <c r="AL75" i="2"/>
  <c r="T110" i="2"/>
  <c r="AJ105" i="2"/>
  <c r="AF101" i="2"/>
  <c r="AB97" i="2"/>
  <c r="X94" i="2"/>
  <c r="T90" i="2"/>
  <c r="AJ85" i="2"/>
  <c r="Z50" i="2"/>
  <c r="Z65" i="2" s="1"/>
  <c r="Z115" i="2" s="1"/>
  <c r="T52" i="2"/>
  <c r="T67" i="2"/>
  <c r="AG54" i="2"/>
  <c r="AG69" i="2"/>
  <c r="AA56" i="2"/>
  <c r="AA71" i="2"/>
  <c r="T59" i="2"/>
  <c r="T74" i="2"/>
  <c r="V60" i="2"/>
  <c r="V75" i="2"/>
  <c r="X61" i="2"/>
  <c r="X76" i="2"/>
  <c r="W62" i="2"/>
  <c r="W77" i="2"/>
  <c r="S61" i="2"/>
  <c r="S76" i="2"/>
  <c r="Y25" i="2"/>
  <c r="AL29" i="2"/>
  <c r="V29" i="2"/>
  <c r="Z28" i="2"/>
  <c r="AD26" i="2"/>
  <c r="AH23" i="2"/>
  <c r="AK22" i="2"/>
  <c r="T22" i="2"/>
  <c r="AH18" i="2"/>
  <c r="AD17" i="2"/>
  <c r="Z15" i="2"/>
  <c r="AL15" i="2"/>
  <c r="V14" i="2"/>
  <c r="Z14" i="2"/>
  <c r="AD14" i="2"/>
  <c r="AH14" i="2"/>
  <c r="AL14" i="2"/>
  <c r="U12" i="2"/>
  <c r="Y12" i="2"/>
  <c r="AC12" i="2"/>
  <c r="AG12" i="2"/>
  <c r="AK12" i="2"/>
  <c r="V11" i="2"/>
  <c r="AA11" i="2"/>
  <c r="AE11" i="2"/>
  <c r="AI11" i="2"/>
  <c r="AB11" i="2"/>
  <c r="AJ11" i="2"/>
  <c r="AL17" i="2"/>
  <c r="X14" i="2"/>
  <c r="AJ14" i="2"/>
  <c r="AA12" i="2"/>
  <c r="AI12" i="2"/>
  <c r="AI31" i="2"/>
  <c r="AK11" i="2"/>
  <c r="AB102" i="2"/>
  <c r="X99" i="2"/>
  <c r="AF86" i="2"/>
  <c r="Y54" i="2"/>
  <c r="Y69" i="2"/>
  <c r="AJ59" i="2"/>
  <c r="AJ74" i="2"/>
  <c r="AI62" i="2"/>
  <c r="AI77" i="2"/>
  <c r="Z29" i="2"/>
  <c r="AD28" i="2"/>
  <c r="V23" i="2"/>
  <c r="AD18" i="2"/>
  <c r="Z17" i="2"/>
  <c r="AK15" i="2"/>
  <c r="AC14" i="2"/>
  <c r="AK14" i="2"/>
  <c r="X12" i="2"/>
  <c r="AF12" i="2"/>
  <c r="U11" i="2"/>
  <c r="AD11" i="2"/>
  <c r="AL11" i="2"/>
  <c r="W10" i="1"/>
  <c r="Q14" i="8"/>
  <c r="X34" i="8"/>
  <c r="X12" i="8"/>
  <c r="Y36" i="8"/>
  <c r="Y99" i="8"/>
  <c r="W93" i="8"/>
  <c r="R18" i="8"/>
  <c r="Y46" i="8"/>
  <c r="S93" i="8"/>
  <c r="X15" i="8"/>
  <c r="U99" i="8"/>
  <c r="S89" i="8"/>
  <c r="W89" i="8"/>
  <c r="Q95" i="8"/>
  <c r="Y95" i="8"/>
  <c r="S78" i="8"/>
  <c r="U90" i="8"/>
  <c r="W96" i="8"/>
  <c r="Q79" i="8"/>
  <c r="Y79" i="8"/>
  <c r="S91" i="8"/>
  <c r="U97" i="8"/>
  <c r="W80" i="8"/>
  <c r="Q92" i="8"/>
  <c r="Y92" i="8"/>
  <c r="S98" i="8"/>
  <c r="U81" i="8"/>
  <c r="U95" i="8"/>
  <c r="W78" i="8"/>
  <c r="Q90" i="8"/>
  <c r="Y90" i="8"/>
  <c r="S96" i="8"/>
  <c r="U79" i="8"/>
  <c r="W91" i="8"/>
  <c r="Q97" i="8"/>
  <c r="Y97" i="8"/>
  <c r="S80" i="8"/>
  <c r="U92" i="8"/>
  <c r="W98" i="8"/>
  <c r="Q81" i="8"/>
  <c r="Q99" i="8"/>
  <c r="Y81" i="8"/>
  <c r="S15" i="8"/>
  <c r="R12" i="8"/>
  <c r="X26" i="8"/>
  <c r="U29" i="8"/>
  <c r="V33" i="8"/>
  <c r="U38" i="8"/>
  <c r="W48" i="8"/>
  <c r="X99" i="8"/>
  <c r="T99" i="8"/>
  <c r="P99" i="8"/>
  <c r="V93" i="8"/>
  <c r="R93" i="8"/>
  <c r="X81" i="8"/>
  <c r="T81" i="8"/>
  <c r="P81" i="8"/>
  <c r="V98" i="8"/>
  <c r="R98" i="8"/>
  <c r="X92" i="8"/>
  <c r="T92" i="8"/>
  <c r="P92" i="8"/>
  <c r="V80" i="8"/>
  <c r="R80" i="8"/>
  <c r="X97" i="8"/>
  <c r="T97" i="8"/>
  <c r="P97" i="8"/>
  <c r="V91" i="8"/>
  <c r="R91" i="8"/>
  <c r="X79" i="8"/>
  <c r="T79" i="8"/>
  <c r="P79" i="8"/>
  <c r="V96" i="8"/>
  <c r="R96" i="8"/>
  <c r="X90" i="8"/>
  <c r="T90" i="8"/>
  <c r="P90" i="8"/>
  <c r="V78" i="8"/>
  <c r="R78" i="8"/>
  <c r="X95" i="8"/>
  <c r="T95" i="8"/>
  <c r="P95" i="8"/>
  <c r="V89" i="8"/>
  <c r="R89" i="8"/>
  <c r="T13" i="8"/>
  <c r="X19" i="8"/>
  <c r="V22" i="8"/>
  <c r="S27" i="8"/>
  <c r="S35" i="8"/>
  <c r="P39" i="8"/>
  <c r="W99" i="8"/>
  <c r="S99" i="8"/>
  <c r="Y93" i="8"/>
  <c r="U93" i="8"/>
  <c r="Q93" i="8"/>
  <c r="W81" i="8"/>
  <c r="S81" i="8"/>
  <c r="Y98" i="8"/>
  <c r="U98" i="8"/>
  <c r="Q98" i="8"/>
  <c r="W92" i="8"/>
  <c r="S92" i="8"/>
  <c r="Y80" i="8"/>
  <c r="U80" i="8"/>
  <c r="Q80" i="8"/>
  <c r="W97" i="8"/>
  <c r="S97" i="8"/>
  <c r="Y91" i="8"/>
  <c r="U91" i="8"/>
  <c r="Q91" i="8"/>
  <c r="W79" i="8"/>
  <c r="S79" i="8"/>
  <c r="Y96" i="8"/>
  <c r="U96" i="8"/>
  <c r="Q96" i="8"/>
  <c r="W90" i="8"/>
  <c r="S90" i="8"/>
  <c r="Y78" i="8"/>
  <c r="U78" i="8"/>
  <c r="Q78" i="8"/>
  <c r="W95" i="8"/>
  <c r="S95" i="8"/>
  <c r="Y89" i="8"/>
  <c r="U89" i="8"/>
  <c r="Q89" i="8"/>
  <c r="V123" i="8"/>
  <c r="R123" i="8"/>
  <c r="Y122" i="8"/>
  <c r="U122" i="8"/>
  <c r="Q122" i="8"/>
  <c r="X121" i="8"/>
  <c r="T121" i="8"/>
  <c r="P121" i="8"/>
  <c r="W120" i="8"/>
  <c r="S120" i="8"/>
  <c r="V119" i="8"/>
  <c r="R119" i="8"/>
  <c r="Y117" i="8"/>
  <c r="U117" i="8"/>
  <c r="Q117" i="8"/>
  <c r="X116" i="8"/>
  <c r="T116" i="8"/>
  <c r="P116" i="8"/>
  <c r="W115" i="8"/>
  <c r="S115" i="8"/>
  <c r="V114" i="8"/>
  <c r="R114" i="8"/>
  <c r="Y113" i="8"/>
  <c r="U113" i="8"/>
  <c r="Q113" i="8"/>
  <c r="X111" i="8"/>
  <c r="T111" i="8"/>
  <c r="P111" i="8"/>
  <c r="W110" i="8"/>
  <c r="S110" i="8"/>
  <c r="V109" i="8"/>
  <c r="R109" i="8"/>
  <c r="Y108" i="8"/>
  <c r="U108" i="8"/>
  <c r="Q108" i="8"/>
  <c r="X107" i="8"/>
  <c r="T107" i="8"/>
  <c r="P107" i="8"/>
  <c r="W105" i="8"/>
  <c r="S105" i="8"/>
  <c r="V104" i="8"/>
  <c r="R104" i="8"/>
  <c r="Y103" i="8"/>
  <c r="U103" i="8"/>
  <c r="Q103" i="8"/>
  <c r="X102" i="8"/>
  <c r="T102" i="8"/>
  <c r="P102" i="8"/>
  <c r="W101" i="8"/>
  <c r="S101" i="8"/>
  <c r="V87" i="8"/>
  <c r="R87" i="8"/>
  <c r="Y86" i="8"/>
  <c r="U86" i="8"/>
  <c r="Q86" i="8"/>
  <c r="X85" i="8"/>
  <c r="T85" i="8"/>
  <c r="Y123" i="8"/>
  <c r="U123" i="8"/>
  <c r="Q123" i="8"/>
  <c r="X122" i="8"/>
  <c r="T122" i="8"/>
  <c r="P122" i="8"/>
  <c r="W121" i="8"/>
  <c r="S121" i="8"/>
  <c r="V120" i="8"/>
  <c r="R120" i="8"/>
  <c r="Y119" i="8"/>
  <c r="U119" i="8"/>
  <c r="Q119" i="8"/>
  <c r="X117" i="8"/>
  <c r="T117" i="8"/>
  <c r="P117" i="8"/>
  <c r="W116" i="8"/>
  <c r="S116" i="8"/>
  <c r="V115" i="8"/>
  <c r="R115" i="8"/>
  <c r="Y114" i="8"/>
  <c r="U114" i="8"/>
  <c r="Q114" i="8"/>
  <c r="X113" i="8"/>
  <c r="T113" i="8"/>
  <c r="P113" i="8"/>
  <c r="W111" i="8"/>
  <c r="S111" i="8"/>
  <c r="V110" i="8"/>
  <c r="R110" i="8"/>
  <c r="Y109" i="8"/>
  <c r="U109" i="8"/>
  <c r="Q109" i="8"/>
  <c r="X108" i="8"/>
  <c r="T108" i="8"/>
  <c r="P108" i="8"/>
  <c r="W107" i="8"/>
  <c r="S107" i="8"/>
  <c r="V105" i="8"/>
  <c r="R105" i="8"/>
  <c r="Y104" i="8"/>
  <c r="U104" i="8"/>
  <c r="Q104" i="8"/>
  <c r="X103" i="8"/>
  <c r="T103" i="8"/>
  <c r="P103" i="8"/>
  <c r="W102" i="8"/>
  <c r="S102" i="8"/>
  <c r="X123" i="8"/>
  <c r="P123" i="8"/>
  <c r="W122" i="8"/>
  <c r="V121" i="8"/>
  <c r="U120" i="8"/>
  <c r="T119" i="8"/>
  <c r="S117" i="8"/>
  <c r="R116" i="8"/>
  <c r="Y115" i="8"/>
  <c r="Q115" i="8"/>
  <c r="X114" i="8"/>
  <c r="P114" i="8"/>
  <c r="W113" i="8"/>
  <c r="V111" i="8"/>
  <c r="U110" i="8"/>
  <c r="T109" i="8"/>
  <c r="S108" i="8"/>
  <c r="R107" i="8"/>
  <c r="Y105" i="8"/>
  <c r="Q105" i="8"/>
  <c r="X104" i="8"/>
  <c r="P104" i="8"/>
  <c r="W103" i="8"/>
  <c r="V102" i="8"/>
  <c r="V101" i="8"/>
  <c r="Q101" i="8"/>
  <c r="U87" i="8"/>
  <c r="P87" i="8"/>
  <c r="T86" i="8"/>
  <c r="Y85" i="8"/>
  <c r="S85" i="8"/>
  <c r="V84" i="8"/>
  <c r="R84" i="8"/>
  <c r="Y83" i="8"/>
  <c r="U83" i="8"/>
  <c r="Q83" i="8"/>
  <c r="U101" i="8"/>
  <c r="Y87" i="8"/>
  <c r="S86" i="8"/>
  <c r="W85" i="8"/>
  <c r="U84" i="8"/>
  <c r="T83" i="8"/>
  <c r="Q110" i="8"/>
  <c r="W108" i="8"/>
  <c r="T104" i="8"/>
  <c r="T101" i="8"/>
  <c r="S87" i="8"/>
  <c r="R86" i="8"/>
  <c r="Q85" i="8"/>
  <c r="T84" i="8"/>
  <c r="W83" i="8"/>
  <c r="R122" i="8"/>
  <c r="Y121" i="8"/>
  <c r="P120" i="8"/>
  <c r="V117" i="8"/>
  <c r="S114" i="8"/>
  <c r="Y111" i="8"/>
  <c r="P110" i="8"/>
  <c r="V108" i="8"/>
  <c r="S104" i="8"/>
  <c r="Y102" i="8"/>
  <c r="R101" i="8"/>
  <c r="Q87" i="8"/>
  <c r="P86" i="8"/>
  <c r="P85" i="8"/>
  <c r="S84" i="8"/>
  <c r="V83" i="8"/>
  <c r="V122" i="8"/>
  <c r="U121" i="8"/>
  <c r="T120" i="8"/>
  <c r="S119" i="8"/>
  <c r="R117" i="8"/>
  <c r="Y116" i="8"/>
  <c r="Q116" i="8"/>
  <c r="X115" i="8"/>
  <c r="P115" i="8"/>
  <c r="W114" i="8"/>
  <c r="V113" i="8"/>
  <c r="U111" i="8"/>
  <c r="T110" i="8"/>
  <c r="S109" i="8"/>
  <c r="R108" i="8"/>
  <c r="Y107" i="8"/>
  <c r="Q107" i="8"/>
  <c r="X105" i="8"/>
  <c r="P105" i="8"/>
  <c r="W104" i="8"/>
  <c r="V103" i="8"/>
  <c r="U102" i="8"/>
  <c r="P101" i="8"/>
  <c r="T87" i="8"/>
  <c r="X86" i="8"/>
  <c r="R85" i="8"/>
  <c r="Y84" i="8"/>
  <c r="Q84" i="8"/>
  <c r="X83" i="8"/>
  <c r="P83" i="8"/>
  <c r="Y110" i="8"/>
  <c r="P109" i="8"/>
  <c r="V107" i="8"/>
  <c r="S103" i="8"/>
  <c r="Y101" i="8"/>
  <c r="X87" i="8"/>
  <c r="W86" i="8"/>
  <c r="V85" i="8"/>
  <c r="X84" i="8"/>
  <c r="S123" i="8"/>
  <c r="Q121" i="8"/>
  <c r="U116" i="8"/>
  <c r="R113" i="8"/>
  <c r="X110" i="8"/>
  <c r="U107" i="8"/>
  <c r="R103" i="8"/>
  <c r="X101" i="8"/>
  <c r="W87" i="8"/>
  <c r="V86" i="8"/>
  <c r="U85" i="8"/>
  <c r="W84" i="8"/>
  <c r="S122" i="8"/>
  <c r="R121" i="8"/>
  <c r="Y120" i="8"/>
  <c r="Q120" i="8"/>
  <c r="X119" i="8"/>
  <c r="P119" i="8"/>
  <c r="W117" i="8"/>
  <c r="V116" i="8"/>
  <c r="U115" i="8"/>
  <c r="T114" i="8"/>
  <c r="S113" i="8"/>
  <c r="R111" i="8"/>
  <c r="X109" i="8"/>
  <c r="U105" i="8"/>
  <c r="R102" i="8"/>
  <c r="P84" i="8"/>
  <c r="S83" i="8"/>
  <c r="X120" i="8"/>
  <c r="W119" i="8"/>
  <c r="T115" i="8"/>
  <c r="Q111" i="8"/>
  <c r="W109" i="8"/>
  <c r="T105" i="8"/>
  <c r="Q102" i="8"/>
  <c r="R83" i="8"/>
  <c r="S77" i="8"/>
  <c r="W77" i="8"/>
  <c r="P77" i="8"/>
  <c r="T77" i="8"/>
  <c r="X77" i="8"/>
  <c r="V77" i="8"/>
  <c r="Q77" i="8"/>
  <c r="U77" i="8"/>
  <c r="Y77" i="8"/>
  <c r="R77" i="8"/>
  <c r="V14" i="8"/>
  <c r="T20" i="8"/>
  <c r="Q25" i="8"/>
  <c r="P32" i="8"/>
  <c r="S45" i="8"/>
  <c r="V99" i="8"/>
  <c r="R99" i="8"/>
  <c r="X93" i="8"/>
  <c r="T93" i="8"/>
  <c r="P93" i="8"/>
  <c r="V81" i="8"/>
  <c r="R81" i="8"/>
  <c r="X98" i="8"/>
  <c r="T98" i="8"/>
  <c r="P98" i="8"/>
  <c r="V92" i="8"/>
  <c r="R92" i="8"/>
  <c r="X80" i="8"/>
  <c r="T80" i="8"/>
  <c r="P80" i="8"/>
  <c r="V97" i="8"/>
  <c r="R97" i="8"/>
  <c r="X91" i="8"/>
  <c r="T91" i="8"/>
  <c r="P91" i="8"/>
  <c r="V79" i="8"/>
  <c r="R79" i="8"/>
  <c r="X96" i="8"/>
  <c r="T96" i="8"/>
  <c r="P96" i="8"/>
  <c r="V90" i="8"/>
  <c r="R90" i="8"/>
  <c r="X78" i="8"/>
  <c r="T78" i="8"/>
  <c r="P78" i="8"/>
  <c r="V95" i="8"/>
  <c r="R95" i="8"/>
  <c r="X89" i="8"/>
  <c r="T89" i="8"/>
  <c r="P89" i="8"/>
  <c r="Y48" i="8"/>
  <c r="U48" i="8"/>
  <c r="Q48" i="8"/>
  <c r="Q52" i="8" s="1"/>
  <c r="X47" i="8"/>
  <c r="T47" i="8"/>
  <c r="P47" i="8"/>
  <c r="W46" i="8"/>
  <c r="S46" i="8"/>
  <c r="V45" i="8"/>
  <c r="R45" i="8"/>
  <c r="Y44" i="8"/>
  <c r="Y52" i="8" s="1"/>
  <c r="U44" i="8"/>
  <c r="Q44" i="8"/>
  <c r="X42" i="8"/>
  <c r="T48" i="8"/>
  <c r="Y47" i="8"/>
  <c r="S47" i="8"/>
  <c r="X46" i="8"/>
  <c r="R46" i="8"/>
  <c r="W45" i="8"/>
  <c r="Q45" i="8"/>
  <c r="V44" i="8"/>
  <c r="P44" i="8"/>
  <c r="U42" i="8"/>
  <c r="Q42" i="8"/>
  <c r="X41" i="8"/>
  <c r="T41" i="8"/>
  <c r="P41" i="8"/>
  <c r="W40" i="8"/>
  <c r="S40" i="8"/>
  <c r="V39" i="8"/>
  <c r="V48" i="8"/>
  <c r="V47" i="8"/>
  <c r="V46" i="8"/>
  <c r="P46" i="8"/>
  <c r="X45" i="8"/>
  <c r="P45" i="8"/>
  <c r="X44" i="8"/>
  <c r="R44" i="8"/>
  <c r="Y42" i="8"/>
  <c r="S42" i="8"/>
  <c r="W41" i="8"/>
  <c r="R41" i="8"/>
  <c r="V40" i="8"/>
  <c r="Q40" i="8"/>
  <c r="U39" i="8"/>
  <c r="Q39" i="8"/>
  <c r="X38" i="8"/>
  <c r="T38" i="8"/>
  <c r="P38" i="8"/>
  <c r="W36" i="8"/>
  <c r="W50" i="8" s="1"/>
  <c r="S36" i="8"/>
  <c r="V35" i="8"/>
  <c r="R35" i="8"/>
  <c r="Y34" i="8"/>
  <c r="U34" i="8"/>
  <c r="Q34" i="8"/>
  <c r="X33" i="8"/>
  <c r="T33" i="8"/>
  <c r="W32" i="8"/>
  <c r="S32" i="8"/>
  <c r="V29" i="8"/>
  <c r="R29" i="8"/>
  <c r="Y28" i="8"/>
  <c r="U28" i="8"/>
  <c r="Q28" i="8"/>
  <c r="X27" i="8"/>
  <c r="T27" i="8"/>
  <c r="P27" i="8"/>
  <c r="W26" i="8"/>
  <c r="S26" i="8"/>
  <c r="V25" i="8"/>
  <c r="R25" i="8"/>
  <c r="Y22" i="8"/>
  <c r="U22" i="8"/>
  <c r="Q22" i="8"/>
  <c r="X21" i="8"/>
  <c r="T21" i="8"/>
  <c r="P21" i="8"/>
  <c r="W20" i="8"/>
  <c r="S20" i="8"/>
  <c r="V19" i="8"/>
  <c r="R19" i="8"/>
  <c r="Y18" i="8"/>
  <c r="U18" i="8"/>
  <c r="Q18" i="8"/>
  <c r="Q11" i="8"/>
  <c r="U11" i="8"/>
  <c r="Y11" i="8"/>
  <c r="S12" i="8"/>
  <c r="W12" i="8"/>
  <c r="Q13" i="8"/>
  <c r="U13" i="8"/>
  <c r="Y13" i="8"/>
  <c r="S14" i="8"/>
  <c r="W14" i="8"/>
  <c r="Q15" i="8"/>
  <c r="U15" i="8"/>
  <c r="Y15" i="8"/>
  <c r="S48" i="8"/>
  <c r="U47" i="8"/>
  <c r="U46" i="8"/>
  <c r="R48" i="8"/>
  <c r="R47" i="8"/>
  <c r="T46" i="8"/>
  <c r="Y45" i="8"/>
  <c r="T44" i="8"/>
  <c r="T52" i="8" s="1"/>
  <c r="R42" i="8"/>
  <c r="S41" i="8"/>
  <c r="T40" i="8"/>
  <c r="T39" i="8"/>
  <c r="Y38" i="8"/>
  <c r="S38" i="8"/>
  <c r="X36" i="8"/>
  <c r="R36" i="8"/>
  <c r="R50" i="8" s="1"/>
  <c r="W35" i="8"/>
  <c r="Q35" i="8"/>
  <c r="V34" i="8"/>
  <c r="P34" i="8"/>
  <c r="U33" i="8"/>
  <c r="Y32" i="8"/>
  <c r="T32" i="8"/>
  <c r="Y29" i="8"/>
  <c r="T29" i="8"/>
  <c r="X28" i="8"/>
  <c r="S28" i="8"/>
  <c r="W27" i="8"/>
  <c r="R27" i="8"/>
  <c r="V26" i="8"/>
  <c r="Q26" i="8"/>
  <c r="U25" i="8"/>
  <c r="P25" i="8"/>
  <c r="T22" i="8"/>
  <c r="Y21" i="8"/>
  <c r="S21" i="8"/>
  <c r="X20" i="8"/>
  <c r="R20" i="8"/>
  <c r="W19" i="8"/>
  <c r="Q19" i="8"/>
  <c r="V18" i="8"/>
  <c r="P18" i="8"/>
  <c r="P11" i="8"/>
  <c r="V11" i="8"/>
  <c r="P48" i="8"/>
  <c r="Q47" i="8"/>
  <c r="Q46" i="8"/>
  <c r="U45" i="8"/>
  <c r="S44" i="8"/>
  <c r="W42" i="8"/>
  <c r="P42" i="8"/>
  <c r="Y41" i="8"/>
  <c r="Q41" i="8"/>
  <c r="Y40" i="8"/>
  <c r="R40" i="8"/>
  <c r="Y39" i="8"/>
  <c r="S39" i="8"/>
  <c r="W38" i="8"/>
  <c r="R38" i="8"/>
  <c r="V36" i="8"/>
  <c r="V50" i="8" s="1"/>
  <c r="Q36" i="8"/>
  <c r="U35" i="8"/>
  <c r="P35" i="8"/>
  <c r="T34" i="8"/>
  <c r="Y33" i="8"/>
  <c r="S33" i="8"/>
  <c r="X32" i="8"/>
  <c r="R32" i="8"/>
  <c r="X29" i="8"/>
  <c r="S29" i="8"/>
  <c r="W28" i="8"/>
  <c r="R28" i="8"/>
  <c r="V27" i="8"/>
  <c r="Q27" i="8"/>
  <c r="U26" i="8"/>
  <c r="P26" i="8"/>
  <c r="Y25" i="8"/>
  <c r="T25" i="8"/>
  <c r="X22" i="8"/>
  <c r="S22" i="8"/>
  <c r="W21" i="8"/>
  <c r="R21" i="8"/>
  <c r="V20" i="8"/>
  <c r="Q20" i="8"/>
  <c r="U19" i="8"/>
  <c r="P19" i="8"/>
  <c r="T18" i="8"/>
  <c r="R11" i="8"/>
  <c r="W11" i="8"/>
  <c r="W15" i="8"/>
  <c r="P14" i="8"/>
  <c r="S13" i="8"/>
  <c r="V12" i="8"/>
  <c r="X11" i="8"/>
  <c r="S18" i="8"/>
  <c r="Y19" i="8"/>
  <c r="Q21" i="8"/>
  <c r="W22" i="8"/>
  <c r="U27" i="8"/>
  <c r="Q32" i="8"/>
  <c r="Q50" i="8" s="1"/>
  <c r="W33" i="8"/>
  <c r="T35" i="8"/>
  <c r="R39" i="8"/>
  <c r="X48" i="8"/>
  <c r="X52" i="8" s="1"/>
  <c r="V15" i="8"/>
  <c r="P15" i="8"/>
  <c r="Y14" i="8"/>
  <c r="T14" i="8"/>
  <c r="W13" i="8"/>
  <c r="R13" i="8"/>
  <c r="U12" i="8"/>
  <c r="P12" i="8"/>
  <c r="T11" i="8"/>
  <c r="W18" i="8"/>
  <c r="S19" i="8"/>
  <c r="Y20" i="8"/>
  <c r="U21" i="8"/>
  <c r="P22" i="8"/>
  <c r="W25" i="8"/>
  <c r="R26" i="8"/>
  <c r="Y27" i="8"/>
  <c r="T28" i="8"/>
  <c r="P29" i="8"/>
  <c r="U32" i="8"/>
  <c r="Q33" i="8"/>
  <c r="S34" i="8"/>
  <c r="X35" i="8"/>
  <c r="T36" i="8"/>
  <c r="T50" i="8" s="1"/>
  <c r="W39" i="8"/>
  <c r="U40" i="8"/>
  <c r="U41" i="8"/>
  <c r="T42" i="8"/>
  <c r="T51" i="8" s="1"/>
  <c r="W44" i="8"/>
  <c r="W47" i="8"/>
  <c r="R15" i="8"/>
  <c r="U14" i="8"/>
  <c r="X13" i="8"/>
  <c r="Q12" i="8"/>
  <c r="U20" i="8"/>
  <c r="S25" i="8"/>
  <c r="Y26" i="8"/>
  <c r="P28" i="8"/>
  <c r="W29" i="8"/>
  <c r="R34" i="8"/>
  <c r="P36" i="8"/>
  <c r="P50" i="8" s="1"/>
  <c r="V38" i="8"/>
  <c r="P40" i="8"/>
  <c r="T45" i="8"/>
  <c r="T15" i="8"/>
  <c r="X14" i="8"/>
  <c r="R14" i="8"/>
  <c r="V13" i="8"/>
  <c r="P13" i="8"/>
  <c r="Y12" i="8"/>
  <c r="T12" i="8"/>
  <c r="S11" i="8"/>
  <c r="X18" i="8"/>
  <c r="T19" i="8"/>
  <c r="P20" i="8"/>
  <c r="V21" i="8"/>
  <c r="R22" i="8"/>
  <c r="X25" i="8"/>
  <c r="T26" i="8"/>
  <c r="V28" i="8"/>
  <c r="Q29" i="8"/>
  <c r="V32" i="8"/>
  <c r="R33" i="8"/>
  <c r="W34" i="8"/>
  <c r="Y35" i="8"/>
  <c r="U36" i="8"/>
  <c r="Q38" i="8"/>
  <c r="X39" i="8"/>
  <c r="X40" i="8"/>
  <c r="V41" i="8"/>
  <c r="V42" i="8"/>
  <c r="AK57" i="1"/>
  <c r="AG57" i="1"/>
  <c r="AC57" i="1"/>
  <c r="Y57" i="1"/>
  <c r="U57" i="1"/>
  <c r="AK56" i="1"/>
  <c r="AG56" i="1"/>
  <c r="AC56" i="1"/>
  <c r="Y56" i="1"/>
  <c r="U56" i="1"/>
  <c r="AK55" i="1"/>
  <c r="AG55" i="1"/>
  <c r="AC55" i="1"/>
  <c r="Y55" i="1"/>
  <c r="U55" i="1"/>
  <c r="AK54" i="1"/>
  <c r="AG54" i="1"/>
  <c r="AC54" i="1"/>
  <c r="Y54" i="1"/>
  <c r="U54" i="1"/>
  <c r="AK52" i="1"/>
  <c r="AG52" i="1"/>
  <c r="AG62" i="1"/>
  <c r="AC52" i="1"/>
  <c r="AC62" i="1"/>
  <c r="Y52" i="1"/>
  <c r="Y62" i="1"/>
  <c r="U52" i="1"/>
  <c r="U62" i="1"/>
  <c r="AK51" i="1"/>
  <c r="AG51" i="1"/>
  <c r="AG61" i="1" s="1"/>
  <c r="AC51" i="1"/>
  <c r="AC61" i="1" s="1"/>
  <c r="Y51" i="1"/>
  <c r="Y61" i="1" s="1"/>
  <c r="U51" i="1"/>
  <c r="U61" i="1" s="1"/>
  <c r="AK50" i="1"/>
  <c r="AG50" i="1"/>
  <c r="AG60" i="1"/>
  <c r="AC50" i="1"/>
  <c r="AC60" i="1"/>
  <c r="Y50" i="1"/>
  <c r="Y60" i="1"/>
  <c r="U50" i="1"/>
  <c r="U60" i="1"/>
  <c r="AK49" i="1"/>
  <c r="AK59" i="1"/>
  <c r="AG49" i="1"/>
  <c r="AG59" i="1"/>
  <c r="AC49" i="1"/>
  <c r="AC59" i="1"/>
  <c r="Y49" i="1"/>
  <c r="Y59" i="1"/>
  <c r="U49" i="1"/>
  <c r="U59" i="1"/>
  <c r="AK42" i="1"/>
  <c r="AG42" i="1"/>
  <c r="AC42" i="1"/>
  <c r="Y42" i="1"/>
  <c r="U42" i="1"/>
  <c r="AK41" i="1"/>
  <c r="AG41" i="1"/>
  <c r="AC41" i="1"/>
  <c r="Y41" i="1"/>
  <c r="U41" i="1"/>
  <c r="AK40" i="1"/>
  <c r="AG40" i="1"/>
  <c r="AC40" i="1"/>
  <c r="Y40" i="1"/>
  <c r="U40" i="1"/>
  <c r="AK39" i="1"/>
  <c r="AG39" i="1"/>
  <c r="AC39" i="1"/>
  <c r="Y39" i="1"/>
  <c r="U39" i="1"/>
  <c r="AK37" i="1"/>
  <c r="AG37" i="1"/>
  <c r="AC37" i="1"/>
  <c r="Y37" i="1"/>
  <c r="U37" i="1"/>
  <c r="AK36" i="1"/>
  <c r="AG36" i="1"/>
  <c r="AC36" i="1"/>
  <c r="Y36" i="1"/>
  <c r="U36" i="1"/>
  <c r="AK35" i="1"/>
  <c r="AG35" i="1"/>
  <c r="AC35" i="1"/>
  <c r="Y35" i="1"/>
  <c r="U35" i="1"/>
  <c r="AK34" i="1"/>
  <c r="AG34" i="1"/>
  <c r="AC34" i="1"/>
  <c r="Y34" i="1"/>
  <c r="U34" i="1"/>
  <c r="AK47" i="1"/>
  <c r="AG47" i="1"/>
  <c r="AC47" i="1"/>
  <c r="Y47" i="1"/>
  <c r="U47" i="1"/>
  <c r="AJ57" i="1"/>
  <c r="AF57" i="1"/>
  <c r="AB57" i="1"/>
  <c r="X57" i="1"/>
  <c r="T57" i="1"/>
  <c r="AJ56" i="1"/>
  <c r="AF56" i="1"/>
  <c r="AB56" i="1"/>
  <c r="X56" i="1"/>
  <c r="T56" i="1"/>
  <c r="AJ55" i="1"/>
  <c r="AF55" i="1"/>
  <c r="AB55" i="1"/>
  <c r="X55" i="1"/>
  <c r="T55" i="1"/>
  <c r="AJ54" i="1"/>
  <c r="AF54" i="1"/>
  <c r="AB54" i="1"/>
  <c r="X54" i="1"/>
  <c r="T54" i="1"/>
  <c r="AJ52" i="1"/>
  <c r="AJ62" i="1" s="1"/>
  <c r="AF52" i="1"/>
  <c r="AF62" i="1" s="1"/>
  <c r="AB52" i="1"/>
  <c r="AB62" i="1" s="1"/>
  <c r="X52" i="1"/>
  <c r="X62" i="1" s="1"/>
  <c r="T52" i="1"/>
  <c r="T62" i="1" s="1"/>
  <c r="AJ51" i="1"/>
  <c r="AJ61" i="1" s="1"/>
  <c r="AF51" i="1"/>
  <c r="AF61" i="1" s="1"/>
  <c r="AB51" i="1"/>
  <c r="AB61" i="1" s="1"/>
  <c r="X51" i="1"/>
  <c r="X61" i="1" s="1"/>
  <c r="T51" i="1"/>
  <c r="T61" i="1" s="1"/>
  <c r="AJ50" i="1"/>
  <c r="AJ60" i="1" s="1"/>
  <c r="AF50" i="1"/>
  <c r="AF60" i="1" s="1"/>
  <c r="AB50" i="1"/>
  <c r="AB60" i="1" s="1"/>
  <c r="X50" i="1"/>
  <c r="X60" i="1" s="1"/>
  <c r="T50" i="1"/>
  <c r="T60" i="1" s="1"/>
  <c r="AJ49" i="1"/>
  <c r="AJ59" i="1" s="1"/>
  <c r="AF49" i="1"/>
  <c r="AF59" i="1" s="1"/>
  <c r="AB49" i="1"/>
  <c r="AB59" i="1" s="1"/>
  <c r="X49" i="1"/>
  <c r="X59" i="1" s="1"/>
  <c r="T49" i="1"/>
  <c r="T59" i="1" s="1"/>
  <c r="AJ42" i="1"/>
  <c r="AF42" i="1"/>
  <c r="AB42" i="1"/>
  <c r="X42" i="1"/>
  <c r="T42" i="1"/>
  <c r="AJ41" i="1"/>
  <c r="AF41" i="1"/>
  <c r="AB41" i="1"/>
  <c r="X41" i="1"/>
  <c r="T41" i="1"/>
  <c r="AJ40" i="1"/>
  <c r="AF40" i="1"/>
  <c r="AB40" i="1"/>
  <c r="X40" i="1"/>
  <c r="T40" i="1"/>
  <c r="AJ39" i="1"/>
  <c r="AF39" i="1"/>
  <c r="AB39" i="1"/>
  <c r="X39" i="1"/>
  <c r="T39" i="1"/>
  <c r="AJ37" i="1"/>
  <c r="AF37" i="1"/>
  <c r="AB37" i="1"/>
  <c r="X37" i="1"/>
  <c r="T37" i="1"/>
  <c r="AJ36" i="1"/>
  <c r="AF36" i="1"/>
  <c r="AB36" i="1"/>
  <c r="X36" i="1"/>
  <c r="T36" i="1"/>
  <c r="AJ35" i="1"/>
  <c r="AF35" i="1"/>
  <c r="AB35" i="1"/>
  <c r="X35" i="1"/>
  <c r="T35" i="1"/>
  <c r="AJ34" i="1"/>
  <c r="AF34" i="1"/>
  <c r="AB34" i="1"/>
  <c r="X34" i="1"/>
  <c r="T34" i="1"/>
  <c r="AJ47" i="1"/>
  <c r="AF47" i="1"/>
  <c r="AB47" i="1"/>
  <c r="X47" i="1"/>
  <c r="AI57" i="1"/>
  <c r="AA57" i="1"/>
  <c r="S57" i="1"/>
  <c r="AE56" i="1"/>
  <c r="W56" i="1"/>
  <c r="AI55" i="1"/>
  <c r="AA55" i="1"/>
  <c r="S55" i="1"/>
  <c r="AE54" i="1"/>
  <c r="W54" i="1"/>
  <c r="AI52" i="1"/>
  <c r="AA52" i="1"/>
  <c r="S52" i="1"/>
  <c r="AE51" i="1"/>
  <c r="W51" i="1"/>
  <c r="AI50" i="1"/>
  <c r="AA50" i="1"/>
  <c r="S50" i="1"/>
  <c r="AE49" i="1"/>
  <c r="W49" i="1"/>
  <c r="AI42" i="1"/>
  <c r="AA42" i="1"/>
  <c r="S42" i="1"/>
  <c r="AE41" i="1"/>
  <c r="W41" i="1"/>
  <c r="AI40" i="1"/>
  <c r="AA40" i="1"/>
  <c r="S40" i="1"/>
  <c r="AE39" i="1"/>
  <c r="W39" i="1"/>
  <c r="AI37" i="1"/>
  <c r="AA37" i="1"/>
  <c r="S37" i="1"/>
  <c r="AE36" i="1"/>
  <c r="W36" i="1"/>
  <c r="AI35" i="1"/>
  <c r="AA35" i="1"/>
  <c r="S35" i="1"/>
  <c r="AE34" i="1"/>
  <c r="W34" i="1"/>
  <c r="AI47" i="1"/>
  <c r="AA47" i="1"/>
  <c r="T47" i="1"/>
  <c r="AJ46" i="1"/>
  <c r="AF46" i="1"/>
  <c r="AB46" i="1"/>
  <c r="X46" i="1"/>
  <c r="T46" i="1"/>
  <c r="AJ45" i="1"/>
  <c r="AF45" i="1"/>
  <c r="AB45" i="1"/>
  <c r="X45" i="1"/>
  <c r="T45" i="1"/>
  <c r="AJ44" i="1"/>
  <c r="AF44" i="1"/>
  <c r="AB44" i="1"/>
  <c r="X44" i="1"/>
  <c r="T44" i="1"/>
  <c r="AJ32" i="1"/>
  <c r="AF32" i="1"/>
  <c r="AB32" i="1"/>
  <c r="X32" i="1"/>
  <c r="T32" i="1"/>
  <c r="AJ31" i="1"/>
  <c r="AF31" i="1"/>
  <c r="AB31" i="1"/>
  <c r="X31" i="1"/>
  <c r="T31" i="1"/>
  <c r="AJ30" i="1"/>
  <c r="AF30" i="1"/>
  <c r="AB30" i="1"/>
  <c r="X30" i="1"/>
  <c r="T30" i="1"/>
  <c r="T29" i="1"/>
  <c r="X29" i="1"/>
  <c r="AB29" i="1"/>
  <c r="AF29" i="1"/>
  <c r="AJ29" i="1"/>
  <c r="AH57" i="1"/>
  <c r="Z57" i="1"/>
  <c r="R57" i="1"/>
  <c r="AD56" i="1"/>
  <c r="V56" i="1"/>
  <c r="AH55" i="1"/>
  <c r="Z55" i="1"/>
  <c r="R55" i="1"/>
  <c r="AD54" i="1"/>
  <c r="V54" i="1"/>
  <c r="AH52" i="1"/>
  <c r="Z52" i="1"/>
  <c r="R52" i="1"/>
  <c r="AD51" i="1"/>
  <c r="V51" i="1"/>
  <c r="V61" i="1" s="1"/>
  <c r="AH50" i="1"/>
  <c r="Z50" i="1"/>
  <c r="Z60" i="1" s="1"/>
  <c r="R50" i="1"/>
  <c r="AD49" i="1"/>
  <c r="V49" i="1"/>
  <c r="AH42" i="1"/>
  <c r="Z42" i="1"/>
  <c r="R42" i="1"/>
  <c r="AD41" i="1"/>
  <c r="V41" i="1"/>
  <c r="AH40" i="1"/>
  <c r="Z40" i="1"/>
  <c r="R40" i="1"/>
  <c r="AD39" i="1"/>
  <c r="V39" i="1"/>
  <c r="AH37" i="1"/>
  <c r="Z37" i="1"/>
  <c r="R37" i="1"/>
  <c r="AD36" i="1"/>
  <c r="V36" i="1"/>
  <c r="AH35" i="1"/>
  <c r="Z35" i="1"/>
  <c r="R35" i="1"/>
  <c r="AD34" i="1"/>
  <c r="V34" i="1"/>
  <c r="AH47" i="1"/>
  <c r="Z47" i="1"/>
  <c r="S47" i="1"/>
  <c r="AI46" i="1"/>
  <c r="AE46" i="1"/>
  <c r="AA46" i="1"/>
  <c r="W46" i="1"/>
  <c r="S46" i="1"/>
  <c r="AI45" i="1"/>
  <c r="AE45" i="1"/>
  <c r="AA45" i="1"/>
  <c r="W45" i="1"/>
  <c r="S45" i="1"/>
  <c r="AI44" i="1"/>
  <c r="AE44" i="1"/>
  <c r="AA44" i="1"/>
  <c r="W44" i="1"/>
  <c r="S44" i="1"/>
  <c r="AI32" i="1"/>
  <c r="AE32" i="1"/>
  <c r="AA32" i="1"/>
  <c r="W32" i="1"/>
  <c r="S32" i="1"/>
  <c r="AI31" i="1"/>
  <c r="AE31" i="1"/>
  <c r="AA31" i="1"/>
  <c r="W31" i="1"/>
  <c r="S31" i="1"/>
  <c r="AI30" i="1"/>
  <c r="AE30" i="1"/>
  <c r="AA30" i="1"/>
  <c r="W30" i="1"/>
  <c r="S30" i="1"/>
  <c r="U29" i="1"/>
  <c r="Y29" i="1"/>
  <c r="AC29" i="1"/>
  <c r="AG29" i="1"/>
  <c r="AK29" i="1"/>
  <c r="AE57" i="1"/>
  <c r="W57" i="1"/>
  <c r="AI56" i="1"/>
  <c r="AI61" i="1" s="1"/>
  <c r="AA56" i="1"/>
  <c r="S56" i="1"/>
  <c r="AE55" i="1"/>
  <c r="AI29" i="1"/>
  <c r="AA29" i="1"/>
  <c r="S29" i="1"/>
  <c r="Y30" i="1"/>
  <c r="AG30" i="1"/>
  <c r="U31" i="1"/>
  <c r="AC31" i="1"/>
  <c r="AK31" i="1"/>
  <c r="Y32" i="1"/>
  <c r="AG32" i="1"/>
  <c r="U44" i="1"/>
  <c r="AC44" i="1"/>
  <c r="AK44" i="1"/>
  <c r="Y45" i="1"/>
  <c r="AG45" i="1"/>
  <c r="U46" i="1"/>
  <c r="AC46" i="1"/>
  <c r="AK46" i="1"/>
  <c r="AD47" i="1"/>
  <c r="Z34" i="1"/>
  <c r="V35" i="1"/>
  <c r="R36" i="1"/>
  <c r="AH36" i="1"/>
  <c r="AD37" i="1"/>
  <c r="Z39" i="1"/>
  <c r="V40" i="1"/>
  <c r="R41" i="1"/>
  <c r="AH41" i="1"/>
  <c r="AD42" i="1"/>
  <c r="Z49" i="1"/>
  <c r="V50" i="1"/>
  <c r="V60" i="1" s="1"/>
  <c r="R51" i="1"/>
  <c r="AH51" i="1"/>
  <c r="AD52" i="1"/>
  <c r="Z54" i="1"/>
  <c r="V55" i="1"/>
  <c r="Z56" i="1"/>
  <c r="AH29" i="1"/>
  <c r="Z29" i="1"/>
  <c r="R30" i="1"/>
  <c r="Z30" i="1"/>
  <c r="AH30" i="1"/>
  <c r="V31" i="1"/>
  <c r="AD31" i="1"/>
  <c r="R32" i="1"/>
  <c r="Z32" i="1"/>
  <c r="AH32" i="1"/>
  <c r="V44" i="1"/>
  <c r="AD44" i="1"/>
  <c r="R45" i="1"/>
  <c r="Z45" i="1"/>
  <c r="AH45" i="1"/>
  <c r="V46" i="1"/>
  <c r="AD46" i="1"/>
  <c r="R47" i="1"/>
  <c r="AE47" i="1"/>
  <c r="AA34" i="1"/>
  <c r="W35" i="1"/>
  <c r="S36" i="1"/>
  <c r="AI36" i="1"/>
  <c r="AE37" i="1"/>
  <c r="AA39" i="1"/>
  <c r="W40" i="1"/>
  <c r="S41" i="1"/>
  <c r="AI41" i="1"/>
  <c r="AE42" i="1"/>
  <c r="AA49" i="1"/>
  <c r="AA59" i="1" s="1"/>
  <c r="W50" i="1"/>
  <c r="S51" i="1"/>
  <c r="S61" i="1" s="1"/>
  <c r="AI51" i="1"/>
  <c r="AE52" i="1"/>
  <c r="AE62" i="1" s="1"/>
  <c r="AA54" i="1"/>
  <c r="W55" i="1"/>
  <c r="AH56" i="1"/>
  <c r="AE29" i="1"/>
  <c r="W29" i="1"/>
  <c r="U30" i="1"/>
  <c r="AC30" i="1"/>
  <c r="AK30" i="1"/>
  <c r="Y31" i="1"/>
  <c r="AG31" i="1"/>
  <c r="U32" i="1"/>
  <c r="AC32" i="1"/>
  <c r="AK32" i="1"/>
  <c r="Y44" i="1"/>
  <c r="AG44" i="1"/>
  <c r="U45" i="1"/>
  <c r="AC45" i="1"/>
  <c r="AK45" i="1"/>
  <c r="Y46" i="1"/>
  <c r="AG46" i="1"/>
  <c r="V47" i="1"/>
  <c r="R34" i="1"/>
  <c r="AH34" i="1"/>
  <c r="AD35" i="1"/>
  <c r="Z36" i="1"/>
  <c r="V37" i="1"/>
  <c r="R39" i="1"/>
  <c r="AH39" i="1"/>
  <c r="AD40" i="1"/>
  <c r="Z41" i="1"/>
  <c r="V42" i="1"/>
  <c r="R49" i="1"/>
  <c r="AH49" i="1"/>
  <c r="AD50" i="1"/>
  <c r="Z51" i="1"/>
  <c r="V52" i="1"/>
  <c r="R54" i="1"/>
  <c r="AH54" i="1"/>
  <c r="AD55" i="1"/>
  <c r="V57" i="1"/>
  <c r="R29" i="1"/>
  <c r="AD29" i="1"/>
  <c r="V29" i="1"/>
  <c r="V30" i="1"/>
  <c r="AD30" i="1"/>
  <c r="R31" i="1"/>
  <c r="Z31" i="1"/>
  <c r="AH31" i="1"/>
  <c r="V32" i="1"/>
  <c r="AD32" i="1"/>
  <c r="R44" i="1"/>
  <c r="Z44" i="1"/>
  <c r="AH44" i="1"/>
  <c r="V45" i="1"/>
  <c r="AD45" i="1"/>
  <c r="R46" i="1"/>
  <c r="Z46" i="1"/>
  <c r="AH46" i="1"/>
  <c r="W47" i="1"/>
  <c r="S34" i="1"/>
  <c r="AI34" i="1"/>
  <c r="AE35" i="1"/>
  <c r="AA36" i="1"/>
  <c r="W37" i="1"/>
  <c r="S39" i="1"/>
  <c r="AI39" i="1"/>
  <c r="AE40" i="1"/>
  <c r="AA41" i="1"/>
  <c r="W42" i="1"/>
  <c r="S49" i="1"/>
  <c r="AI49" i="1"/>
  <c r="AE50" i="1"/>
  <c r="AA51" i="1"/>
  <c r="W52" i="1"/>
  <c r="S54" i="1"/>
  <c r="AI54" i="1"/>
  <c r="R56" i="1"/>
  <c r="AD57" i="1"/>
  <c r="T16" i="1"/>
  <c r="AK10" i="1"/>
  <c r="U10" i="1"/>
  <c r="AG14" i="1"/>
  <c r="U14" i="1"/>
  <c r="AC11" i="1"/>
  <c r="AJ15" i="1"/>
  <c r="T15" i="1"/>
  <c r="X12" i="1"/>
  <c r="AF16" i="1"/>
  <c r="AB16" i="1"/>
  <c r="AJ10" i="1"/>
  <c r="AF10" i="1"/>
  <c r="AB10" i="1"/>
  <c r="X10" i="1"/>
  <c r="T10" i="1"/>
  <c r="AJ14" i="1"/>
  <c r="AF14" i="1"/>
  <c r="AB14" i="1"/>
  <c r="X14" i="1"/>
  <c r="T14" i="1"/>
  <c r="AJ11" i="1"/>
  <c r="AF11" i="1"/>
  <c r="AB11" i="1"/>
  <c r="X11" i="1"/>
  <c r="T11" i="1"/>
  <c r="AI15" i="1"/>
  <c r="AE15" i="1"/>
  <c r="AA15" i="1"/>
  <c r="W15" i="1"/>
  <c r="S15" i="1"/>
  <c r="AI12" i="1"/>
  <c r="AE12" i="1"/>
  <c r="AA12" i="1"/>
  <c r="W12" i="1"/>
  <c r="S12" i="1"/>
  <c r="AI16" i="1"/>
  <c r="AE16" i="1"/>
  <c r="AA16" i="1"/>
  <c r="W16" i="1"/>
  <c r="S16" i="1"/>
  <c r="AG10" i="1"/>
  <c r="Y10" i="1"/>
  <c r="AC14" i="1"/>
  <c r="AG11" i="1"/>
  <c r="Y11" i="1"/>
  <c r="AF15" i="1"/>
  <c r="X15" i="1"/>
  <c r="AF12" i="1"/>
  <c r="T12" i="1"/>
  <c r="X16" i="1"/>
  <c r="AI10" i="1"/>
  <c r="AE10" i="1"/>
  <c r="AA10" i="1"/>
  <c r="S10" i="1"/>
  <c r="AI14" i="1"/>
  <c r="AE14" i="1"/>
  <c r="AA14" i="1"/>
  <c r="W14" i="1"/>
  <c r="S14" i="1"/>
  <c r="AI11" i="1"/>
  <c r="AE11" i="1"/>
  <c r="AA11" i="1"/>
  <c r="W11" i="1"/>
  <c r="S11" i="1"/>
  <c r="AH15" i="1"/>
  <c r="AD15" i="1"/>
  <c r="Z15" i="1"/>
  <c r="V15" i="1"/>
  <c r="R12" i="1"/>
  <c r="AH12" i="1"/>
  <c r="AD12" i="1"/>
  <c r="Z12" i="1"/>
  <c r="V12" i="1"/>
  <c r="R16" i="1"/>
  <c r="AH16" i="1"/>
  <c r="AD16" i="1"/>
  <c r="Z16" i="1"/>
  <c r="Z18" i="1" s="1"/>
  <c r="V16" i="1"/>
  <c r="R11" i="1"/>
  <c r="AC10" i="1"/>
  <c r="AK14" i="1"/>
  <c r="AB37" i="26" s="1"/>
  <c r="Y14" i="1"/>
  <c r="AK11" i="1"/>
  <c r="U11" i="1"/>
  <c r="AB15" i="1"/>
  <c r="AJ12" i="1"/>
  <c r="AB12" i="1"/>
  <c r="AJ16" i="1"/>
  <c r="R10" i="1"/>
  <c r="AH10" i="1"/>
  <c r="AD10" i="1"/>
  <c r="Z10" i="1"/>
  <c r="V10" i="1"/>
  <c r="R14" i="1"/>
  <c r="AH14" i="1"/>
  <c r="AD14" i="1"/>
  <c r="Z14" i="1"/>
  <c r="Z37" i="26" s="1"/>
  <c r="V14" i="1"/>
  <c r="R15" i="1"/>
  <c r="AH11" i="1"/>
  <c r="AD11" i="1"/>
  <c r="Z11" i="1"/>
  <c r="V11" i="1"/>
  <c r="AK15" i="1"/>
  <c r="AG15" i="1"/>
  <c r="AG18" i="1" s="1"/>
  <c r="AC15" i="1"/>
  <c r="Y15" i="1"/>
  <c r="U15" i="1"/>
  <c r="AK12" i="1"/>
  <c r="AG12" i="1"/>
  <c r="AC12" i="1"/>
  <c r="Y12" i="1"/>
  <c r="U12" i="1"/>
  <c r="AK16" i="1"/>
  <c r="AG16" i="1"/>
  <c r="AC16" i="1"/>
  <c r="AC18" i="1" s="1"/>
  <c r="Y16" i="1"/>
  <c r="U16" i="1"/>
  <c r="BS11" i="2"/>
  <c r="AF31" i="2"/>
  <c r="AA115" i="2"/>
  <c r="X116" i="2"/>
  <c r="S114" i="2"/>
  <c r="AA116" i="2"/>
  <c r="BV11" i="2"/>
  <c r="BO11" i="2"/>
  <c r="Y116" i="2"/>
  <c r="CE11" i="2"/>
  <c r="BU11" i="2"/>
  <c r="AB34" i="2"/>
  <c r="AJ34" i="2"/>
  <c r="T34" i="2"/>
  <c r="CA11" i="2"/>
  <c r="BZ11" i="2"/>
  <c r="BQ11" i="2"/>
  <c r="BX11" i="2"/>
  <c r="BM11" i="2"/>
  <c r="BT11" i="2"/>
  <c r="BR11" i="2"/>
  <c r="BY11" i="2"/>
  <c r="BW11" i="2"/>
  <c r="BL11" i="2"/>
  <c r="BP11" i="2"/>
  <c r="CD11" i="2"/>
  <c r="BN11" i="2"/>
  <c r="CB11" i="2"/>
  <c r="AI114" i="2"/>
  <c r="W114" i="2"/>
  <c r="P52" i="8"/>
  <c r="R52" i="8"/>
  <c r="V52" i="8"/>
  <c r="U52" i="8"/>
  <c r="S52" i="8"/>
  <c r="W52" i="8"/>
  <c r="W31" i="2"/>
  <c r="AC33" i="2"/>
  <c r="V51" i="8"/>
  <c r="T115" i="2"/>
  <c r="AG115" i="2"/>
  <c r="AJ114" i="2"/>
  <c r="T114" i="2"/>
  <c r="AF116" i="2"/>
  <c r="AF115" i="2"/>
  <c r="Y114" i="2"/>
  <c r="AC115" i="2"/>
  <c r="AF114" i="2"/>
  <c r="AB116" i="2"/>
  <c r="AE114" i="2"/>
  <c r="AK114" i="2"/>
  <c r="U114" i="2"/>
  <c r="Y115" i="2"/>
  <c r="AB114" i="2"/>
  <c r="T116" i="2"/>
  <c r="AK115" i="2"/>
  <c r="U115" i="2"/>
  <c r="X114" i="2"/>
  <c r="AJ31" i="2"/>
  <c r="AG31" i="2"/>
  <c r="AE31" i="2"/>
  <c r="AA37" i="26"/>
  <c r="Y18" i="1"/>
  <c r="AE18" i="1"/>
  <c r="AH34" i="2"/>
  <c r="AA31" i="2"/>
  <c r="AE34" i="2"/>
  <c r="AK31" i="2"/>
  <c r="AC31" i="2"/>
  <c r="T31" i="2"/>
  <c r="R18" i="1"/>
  <c r="X18" i="1"/>
  <c r="T18" i="1"/>
  <c r="AA34" i="2"/>
  <c r="AB18" i="1"/>
  <c r="P51" i="8"/>
  <c r="U31" i="2"/>
  <c r="AB31" i="2"/>
  <c r="AI34" i="2"/>
  <c r="S34" i="2"/>
  <c r="AD31" i="2"/>
  <c r="V34" i="2"/>
  <c r="AG34" i="2"/>
  <c r="X34" i="2"/>
  <c r="AD34" i="2"/>
  <c r="X31" i="2"/>
  <c r="Z31" i="2"/>
  <c r="AD33" i="2"/>
  <c r="AD32" i="2"/>
  <c r="AE33" i="2"/>
  <c r="AE32" i="2"/>
  <c r="W34" i="2"/>
  <c r="U32" i="2"/>
  <c r="U33" i="2"/>
  <c r="AC34" i="2"/>
  <c r="AF33" i="2"/>
  <c r="AF32" i="2"/>
  <c r="S32" i="2"/>
  <c r="S33" i="2"/>
  <c r="T33" i="2"/>
  <c r="T32" i="2"/>
  <c r="AL32" i="2"/>
  <c r="AL33" i="2"/>
  <c r="Y31" i="2"/>
  <c r="Z32" i="2"/>
  <c r="Z33" i="2"/>
  <c r="AL31" i="2"/>
  <c r="V31" i="2"/>
  <c r="AA33" i="2"/>
  <c r="AA32" i="2"/>
  <c r="AG32" i="2"/>
  <c r="AG33" i="2"/>
  <c r="Y34" i="2"/>
  <c r="AB33" i="2"/>
  <c r="AB32" i="2"/>
  <c r="AK32" i="2"/>
  <c r="AK33" i="2"/>
  <c r="AI33" i="2"/>
  <c r="AI32" i="2"/>
  <c r="Y32" i="2"/>
  <c r="Y33" i="2"/>
  <c r="AJ32" i="2"/>
  <c r="AJ33" i="2"/>
  <c r="Z34" i="2"/>
  <c r="V33" i="2"/>
  <c r="V32" i="2"/>
  <c r="AH32" i="2"/>
  <c r="AH33" i="2"/>
  <c r="AH31" i="2"/>
  <c r="AL34" i="2"/>
  <c r="W33" i="2"/>
  <c r="W32" i="2"/>
  <c r="AC32" i="2"/>
  <c r="AK34" i="2"/>
  <c r="U34" i="2"/>
  <c r="X32" i="2"/>
  <c r="X33" i="2"/>
  <c r="AF34" i="2"/>
  <c r="U18" i="1"/>
  <c r="AK18" i="1"/>
  <c r="V18" i="1"/>
  <c r="AD18" i="1"/>
  <c r="AF18" i="1"/>
  <c r="S18" i="1"/>
  <c r="AI18" i="1"/>
  <c r="AJ18" i="1"/>
  <c r="AH18" i="1"/>
  <c r="W18" i="1"/>
  <c r="AA18" i="1"/>
  <c r="U50" i="8"/>
  <c r="U51" i="8"/>
  <c r="R51" i="8"/>
  <c r="S50" i="8"/>
  <c r="S51" i="8"/>
  <c r="X50" i="8"/>
  <c r="Y51" i="8"/>
  <c r="Q51" i="8"/>
  <c r="X51" i="8"/>
  <c r="Y50" i="8"/>
  <c r="W51" i="8"/>
  <c r="AE60" i="1"/>
  <c r="W62" i="1"/>
  <c r="AD60" i="1"/>
  <c r="AA61" i="1"/>
  <c r="AH60" i="1"/>
  <c r="Z62" i="1"/>
  <c r="S60" i="1"/>
  <c r="AE61" i="1"/>
  <c r="AK60" i="1"/>
  <c r="AD59" i="1"/>
  <c r="AH62" i="1"/>
  <c r="AA60" i="1"/>
  <c r="S62" i="1"/>
  <c r="AK61" i="1"/>
  <c r="Z61" i="1"/>
  <c r="AK62" i="1"/>
  <c r="R60" i="1"/>
  <c r="AD61" i="1"/>
  <c r="AI60" i="1"/>
  <c r="AA62" i="1"/>
  <c r="AH61" i="1"/>
  <c r="R62" i="1"/>
  <c r="W61" i="1"/>
  <c r="AI62" i="1"/>
  <c r="W60" i="1"/>
  <c r="R61" i="1"/>
  <c r="V62" i="1"/>
  <c r="AD62" i="1"/>
  <c r="V59" i="1"/>
  <c r="R59" i="1"/>
  <c r="S59" i="1"/>
  <c r="AE59" i="1"/>
  <c r="AH59" i="1"/>
  <c r="AI59" i="1"/>
  <c r="Z59" i="1"/>
  <c r="W59" i="1"/>
  <c r="BF49" i="26" l="1"/>
</calcChain>
</file>

<file path=xl/sharedStrings.xml><?xml version="1.0" encoding="utf-8"?>
<sst xmlns="http://schemas.openxmlformats.org/spreadsheetml/2006/main" count="32736" uniqueCount="660">
  <si>
    <t>Total</t>
  </si>
  <si>
    <t>Sex</t>
  </si>
  <si>
    <t>All ethnicity</t>
  </si>
  <si>
    <t>Māori</t>
  </si>
  <si>
    <t>Non-Māori</t>
  </si>
  <si>
    <t>Deprivation</t>
  </si>
  <si>
    <t>Methods</t>
  </si>
  <si>
    <t>DHB</t>
  </si>
  <si>
    <t>Female</t>
  </si>
  <si>
    <t>All ages</t>
  </si>
  <si>
    <t>sex</t>
  </si>
  <si>
    <t>ethmn</t>
  </si>
  <si>
    <t>year</t>
  </si>
  <si>
    <t>agegrpnewid</t>
  </si>
  <si>
    <t>num</t>
  </si>
  <si>
    <t>rate</t>
  </si>
  <si>
    <t>ci</t>
  </si>
  <si>
    <t>AllSex</t>
  </si>
  <si>
    <t>Maori</t>
  </si>
  <si>
    <t>Non-Maori</t>
  </si>
  <si>
    <t>Male</t>
  </si>
  <si>
    <t>Number</t>
  </si>
  <si>
    <t>Rate</t>
  </si>
  <si>
    <t>15-24</t>
  </si>
  <si>
    <t>25-44</t>
  </si>
  <si>
    <t>45-64</t>
  </si>
  <si>
    <t>65+</t>
  </si>
  <si>
    <t>AllEth</t>
  </si>
  <si>
    <t>combo</t>
  </si>
  <si>
    <t>depquin</t>
  </si>
  <si>
    <t>Quintile 1</t>
  </si>
  <si>
    <t>Quintile 2</t>
  </si>
  <si>
    <t>Quintile 3</t>
  </si>
  <si>
    <t>Quintile 4</t>
  </si>
  <si>
    <t>Quintile 5</t>
  </si>
  <si>
    <t>25–44</t>
  </si>
  <si>
    <t>45–64</t>
  </si>
  <si>
    <t>Age (years)</t>
  </si>
  <si>
    <t>Quintile</t>
  </si>
  <si>
    <t>cause</t>
  </si>
  <si>
    <t>denom</t>
  </si>
  <si>
    <t>perc</t>
  </si>
  <si>
    <t>Firearms and explosives</t>
  </si>
  <si>
    <t>Hanging, strangulation and suffocation</t>
  </si>
  <si>
    <t>Jumping from a high place</t>
  </si>
  <si>
    <t>Other</t>
  </si>
  <si>
    <t>Poisoning by gases and vapours</t>
  </si>
  <si>
    <t>Poisoning by solids and liquids</t>
  </si>
  <si>
    <t>Sharp object</t>
  </si>
  <si>
    <t>Submersion (drowning)</t>
  </si>
  <si>
    <t>Method</t>
  </si>
  <si>
    <t>Percentage</t>
  </si>
  <si>
    <t>DHBid</t>
  </si>
  <si>
    <t>DHBname</t>
  </si>
  <si>
    <t>Northland</t>
  </si>
  <si>
    <t>Waitemata</t>
  </si>
  <si>
    <t>Auckland</t>
  </si>
  <si>
    <t>Counties Manukau</t>
  </si>
  <si>
    <t>Waikato</t>
  </si>
  <si>
    <t>Lakes</t>
  </si>
  <si>
    <t>Bay of Plenty</t>
  </si>
  <si>
    <t>Tairawhiti</t>
  </si>
  <si>
    <t>Hawke's Bay</t>
  </si>
  <si>
    <t>Taranaki</t>
  </si>
  <si>
    <t>MidCentral</t>
  </si>
  <si>
    <t>Whanganui</t>
  </si>
  <si>
    <t>Capital &amp; Coast</t>
  </si>
  <si>
    <t>Hutt Valley</t>
  </si>
  <si>
    <t>Wairarapa</t>
  </si>
  <si>
    <t>Nelson Marlborough</t>
  </si>
  <si>
    <t>West Coast</t>
  </si>
  <si>
    <t>Canterbury</t>
  </si>
  <si>
    <t>South Canterbury</t>
  </si>
  <si>
    <t>Southern</t>
  </si>
  <si>
    <t>New Zealand</t>
  </si>
  <si>
    <t>Unknown</t>
  </si>
  <si>
    <t>MPAO 5yr</t>
  </si>
  <si>
    <t>mpao</t>
  </si>
  <si>
    <t>Asian</t>
  </si>
  <si>
    <t>Pacific</t>
  </si>
  <si>
    <t>Ethnicity</t>
  </si>
  <si>
    <t>sig</t>
  </si>
  <si>
    <t>No</t>
  </si>
  <si>
    <t>decrease</t>
  </si>
  <si>
    <t>increase</t>
  </si>
  <si>
    <t>-</t>
  </si>
  <si>
    <t>x</t>
  </si>
  <si>
    <t>y</t>
  </si>
  <si>
    <t>Māori Total</t>
  </si>
  <si>
    <t>Māori Male</t>
  </si>
  <si>
    <t>Māori Female</t>
  </si>
  <si>
    <t>Non-Māori Total</t>
  </si>
  <si>
    <t>Non-Māori Male</t>
  </si>
  <si>
    <t>Non-Māori female</t>
  </si>
  <si>
    <t>Urban Rural</t>
  </si>
  <si>
    <t>urbrurid</t>
  </si>
  <si>
    <t>Rural</t>
  </si>
  <si>
    <t>Urban</t>
  </si>
  <si>
    <t>Age</t>
  </si>
  <si>
    <t>Number and age-standardised rate of suicide deaths, 1996–2015</t>
  </si>
  <si>
    <t>Age-standardised suicide rates by sex, 1996–2015</t>
  </si>
  <si>
    <t>Notes:</t>
  </si>
  <si>
    <t>Source: New Zealand Mortality Collection</t>
  </si>
  <si>
    <t>Rates are expressed per 100,000 population.</t>
  </si>
  <si>
    <t>15–24 years</t>
  </si>
  <si>
    <t>25–44 years</t>
  </si>
  <si>
    <t>45–64 years</t>
  </si>
  <si>
    <t>65+ years</t>
  </si>
  <si>
    <t>Rates are expressed per 100,000 population and age standardised to the WHO World Standard Population.</t>
  </si>
  <si>
    <t>Distribution of suicide deaths by method used, 1996–2015</t>
  </si>
  <si>
    <t>Unknown*</t>
  </si>
  <si>
    <t>Rurality</t>
  </si>
  <si>
    <t xml:space="preserve"> </t>
  </si>
  <si>
    <t>Rate ratio</t>
  </si>
  <si>
    <t>5:1</t>
  </si>
  <si>
    <t>Tairāwhiti</t>
  </si>
  <si>
    <t>Mid Central</t>
  </si>
  <si>
    <t>ref</t>
  </si>
  <si>
    <t>All ages graph ref</t>
  </si>
  <si>
    <t>agegrpid</t>
  </si>
  <si>
    <t>10–14</t>
  </si>
  <si>
    <t>15–19</t>
  </si>
  <si>
    <t>20–24</t>
  </si>
  <si>
    <t>25–29</t>
  </si>
  <si>
    <t>30–34</t>
  </si>
  <si>
    <t>85+</t>
  </si>
  <si>
    <t>35–39</t>
  </si>
  <si>
    <t>40–44</t>
  </si>
  <si>
    <t>45–49</t>
  </si>
  <si>
    <t>50–54</t>
  </si>
  <si>
    <t>55–59</t>
  </si>
  <si>
    <t>60–64</t>
  </si>
  <si>
    <t>65–69</t>
  </si>
  <si>
    <t>70–74</t>
  </si>
  <si>
    <t>75–79</t>
  </si>
  <si>
    <t>80–84</t>
  </si>
  <si>
    <t>agegroups</t>
  </si>
  <si>
    <t>Age-specific suicide rates, by 5-year age group and sex, 2015</t>
  </si>
  <si>
    <t>of all deaths</t>
  </si>
  <si>
    <t>Source:   New Zealand Mortality Collection</t>
  </si>
  <si>
    <t>Māori : Non-Māori</t>
  </si>
  <si>
    <t>Male : Female</t>
  </si>
  <si>
    <t xml:space="preserve">All ages </t>
  </si>
  <si>
    <t>Rate of female suicides: 6.0 per 100,000 females</t>
  </si>
  <si>
    <t>Note: Rates are expressed per 100,000 population.</t>
  </si>
  <si>
    <t xml:space="preserve">Notes: </t>
  </si>
  <si>
    <t>Source:</t>
  </si>
  <si>
    <t xml:space="preserve"> New Zealand Mortality Collection</t>
  </si>
  <si>
    <t xml:space="preserve">Note: </t>
  </si>
  <si>
    <t>New Zealand Mortality Collection</t>
  </si>
  <si>
    <t xml:space="preserve">Source: </t>
  </si>
  <si>
    <t>New Zealand Mortality Collection.</t>
  </si>
  <si>
    <t>New Zealand (2015)</t>
  </si>
  <si>
    <t>Country</t>
  </si>
  <si>
    <t>Republic of Korea (2013)</t>
  </si>
  <si>
    <t>Latvia (2014)</t>
  </si>
  <si>
    <t>Estonia (2014)</t>
  </si>
  <si>
    <t>Hungary (2014)</t>
  </si>
  <si>
    <t>Slovenia (2015)</t>
  </si>
  <si>
    <t>Poland (2014)</t>
  </si>
  <si>
    <t>Japan (2014)</t>
  </si>
  <si>
    <t>Belgium (2013)</t>
  </si>
  <si>
    <t>Finland (2014)</t>
  </si>
  <si>
    <t>Czech Republic (2014)</t>
  </si>
  <si>
    <t>France (2013)</t>
  </si>
  <si>
    <t>Austria (2014)</t>
  </si>
  <si>
    <t>Iceland (2015)</t>
  </si>
  <si>
    <t>Australia (2014)</t>
  </si>
  <si>
    <t>Ireland (2013)</t>
  </si>
  <si>
    <t>Canada (2005)</t>
  </si>
  <si>
    <t>Luxembourg (2014)</t>
  </si>
  <si>
    <t>Switzerland (2013)</t>
  </si>
  <si>
    <t>Slovakia (2014)</t>
  </si>
  <si>
    <t>Sweden (2015)</t>
  </si>
  <si>
    <t>Germany (2014)</t>
  </si>
  <si>
    <t>Norway (2014)</t>
  </si>
  <si>
    <t>Denmark (2014)</t>
  </si>
  <si>
    <t>Netherlands (2015)</t>
  </si>
  <si>
    <t>Portugal (2013)</t>
  </si>
  <si>
    <t>United Kingdom (2013)</t>
  </si>
  <si>
    <t>Spain (2014)</t>
  </si>
  <si>
    <t>Italy (2012)</t>
  </si>
  <si>
    <t>Israel (2014)</t>
  </si>
  <si>
    <t>Greece (2013)</t>
  </si>
  <si>
    <t>Turkey (2013)</t>
  </si>
  <si>
    <t>USA (2007)</t>
  </si>
  <si>
    <t>New Zealand data: New Zealand Mortality Collection</t>
  </si>
  <si>
    <t>Sources:</t>
  </si>
  <si>
    <t>OECD 2017 (OECD countries except New Zealand)</t>
  </si>
  <si>
    <t>15–24</t>
  </si>
  <si>
    <t>CONTENTS</t>
  </si>
  <si>
    <t>SUICIDE RATES BY DEPRIVATION</t>
  </si>
  <si>
    <t>Back to top</t>
  </si>
  <si>
    <t>Māori and non-Māori deprivation graphs and tables</t>
  </si>
  <si>
    <t>Numbers of suicide deaths and age-standardised suicide rates by sex, 1996–2015</t>
  </si>
  <si>
    <t xml:space="preserve"> Rates are expressed per 100,000 population and age standardised to the WHO World Standard Population.</t>
  </si>
  <si>
    <t>Numbers of suicide deaths and age-specific suicide rates, by 5-year age group and sex, 2015</t>
  </si>
  <si>
    <t xml:space="preserve">Youth </t>
  </si>
  <si>
    <t xml:space="preserve">In New Zealand, a death is only officially classified as suicide by the coroner on completion of the coroner’s </t>
  </si>
  <si>
    <t xml:space="preserve">inquiry. In some cases, an inquest may be heard several years after the death, particularly if there are </t>
  </si>
  <si>
    <t>factors relating to the death that need to be investigated first (for example, a death in custody). Consequently, a provisional suicide classification may be made before the coroner reaches a verdict.</t>
  </si>
  <si>
    <t>Data sources</t>
  </si>
  <si>
    <t>Comparisons with other statistical publications on suicide</t>
  </si>
  <si>
    <t>The Ministry reports on those deaths determined to be suicide after a completed coronial process or those provisionally coded as intentionally self-inflicted deaths before the final coroner’s verdict. Furthermore, the Chief Coroner’s data relates to years ending 30 June rather than the calendar years used in this report.</t>
  </si>
  <si>
    <t>The Office of the Director of Mental Health releases an annual report that contains some statistics on suicide that are not included in this report. For further details, see:</t>
  </si>
  <si>
    <t>Population denominators</t>
  </si>
  <si>
    <t>All data sets were supplied as customised extracts from Statistics New Zealand. Further information about methods used to prepare estimates, as well as their limitations, is available on the Statistics New Zealand website (www.stats.govt.nz).</t>
  </si>
  <si>
    <t>The estimated resident population for mean year ended 31 December was used for analyses by:</t>
  </si>
  <si>
    <t>·       age</t>
  </si>
  <si>
    <t>·       sex</t>
  </si>
  <si>
    <t>·       Māori and non-Māori.</t>
  </si>
  <si>
    <t>·       DHB</t>
  </si>
  <si>
    <t>·       deprivation quintile</t>
  </si>
  <si>
    <t>·       urban/rural profile.</t>
  </si>
  <si>
    <t>International comparisons</t>
  </si>
  <si>
    <t>A cautious approach is recommended when comparing international suicide statistics because many factors affect the recording and classification of suicide in different countries, including the level of proof required for a verdict; the stigma associated with suicide; the religion, social class or occupation of victims; and confidentiality. As a result, deaths that are classified as suicide in some countries may be classified as accidental or of undetermined intent in others.</t>
  </si>
  <si>
    <t>Category</t>
  </si>
  <si>
    <t>ICD-10-AM code</t>
  </si>
  <si>
    <t>ICD-10-AM code description</t>
  </si>
  <si>
    <t>X60</t>
  </si>
  <si>
    <t>Intentional self-poisoning by and exposure to nonopioid analgesics, antipyretics and antirheumatics</t>
  </si>
  <si>
    <t>X61</t>
  </si>
  <si>
    <t>Intentional self-poisoning by and exposure to antiepileptic, sedative-hypnotic, antiparkinsonism and psychotropic drugs, not elsewhere classified</t>
  </si>
  <si>
    <t>X62</t>
  </si>
  <si>
    <t>Intentional self-poisoning by and exposure to narcotics and psychodysleptics [hallucinogens], not elsewhere classified</t>
  </si>
  <si>
    <t>X63</t>
  </si>
  <si>
    <t>Intentional self-poisoning by and exposure to other drugs acting on the autonomic nervous system</t>
  </si>
  <si>
    <t>X64</t>
  </si>
  <si>
    <t>Intentional self-poisoning by and exposure to other and unspecified drugs, medicaments and biological substances</t>
  </si>
  <si>
    <t>X65</t>
  </si>
  <si>
    <t>Intentional self-poisoning by and exposure to alcohol</t>
  </si>
  <si>
    <t>X68</t>
  </si>
  <si>
    <t>Intentional self-poisoning by and exposure to pesticides</t>
  </si>
  <si>
    <t>X69</t>
  </si>
  <si>
    <t>Intentional self-poisoning by and exposure to other and unspecified chemicals and noxious substances</t>
  </si>
  <si>
    <t>X66</t>
  </si>
  <si>
    <t>Intentional self-poisoning by and exposure to organic solvents and halogenated hydrocarbons and their vapours</t>
  </si>
  <si>
    <t>X67</t>
  </si>
  <si>
    <t>Intentional self-poisoning by and exposure to other gases and vapours</t>
  </si>
  <si>
    <t>X70</t>
  </si>
  <si>
    <t>Intentional self-harm by hanging, strangulation and suffocation</t>
  </si>
  <si>
    <t>X71</t>
  </si>
  <si>
    <t>Intentional self-harm by drowning and submersion</t>
  </si>
  <si>
    <t>X72</t>
  </si>
  <si>
    <t>Intentional self-harm by handgun discharge</t>
  </si>
  <si>
    <t>X74</t>
  </si>
  <si>
    <t>Intentional self-harm by other and unspecified firearm discharge</t>
  </si>
  <si>
    <t>X75</t>
  </si>
  <si>
    <t>Intentional self-harm by explosive material</t>
  </si>
  <si>
    <t>X78</t>
  </si>
  <si>
    <t>Intentional self-harm by sharp object</t>
  </si>
  <si>
    <t>X80</t>
  </si>
  <si>
    <t>Intentional self-harm by jumping from a high place</t>
  </si>
  <si>
    <t>X76</t>
  </si>
  <si>
    <t>Intentional self-harm by smoke, fire and flames</t>
  </si>
  <si>
    <t>X77</t>
  </si>
  <si>
    <t>Intentional self-harm by steam, hot vapours and hot objects</t>
  </si>
  <si>
    <t>X79</t>
  </si>
  <si>
    <t>Intentional self-harm by blunt object</t>
  </si>
  <si>
    <t>X81</t>
  </si>
  <si>
    <t>Intentional self-harm by jumping or lying before moving object</t>
  </si>
  <si>
    <t>X82</t>
  </si>
  <si>
    <t>Intentional self-harm by crashing of motor vehicle</t>
  </si>
  <si>
    <t>X83</t>
  </si>
  <si>
    <t>Intentional self-harm by other specified means</t>
  </si>
  <si>
    <t>X84</t>
  </si>
  <si>
    <t>Intentional self-harm by unspecified means</t>
  </si>
  <si>
    <t>Age-specific rates</t>
  </si>
  <si>
    <t>An age-specific rate measures the frequency with which an event occurs relative to the number of people in a defined age group. In these tables, age-specific rates are given in both five-year age groups and life-stage age groups.</t>
  </si>
  <si>
    <t>Age-standardised rates and rate ratios</t>
  </si>
  <si>
    <t>Confidence intervals and statistical significance</t>
  </si>
  <si>
    <t>The rate ratio refers to the frequency with which these events are reported in one population group compared with other groups.</t>
  </si>
  <si>
    <t>Deprivation quintile</t>
  </si>
  <si>
    <t>Urban/rural profile</t>
  </si>
  <si>
    <t>Further information</t>
  </si>
  <si>
    <t>General information about suicide prevention</t>
  </si>
  <si>
    <t>For health data, including suicide statistics, contact:</t>
  </si>
  <si>
    <t>Analytical Services</t>
  </si>
  <si>
    <t>National Collections and Reporting</t>
  </si>
  <si>
    <t>Client Insights and Analytics</t>
  </si>
  <si>
    <t>Ministry of Health</t>
  </si>
  <si>
    <t>PO Box 5013</t>
  </si>
  <si>
    <t>Wellington</t>
  </si>
  <si>
    <t>Phone: (04) 496 2000</t>
  </si>
  <si>
    <t>Fax: (04) 816 2898</t>
  </si>
  <si>
    <t>Email: data-enquiries@moh.govt.nz</t>
  </si>
  <si>
    <t>Website: www.health.govt.nz</t>
  </si>
  <si>
    <t>https://www.health.govt.nz/our-work/mental-health-and-addictions/working-prevent-suicide</t>
  </si>
  <si>
    <t>ABOUT THESE TABLES</t>
  </si>
  <si>
    <t>United States of America (2007)</t>
  </si>
  <si>
    <t>http://archive.stats.govt.nz/browse_for_stats/Maps_and_geography/Geographic-areas/urban-rural-profile.aspx</t>
  </si>
  <si>
    <t>Error bars represent 95% confidence intervals.</t>
  </si>
  <si>
    <t>Error bars represent 95% confidence interval.</t>
  </si>
  <si>
    <t>Age-specific suicide rates by life-stage group, 1996–2015</t>
  </si>
  <si>
    <t>Age-specific suicide rates by life-stage group, by sex 1996–2015</t>
  </si>
  <si>
    <t>Numbers of suicide deaths and age-specific suicide rates by sex and life-stage group, 1996–2015</t>
  </si>
  <si>
    <t>Distribution of suicide deaths by method used, life-stage group and sex,1996–2015</t>
  </si>
  <si>
    <t>For females aged less than 45 years, the methods of suicide are similar to males of the same age. The use of hanging, strangulation and suffocation increased over the time period for this group. In the older life-stage groups the use of poisoning was more prominent among females, with the proportion of females using poisoning from solids and liquids increasing with each life-stage group.</t>
  </si>
  <si>
    <t>KEY FINDINGS</t>
  </si>
  <si>
    <t>Urban/rural graphs and tables</t>
  </si>
  <si>
    <t>Māori and non-Māori age and sex graphs and tables</t>
  </si>
  <si>
    <t>The number of suicide deaths refers to the number of people who have died by suicide.</t>
  </si>
  <si>
    <t>District Health Board region rates</t>
  </si>
  <si>
    <t>Analysis</t>
  </si>
  <si>
    <t>These tables include a classification of deaths by the urban/rural profile of the person committing suicide. Urban / rural profile data has been available since 2003. The address recorded on the person’s death certificate is used to determine whether the person’s place of residence was urban or rural. Statistics New Zealand has developed an experimental urban/rural profile, which was used to allocate a profile to people committing suicide for the data in this report. For more information on urban/rural profiles, see:</t>
  </si>
  <si>
    <t>In the International comparisons tables New Zealand data is for 2015, whereas for most other countries’ data is for years between 2012 and 2014 (except USA - 2007 and Canada - 2005)</t>
  </si>
  <si>
    <t xml:space="preserve">Deprivation data has been available since 2001. The New Zealand Social Deprivation Index is a measure of socioeconomic status calculated for small geographic areas. It is calculated at the level of meshblocks (geographical units containing a median of 90 people), and the Ministry of Health maps these to domicile codes, which are built up to the relevant geographic scale using weighted average 'usually resident population' counts from the Census. This publication presents suicide death rates by deprivation quintile of residence, ranging from 1 (least deprived) to 5 (most deprived), according to the 2013 New Zealand Deprivation Index. Approximately equal numbers of people reside in areas associated with each of the five deprivation areas.
</t>
  </si>
  <si>
    <t xml:space="preserve">Title: </t>
  </si>
  <si>
    <t>Summary:</t>
  </si>
  <si>
    <t>Series:</t>
  </si>
  <si>
    <t>Suicide Facts: Deaths and intentional self-harm hospitalisations</t>
  </si>
  <si>
    <t xml:space="preserve">Suicide data presented was extracted from the New Zealand Mortality Collection. </t>
  </si>
  <si>
    <t>Published:</t>
  </si>
  <si>
    <t>Additional information:</t>
  </si>
  <si>
    <t>Suicide Facts: Deaths and intentional self-harm hospitalisations - series</t>
  </si>
  <si>
    <t>If you require information not included in this file, the Ministry of Health is able to provide customised data extracts tailored to your needs. These may incur a charge (at Official Information Act rates).</t>
  </si>
  <si>
    <t>See below for contact details.</t>
  </si>
  <si>
    <t>Postal address:</t>
  </si>
  <si>
    <t>Wellington 6145</t>
  </si>
  <si>
    <t>Email:</t>
  </si>
  <si>
    <t>data-enquiries@moh.govt.nz</t>
  </si>
  <si>
    <t>Phone:</t>
  </si>
  <si>
    <t>(04) 496 2000</t>
  </si>
  <si>
    <t xml:space="preserve">Fax: </t>
  </si>
  <si>
    <t>(04) 816 2898</t>
  </si>
  <si>
    <t>Suicide Facts: Data tables 1996–2015</t>
  </si>
  <si>
    <t>Description</t>
  </si>
  <si>
    <t>Tabs</t>
  </si>
  <si>
    <t>Key findings</t>
  </si>
  <si>
    <t>Intentional self-harm categories and ICD-10-AM codes</t>
  </si>
  <si>
    <t>Codes</t>
  </si>
  <si>
    <t>About</t>
  </si>
  <si>
    <t xml:space="preserve">Intentional self-harm categories and ICD-10-AM codes used in these tables are listed in this section. </t>
  </si>
  <si>
    <t xml:space="preserve">Data tabs </t>
  </si>
  <si>
    <t>Suicide deaths as a percentage of all deaths, by 5-year age group and sex, 2015</t>
  </si>
  <si>
    <t>Numbers that are similar across mulitple years may produce different rates due to changes in population size.</t>
  </si>
  <si>
    <t>Suicide rates by ethnic group and sex, 2011–2015</t>
  </si>
  <si>
    <t>For Māori and non-Māori males and females, the most common methods of suicide used over the 20-year period to 2015 were hanging, strangulation and suffocation. 
Poisoning by solids and liquids was also common among non-Māori females.</t>
  </si>
  <si>
    <t>DHB5yr</t>
  </si>
  <si>
    <t>2001-05</t>
  </si>
  <si>
    <t>2006-10</t>
  </si>
  <si>
    <t>2011-15</t>
  </si>
  <si>
    <t xml:space="preserve">Notes: 
Rates are 5 year average annual rates expressed per 100,000 population and age standardised to the WHO World Standard Population.
</t>
  </si>
  <si>
    <t>SUICIDE RATES BY DISTRICT HEALTH BOARD REGION</t>
  </si>
  <si>
    <t>0</t>
  </si>
  <si>
    <t>·       prioritised ethnicity (Māori, Pacific, Asian, Other)</t>
  </si>
  <si>
    <t>MPAOdep 5yr</t>
  </si>
  <si>
    <t>MPAO methods 5yr</t>
  </si>
  <si>
    <t>Unknown deprivation</t>
  </si>
  <si>
    <t>numunk</t>
  </si>
  <si>
    <t>Urban areas</t>
  </si>
  <si>
    <t>Rural areas</t>
  </si>
  <si>
    <t xml:space="preserve">International </t>
  </si>
  <si>
    <t>SUICIDE RATES BY URBAN AND RURAL PROFILE</t>
  </si>
  <si>
    <t>INTERNATIONAL SUICIDE RATE COMPARISONS</t>
  </si>
  <si>
    <t>CODES USED IN THESE TABLES</t>
  </si>
  <si>
    <t>Māori youth</t>
  </si>
  <si>
    <t>Not all methods used by Māori and non-Māori are shown on the graphs.
Please refer to the table for the proportion of suicide deaths by all methods.</t>
  </si>
  <si>
    <t>DISTRIBUTION OF SUICIDES BY METHODS USED</t>
  </si>
  <si>
    <t>SUICIDE RATES BY SEX AND LIFE-STAGE GROUP</t>
  </si>
  <si>
    <t>See distribution of methods used by Māori and non-Māori</t>
  </si>
  <si>
    <t>A snapshot of 2015</t>
  </si>
  <si>
    <t>Age standardised suicide rates for Māori 
and non-Māori by sex, 1996–2015</t>
  </si>
  <si>
    <t>Source: New Zealand Mortality Collection.</t>
  </si>
  <si>
    <t>SUICIDE RATES BY ETHNIC GROUP</t>
  </si>
  <si>
    <t>Ethnic group</t>
  </si>
  <si>
    <t>Percent</t>
  </si>
  <si>
    <t xml:space="preserve">Number </t>
  </si>
  <si>
    <t>Deprivation quintile 5 represents the most deprived areas and quintile 1 represents the least deprived areas.</t>
  </si>
  <si>
    <t>Age-standardised suicide rates by deprivation quintiles 1–5, 2006–2015</t>
  </si>
  <si>
    <t>Age-standardised suicide rates, by deprivation quintiles 1 and 5, 2006–2015</t>
  </si>
  <si>
    <t>Age-standardised suicide rates for males by deprivation quintiles 1–5, 2006–2015</t>
  </si>
  <si>
    <t>Age-standardised suicide rates for females by deprivation quintiles 1–5, 2006–2015</t>
  </si>
  <si>
    <t>CI</t>
  </si>
  <si>
    <t>male</t>
  </si>
  <si>
    <t>female</t>
  </si>
  <si>
    <t>Numbers of suicide deaths and suicide rates by ethnic group and deprivation quintile, 2011–2015</t>
  </si>
  <si>
    <t>Age-specific suicide rates for youth aged 15–24 years, for OECD countries, by sex</t>
  </si>
  <si>
    <t>Age-standardised suicide rates for OECD countries, by sex</t>
  </si>
  <si>
    <t>The rates of suicide for youth tended to be higher than other life stage groups.</t>
  </si>
  <si>
    <t>In New Zealand the number of suicide deaths tended to be between 500 and 550 per year.</t>
  </si>
  <si>
    <t>The rate of suicide decreased by around 20% over the last 20 years.</t>
  </si>
  <si>
    <t>·</t>
  </si>
  <si>
    <t>Number of suicide deaths:  525</t>
  </si>
  <si>
    <t>Number of male suicide deaths : 383</t>
  </si>
  <si>
    <t>Rate of male suicides: 16.3 per 100,000 males</t>
  </si>
  <si>
    <t>Rate of suicide:  11.0 per 100,000 population</t>
  </si>
  <si>
    <t>Number of female suicide deaths: 142</t>
  </si>
  <si>
    <t xml:space="preserve">One in three Māori male deaths in the youth age group was by suicide. </t>
  </si>
  <si>
    <t>Note:</t>
  </si>
  <si>
    <t>Note: Rates are expressed per 100,000 population and age standardised to the WHO World Standard Population.</t>
  </si>
  <si>
    <t>CI Allages</t>
  </si>
  <si>
    <t>The rate of male suicides decreased by 30% over the last 20 years.</t>
  </si>
  <si>
    <t>Age standardised suicide rates for Māori and non-Māori by sex, 1996–2015</t>
  </si>
  <si>
    <t>Further information on causes of death can be found in the Mortality and Demographic Data series (www.health.govt.nz).</t>
  </si>
  <si>
    <t>Quick facts</t>
  </si>
  <si>
    <t>In these tables, we extracted data on suicides between 1996 and 2015 and recalculated the rates for all years to reflect ongoing updates to data in the New Zealand Mortality Collection (eg, following the release of coroners' findings) and the revision of population estimates following each census. As a result there may be small changes to some numbers and rates from those in previous publications.</t>
  </si>
  <si>
    <t>Māori Non-Māori</t>
  </si>
  <si>
    <t>Age Sex</t>
  </si>
  <si>
    <t>Age-standardised suicide rates for Māori, by deprivation quintiles 2–5, 2006–2015</t>
  </si>
  <si>
    <t>DHB region</t>
  </si>
  <si>
    <t xml:space="preserve">Time trend data is presented as numbers and rates in tables to the right of each sheet. 
</t>
  </si>
  <si>
    <t>Additional information</t>
  </si>
  <si>
    <t>Suicide rates for New Zealand are compared to those from other countries in the Organisation for Economic Co-operation and Development (OECD).</t>
  </si>
  <si>
    <t xml:space="preserve">Notes and definitions are provided to aid the interpretation of the data. </t>
  </si>
  <si>
    <t>Quick facts contains a high level snapshot of suicide deaths in New Zealand for 2015 and over the 20-year period 1996–2015.</t>
  </si>
  <si>
    <t>Numbers of suicide deaths and rates of suicide are shown for Māori and non-Māori by sex, life-stage group and deprivation quintile.</t>
  </si>
  <si>
    <t>Distribution (%) of suicide deaths for Māori and non-Māori are shown by methods of suicide used.</t>
  </si>
  <si>
    <t xml:space="preserve">Numbers of suicide deaths and rates of suicide are shown by sex and life-stage group. </t>
  </si>
  <si>
    <t>Data is presented for either a 20-year period (1996–2015) or a 10-year period (2006–2015).</t>
  </si>
  <si>
    <t xml:space="preserve">Interpretation </t>
  </si>
  <si>
    <t>The difference in rates between Māori and non-Māori was most notable in the youth age group. 
For most of the five years to 2015, the rate for Māori youth was at least twice that for non-Māori youth.  The trend was true for both Māori male and females in this age group.</t>
  </si>
  <si>
    <r>
      <rPr>
        <sz val="10"/>
        <color theme="1"/>
        <rFont val="Symbol"/>
        <family val="1"/>
        <charset val="2"/>
      </rPr>
      <t>·</t>
    </r>
    <r>
      <rPr>
        <sz val="10"/>
        <color theme="1"/>
        <rFont val="Arial"/>
        <family val="2"/>
      </rPr>
      <t xml:space="preserve">  Māori, 16.5 per 100,000 Māori</t>
    </r>
  </si>
  <si>
    <r>
      <rPr>
        <sz val="10"/>
        <color theme="1"/>
        <rFont val="Symbol"/>
        <family val="1"/>
        <charset val="2"/>
      </rPr>
      <t>·</t>
    </r>
    <r>
      <rPr>
        <sz val="10"/>
        <color theme="1"/>
        <rFont val="Arial"/>
        <family val="2"/>
      </rPr>
      <t xml:space="preserve">  Pacific, 8.5 per 100,000 Pacific</t>
    </r>
  </si>
  <si>
    <t>DHB graphs and tables (time trend)</t>
  </si>
  <si>
    <t>Suicide rates for the Other ethnic group were highest among males aged 15–64 years. Rates for females were lower than for males, but followed a similar trend.</t>
  </si>
  <si>
    <t>Rates increased for this group as levels of deprivation increased, with the highest rates being among those living in the highest deprivation.</t>
  </si>
  <si>
    <t>The most common methods of suicide used were hanging, strangulation and suffocation. 
The proportion of suicides using these methods increased from about 40% to 60% from 1996–2015. In the same period the use of poisoning by gases and vapours decreased from about 30% to 9%. Use of other methods did not change much over time.</t>
  </si>
  <si>
    <t>Methods used graphs and tables</t>
  </si>
  <si>
    <t>The most notable change was for males in rural areas.  The rate for males in rural areas reduced from a peak rate of 26.9 per 100,000 in 2006, to a rate maintained at less than 20.0 per 100,000 since 2012. This reduction was not significant.  For male youth, the rate of rural suicides decreased significantly from a peak of 54.4 per 100,000 in 2009 to 15.0 per 100,000 in 2015.</t>
  </si>
  <si>
    <t>Age-standardised suicide rates by ethnic group and sex, 2011–2015</t>
  </si>
  <si>
    <t>Age-standardised suicide rates by ethnic group and deprivation quintiles 1–5, 2011–2015</t>
  </si>
  <si>
    <t>Distribution of suicide deaths by ethnic group and methods used, 2011–2015</t>
  </si>
  <si>
    <t>Distribution of suicide deaths by methods used, 2011–2015</t>
  </si>
  <si>
    <t>The suicide rate for Māori females increased over the last 20 years, while the rate for non-</t>
  </si>
  <si>
    <t>Māori females stayed mostly the same.</t>
  </si>
  <si>
    <t>Because of small numbers of suicides per year, the following rates are shown as five-year rates (2011–2015)</t>
  </si>
  <si>
    <t>One in three male deaths in the youth age group (15–24 years) was by suicide.</t>
  </si>
  <si>
    <t>Māori total</t>
  </si>
  <si>
    <t xml:space="preserve">Māori male </t>
  </si>
  <si>
    <t xml:space="preserve">Māori female </t>
  </si>
  <si>
    <t>Time trend graphs show rates of suicide by age, sex, and Māori and non-Māori.</t>
  </si>
  <si>
    <t>Graphs for 2015 show the rates of suicide by age and sex. Ethnic group data is aggregated over the five years, 2011 to 2015.</t>
  </si>
  <si>
    <t>Distribution of suicides is shown by methods of suicide used, for all ages and for life-stage group.</t>
  </si>
  <si>
    <t>Distribution of methods used is also shown for each ethnic group for the aggregated period, 2011–2015.</t>
  </si>
  <si>
    <t xml:space="preserve">Numbers of suicide deaths and rates of suicide for Māori, Pacific, Asian and Other ethnic groups are presented by sex, life-stage group and deprivation quintile for the aggregated period, 2011–2015.   </t>
  </si>
  <si>
    <t>Age-specific suicide rates for Māori and non-Māori, by life-stage group, 1996–2015</t>
  </si>
  <si>
    <t>Age-standardised suicide rates for Māori and non-Māori, 1996–2015</t>
  </si>
  <si>
    <t>Age-standardised suicide rates for Māori and non-Māori, by sex, 1996–2015</t>
  </si>
  <si>
    <t>Numbers of suicide deaths and age-standardised suicide rates for Māori and non-Māori, by sex, 1996–2015</t>
  </si>
  <si>
    <t>non-Māori</t>
  </si>
  <si>
    <t>Numbers of suicide deaths and age-standardised suicide rates for Māori and non-Māori, by sex and life-stage group, 1996–2015</t>
  </si>
  <si>
    <t>Suicide rates for Māori and non-Māori by deprivation</t>
  </si>
  <si>
    <t>Distribution of suicide deaths for Māori and non-Māori, by sex and methods used, 1996–2015</t>
  </si>
  <si>
    <t>Distribution of suicide deaths for Māori and non-Māori by method used, 1996–2015</t>
  </si>
  <si>
    <t>Māori male : Māori female</t>
  </si>
  <si>
    <t>Māori male : Non-Māori male</t>
  </si>
  <si>
    <t>Māori female : Non-Māori female</t>
  </si>
  <si>
    <t>Notes: Rates are expressed per 100,000 population and age standardised to the WHO World Standard Population.</t>
  </si>
  <si>
    <t>Quintile 5 represents the most deprived areas and quintile 1 represents the least deprived areas.</t>
  </si>
  <si>
    <t xml:space="preserve">SUICIDE RATES BY MĀORI / NON-MĀORI </t>
  </si>
  <si>
    <t>The rates of suicide are presented by sex and life-stage group from 1996–2015. 
Numbers of suicide deaths and rate ratios are also presented in the table.</t>
  </si>
  <si>
    <t>Age-specific suicide rates, by deprivation quintiles 1–5, and life-stage group, 2006–2015</t>
  </si>
  <si>
    <t>Numbers of suicide deaths and age-specific suicide rates by sex, life-stage group and 
deprivation quintile, 2006–2015</t>
  </si>
  <si>
    <t>To select a method used to show on all graphs, click in the small box beside the legend to the right of the graph.</t>
  </si>
  <si>
    <t>Numbers of suicide deaths and age-standardised suicide rates by methods used, sex and life-stage group, 1996–2015</t>
  </si>
  <si>
    <t xml:space="preserve">In this section the distribution of suicides is shown by methods of suicide used.  </t>
  </si>
  <si>
    <t>Number (5-year)</t>
  </si>
  <si>
    <t>Age-standardised rate of suicide, by urban/rural profile, 2006–2015</t>
  </si>
  <si>
    <t>Age-standardised rate of suicide for males, by urban/rural profile, 2006–2015</t>
  </si>
  <si>
    <t>Age-standardised rate of suicide for females, by urban/rural profile, 2006–2015</t>
  </si>
  <si>
    <t>Males, 15–24 years</t>
  </si>
  <si>
    <t>Males, 25–44 years</t>
  </si>
  <si>
    <t>Males, 45–64 years</t>
  </si>
  <si>
    <t>*Unknown group includes 'Outside of Rural/Urban profile'. Unknowns are excluded from rate calculations.</t>
  </si>
  <si>
    <t xml:space="preserve"> Age-specific suicide rates for males, by urban/rural profile and life-stage group, 2006–2015</t>
  </si>
  <si>
    <t>Note: Percentages are for the five-year period 2011–2015.</t>
  </si>
  <si>
    <t xml:space="preserve">Numbers have been aggregated over a five-year period (2011–2015) as some ethnic groups have very small numbers of suicide deaths.  
</t>
  </si>
  <si>
    <t>Rates are five-year rates, expressed per 100,000 population and age standardised to the WHO World Standard Population.</t>
  </si>
  <si>
    <t>Notes:
Rates for the total population are five-year rates, expressed per 100,000 population and age standardised to the WHO World Standard Population.</t>
  </si>
  <si>
    <t>Sources: OECD 2017 (OECD countries except New Zealand)</t>
  </si>
  <si>
    <t xml:space="preserve">                New Zealand data: New Zealand Mortality Collection</t>
  </si>
  <si>
    <t>The number of suicide deaths in these tables differs from the number released by the Chief Coroner. The Chief Coroner’s data includes all deaths initially identified at the coroner’s office as self-inflicted. However, only those deaths determined as ‘intentionally self-inflicted’ after investigation will receive a final verdict of suicide. Some deaths provisionally coded as suicide may be determined not to be suicide at a later date. In addition, when coroners do not specify whether self-inflicted poisoning is accidental or with intent to harm, the coding rules require the death would be coded to accidental poisoning (not undetermined intent). This rule could lead to an overstatement of accidental poisonings and an understatement of deaths from undetermined intent.</t>
  </si>
  <si>
    <t>Back to Contents</t>
  </si>
  <si>
    <t>See distribution of methods used by ethnic groups</t>
  </si>
  <si>
    <t>See suicide rates for Māori and non-Māori by deprivation</t>
  </si>
  <si>
    <t>See suicide rates by ethnic group and deprivation</t>
  </si>
  <si>
    <t>QUICK FACTS</t>
  </si>
  <si>
    <t>Numbers of suicide deaths and age-standardised suicide rates for Māori and non-Māori, by deprivation quintiles 1–5, 2001–2015</t>
  </si>
  <si>
    <t>The rate of suicide for males decreased significantly (28.8%), from 22.9 per 100,000 males in 1996 to 16.3 per 100,000 males in 2015. During the same time period the rate for females did not change markedly.</t>
  </si>
  <si>
    <t>The rate of suicide for adults aged 45–64 years has increased slightly over the 20-year period. In recent years the difference in rate between this life-stage group and the 25–44 years life-stage group has decreased. 
The rates for males in this age group were generally around three times that for females. Rates for women in this age group increased slightly over the 20-year period.</t>
  </si>
  <si>
    <t xml:space="preserve">Deprivation data is shown from 2006 to 2015. During this period the rates of suicide for deprivation quintiles 1 and 5 did not change much.  However for the majority of these years the rate of suicide for those living in the most deprived areas (quintile 5 areas) was significantly higher (around twice as high) than for those living in the least deprived areas (quintile 1). 
</t>
  </si>
  <si>
    <t>Almost one in two female deaths in the youth age group was by suicide.</t>
  </si>
  <si>
    <t xml:space="preserve">For males, hanging, strangulation and suffocation were generally used most commonly in all life-stage groups.  For those aged 65+ years the use of firearms was also relatively common. </t>
  </si>
  <si>
    <t xml:space="preserve">Māori and non-Māori </t>
  </si>
  <si>
    <t>Rate of suicide for Māori: 16.5 per 100,000 Māori.</t>
  </si>
  <si>
    <t>Numbers of suicide deaths and age-standardised suicide rates by urban/rural profile and sex, 2006–2015</t>
  </si>
  <si>
    <t>Numbers of suicide deaths and age-specific suicide rates by urban/rural profiles, sex and life-stage group , 2006–2015</t>
  </si>
  <si>
    <t>Those with significantly lower rates than the national suicide rate were Waitemata, Auckland, and Capital &amp; Coast DHBs.</t>
  </si>
  <si>
    <t xml:space="preserve">From 2006–2015 the rate of suicides in rural areas were generally higher than in urban areas, however from 2011 there were only small differences in rates between rural and urban areas across all life-stage groups. 
</t>
  </si>
  <si>
    <t xml:space="preserve">Differences in the rates of suicide between those living in rural and urban areas have decreased over time, most markedly among male youth. </t>
  </si>
  <si>
    <t>Note in this section New Zealand data is for 2015, but data from other countries may be from different years.</t>
  </si>
  <si>
    <t xml:space="preserve">Over the 20-year period, suicide rates for Māori fluctuated, but were significantly higher than for non-Māori for the majority of the period.
For the majority of the 20-year period, suicide rates for Māori tended to be highest for males, those aged 15–44 years and those living in more deprived areas. </t>
  </si>
  <si>
    <t>The rates for both Māori and non-Māori were generally higher in the most deprived areas of New Zealand.</t>
  </si>
  <si>
    <t>Māori female in the youth and 25–44 years life-stage groups had higher suicide rates than females of the same age in other ethnic groups.</t>
  </si>
  <si>
    <t>Deprivation graphs and tables</t>
  </si>
  <si>
    <t>The best available resident population (either estimated or projected or a combination) as at 30 June for each year was used for analyses by:</t>
  </si>
  <si>
    <t>Numbers of suicide deaths can be found in the accompanying tables.</t>
  </si>
  <si>
    <t>Numbers of suicide deaths and rates of suicide are presented by deprivation quintiles (1–5).</t>
  </si>
  <si>
    <t>15–24 years (Youth)</t>
  </si>
  <si>
    <t>Sex graph and tables</t>
  </si>
  <si>
    <t>Life-stage graph and tables</t>
  </si>
  <si>
    <t>Māori and non-Māori methods used graphs and tables</t>
  </si>
  <si>
    <t>Ethnic groups graphs and tables</t>
  </si>
  <si>
    <t xml:space="preserve">International graphs and tables </t>
  </si>
  <si>
    <t>Back to Key findings</t>
  </si>
  <si>
    <t>See Māori/Non-Māori by deprivation</t>
  </si>
  <si>
    <t>See Māori/Non-Māori by methods used</t>
  </si>
  <si>
    <t>Numbers of suicide deaths and rates of suicide are shown for urban and rural areas.</t>
  </si>
  <si>
    <t>Urban / rural profile</t>
  </si>
  <si>
    <t xml:space="preserve">Of all the life-stage groups, youth generally had the highest rates of suicide, but the rate for youth decreased significantly over the 20-year period. 
The youth rate for males also decreased significantly, however for most of the 20-year period the rate for youth-aged males remained at least twice as high as the rate for youth-aged females.
</t>
  </si>
  <si>
    <t xml:space="preserve">The highest rates were for Māori males. Over the five years to 2015, the rate for Māori males was significantly higher than for non-Māori males. 
Over the last ten years rates for Māori females have generally increased while the rates for non-Māori females have stayed about the same.
</t>
  </si>
  <si>
    <t>In the last five years the rate of suicide has generally increased as each level of deprivation has increased. The difference in suicide rates between the least and most deprived areas was larger over the five years from 2011–2015, compared with the previous five years from 2006–2010.</t>
  </si>
  <si>
    <t>Rates of suicide (for the five-year period 2011–2015) were higher for Māori than other ethnic groups:</t>
  </si>
  <si>
    <r>
      <rPr>
        <sz val="10"/>
        <color theme="1"/>
        <rFont val="Symbol"/>
        <family val="1"/>
        <charset val="2"/>
      </rPr>
      <t>·</t>
    </r>
    <r>
      <rPr>
        <sz val="10"/>
        <color theme="1"/>
        <rFont val="Arial"/>
        <family val="2"/>
      </rPr>
      <t xml:space="preserve">  Other, 11.2 per 100,000 Other.</t>
    </r>
  </si>
  <si>
    <t>Note because of small numbers in some ethnic groups data in this section has been aggregated for the five-year period (2011–2015).</t>
  </si>
  <si>
    <t xml:space="preserve">The most common methods used were hanging, strangulation and suffocation (85%). </t>
  </si>
  <si>
    <t>As with other ethnic groups, the most common methods used were hanging, strangulation and suffocation.</t>
  </si>
  <si>
    <t>The most common methods used were hanging, strangulation and suffocation (51.1%). The use of poisoning (all types) and firearms were more common in this group than in the other ethnic groups (25.8% and 11.2% respectively).</t>
  </si>
  <si>
    <t>Numbers of suicide deaths and age-standardised suicide rates by sex and deprivation quintile, 
2006–2015</t>
  </si>
  <si>
    <t>Data is presented for all ages, and for life-stage group by sex.</t>
  </si>
  <si>
    <t>Check or uncheck the boxes to change your selection.</t>
  </si>
  <si>
    <t>All graphs will update at the same time.</t>
  </si>
  <si>
    <t>Data is available from 2003.</t>
  </si>
  <si>
    <t>See Ethnic group by deprivation</t>
  </si>
  <si>
    <t>See Ethnic group by methods used</t>
  </si>
  <si>
    <t>Age and sex</t>
  </si>
  <si>
    <t xml:space="preserve">Methods used </t>
  </si>
  <si>
    <t>quintile</t>
  </si>
  <si>
    <t>About the data</t>
  </si>
  <si>
    <t>Over the 20-year period (1996–2015), there was a statistically significant decrease in the rate of suicide (22.3% decrease, from 14.2 per 100,000 in 1996 to 11.0 per 100,000 in 2015). The peak rate during this period was in 1998 (15.1 per 100,000 population) and the lowest rate was in 2014 (10.8 per 100,000).</t>
  </si>
  <si>
    <t>Over the 20-year time period the rate for adults aged 25–44 years decreased significantly.  The rate in 2015 was 14.4 per 100,000 population, well below the rates in the late 1990's of around 20 per 100,000.
For the majority of this period the rate for males in this life-stage group was at least three times higher than the rate for females of the same age. Rates for females in this life-stage group did not change markedly over the 20-year period.</t>
  </si>
  <si>
    <t>Of all the life-stage age groups, adults aged 65+ years generally had the lowest rates of suicide. The suicide rate in this age group decreased by nearly 40% in the 20-year period.  
Rates of suicide for those aged 65+ years remained much the same in the ten years to 2015 (mostly between 9.0–10.0 per 100,000). Like other life-stage groups, rates for men were much higher than rates for women.</t>
  </si>
  <si>
    <t>For most of the 10-year period, the rate of suicide for males living in quintile 5 was around twice as high as for males living in quintile 1. For females, the difference in rate between quintile 1 and quintile 5 has increased during the 10-year period.</t>
  </si>
  <si>
    <t xml:space="preserve">In 2015, the rate for female Māori youth was higher than the rate for male Māori youth. Although rates of suicide fluctuate year-on-year, suicide rates for female Māori youth increased over the last 10 years, from a rate of 13.6 per 100,000 in 2006 to 35.3 per 100,000 in 2015 (this difference is not significant).  </t>
  </si>
  <si>
    <t>The rate of suicide for Māori by deprivation quintile fluctuated over the 10-year period, but rates for Māori were mostly higher than non-Māori for equivalent quintiles in nearly all years.</t>
  </si>
  <si>
    <t>Male youth</t>
  </si>
  <si>
    <t>Female youth</t>
  </si>
  <si>
    <t>Male all ages</t>
  </si>
  <si>
    <t>Female all ages</t>
  </si>
  <si>
    <t>The use of the term 'significant' indicates the result was statistically significant. Confidence intervals have been used to assist in comparing rates between different groups with a stated level of probability, typically 95%.</t>
  </si>
  <si>
    <t>The blue column represents the DHB rate for the five-year period and the black dash represents the national rate for that same period.</t>
  </si>
  <si>
    <t>Rate per 100,000</t>
  </si>
  <si>
    <t>A snapshot of the last 20 years (1996–2015)</t>
  </si>
  <si>
    <t>Male suicide rates were at least 2.5 times the rate of female suicides.</t>
  </si>
  <si>
    <t>While suicide rates have decreased for those in the 15–25 years, 25–44 years and 65+ years life stage groups, the rates of suicide for those aged 45–64 years stayed mostly the same.</t>
  </si>
  <si>
    <t>Key findings about suicide in New Zealand 1996–2015</t>
  </si>
  <si>
    <t>For most of the 20-year period, the rates for Māori were consistently higher than for non-Māori.</t>
  </si>
  <si>
    <t>The suicide rate for Māori males has generally been markedly higher than for non-Māori males.</t>
  </si>
  <si>
    <t>Age-standardised suicide rates for Māori and non-Māori, by deprivation quintiles 2–5, 2006–2015</t>
  </si>
  <si>
    <t>Extraction date:</t>
  </si>
  <si>
    <t>13 February 2018</t>
  </si>
  <si>
    <t>The Key findings provide interpretation of the data and graphs shown in the tabs of the workbook. It provides comparisons between populations and describes the trends over the years 1996–2015. Links to the relevant tables and graphs can be found to the right of the findings.</t>
  </si>
  <si>
    <t>Rates are five-year average annual rates,  expressed per 
100,000 population and age standardised to the WHO World 
Standard Population.</t>
  </si>
  <si>
    <t>Year</t>
  </si>
  <si>
    <t>Rates are five-year average annual rates, expressed per 100,000 population and age standardised to the WHO World Standard Population.</t>
  </si>
  <si>
    <t>Rates of suicide for different life-stage groups changed over time. In 1996 there were marked differences when comparing the suicide rate for youth, to those aged 25–44 years and to those aged 45–64 years. However for the years since 2012 there were only small differences between rates for these three life-stage groups.</t>
  </si>
  <si>
    <t>Females from New Zealand had the 5th highest suicide rates, behind Republic of Korea, Japan, Belgium and Finland.</t>
  </si>
  <si>
    <t>Rates are not calculated where a category has fewer than five suicide deaths. Calculating rates of suicide from fewer than five suicide deaths produces unstable rates.</t>
  </si>
  <si>
    <t xml:space="preserve">Rates are not calculated where a category has fewer than five suicide deaths. Calculating rates of suicide from fewer than five </t>
  </si>
  <si>
    <t>suicide deaths produces unstable rates.</t>
  </si>
  <si>
    <t>Distribution of suicide deaths for Māori and non-Māori, by sex and methods used</t>
  </si>
  <si>
    <t xml:space="preserve">Rates are not calculated where a category has fewer than five suicide deaths. Calculating rates of suicide from fewer </t>
  </si>
  <si>
    <t>than five suicide deaths produces unstable rates.</t>
  </si>
  <si>
    <t>The rates of suicide are presented by deprivation quintile from 2006–2015. Quintile 5 represents the most deprived areas whereas quintile 1 represents the least deprived areas. 
Rates are not calculated where a category has fewer than five suicide deaths. Calculating rates of suicide from fewer than five suicide deaths produces unstable rates.
Numbers of suicide deaths and rate ratios for deprivation quintiles can also be found in the table.</t>
  </si>
  <si>
    <t>Error as a percent of rate</t>
  </si>
  <si>
    <t>Error as percent of rate</t>
  </si>
  <si>
    <t>the WHO World Standard Population.</t>
  </si>
  <si>
    <t>%</t>
  </si>
  <si>
    <t>Number (total for five years)</t>
  </si>
  <si>
    <t xml:space="preserve">Rates are five-year rates expressed per 100,000 population and age standardised to </t>
  </si>
  <si>
    <t>Age-specific suicide rates by ethnic group and life-stage group, 2011–2015</t>
  </si>
  <si>
    <t>Rates are not shown for those aged 65+ years as numbers of suicide deaths for some ethnic groups in this category were too small to produce stable rates.</t>
  </si>
  <si>
    <t>Unknowns are excluded from rate calculations.</t>
  </si>
  <si>
    <t xml:space="preserve">Age-specific suicide rates for Māori and non-Māori youth (aged 15–24 years), </t>
  </si>
  <si>
    <t>by sex, 1996–2015</t>
  </si>
  <si>
    <t>Numbers of suicide deaths for all quintiles can be found in the table.</t>
  </si>
  <si>
    <t xml:space="preserve">For the majority of years from 2006–2015, numbers of suicide deaths for Māori living in quintile 1 areas were too small to produce stable rates, therefore only quintiles 2–5 are shown on the graph.  </t>
  </si>
  <si>
    <t xml:space="preserve">Rates are not shown for Māori living in deprivation quintile 1 as the numbers of suicide deaths in this category </t>
  </si>
  <si>
    <t>were too small to produce stable rates.</t>
  </si>
  <si>
    <t>living in these areas were too small to produce stable rates.</t>
  </si>
  <si>
    <t xml:space="preserve">Rates are not shown for deprivation quintile 1 as the numbers of suicide deaths among Māori </t>
  </si>
  <si>
    <t xml:space="preserve">Rates are not calculated where a category has fewer than 20 suicide deaths (&lt; 5 per year). Calculating rates of suicide from fewer than five suicide deaths per year produces unstable rates. </t>
  </si>
  <si>
    <t>Rates are not calculated where a category has fewer than 20 suicide deaths (&lt; 5 per year). Calculating rates of suicide from fewer than five suicide deaths per year produces unstable rates.</t>
  </si>
  <si>
    <t xml:space="preserve">Data for urban and rural areas is shown for 2006 to 2015.  Age-standardised suicide rates by urban/rural profiles, sex and life-stage group are presented in this section. </t>
  </si>
  <si>
    <t xml:space="preserve">For Pacific, the highest rates of suicide were for male youth (29.8 per 100,000) and males aged 25–44 years (15.5 per 100,000). </t>
  </si>
  <si>
    <t>Rates of suicide for Asian were highest among those living in the most deprived areas.</t>
  </si>
  <si>
    <t>To find out more about suicide and suicide prevention see the Ministry of Health’s suicide prevention webpage:</t>
  </si>
  <si>
    <t>Classification of a suicide</t>
  </si>
  <si>
    <r>
      <t xml:space="preserve">All New Zealand suicide data in these tables was extracted from the Ministry of Health’s Mortality Collection (MORT) on </t>
    </r>
    <r>
      <rPr>
        <sz val="9"/>
        <rFont val="Arial"/>
        <family val="2"/>
      </rPr>
      <t>13 February 2018</t>
    </r>
    <r>
      <rPr>
        <sz val="9"/>
        <color rgb="FFFF0000"/>
        <rFont val="Arial"/>
        <family val="2"/>
      </rPr>
      <t>.</t>
    </r>
    <r>
      <rPr>
        <sz val="9"/>
        <color theme="1"/>
        <rFont val="Arial"/>
        <family val="2"/>
      </rPr>
      <t xml:space="preserve"> The data for other Organisation for Economic Co-operation and Development (OECD) countries was sourced from the OECD.
</t>
    </r>
  </si>
  <si>
    <t>Suicide data is predominantly presented either for the 20-year period from 1996 to 2015, or a 10-year period from 2006 to 2015. Numbers have been aggregated over five-year periods for some groups with very small numbers of suicides per year.</t>
  </si>
  <si>
    <t>For some groups, where suicide numbers are very small, rates can fluctuate greatly between years and are unreliable. These rates are not suitable to be used in statistical comparisons as they can lead to misleading conclusions. For this reason rates are not calculated where a category has fewer than five suicide deaths per year.</t>
  </si>
  <si>
    <t xml:space="preserve">Age-standardised rates were calculated for each DHB region of domicile by an aggregated five-year period to provide sufficient numbers for statistical analysis.
Some figures also provide 99% confidence intervals to aid interpretation. Where a DHB region’s confidence interval crosses the national rate, this means that the DHB region’s suicide rate was not statistically significantly different from the national rate. Caution must be taken when interpreting rates with large error bars as rates with large error bars can be misleading.
</t>
  </si>
  <si>
    <t xml:space="preserve">Suicide rates for the Asian ethnic group were low compared to other ethnic groups. For Asian in the youth and middle-aged life-stage groups (those aged less than 65 years), suicide rates were less than 7.0 per 100,000.
</t>
  </si>
  <si>
    <r>
      <t xml:space="preserve">Suicide rates for New Zealand total population and youth are compared to those from other countries in the Organisation for Economic Co-operation and Development (OECD). Rates are for single years, and cover various years, as data becomes available at different times for different countries. 
A cautious approach is recommended when comparing international suicide statistics because many factors affect the recording and classification of suicide in different countries (refer to the About tab for more information).
</t>
    </r>
    <r>
      <rPr>
        <b/>
        <sz val="10"/>
        <color theme="1"/>
        <rFont val="Symbol"/>
        <family val="1"/>
        <charset val="2"/>
      </rPr>
      <t xml:space="preserve">·  </t>
    </r>
    <r>
      <rPr>
        <b/>
        <sz val="10"/>
        <color theme="1"/>
        <rFont val="Arial"/>
        <family val="2"/>
      </rPr>
      <t xml:space="preserve">The rate of suicide for males from New Zealand ranked 16th highest in the OECD. 
</t>
    </r>
    <r>
      <rPr>
        <b/>
        <sz val="10"/>
        <color theme="1"/>
        <rFont val="Symbol"/>
        <family val="1"/>
        <charset val="2"/>
      </rPr>
      <t>·</t>
    </r>
    <r>
      <rPr>
        <b/>
        <sz val="10"/>
        <color theme="1"/>
        <rFont val="Arial"/>
        <family val="2"/>
      </rPr>
      <t xml:space="preserve">  Females from New Zealand had the 5th highest rate.
For youth, 
</t>
    </r>
    <r>
      <rPr>
        <b/>
        <sz val="10"/>
        <color theme="1"/>
        <rFont val="Symbol"/>
        <family val="1"/>
        <charset val="2"/>
      </rPr>
      <t>·</t>
    </r>
    <r>
      <rPr>
        <b/>
        <sz val="10"/>
        <color theme="1"/>
        <rFont val="Arial"/>
        <family val="2"/>
      </rPr>
      <t xml:space="preserve">  The rate of suicide for male youth from New Zealand ranked 5th highest in the OECD. 
</t>
    </r>
    <r>
      <rPr>
        <b/>
        <sz val="10"/>
        <color theme="1"/>
        <rFont val="Symbol"/>
        <family val="1"/>
        <charset val="2"/>
      </rPr>
      <t xml:space="preserve">·  </t>
    </r>
    <r>
      <rPr>
        <b/>
        <sz val="10"/>
        <color theme="1"/>
        <rFont val="Arial"/>
        <family val="2"/>
      </rPr>
      <t>Female youth from New Zealand had the highest rate in the OECD.</t>
    </r>
  </si>
  <si>
    <t xml:space="preserve">Rates are not shown for those aged 65+ years living in deprivation quintile 5 areas. The number of </t>
  </si>
  <si>
    <t>suicide deaths in this category was too small to produce a stable rate for some years.</t>
  </si>
  <si>
    <t>Error bars represent 99% confidence intervals. Caution must be taken where rates have large error bars, as interpretation of these rates can be misleading.</t>
  </si>
  <si>
    <t>Error bars represent 99% confidence interval. Caution must be taken where rates have large error bars, as interpretation of these rates can be misleading.</t>
  </si>
  <si>
    <t>The dotted line represents the five-year rolling average.</t>
  </si>
  <si>
    <t xml:space="preserve">In this section the rates of suicide for Māori and non-Māori are presented by sex, life-stage group and 
deprivation. Methods used are presented as percentages.
The five-year rolling average is represented by a dotted line on some graphs.
Rates are not calculated where a category has fewer than five suicide deaths. Calculating rates of 
suicide from fewer than five suicide deaths produces unstable rates.
Numbers of suicide deaths and rate ratios are also presented in the table.  
</t>
  </si>
  <si>
    <t>A moving average is used with time series to smooth out short-term fluctuations and highlight longer-term trends or cycles. The moving average in this report is the average of five consecutive years: the year at which the average is presented and the preceding four years.</t>
  </si>
  <si>
    <t>The five-year rolling average is represented by a dotted line on some graphs.</t>
  </si>
  <si>
    <t>Rate of suicide for Pacific: 8.5 per 100,000 Pacific.</t>
  </si>
  <si>
    <t>Rate of suicide for Asian: 4.6 per 100,000 Asian.</t>
  </si>
  <si>
    <t>Rate of suicide for Other: 11.2 per 100,000 Other.</t>
  </si>
  <si>
    <t>The rate of suicide decreased around 10% over the 10 year period 2006–2015.</t>
  </si>
  <si>
    <r>
      <rPr>
        <sz val="10"/>
        <color theme="1"/>
        <rFont val="Symbol"/>
        <family val="1"/>
        <charset val="2"/>
      </rPr>
      <t>·</t>
    </r>
    <r>
      <rPr>
        <sz val="10"/>
        <color theme="1"/>
        <rFont val="Arial"/>
        <family val="2"/>
      </rPr>
      <t xml:space="preserve">  Asian, 4.6 per 100,000 Asian</t>
    </r>
  </si>
  <si>
    <t>If a DHB region's confidence interval does not overlap the national suicide rate, the DHB rate is either statistically higher or lower than the national rate.</t>
  </si>
  <si>
    <t>Numbers of suicide deaths and age-standardised suicide rates by district health board region, 2001–2005, 2006–2010, 2011–2015</t>
  </si>
  <si>
    <t>Rate of suicide, per 100,000 population, by DHB region, 2001–2005, 2006–2010, 2011–2015</t>
  </si>
  <si>
    <t xml:space="preserve">Numbers of suicide deaths and rates of suicides for each district health board region of residence (DHB region) are aggregated into five-year periods (2001–2005, 2006–2010 and 2011–2015).  </t>
  </si>
  <si>
    <t>District Health Board region (DHB region)</t>
  </si>
  <si>
    <t>For the five year period, 2011–2015, DHB regions with significantly higher rates than the national suicide rate were Bay of Plenty, Hawke's Bay, MidCentral, and South Canterbury DHBs.</t>
  </si>
  <si>
    <t>The rates of suicides by DHB region are also compared for all ages and for youth aged 15–24 years for the five-year period 2011 to 2015.</t>
  </si>
  <si>
    <t>The following section presents five-year annual average suicide rates for each district health board region of residence (DHB region).</t>
  </si>
  <si>
    <t>Numbers have been aggregated into five-year periods as some DHB regions have very low numbers of suicide deaths per year; insufficient numbers from which to calculate stable rates. All numbers have been given in the table to provide context to the rates where applicable.</t>
  </si>
  <si>
    <t>If DHB region's confidence interval does not overlap the national suicide rate, the DHB rate is either statistically higher or lower than the national average rate.</t>
  </si>
  <si>
    <t>Age-standardised suicide rates by DHB region, 2011–2015</t>
  </si>
  <si>
    <t>Rate of suicide by DHB region (2011–2015)</t>
  </si>
  <si>
    <t>Numbers of suicide deaths and suicide rates for all ages and numbers of 
suicide deaths for youth, by DHB region, 2011–2015</t>
  </si>
  <si>
    <t>Rates are not calculated for youth. Most DHB regions had too few youth suicide deaths over the five-year period and / or a youth population that is too small to produce stable rates.</t>
  </si>
  <si>
    <t>Rates for the total population are five-year rates, expressed per 100,000 population and age standardised to the WHO World Standard Population.</t>
  </si>
  <si>
    <t>Numbers of suicide deaths by urban and rural areas are also presented in the table.</t>
  </si>
  <si>
    <t>Rates are for the five-year period 2011–2015, expressed per 100,000 population and age standardised to the WHO World 
Standard Population.</t>
  </si>
  <si>
    <t xml:space="preserve">Age-specific suicide rates are for the five-year period 2011–2015, expressed per 100,000 population. </t>
  </si>
  <si>
    <t>Rates are not shown for Pacific living in deprivation quintile 1, 2 and 3 areas and Asian living in deprivation quintile 1 areas, as the numbers of suicide deaths in these categories were too small to produce stable rates.</t>
  </si>
  <si>
    <t>Rates are for the five-year period 2011–2015, expressed per 100,000 population and age-standardised to the WHO World Standard Population.</t>
  </si>
  <si>
    <r>
      <t>Rates are for the five-year period 2011</t>
    </r>
    <r>
      <rPr>
        <sz val="8"/>
        <color theme="1"/>
        <rFont val="Symbol"/>
        <family val="1"/>
        <charset val="2"/>
      </rPr>
      <t>-</t>
    </r>
    <r>
      <rPr>
        <sz val="8"/>
        <color theme="1"/>
        <rFont val="Arial"/>
        <family val="2"/>
      </rPr>
      <t>2015, expressed per 100,000 population.  Rates for 'All ages' are age-standardised to the WHO World Standard Population.</t>
    </r>
  </si>
  <si>
    <t xml:space="preserve">In New Zealand, a death is only officially classified as suicide by the coroner on completion of the coroner’s inquiry and, in some cases, there may be a significant delay in the time taken for the inquiry to be heard. Consequently, a provisional suicide classification may be made before the coroner has reached a finding. The Ministry of Health publishes the number of suicides that have been confirmed by the coroner and also those provisionally coded as suicide where there is enough information to suggest the coroner will find the cause of death to be suicide.
These tables present data about suicide deaths in New Zealand over the 20-year period from 1996 to 2015. The focus is on time trend data, with key statistical information about common demographic variables, such as age, sex, ethnicity, district health board region of residence (DHB region) and neighbourhood deprivation presented through graphs.  Both numbers and rates for this data are available in tables to the right of the graphs. In these tables, we extracted data on suicides between 1996 and 2015 and recalculated the rates for all years to reflect ongoing updates to data in the New Zealand Mortality Collection (for example, following the release of coroners' findings) and the revision of population estimates following each census. As a result there may be small changes to some numbers and rates from those in previous publications.
</t>
  </si>
  <si>
    <t>Rates have been re-calculated for data on suicide deaths in these tables, to reflect ongoing updates to data in the New Zealand Mortality Collection (for example, following the release of coroners' findings) and the revision of population estimates. This has resulted in small changes to some numbers and rates from those reported in previous publications.</t>
  </si>
  <si>
    <t>Rates are expressed per 100,000 population.
Five-year age group rates are not shown for females aged 10–14 years, and females aged 70 years and over. The number of suicide deaths 
in these age groups was too small to produce stable rates.</t>
  </si>
  <si>
    <t xml:space="preserve">Rates are not shown for males aged 65+ years. The numbers of suicide deaths for older males in rural areas, for some years, were too small to produce stable rates.  
</t>
  </si>
  <si>
    <t xml:space="preserve">For this reason rates are not calculated where a category has fewer than five suicide deaths per year. </t>
  </si>
  <si>
    <t xml:space="preserve">For some groups, where suicide numbers are very small, rates can fluctuate greatly between years and are not reliable. These rates are not suitable to be used in statistical comparisons as they can lead to misleading conclusions. </t>
  </si>
  <si>
    <t xml:space="preserve">The rates of suicide for Māori, Pacific, Asian and Other ethnic groups are presented by sex, life-stage group, deprivation quintile and methods used.
Numbers have been aggregated for the five-year period 2011–2015 as some ethnic groups have very low numbers of suicide deaths per year; insufficient numbers from which to calculate stable rates. 
Rates are not calculated where a category has fewer than 20 suicide deaths (less than five per year). 
All numbers for the five-year period have been given in the table to provide context to the rates where applicable. </t>
  </si>
  <si>
    <t>Rates are not calculated where a category has fewer than 20 suicide deaths (less than five per year). Caution must be taken where rates have large error bars, as interpretation of these rates can be misleading.</t>
  </si>
  <si>
    <t>Furthermore, statistical measures, such as confidence intervals, cannot account for these differences. Providing such statistical measures may create a false sense of confidence in the recording of differences. Confidence intervals have therefore been excluded from the section on international comparisons in these tables.</t>
  </si>
  <si>
    <r>
      <t>An</t>
    </r>
    <r>
      <rPr>
        <i/>
        <sz val="9"/>
        <color theme="1"/>
        <rFont val="Arial"/>
        <family val="2"/>
      </rPr>
      <t xml:space="preserve"> </t>
    </r>
    <r>
      <rPr>
        <sz val="9"/>
        <color theme="1"/>
        <rFont val="Arial"/>
        <family val="2"/>
      </rPr>
      <t>age-standardised rate is a rate that has been adjusted to take account of differences in the age distribution of the population over time or between different groups (for example, different ethnic groups). An age-standardised rate ratio is the ratio of two groups’ rates, taking into account differences in the groups’ size and age structure. The standard population used in these tables is the WHO World Population.</t>
    </r>
  </si>
  <si>
    <t xml:space="preserve">The rate of suicide for each DHB region, for each of the three time periods, is shown compared to the national average for each corresponding time period.  </t>
  </si>
  <si>
    <t xml:space="preserve">Internationally, males from New Zealand had the 16th highest suicide rate among countries in the Organisation for Economic Co-operation and Development (OECD). The four highest rates were for Republic of Korea, Latvia, Estonia and Hungary. 
</t>
  </si>
  <si>
    <t>Female youth from New Zealand had the highest rates of suicide among OECD countries, and male youth the 5th highest rates.</t>
  </si>
  <si>
    <t xml:space="preserve">Rates of suicide have been described above for Māori for single years, with the same trends showing for data aggregated over the five-year period.  
For Māori, rates were higher than other ethnic groups for males aged 15–44 years and those living in the most deprived areas. </t>
  </si>
  <si>
    <t>Rates are not shown for Māori aged 65+ years or where a category has fewer than five suicide deaths as the number of suicide deaths was too small to produce stable rates. A missing data point indicates a rate has been supressed.</t>
  </si>
  <si>
    <t xml:space="preserve">For the following graph and table, the numbers and rates of suicide have been aggregated over a five-year period to 2015 (2011–2015).
Rates have been aggregated as some ethnic groups have very small numbers of suicide deaths each year.  
</t>
  </si>
  <si>
    <t xml:space="preserve">In the DHB region graphs, the blue column represents the DHB region's rate for the five-year period and the black dash represents the national rate for that same period.  </t>
  </si>
  <si>
    <t xml:space="preserve">The use of the term 'significant' indicates the result was statistically significant. The confidence intervals in these tables have been calculated for age-standardised rates at the 95% level, except for rates for DHB data, which have been calculated at the 99% level. If two confidence intervals do not overlap, there is considered to be a statistically significant difference between the two groups being compared. </t>
  </si>
  <si>
    <t>Numbers of suicide deaths and suicide rates by ethnic group, sex and life-stage group, for the period 2011–2015</t>
  </si>
  <si>
    <t xml:space="preserve">For some years, the numbers of suicide deaths for some female life stage groups and older males in rural areas are generally too small to produce stable rates. Therefore only suicide rates for males aged less than 65 years are shown. Please refer to the table for numbers of suicide deaths for all these groups.
</t>
  </si>
  <si>
    <t>The standard population used in this report is the WHO World Population.</t>
  </si>
  <si>
    <t>Source: National Casemix and Classification Centre, 2013</t>
  </si>
  <si>
    <t xml:space="preserve">In 2015, those aged 25–44 years living in quintile 5, had the highest rate of all the life-stage groups.  This life-stage group also had the largest difference in rate between those living in the most and least deprived areas. </t>
  </si>
  <si>
    <t>In recent years the rate of suicide for those living in the most deprived areas has been higher than for those living in the least deprived areas for all life-stage groups apart from those aged 65+ years. For the majority of the period 2006 to 2015, the highest rates of suicide were for youth (15−24 years) and middle aged adults (25−44 years) living in the most deprived areas.</t>
  </si>
  <si>
    <t>Percentage of all deaths</t>
  </si>
  <si>
    <t>agesex</t>
  </si>
  <si>
    <t>deprivation</t>
  </si>
  <si>
    <t>October 2018</t>
  </si>
  <si>
    <t>A rate measures how often a suicide occurs relative the number of people in the population. Rates, rather than numbers, are more meaningful when comparing suicide data over time and between different populations (eg, between Māori and non-Māori, between males and females).</t>
  </si>
  <si>
    <t>https://www.health.govt.nz/about-ministry/corporate-publications/mental-health-annual-reports</t>
  </si>
  <si>
    <r>
      <t>Ethnicity data is aggregated over a five-year time period (2011–2015) to provide sufficient numbers for statistical analysis. These tables use prioritised ethnicity, by which each person represented in the data is allocated to a single ethnic group using the priority system M</t>
    </r>
    <r>
      <rPr>
        <sz val="9"/>
        <rFont val="Arial"/>
        <family val="2"/>
      </rPr>
      <t xml:space="preserve">āori &gt; Pacific peoples &gt; Asian &gt; European or Other.  The 'European or Other' ethnic group includes persons of the following ethnicities: European (including New Zealander), MELAA (Middle Eastern, Latin American and African), Other  and Unknown. The aim of prioritisation is to ensure that where it is necessary to assign people to a single ethnic group, those groups that are small or important in terms of policy, are not swamped by the European ethnic group (Ministry of Health, 2004).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</si>
</sst>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0" x14ac:knownFonts="1">
    <font>
      <sz val="10"/>
      <color theme="1"/>
      <name val="Arial"/>
      <family val="2"/>
    </font>
    <font>
      <b/>
      <sz val="10"/>
      <color theme="1"/>
      <name val="Arial"/>
      <family val="2"/>
    </font>
    <font>
      <u/>
      <sz val="10"/>
      <color theme="10"/>
      <name val="Arial"/>
      <family val="2"/>
    </font>
    <font>
      <sz val="11"/>
      <color theme="1"/>
      <name val="Arial"/>
      <family val="2"/>
    </font>
    <font>
      <sz val="10"/>
      <color theme="0" tint="-0.499984740745262"/>
      <name val="Arial"/>
      <family val="2"/>
    </font>
    <font>
      <sz val="10"/>
      <name val="Arial"/>
      <family val="2"/>
    </font>
    <font>
      <sz val="9"/>
      <name val="Arial"/>
      <family val="2"/>
    </font>
    <font>
      <b/>
      <sz val="9"/>
      <name val="Arial"/>
      <family val="2"/>
    </font>
    <font>
      <b/>
      <sz val="10"/>
      <name val="Arial"/>
      <family val="2"/>
    </font>
    <font>
      <b/>
      <sz val="11"/>
      <name val="Arial"/>
      <family val="2"/>
    </font>
    <font>
      <b/>
      <sz val="9"/>
      <color theme="1"/>
      <name val="Arial"/>
      <family val="2"/>
    </font>
    <font>
      <sz val="9"/>
      <color theme="1"/>
      <name val="Arial"/>
      <family val="2"/>
    </font>
    <font>
      <sz val="8"/>
      <color rgb="FF000000"/>
      <name val="Segoe UI"/>
      <family val="2"/>
    </font>
    <font>
      <b/>
      <sz val="12"/>
      <color theme="1"/>
      <name val="Arial"/>
      <family val="2"/>
    </font>
    <font>
      <b/>
      <sz val="11"/>
      <color theme="1"/>
      <name val="Arial"/>
      <family val="2"/>
    </font>
    <font>
      <sz val="8"/>
      <color theme="1"/>
      <name val="Arial"/>
      <family val="2"/>
    </font>
    <font>
      <sz val="8"/>
      <name val="Arial"/>
      <family val="2"/>
    </font>
    <font>
      <sz val="10"/>
      <color rgb="FFFF0000"/>
      <name val="Arial"/>
      <family val="2"/>
    </font>
    <font>
      <sz val="9"/>
      <color rgb="FFFF0000"/>
      <name val="Arial"/>
      <family val="2"/>
    </font>
    <font>
      <b/>
      <sz val="20"/>
      <color theme="1"/>
      <name val="Arial"/>
      <family val="2"/>
    </font>
    <font>
      <b/>
      <sz val="18"/>
      <color theme="1"/>
      <name val="Arial"/>
      <family val="2"/>
    </font>
    <font>
      <b/>
      <sz val="18"/>
      <name val="Arial"/>
      <family val="2"/>
    </font>
    <font>
      <sz val="10"/>
      <color theme="1"/>
      <name val="Arial"/>
      <family val="2"/>
    </font>
    <font>
      <i/>
      <sz val="10"/>
      <color theme="1"/>
      <name val="Arial"/>
      <family val="2"/>
    </font>
    <font>
      <sz val="11"/>
      <color theme="1"/>
      <name val="Georgia"/>
      <family val="1"/>
    </font>
    <font>
      <i/>
      <sz val="9"/>
      <color theme="1"/>
      <name val="Arial"/>
      <family val="2"/>
    </font>
    <font>
      <sz val="10"/>
      <name val="Arial Narrow"/>
      <family val="2"/>
    </font>
    <font>
      <sz val="11"/>
      <color theme="1"/>
      <name val="Calibri"/>
      <family val="2"/>
      <scheme val="minor"/>
    </font>
    <font>
      <sz val="9"/>
      <color theme="0" tint="-0.499984740745262"/>
      <name val="Arial"/>
      <family val="2"/>
    </font>
    <font>
      <sz val="8"/>
      <color theme="1"/>
      <name val="Symbol"/>
      <family val="1"/>
      <charset val="2"/>
    </font>
    <font>
      <b/>
      <sz val="10"/>
      <color theme="1"/>
      <name val="Symbol"/>
      <family val="1"/>
      <charset val="2"/>
    </font>
    <font>
      <i/>
      <sz val="11"/>
      <color theme="1"/>
      <name val="Arial"/>
      <family val="2"/>
    </font>
    <font>
      <sz val="10"/>
      <color theme="1"/>
      <name val="Symbol"/>
      <family val="1"/>
      <charset val="2"/>
    </font>
    <font>
      <b/>
      <sz val="9"/>
      <color theme="1" tint="0.14999847407452621"/>
      <name val="Arial"/>
      <family val="2"/>
    </font>
    <font>
      <sz val="10"/>
      <color rgb="FFE6E6E6"/>
      <name val="Arial"/>
      <family val="2"/>
    </font>
    <font>
      <b/>
      <sz val="10"/>
      <color theme="0"/>
      <name val="Arial"/>
      <family val="2"/>
    </font>
    <font>
      <sz val="10"/>
      <color theme="0"/>
      <name val="Arial"/>
      <family val="2"/>
    </font>
    <font>
      <b/>
      <sz val="9"/>
      <color theme="0"/>
      <name val="Arial"/>
      <family val="2"/>
    </font>
    <font>
      <sz val="9"/>
      <color theme="0"/>
      <name val="Arial"/>
      <family val="2"/>
    </font>
    <font>
      <u/>
      <sz val="9"/>
      <color theme="10"/>
      <name val="Arial"/>
      <family val="2"/>
    </font>
  </fonts>
  <fills count="7">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rgb="FFE7E6E6"/>
        <bgColor indexed="64"/>
      </patternFill>
    </fill>
    <fill>
      <patternFill patternType="solid">
        <fgColor theme="0" tint="-4.9989318521683403E-2"/>
        <bgColor indexed="64"/>
      </patternFill>
    </fill>
    <fill>
      <patternFill patternType="solid">
        <fgColor rgb="FFE6E6E6"/>
        <bgColor indexed="64"/>
      </patternFill>
    </fill>
  </fills>
  <borders count="13">
    <border>
      <left/>
      <right/>
      <top/>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bottom/>
      <diagonal/>
    </border>
  </borders>
  <cellStyleXfs count="9">
    <xf numFmtId="0" fontId="0" fillId="0" borderId="0"/>
    <xf numFmtId="0" fontId="2" fillId="0" borderId="0" applyNumberFormat="0" applyFill="0" applyBorder="0" applyAlignment="0" applyProtection="0"/>
    <xf numFmtId="0" fontId="22" fillId="0" borderId="0"/>
    <xf numFmtId="0" fontId="26" fillId="0" borderId="0"/>
    <xf numFmtId="0" fontId="27" fillId="0" borderId="0"/>
    <xf numFmtId="0" fontId="22" fillId="0" borderId="0"/>
    <xf numFmtId="0" fontId="22" fillId="0" borderId="0"/>
    <xf numFmtId="0" fontId="22" fillId="0" borderId="0"/>
    <xf numFmtId="0" fontId="22" fillId="0" borderId="0"/>
  </cellStyleXfs>
  <cellXfs count="586">
    <xf numFmtId="0" fontId="0" fillId="0" borderId="0" xfId="0"/>
    <xf numFmtId="0" fontId="0" fillId="0" borderId="0" xfId="0" applyFill="1" applyBorder="1"/>
    <xf numFmtId="0" fontId="0" fillId="0" borderId="0" xfId="0" applyFont="1" applyAlignment="1">
      <alignment horizontal="left"/>
    </xf>
    <xf numFmtId="0" fontId="3" fillId="0" borderId="0" xfId="0" applyFont="1" applyAlignment="1">
      <alignment horizontal="left"/>
    </xf>
    <xf numFmtId="0" fontId="0" fillId="0" borderId="0" xfId="0" applyFont="1" applyFill="1" applyBorder="1" applyAlignment="1">
      <alignment horizontal="left"/>
    </xf>
    <xf numFmtId="0" fontId="0" fillId="0" borderId="0" xfId="0" applyFill="1"/>
    <xf numFmtId="0" fontId="4" fillId="0" borderId="0" xfId="0" applyFont="1" applyFill="1"/>
    <xf numFmtId="0" fontId="4" fillId="0" borderId="0" xfId="0" applyFont="1" applyFill="1" applyBorder="1"/>
    <xf numFmtId="0" fontId="5" fillId="2" borderId="0" xfId="0" applyFont="1" applyFill="1" applyBorder="1"/>
    <xf numFmtId="0" fontId="5" fillId="2" borderId="0" xfId="0" applyFont="1" applyFill="1"/>
    <xf numFmtId="0" fontId="6" fillId="2" borderId="0" xfId="0" applyFont="1" applyFill="1"/>
    <xf numFmtId="0" fontId="6" fillId="2" borderId="0" xfId="0" applyFont="1" applyFill="1" applyBorder="1"/>
    <xf numFmtId="0" fontId="0" fillId="2" borderId="0" xfId="0" applyFill="1"/>
    <xf numFmtId="0" fontId="7" fillId="2" borderId="0" xfId="0" applyFont="1" applyFill="1" applyBorder="1"/>
    <xf numFmtId="164" fontId="6" fillId="2" borderId="0" xfId="0" applyNumberFormat="1" applyFont="1" applyFill="1" applyBorder="1"/>
    <xf numFmtId="0" fontId="5" fillId="2" borderId="1" xfId="0" applyFont="1" applyFill="1" applyBorder="1"/>
    <xf numFmtId="0" fontId="6" fillId="2" borderId="1" xfId="0" applyFont="1" applyFill="1" applyBorder="1"/>
    <xf numFmtId="0" fontId="7" fillId="2" borderId="1" xfId="0" applyFont="1" applyFill="1" applyBorder="1"/>
    <xf numFmtId="0" fontId="6" fillId="2" borderId="0" xfId="0" applyFont="1" applyFill="1" applyAlignment="1">
      <alignment horizontal="left"/>
    </xf>
    <xf numFmtId="0" fontId="6" fillId="2" borderId="0" xfId="0" applyFont="1" applyFill="1" applyBorder="1" applyAlignment="1">
      <alignment horizontal="left"/>
    </xf>
    <xf numFmtId="0" fontId="0" fillId="2" borderId="1" xfId="0" applyFill="1" applyBorder="1"/>
    <xf numFmtId="164" fontId="6" fillId="2" borderId="1" xfId="0" applyNumberFormat="1" applyFont="1" applyFill="1" applyBorder="1"/>
    <xf numFmtId="0" fontId="10" fillId="2" borderId="0" xfId="0" applyFont="1" applyFill="1"/>
    <xf numFmtId="0" fontId="1" fillId="2" borderId="0" xfId="0" applyFont="1" applyFill="1"/>
    <xf numFmtId="0" fontId="11" fillId="2" borderId="0" xfId="0" applyFont="1" applyFill="1"/>
    <xf numFmtId="0" fontId="11" fillId="2" borderId="0" xfId="0" applyFont="1" applyFill="1" applyAlignment="1">
      <alignment horizontal="left"/>
    </xf>
    <xf numFmtId="0" fontId="11" fillId="2" borderId="1" xfId="0" applyFont="1" applyFill="1" applyBorder="1"/>
    <xf numFmtId="164" fontId="11" fillId="2" borderId="0" xfId="0" applyNumberFormat="1" applyFont="1" applyFill="1"/>
    <xf numFmtId="0" fontId="11" fillId="2" borderId="1" xfId="0" applyFont="1" applyFill="1" applyBorder="1" applyAlignment="1">
      <alignment horizontal="left"/>
    </xf>
    <xf numFmtId="164" fontId="11" fillId="2" borderId="1" xfId="0" applyNumberFormat="1" applyFont="1" applyFill="1" applyBorder="1"/>
    <xf numFmtId="0" fontId="11" fillId="2" borderId="0" xfId="0" applyFont="1" applyFill="1" applyBorder="1"/>
    <xf numFmtId="0" fontId="11" fillId="2" borderId="0" xfId="0" applyFont="1" applyFill="1" applyBorder="1" applyAlignment="1">
      <alignment horizontal="left"/>
    </xf>
    <xf numFmtId="164" fontId="11" fillId="2" borderId="0" xfId="0" applyNumberFormat="1" applyFont="1" applyFill="1" applyBorder="1"/>
    <xf numFmtId="0" fontId="0" fillId="2" borderId="0" xfId="0" applyFill="1" applyBorder="1"/>
    <xf numFmtId="0" fontId="10" fillId="2" borderId="0" xfId="0" applyFont="1" applyFill="1" applyBorder="1"/>
    <xf numFmtId="164" fontId="0" fillId="2" borderId="0" xfId="0" applyNumberFormat="1" applyFill="1" applyBorder="1"/>
    <xf numFmtId="164" fontId="11" fillId="2" borderId="0" xfId="0" applyNumberFormat="1" applyFont="1" applyFill="1" applyAlignment="1">
      <alignment horizontal="right"/>
    </xf>
    <xf numFmtId="0" fontId="0" fillId="2" borderId="0" xfId="0" applyFill="1" applyAlignment="1">
      <alignment horizontal="right"/>
    </xf>
    <xf numFmtId="164" fontId="11" fillId="2" borderId="1" xfId="0" applyNumberFormat="1" applyFont="1" applyFill="1" applyBorder="1" applyAlignment="1">
      <alignment horizontal="right"/>
    </xf>
    <xf numFmtId="0" fontId="13" fillId="2" borderId="0" xfId="0" applyFont="1" applyFill="1"/>
    <xf numFmtId="164" fontId="0" fillId="2" borderId="1" xfId="0" applyNumberFormat="1" applyFill="1" applyBorder="1"/>
    <xf numFmtId="164" fontId="0" fillId="2" borderId="0" xfId="0" applyNumberFormat="1" applyFill="1"/>
    <xf numFmtId="164" fontId="0" fillId="2" borderId="0" xfId="0" applyNumberFormat="1" applyFill="1" applyAlignment="1">
      <alignment horizontal="right"/>
    </xf>
    <xf numFmtId="0" fontId="0" fillId="2" borderId="1" xfId="0" applyFill="1" applyBorder="1" applyAlignment="1">
      <alignment horizontal="right"/>
    </xf>
    <xf numFmtId="0" fontId="0" fillId="2" borderId="1" xfId="0" applyFill="1" applyBorder="1" applyAlignment="1">
      <alignment horizontal="left"/>
    </xf>
    <xf numFmtId="0" fontId="0" fillId="2" borderId="0" xfId="0" applyFill="1" applyAlignment="1">
      <alignment horizontal="left"/>
    </xf>
    <xf numFmtId="164" fontId="11" fillId="2" borderId="0" xfId="0" applyNumberFormat="1" applyFont="1" applyFill="1" applyBorder="1" applyAlignment="1">
      <alignment horizontal="right"/>
    </xf>
    <xf numFmtId="0" fontId="11" fillId="2" borderId="0" xfId="0" applyFont="1" applyFill="1" applyAlignment="1">
      <alignment horizontal="right"/>
    </xf>
    <xf numFmtId="164" fontId="11" fillId="2" borderId="0" xfId="0" quotePrefix="1" applyNumberFormat="1" applyFont="1" applyFill="1" applyAlignment="1">
      <alignment horizontal="right"/>
    </xf>
    <xf numFmtId="0" fontId="10" fillId="2" borderId="0" xfId="0" applyFont="1" applyFill="1" applyAlignment="1">
      <alignment horizontal="right"/>
    </xf>
    <xf numFmtId="164" fontId="10" fillId="2" borderId="0" xfId="0" applyNumberFormat="1" applyFont="1" applyFill="1" applyAlignment="1">
      <alignment horizontal="right"/>
    </xf>
    <xf numFmtId="0" fontId="15" fillId="2" borderId="0" xfId="0" applyFont="1" applyFill="1"/>
    <xf numFmtId="0" fontId="16" fillId="2" borderId="0" xfId="0" applyFont="1" applyFill="1"/>
    <xf numFmtId="0" fontId="6" fillId="2" borderId="0" xfId="0" applyFont="1" applyFill="1" applyBorder="1" applyAlignment="1">
      <alignment wrapText="1"/>
    </xf>
    <xf numFmtId="0" fontId="0" fillId="2" borderId="0" xfId="0" applyFont="1" applyFill="1"/>
    <xf numFmtId="0" fontId="15" fillId="2" borderId="1" xfId="0" applyFont="1" applyFill="1" applyBorder="1"/>
    <xf numFmtId="0" fontId="11" fillId="2" borderId="2" xfId="0" applyFont="1" applyFill="1" applyBorder="1" applyAlignment="1">
      <alignment horizontal="left"/>
    </xf>
    <xf numFmtId="0" fontId="11" fillId="2" borderId="2" xfId="0" applyFont="1" applyFill="1" applyBorder="1"/>
    <xf numFmtId="0" fontId="5" fillId="0" borderId="0" xfId="0" applyFont="1" applyFill="1"/>
    <xf numFmtId="0" fontId="5" fillId="0" borderId="0" xfId="0" applyFont="1" applyFill="1" applyBorder="1"/>
    <xf numFmtId="0" fontId="16" fillId="0" borderId="0" xfId="0" applyFont="1" applyFill="1"/>
    <xf numFmtId="0" fontId="15" fillId="0" borderId="0" xfId="0" applyFont="1" applyFill="1"/>
    <xf numFmtId="0" fontId="6" fillId="0" borderId="0" xfId="0" applyFont="1" applyFill="1"/>
    <xf numFmtId="0" fontId="6" fillId="0" borderId="0" xfId="0" applyFont="1" applyFill="1" applyBorder="1"/>
    <xf numFmtId="0" fontId="18" fillId="2" borderId="0" xfId="0" applyFont="1" applyFill="1"/>
    <xf numFmtId="0" fontId="17" fillId="2" borderId="0" xfId="0" applyFont="1" applyFill="1"/>
    <xf numFmtId="2" fontId="18" fillId="2" borderId="0" xfId="0" applyNumberFormat="1" applyFont="1" applyFill="1" applyBorder="1"/>
    <xf numFmtId="0" fontId="17" fillId="2" borderId="0" xfId="0" applyFont="1" applyFill="1" applyBorder="1"/>
    <xf numFmtId="0" fontId="6" fillId="2" borderId="0" xfId="0" applyFont="1" applyFill="1" applyBorder="1" applyAlignment="1">
      <alignment horizontal="left" vertical="center" indent="1"/>
    </xf>
    <xf numFmtId="2" fontId="0" fillId="2" borderId="0" xfId="0" applyNumberFormat="1" applyFill="1"/>
    <xf numFmtId="2" fontId="17" fillId="2" borderId="0" xfId="0" applyNumberFormat="1" applyFont="1" applyFill="1"/>
    <xf numFmtId="0" fontId="0" fillId="3" borderId="0" xfId="0" applyFill="1"/>
    <xf numFmtId="1" fontId="0" fillId="2" borderId="0" xfId="0" applyNumberFormat="1" applyFill="1" applyAlignment="1">
      <alignment horizontal="right"/>
    </xf>
    <xf numFmtId="164" fontId="1" fillId="2" borderId="0" xfId="0" applyNumberFormat="1" applyFont="1" applyFill="1" applyAlignment="1">
      <alignment horizontal="right"/>
    </xf>
    <xf numFmtId="1" fontId="4" fillId="2" borderId="0" xfId="0" applyNumberFormat="1" applyFont="1" applyFill="1" applyAlignment="1">
      <alignment horizontal="right"/>
    </xf>
    <xf numFmtId="0" fontId="8" fillId="3" borderId="0" xfId="0" applyFont="1" applyFill="1"/>
    <xf numFmtId="0" fontId="0" fillId="3" borderId="0" xfId="0" applyFill="1" applyBorder="1"/>
    <xf numFmtId="0" fontId="1" fillId="3" borderId="0" xfId="0" applyFont="1" applyFill="1"/>
    <xf numFmtId="0" fontId="5" fillId="3" borderId="0" xfId="0" applyFont="1" applyFill="1"/>
    <xf numFmtId="0" fontId="16" fillId="3" borderId="0" xfId="0" applyFont="1" applyFill="1"/>
    <xf numFmtId="0" fontId="5" fillId="3" borderId="0" xfId="0" applyFont="1" applyFill="1" applyBorder="1"/>
    <xf numFmtId="0" fontId="0" fillId="3" borderId="3" xfId="0" applyFill="1" applyBorder="1"/>
    <xf numFmtId="0" fontId="0" fillId="3" borderId="6" xfId="0" applyFill="1" applyBorder="1"/>
    <xf numFmtId="164" fontId="0" fillId="0" borderId="0" xfId="0" applyNumberFormat="1"/>
    <xf numFmtId="0" fontId="15" fillId="3" borderId="0" xfId="0" applyFont="1" applyFill="1"/>
    <xf numFmtId="0" fontId="6" fillId="3" borderId="0" xfId="0" applyFont="1" applyFill="1"/>
    <xf numFmtId="0" fontId="6" fillId="3" borderId="0" xfId="0" applyFont="1" applyFill="1" applyBorder="1"/>
    <xf numFmtId="0" fontId="6" fillId="2" borderId="0" xfId="0" applyFont="1" applyFill="1" applyBorder="1" applyAlignment="1">
      <alignment horizontal="left" vertical="center"/>
    </xf>
    <xf numFmtId="0" fontId="19" fillId="2" borderId="0" xfId="0" applyFont="1" applyFill="1"/>
    <xf numFmtId="0" fontId="0" fillId="3" borderId="4" xfId="0" applyFill="1" applyBorder="1"/>
    <xf numFmtId="0" fontId="3" fillId="3" borderId="0" xfId="0" applyFont="1" applyFill="1" applyBorder="1"/>
    <xf numFmtId="0" fontId="14" fillId="3" borderId="0" xfId="0" applyFont="1" applyFill="1" applyBorder="1"/>
    <xf numFmtId="0" fontId="9" fillId="3" borderId="0" xfId="0" applyFont="1" applyFill="1"/>
    <xf numFmtId="0" fontId="9" fillId="3" borderId="0" xfId="0" applyFont="1" applyFill="1" applyAlignment="1">
      <alignment vertical="top"/>
    </xf>
    <xf numFmtId="0" fontId="3" fillId="3" borderId="0" xfId="0" applyFont="1" applyFill="1"/>
    <xf numFmtId="0" fontId="14" fillId="3" borderId="0" xfId="0" applyFont="1" applyFill="1"/>
    <xf numFmtId="0" fontId="9" fillId="0" borderId="0" xfId="0" applyFont="1" applyFill="1"/>
    <xf numFmtId="0" fontId="6" fillId="3" borderId="0" xfId="0" applyFont="1" applyFill="1" applyBorder="1" applyAlignment="1">
      <alignment horizontal="left" indent="1"/>
    </xf>
    <xf numFmtId="0" fontId="14" fillId="3" borderId="0" xfId="0" applyFont="1" applyFill="1" applyAlignment="1">
      <alignment horizontal="left"/>
    </xf>
    <xf numFmtId="2" fontId="0" fillId="2" borderId="0" xfId="0" applyNumberFormat="1" applyFont="1" applyFill="1"/>
    <xf numFmtId="0" fontId="0" fillId="2" borderId="1" xfId="0" applyFont="1" applyFill="1" applyBorder="1"/>
    <xf numFmtId="0" fontId="0" fillId="3" borderId="0" xfId="0" applyFont="1" applyFill="1"/>
    <xf numFmtId="0" fontId="0" fillId="2" borderId="0" xfId="0" applyFill="1" applyAlignment="1">
      <alignment wrapText="1"/>
    </xf>
    <xf numFmtId="0" fontId="0" fillId="0" borderId="0" xfId="0" applyAlignment="1"/>
    <xf numFmtId="0" fontId="11" fillId="2" borderId="0" xfId="0" applyFont="1" applyFill="1" applyAlignment="1"/>
    <xf numFmtId="0" fontId="11" fillId="3" borderId="0" xfId="0" applyFont="1" applyFill="1"/>
    <xf numFmtId="0" fontId="11" fillId="3" borderId="0" xfId="0" applyFont="1" applyFill="1" applyAlignment="1">
      <alignment wrapText="1"/>
    </xf>
    <xf numFmtId="0" fontId="6" fillId="3" borderId="0" xfId="0" applyFont="1" applyFill="1" applyAlignment="1">
      <alignment horizontal="left" indent="1"/>
    </xf>
    <xf numFmtId="0" fontId="2" fillId="3" borderId="0" xfId="1" applyFill="1"/>
    <xf numFmtId="0" fontId="0" fillId="3" borderId="0" xfId="0" applyFill="1" applyBorder="1" applyAlignment="1">
      <alignment wrapText="1"/>
    </xf>
    <xf numFmtId="0" fontId="16" fillId="3" borderId="0" xfId="0" applyFont="1" applyFill="1" applyBorder="1"/>
    <xf numFmtId="0" fontId="10" fillId="3" borderId="0" xfId="0" applyFont="1" applyFill="1" applyBorder="1"/>
    <xf numFmtId="0" fontId="10" fillId="3" borderId="0" xfId="0" applyFont="1" applyFill="1"/>
    <xf numFmtId="0" fontId="1" fillId="3" borderId="0" xfId="0" applyFont="1" applyFill="1" applyAlignment="1">
      <alignment horizontal="left" vertical="top"/>
    </xf>
    <xf numFmtId="164" fontId="14" fillId="2" borderId="0" xfId="0" applyNumberFormat="1" applyFont="1" applyFill="1"/>
    <xf numFmtId="0" fontId="9" fillId="2" borderId="0" xfId="0" applyFont="1" applyFill="1"/>
    <xf numFmtId="0" fontId="0" fillId="2" borderId="0" xfId="0" applyNumberFormat="1" applyFill="1"/>
    <xf numFmtId="0" fontId="10" fillId="2" borderId="0" xfId="0" applyFont="1" applyFill="1" applyAlignment="1"/>
    <xf numFmtId="1" fontId="10" fillId="2" borderId="0" xfId="0" applyNumberFormat="1" applyFont="1" applyFill="1" applyAlignment="1">
      <alignment horizontal="right"/>
    </xf>
    <xf numFmtId="0" fontId="21" fillId="2" borderId="0" xfId="0" applyFont="1" applyFill="1"/>
    <xf numFmtId="0" fontId="20" fillId="2" borderId="0" xfId="0" applyFont="1" applyFill="1"/>
    <xf numFmtId="0" fontId="0" fillId="2" borderId="0" xfId="0" applyFont="1" applyFill="1" applyAlignment="1">
      <alignment wrapText="1"/>
    </xf>
    <xf numFmtId="0" fontId="6" fillId="2" borderId="0" xfId="0" applyFont="1" applyFill="1" applyBorder="1" applyAlignment="1">
      <alignment horizontal="right"/>
    </xf>
    <xf numFmtId="164" fontId="6" fillId="2" borderId="0" xfId="0" applyNumberFormat="1" applyFont="1" applyFill="1" applyBorder="1" applyAlignment="1">
      <alignment horizontal="right"/>
    </xf>
    <xf numFmtId="0" fontId="11" fillId="2" borderId="0" xfId="0" applyFont="1" applyFill="1" applyBorder="1" applyAlignment="1">
      <alignment horizontal="right"/>
    </xf>
    <xf numFmtId="0" fontId="10" fillId="2" borderId="0" xfId="0" applyFont="1" applyFill="1" applyAlignment="1">
      <alignment horizontal="left"/>
    </xf>
    <xf numFmtId="0" fontId="0" fillId="2" borderId="0" xfId="0" applyFill="1" applyBorder="1" applyAlignment="1">
      <alignment horizontal="left"/>
    </xf>
    <xf numFmtId="0" fontId="10" fillId="2" borderId="0" xfId="0" applyFont="1" applyFill="1" applyAlignment="1">
      <alignment horizontal="right" wrapText="1"/>
    </xf>
    <xf numFmtId="0" fontId="11" fillId="2" borderId="1" xfId="0" applyFont="1" applyFill="1" applyBorder="1" applyAlignment="1">
      <alignment horizontal="right"/>
    </xf>
    <xf numFmtId="1" fontId="11" fillId="2" borderId="0" xfId="0" applyNumberFormat="1" applyFont="1" applyFill="1" applyAlignment="1">
      <alignment horizontal="right"/>
    </xf>
    <xf numFmtId="0" fontId="0" fillId="2" borderId="0" xfId="0" applyFill="1" applyBorder="1" applyAlignment="1">
      <alignment horizontal="right"/>
    </xf>
    <xf numFmtId="0" fontId="2" fillId="2" borderId="0" xfId="1" applyFill="1"/>
    <xf numFmtId="0" fontId="14" fillId="2" borderId="0" xfId="0" applyFont="1" applyFill="1"/>
    <xf numFmtId="0" fontId="0" fillId="3" borderId="0" xfId="0" applyFont="1" applyFill="1" applyAlignment="1">
      <alignment vertical="top" wrapText="1"/>
    </xf>
    <xf numFmtId="0" fontId="0" fillId="3" borderId="0" xfId="0" applyFont="1" applyFill="1" applyAlignment="1">
      <alignment wrapText="1"/>
    </xf>
    <xf numFmtId="0" fontId="0" fillId="3" borderId="0" xfId="0" applyFont="1" applyFill="1" applyAlignment="1">
      <alignment vertical="top"/>
    </xf>
    <xf numFmtId="164" fontId="0" fillId="2" borderId="1" xfId="0" applyNumberFormat="1" applyFill="1" applyBorder="1" applyAlignment="1">
      <alignment horizontal="right"/>
    </xf>
    <xf numFmtId="0" fontId="0" fillId="2" borderId="0" xfId="0" applyFont="1" applyFill="1" applyBorder="1"/>
    <xf numFmtId="0" fontId="15" fillId="2" borderId="0" xfId="0" applyFont="1" applyFill="1" applyBorder="1"/>
    <xf numFmtId="0" fontId="1" fillId="2" borderId="0" xfId="0" applyFont="1" applyFill="1" applyAlignment="1">
      <alignment horizontal="right"/>
    </xf>
    <xf numFmtId="0" fontId="1" fillId="2" borderId="0" xfId="0" applyFont="1" applyFill="1" applyAlignment="1">
      <alignment vertical="center"/>
    </xf>
    <xf numFmtId="0" fontId="1" fillId="2" borderId="0" xfId="0" applyFont="1" applyFill="1" applyBorder="1" applyAlignment="1">
      <alignment horizontal="left"/>
    </xf>
    <xf numFmtId="1" fontId="1" fillId="2" borderId="0" xfId="0" applyNumberFormat="1" applyFont="1" applyFill="1" applyBorder="1" applyAlignment="1">
      <alignment horizontal="right"/>
    </xf>
    <xf numFmtId="164" fontId="1" fillId="2" borderId="0" xfId="0" applyNumberFormat="1" applyFont="1" applyFill="1" applyBorder="1" applyAlignment="1">
      <alignment horizontal="right"/>
    </xf>
    <xf numFmtId="0" fontId="0" fillId="3" borderId="0" xfId="0" applyFill="1" applyAlignment="1">
      <alignment wrapText="1"/>
    </xf>
    <xf numFmtId="0" fontId="24" fillId="3" borderId="0" xfId="0" applyFont="1" applyFill="1" applyAlignment="1">
      <alignment vertical="center" wrapText="1"/>
    </xf>
    <xf numFmtId="0" fontId="0" fillId="3" borderId="0" xfId="0" applyFill="1" applyAlignment="1">
      <alignment vertical="top"/>
    </xf>
    <xf numFmtId="0" fontId="11" fillId="3" borderId="0"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11" xfId="0" applyFont="1" applyFill="1" applyBorder="1" applyAlignment="1">
      <alignment horizontal="center" vertical="center" wrapText="1"/>
    </xf>
    <xf numFmtId="0" fontId="11" fillId="3" borderId="0" xfId="0" applyFont="1" applyFill="1" applyBorder="1" applyAlignment="1">
      <alignment horizontal="left" vertical="center" wrapText="1"/>
    </xf>
    <xf numFmtId="0" fontId="11" fillId="3" borderId="2" xfId="0" applyFont="1" applyFill="1" applyBorder="1" applyAlignment="1">
      <alignment horizontal="left" vertical="center" wrapText="1"/>
    </xf>
    <xf numFmtId="0" fontId="11" fillId="3" borderId="11" xfId="0" applyFont="1" applyFill="1" applyBorder="1" applyAlignment="1">
      <alignment horizontal="left" vertical="center" wrapText="1"/>
    </xf>
    <xf numFmtId="0" fontId="1" fillId="3" borderId="11" xfId="0" applyFont="1" applyFill="1" applyBorder="1" applyAlignment="1">
      <alignment horizontal="left" vertical="center" wrapText="1"/>
    </xf>
    <xf numFmtId="0" fontId="1" fillId="3" borderId="11" xfId="0" applyFont="1" applyFill="1" applyBorder="1" applyAlignment="1">
      <alignment horizontal="center" vertical="center" wrapText="1"/>
    </xf>
    <xf numFmtId="0" fontId="1" fillId="3" borderId="11" xfId="0" applyFont="1" applyFill="1" applyBorder="1" applyAlignment="1">
      <alignment vertical="center" wrapText="1"/>
    </xf>
    <xf numFmtId="0" fontId="11" fillId="3" borderId="1" xfId="0" applyFont="1" applyFill="1" applyBorder="1" applyAlignment="1">
      <alignment horizontal="left" vertical="center" wrapText="1"/>
    </xf>
    <xf numFmtId="0" fontId="14" fillId="3" borderId="0" xfId="0" applyFont="1" applyFill="1" applyBorder="1" applyAlignment="1">
      <alignment horizontal="left" vertical="center" wrapText="1"/>
    </xf>
    <xf numFmtId="0" fontId="11" fillId="3" borderId="0" xfId="0" applyFont="1" applyFill="1" applyBorder="1" applyAlignment="1">
      <alignment wrapText="1"/>
    </xf>
    <xf numFmtId="0" fontId="11" fillId="3" borderId="0" xfId="0" applyFont="1" applyFill="1" applyAlignment="1">
      <alignment horizontal="left"/>
    </xf>
    <xf numFmtId="0" fontId="11" fillId="3" borderId="0" xfId="0" applyFont="1" applyFill="1" applyAlignment="1">
      <alignment vertical="top" wrapText="1"/>
    </xf>
    <xf numFmtId="0" fontId="1" fillId="3" borderId="0" xfId="0" applyFont="1" applyFill="1" applyAlignment="1">
      <alignment vertical="top" wrapText="1"/>
    </xf>
    <xf numFmtId="0" fontId="2" fillId="3" borderId="0" xfId="1" applyFill="1" applyAlignment="1">
      <alignment vertical="top" wrapText="1"/>
    </xf>
    <xf numFmtId="0" fontId="7" fillId="2" borderId="0" xfId="0" applyFont="1" applyFill="1" applyAlignment="1">
      <alignment horizontal="left"/>
    </xf>
    <xf numFmtId="164" fontId="10" fillId="2" borderId="0" xfId="0" applyNumberFormat="1" applyFont="1" applyFill="1" applyBorder="1" applyAlignment="1">
      <alignment horizontal="left"/>
    </xf>
    <xf numFmtId="164" fontId="11" fillId="2" borderId="0" xfId="0" applyNumberFormat="1" applyFont="1" applyFill="1" applyBorder="1" applyAlignment="1">
      <alignment horizontal="left"/>
    </xf>
    <xf numFmtId="0" fontId="10" fillId="2" borderId="0" xfId="0" applyFont="1" applyFill="1" applyBorder="1" applyAlignment="1">
      <alignment horizontal="left"/>
    </xf>
    <xf numFmtId="0" fontId="14" fillId="2" borderId="0" xfId="0" applyFont="1" applyFill="1" applyBorder="1" applyAlignment="1">
      <alignment horizontal="right"/>
    </xf>
    <xf numFmtId="0" fontId="10" fillId="2" borderId="0" xfId="0" applyFont="1" applyFill="1" applyBorder="1" applyAlignment="1">
      <alignment horizontal="right"/>
    </xf>
    <xf numFmtId="0" fontId="15" fillId="2" borderId="0" xfId="0" applyFont="1" applyFill="1" applyAlignment="1">
      <alignment horizontal="right"/>
    </xf>
    <xf numFmtId="0" fontId="18" fillId="2" borderId="0" xfId="0" applyFont="1" applyFill="1" applyBorder="1" applyAlignment="1">
      <alignment horizontal="right"/>
    </xf>
    <xf numFmtId="0" fontId="18" fillId="2" borderId="0" xfId="0" applyFont="1" applyFill="1" applyAlignment="1">
      <alignment horizontal="right"/>
    </xf>
    <xf numFmtId="0" fontId="15" fillId="2" borderId="0" xfId="0" applyFont="1" applyFill="1" applyBorder="1" applyAlignment="1">
      <alignment horizontal="right"/>
    </xf>
    <xf numFmtId="0" fontId="14" fillId="0" borderId="0" xfId="0" applyFont="1" applyFill="1"/>
    <xf numFmtId="0" fontId="1" fillId="3" borderId="0" xfId="0" applyFont="1" applyFill="1" applyAlignment="1">
      <alignment vertical="top"/>
    </xf>
    <xf numFmtId="0" fontId="20" fillId="2" borderId="0" xfId="0" applyFont="1" applyFill="1" applyAlignment="1">
      <alignment horizontal="left"/>
    </xf>
    <xf numFmtId="0" fontId="0" fillId="2" borderId="0" xfId="0" applyFill="1" applyAlignment="1">
      <alignment vertical="top"/>
    </xf>
    <xf numFmtId="0" fontId="10" fillId="3" borderId="0" xfId="0" applyFont="1" applyFill="1" applyAlignment="1">
      <alignment vertical="top" wrapText="1"/>
    </xf>
    <xf numFmtId="1" fontId="0" fillId="0" borderId="0" xfId="0" applyNumberFormat="1"/>
    <xf numFmtId="0" fontId="0" fillId="4" borderId="0" xfId="0" applyFill="1"/>
    <xf numFmtId="0" fontId="1" fillId="4" borderId="0" xfId="0" applyFont="1" applyFill="1"/>
    <xf numFmtId="0" fontId="1" fillId="4" borderId="1" xfId="0" applyFont="1" applyFill="1" applyBorder="1"/>
    <xf numFmtId="0" fontId="0" fillId="4" borderId="1" xfId="0" applyFill="1" applyBorder="1"/>
    <xf numFmtId="164" fontId="0" fillId="4" borderId="0" xfId="0" applyNumberFormat="1" applyFill="1"/>
    <xf numFmtId="0" fontId="20" fillId="2" borderId="0" xfId="0" applyFont="1" applyFill="1" applyAlignment="1">
      <alignment vertical="top"/>
    </xf>
    <xf numFmtId="0" fontId="2" fillId="2" borderId="0" xfId="1" applyFill="1" applyAlignment="1">
      <alignment vertical="top"/>
    </xf>
    <xf numFmtId="0" fontId="0" fillId="4" borderId="0" xfId="0" applyFill="1" applyAlignment="1">
      <alignment horizontal="right" vertical="top"/>
    </xf>
    <xf numFmtId="0" fontId="15" fillId="3" borderId="0" xfId="0" applyFont="1" applyFill="1" applyAlignment="1">
      <alignment vertical="top"/>
    </xf>
    <xf numFmtId="0" fontId="0" fillId="4" borderId="0" xfId="0" applyFill="1" applyAlignment="1">
      <alignment vertical="top"/>
    </xf>
    <xf numFmtId="164" fontId="4" fillId="2" borderId="0" xfId="0" quotePrefix="1" applyNumberFormat="1" applyFont="1" applyFill="1" applyAlignment="1">
      <alignment horizontal="right"/>
    </xf>
    <xf numFmtId="0" fontId="3" fillId="3" borderId="0" xfId="0" applyFont="1" applyFill="1" applyBorder="1" applyAlignment="1">
      <alignment vertical="top"/>
    </xf>
    <xf numFmtId="0" fontId="10" fillId="2" borderId="0" xfId="0" applyFont="1" applyFill="1" applyAlignment="1">
      <alignment vertical="top"/>
    </xf>
    <xf numFmtId="0" fontId="0" fillId="4" borderId="0" xfId="0" applyFill="1" applyBorder="1"/>
    <xf numFmtId="0" fontId="15" fillId="4" borderId="0" xfId="0" applyFont="1" applyFill="1" applyAlignment="1">
      <alignment vertical="top"/>
    </xf>
    <xf numFmtId="0" fontId="0" fillId="3" borderId="0" xfId="0" applyFill="1" applyAlignment="1"/>
    <xf numFmtId="0" fontId="15" fillId="4" borderId="0" xfId="0" applyFont="1" applyFill="1"/>
    <xf numFmtId="0" fontId="15" fillId="4" borderId="0" xfId="0" applyFont="1" applyFill="1" applyBorder="1"/>
    <xf numFmtId="0" fontId="0" fillId="4" borderId="0" xfId="0" applyFont="1" applyFill="1"/>
    <xf numFmtId="0" fontId="15" fillId="2" borderId="0" xfId="0" applyFont="1" applyFill="1" applyAlignment="1">
      <alignment horizontal="left"/>
    </xf>
    <xf numFmtId="0" fontId="1" fillId="4" borderId="0" xfId="0" applyFont="1" applyFill="1" applyAlignment="1"/>
    <xf numFmtId="0" fontId="0" fillId="4" borderId="0" xfId="0" applyFill="1" applyAlignment="1"/>
    <xf numFmtId="0" fontId="8" fillId="2" borderId="0" xfId="0" applyFont="1" applyFill="1" applyBorder="1"/>
    <xf numFmtId="0" fontId="11" fillId="2" borderId="0" xfId="0" applyFont="1" applyFill="1" applyAlignment="1">
      <alignment vertical="top"/>
    </xf>
    <xf numFmtId="0" fontId="11" fillId="2" borderId="0" xfId="0" applyFont="1" applyFill="1" applyAlignment="1">
      <alignment horizontal="left" vertical="top"/>
    </xf>
    <xf numFmtId="0" fontId="11" fillId="2" borderId="1" xfId="0" applyFont="1" applyFill="1" applyBorder="1" applyAlignment="1">
      <alignment vertical="top"/>
    </xf>
    <xf numFmtId="0" fontId="0" fillId="2" borderId="1" xfId="0" applyFill="1" applyBorder="1" applyAlignment="1">
      <alignment vertical="top"/>
    </xf>
    <xf numFmtId="164" fontId="11" fillId="2" borderId="0" xfId="0" applyNumberFormat="1" applyFont="1" applyFill="1" applyAlignment="1">
      <alignment vertical="top"/>
    </xf>
    <xf numFmtId="0" fontId="11" fillId="2" borderId="1" xfId="0" applyFont="1" applyFill="1" applyBorder="1" applyAlignment="1">
      <alignment horizontal="left" vertical="top"/>
    </xf>
    <xf numFmtId="164" fontId="11" fillId="2" borderId="1" xfId="0" applyNumberFormat="1" applyFont="1" applyFill="1" applyBorder="1" applyAlignment="1">
      <alignment vertical="top"/>
    </xf>
    <xf numFmtId="0" fontId="11" fillId="2" borderId="0" xfId="0" applyFont="1" applyFill="1" applyBorder="1" applyAlignment="1">
      <alignment vertical="top"/>
    </xf>
    <xf numFmtId="0" fontId="11" fillId="2" borderId="0" xfId="0" applyFont="1" applyFill="1" applyBorder="1" applyAlignment="1">
      <alignment horizontal="left" vertical="top"/>
    </xf>
    <xf numFmtId="164" fontId="11" fillId="2" borderId="0" xfId="0" applyNumberFormat="1" applyFont="1" applyFill="1" applyBorder="1" applyAlignment="1">
      <alignment vertical="top"/>
    </xf>
    <xf numFmtId="0" fontId="15" fillId="2" borderId="0" xfId="0" applyFont="1" applyFill="1" applyAlignment="1">
      <alignment vertical="top"/>
    </xf>
    <xf numFmtId="0" fontId="14" fillId="2" borderId="0" xfId="0" applyFont="1" applyFill="1" applyBorder="1" applyAlignment="1">
      <alignment horizontal="left"/>
    </xf>
    <xf numFmtId="0" fontId="15" fillId="2" borderId="1" xfId="0" applyFont="1" applyFill="1" applyBorder="1" applyAlignment="1">
      <alignment horizontal="left"/>
    </xf>
    <xf numFmtId="0" fontId="15" fillId="2" borderId="0" xfId="0" applyFont="1" applyFill="1" applyBorder="1" applyAlignment="1">
      <alignment horizontal="left"/>
    </xf>
    <xf numFmtId="0" fontId="0" fillId="3" borderId="10" xfId="0" applyFill="1" applyBorder="1" applyAlignment="1"/>
    <xf numFmtId="0" fontId="0" fillId="3" borderId="0" xfId="0" applyFill="1" applyBorder="1" applyAlignment="1"/>
    <xf numFmtId="0" fontId="0" fillId="2" borderId="0" xfId="0" applyFill="1" applyAlignment="1"/>
    <xf numFmtId="0" fontId="11" fillId="2" borderId="0" xfId="0" applyFont="1" applyFill="1" applyBorder="1" applyAlignment="1">
      <alignment horizontal="left" vertical="center"/>
    </xf>
    <xf numFmtId="0" fontId="3" fillId="4" borderId="0" xfId="0" applyFont="1" applyFill="1" applyBorder="1" applyAlignment="1">
      <alignment vertical="top"/>
    </xf>
    <xf numFmtId="0" fontId="0" fillId="4" borderId="0" xfId="0" applyFill="1" applyBorder="1" applyAlignment="1">
      <alignment vertical="top"/>
    </xf>
    <xf numFmtId="0" fontId="0" fillId="4" borderId="0" xfId="0" applyFill="1" applyAlignment="1">
      <alignment horizontal="left"/>
    </xf>
    <xf numFmtId="0" fontId="3" fillId="4" borderId="0" xfId="0" applyFont="1" applyFill="1" applyBorder="1" applyAlignment="1">
      <alignment vertical="top" wrapText="1"/>
    </xf>
    <xf numFmtId="0" fontId="0" fillId="4" borderId="0" xfId="0" applyFill="1" applyBorder="1" applyAlignment="1"/>
    <xf numFmtId="0" fontId="2" fillId="2" borderId="0" xfId="1" applyFill="1" applyBorder="1"/>
    <xf numFmtId="0" fontId="0" fillId="4" borderId="0" xfId="0" applyFill="1" applyBorder="1" applyAlignment="1">
      <alignment horizontal="left"/>
    </xf>
    <xf numFmtId="0" fontId="14" fillId="3" borderId="0" xfId="0" applyFont="1" applyFill="1" applyBorder="1" applyAlignment="1">
      <alignment vertical="center"/>
    </xf>
    <xf numFmtId="0" fontId="3" fillId="4" borderId="0" xfId="0" applyFont="1" applyFill="1" applyBorder="1" applyAlignment="1"/>
    <xf numFmtId="0" fontId="0" fillId="2" borderId="0" xfId="0" applyFill="1" applyBorder="1" applyAlignment="1"/>
    <xf numFmtId="0" fontId="3" fillId="3" borderId="0" xfId="0" applyFont="1" applyFill="1" applyBorder="1" applyAlignment="1"/>
    <xf numFmtId="0" fontId="14" fillId="2" borderId="0" xfId="0" applyFont="1" applyFill="1" applyBorder="1"/>
    <xf numFmtId="1" fontId="11" fillId="2" borderId="0" xfId="0" applyNumberFormat="1" applyFont="1" applyFill="1" applyBorder="1" applyAlignment="1">
      <alignment horizontal="right"/>
    </xf>
    <xf numFmtId="0" fontId="15" fillId="2" borderId="2" xfId="0" applyFont="1" applyFill="1" applyBorder="1" applyAlignment="1">
      <alignment horizontal="left"/>
    </xf>
    <xf numFmtId="164" fontId="11" fillId="2" borderId="2" xfId="0" applyNumberFormat="1" applyFont="1" applyFill="1" applyBorder="1" applyAlignment="1">
      <alignment horizontal="right"/>
    </xf>
    <xf numFmtId="0" fontId="11" fillId="2" borderId="2" xfId="0" applyFont="1" applyFill="1" applyBorder="1" applyAlignment="1">
      <alignment horizontal="right"/>
    </xf>
    <xf numFmtId="0" fontId="0" fillId="2" borderId="2" xfId="0" applyFill="1" applyBorder="1"/>
    <xf numFmtId="0" fontId="14" fillId="4" borderId="0" xfId="0" applyFont="1" applyFill="1" applyBorder="1"/>
    <xf numFmtId="0" fontId="0" fillId="3" borderId="4" xfId="0" applyFill="1" applyBorder="1" applyAlignment="1"/>
    <xf numFmtId="0" fontId="5" fillId="4" borderId="0" xfId="0" applyFont="1" applyFill="1"/>
    <xf numFmtId="0" fontId="14" fillId="4" borderId="0" xfId="0" applyFont="1" applyFill="1" applyAlignment="1">
      <alignment vertical="top" wrapText="1"/>
    </xf>
    <xf numFmtId="0" fontId="6" fillId="3" borderId="0" xfId="0" applyFont="1" applyFill="1" applyBorder="1" applyAlignment="1">
      <alignment horizontal="left"/>
    </xf>
    <xf numFmtId="0" fontId="0" fillId="3" borderId="0" xfId="0" applyFill="1" applyAlignment="1">
      <alignment horizontal="left"/>
    </xf>
    <xf numFmtId="0" fontId="11" fillId="3" borderId="0" xfId="0" applyFont="1" applyFill="1" applyBorder="1" applyAlignment="1">
      <alignment horizontal="left" vertical="center"/>
    </xf>
    <xf numFmtId="0" fontId="0" fillId="3" borderId="0" xfId="0" applyFill="1" applyBorder="1" applyAlignment="1">
      <alignment horizontal="left"/>
    </xf>
    <xf numFmtId="0" fontId="11" fillId="3" borderId="0" xfId="0" applyFont="1" applyFill="1" applyBorder="1" applyAlignment="1">
      <alignment horizontal="left"/>
    </xf>
    <xf numFmtId="0" fontId="15" fillId="4" borderId="0" xfId="0" applyFont="1" applyFill="1" applyBorder="1" applyAlignment="1">
      <alignment wrapText="1"/>
    </xf>
    <xf numFmtId="0" fontId="14" fillId="3" borderId="0" xfId="0" applyFont="1" applyFill="1" applyAlignment="1">
      <alignment vertical="center"/>
    </xf>
    <xf numFmtId="0" fontId="0" fillId="3" borderId="0" xfId="0" applyFill="1" applyAlignment="1"/>
    <xf numFmtId="0" fontId="0" fillId="3" borderId="0" xfId="0" applyFill="1" applyAlignment="1">
      <alignment vertical="top" wrapText="1"/>
    </xf>
    <xf numFmtId="0" fontId="0" fillId="3" borderId="0" xfId="0" applyFill="1" applyAlignment="1"/>
    <xf numFmtId="0" fontId="0" fillId="0" borderId="9" xfId="0" applyBorder="1" applyAlignment="1">
      <alignment vertical="top"/>
    </xf>
    <xf numFmtId="0" fontId="15" fillId="3" borderId="0" xfId="0" applyFont="1" applyFill="1" applyAlignment="1">
      <alignment vertical="top"/>
    </xf>
    <xf numFmtId="0" fontId="1" fillId="2" borderId="0" xfId="0" applyFont="1" applyFill="1" applyAlignment="1">
      <alignment vertical="top"/>
    </xf>
    <xf numFmtId="0" fontId="11" fillId="4" borderId="0" xfId="0" applyFont="1" applyFill="1" applyAlignment="1">
      <alignment horizontal="left"/>
    </xf>
    <xf numFmtId="0" fontId="10" fillId="4" borderId="0" xfId="0" applyFont="1" applyFill="1" applyAlignment="1">
      <alignment horizontal="right"/>
    </xf>
    <xf numFmtId="0" fontId="11" fillId="4" borderId="0" xfId="0" applyFont="1" applyFill="1" applyBorder="1" applyAlignment="1">
      <alignment horizontal="left"/>
    </xf>
    <xf numFmtId="164" fontId="0" fillId="4" borderId="0" xfId="0" applyNumberFormat="1" applyFill="1" applyAlignment="1">
      <alignment horizontal="right"/>
    </xf>
    <xf numFmtId="0" fontId="0" fillId="4" borderId="0" xfId="0" applyFill="1" applyAlignment="1">
      <alignment horizontal="right"/>
    </xf>
    <xf numFmtId="0" fontId="11" fillId="4" borderId="0" xfId="0" applyFont="1" applyFill="1" applyAlignment="1">
      <alignment horizontal="right"/>
    </xf>
    <xf numFmtId="0" fontId="1" fillId="4" borderId="0" xfId="0" applyFont="1" applyFill="1" applyAlignment="1">
      <alignment horizontal="right"/>
    </xf>
    <xf numFmtId="0" fontId="14" fillId="4" borderId="0" xfId="0" applyFont="1" applyFill="1"/>
    <xf numFmtId="0" fontId="13" fillId="4" borderId="0" xfId="0" applyFont="1" applyFill="1"/>
    <xf numFmtId="0" fontId="20" fillId="4" borderId="0" xfId="0" applyFont="1" applyFill="1"/>
    <xf numFmtId="0" fontId="16" fillId="3" borderId="0" xfId="0" applyFont="1" applyFill="1" applyAlignment="1"/>
    <xf numFmtId="0" fontId="10" fillId="4" borderId="0" xfId="0" applyFont="1" applyFill="1" applyAlignment="1">
      <alignment horizontal="left"/>
    </xf>
    <xf numFmtId="0" fontId="9" fillId="4" borderId="0" xfId="0" applyFont="1" applyFill="1" applyAlignment="1">
      <alignment horizontal="left"/>
    </xf>
    <xf numFmtId="0" fontId="14" fillId="4" borderId="0" xfId="0" applyFont="1" applyFill="1" applyAlignment="1">
      <alignment horizontal="left"/>
    </xf>
    <xf numFmtId="0" fontId="0" fillId="4" borderId="0" xfId="0" applyFill="1" applyBorder="1" applyAlignment="1">
      <alignment horizontal="right"/>
    </xf>
    <xf numFmtId="0" fontId="0" fillId="4" borderId="1" xfId="0" applyFill="1" applyBorder="1" applyAlignment="1">
      <alignment horizontal="right"/>
    </xf>
    <xf numFmtId="0" fontId="15" fillId="4" borderId="0" xfId="0" applyFont="1" applyFill="1" applyAlignment="1">
      <alignment horizontal="left"/>
    </xf>
    <xf numFmtId="0" fontId="11" fillId="4" borderId="1" xfId="0" applyFont="1" applyFill="1" applyBorder="1" applyAlignment="1">
      <alignment horizontal="left"/>
    </xf>
    <xf numFmtId="164" fontId="10" fillId="4" borderId="1" xfId="0" applyNumberFormat="1" applyFont="1" applyFill="1" applyBorder="1" applyAlignment="1">
      <alignment horizontal="left"/>
    </xf>
    <xf numFmtId="164" fontId="11" fillId="4" borderId="1" xfId="0" applyNumberFormat="1" applyFont="1" applyFill="1" applyBorder="1" applyAlignment="1">
      <alignment horizontal="left"/>
    </xf>
    <xf numFmtId="0" fontId="15" fillId="4" borderId="0" xfId="0" applyFont="1" applyFill="1" applyAlignment="1"/>
    <xf numFmtId="164" fontId="0" fillId="4" borderId="0" xfId="0" quotePrefix="1" applyNumberFormat="1" applyFill="1"/>
    <xf numFmtId="0" fontId="11" fillId="4" borderId="1" xfId="0" applyFont="1" applyFill="1" applyBorder="1" applyAlignment="1">
      <alignment horizontal="right"/>
    </xf>
    <xf numFmtId="0" fontId="15" fillId="4" borderId="0" xfId="0" applyFont="1" applyFill="1" applyAlignment="1">
      <alignment horizontal="right" vertical="top"/>
    </xf>
    <xf numFmtId="0" fontId="0" fillId="4" borderId="0" xfId="0" applyFill="1" applyAlignment="1">
      <alignment vertical="top"/>
    </xf>
    <xf numFmtId="0" fontId="15" fillId="4" borderId="0" xfId="0" applyFont="1" applyFill="1" applyAlignment="1">
      <alignment horizontal="left" vertical="top"/>
    </xf>
    <xf numFmtId="0" fontId="11" fillId="4" borderId="0" xfId="0" applyFont="1" applyFill="1" applyAlignment="1">
      <alignment horizontal="left" vertical="top"/>
    </xf>
    <xf numFmtId="0" fontId="0" fillId="2" borderId="0" xfId="0" applyFill="1" applyAlignment="1">
      <alignment horizontal="center" vertical="center"/>
    </xf>
    <xf numFmtId="0" fontId="0" fillId="3" borderId="0" xfId="0" applyFill="1" applyAlignment="1">
      <alignment horizontal="center" vertical="center"/>
    </xf>
    <xf numFmtId="0" fontId="0" fillId="4" borderId="0" xfId="0" applyFill="1" applyAlignment="1">
      <alignment horizontal="center" vertical="center"/>
    </xf>
    <xf numFmtId="0" fontId="0" fillId="3" borderId="9" xfId="0" applyFill="1" applyBorder="1" applyAlignment="1"/>
    <xf numFmtId="0" fontId="11" fillId="4" borderId="0" xfId="0" applyFont="1" applyFill="1"/>
    <xf numFmtId="0" fontId="11" fillId="4" borderId="0" xfId="0" applyFont="1" applyFill="1" applyAlignment="1">
      <alignment horizontal="center" vertical="center"/>
    </xf>
    <xf numFmtId="0" fontId="15" fillId="4" borderId="0" xfId="0" applyFont="1" applyFill="1" applyAlignment="1">
      <alignment horizontal="center" vertical="center"/>
    </xf>
    <xf numFmtId="0" fontId="15" fillId="4" borderId="1" xfId="0" applyFont="1" applyFill="1" applyBorder="1"/>
    <xf numFmtId="0" fontId="1" fillId="2" borderId="0" xfId="0" applyFont="1" applyFill="1" applyBorder="1"/>
    <xf numFmtId="164" fontId="0" fillId="2" borderId="0" xfId="0" applyNumberFormat="1" applyFill="1" applyBorder="1" applyAlignment="1">
      <alignment horizontal="left"/>
    </xf>
    <xf numFmtId="164" fontId="11" fillId="2" borderId="0" xfId="0" quotePrefix="1" applyNumberFormat="1" applyFont="1" applyFill="1" applyBorder="1" applyAlignment="1">
      <alignment horizontal="right"/>
    </xf>
    <xf numFmtId="164" fontId="11" fillId="2" borderId="0" xfId="0" quotePrefix="1" applyNumberFormat="1" applyFont="1" applyFill="1" applyBorder="1"/>
    <xf numFmtId="1" fontId="28" fillId="2" borderId="0" xfId="0" quotePrefix="1" applyNumberFormat="1" applyFont="1" applyFill="1" applyBorder="1" applyAlignment="1">
      <alignment horizontal="right"/>
    </xf>
    <xf numFmtId="1" fontId="10" fillId="2" borderId="0" xfId="0" applyNumberFormat="1" applyFont="1" applyFill="1" applyBorder="1" applyAlignment="1">
      <alignment horizontal="right"/>
    </xf>
    <xf numFmtId="164" fontId="10" fillId="2" borderId="0" xfId="0" applyNumberFormat="1" applyFont="1" applyFill="1" applyBorder="1" applyAlignment="1">
      <alignment horizontal="right"/>
    </xf>
    <xf numFmtId="1" fontId="6" fillId="2" borderId="0" xfId="0" applyNumberFormat="1" applyFont="1" applyFill="1" applyBorder="1" applyAlignment="1">
      <alignment horizontal="right"/>
    </xf>
    <xf numFmtId="0" fontId="14" fillId="2" borderId="0" xfId="0" applyFont="1" applyFill="1" applyAlignment="1">
      <alignment horizontal="left"/>
    </xf>
    <xf numFmtId="164" fontId="11" fillId="4" borderId="0" xfId="0" applyNumberFormat="1" applyFont="1" applyFill="1" applyBorder="1" applyAlignment="1">
      <alignment horizontal="right"/>
    </xf>
    <xf numFmtId="164" fontId="6" fillId="4" borderId="0" xfId="0" applyNumberFormat="1" applyFont="1" applyFill="1" applyBorder="1" applyAlignment="1">
      <alignment horizontal="right"/>
    </xf>
    <xf numFmtId="0" fontId="16" fillId="4" borderId="0" xfId="0" applyFont="1" applyFill="1"/>
    <xf numFmtId="0" fontId="5" fillId="4" borderId="0" xfId="0" applyFont="1" applyFill="1" applyBorder="1"/>
    <xf numFmtId="0" fontId="6" fillId="4" borderId="0" xfId="0" applyFont="1" applyFill="1"/>
    <xf numFmtId="0" fontId="6" fillId="4" borderId="0" xfId="0" applyFont="1" applyFill="1" applyBorder="1"/>
    <xf numFmtId="0" fontId="10" fillId="2" borderId="0" xfId="0" applyFont="1" applyFill="1" applyBorder="1" applyAlignment="1">
      <alignment horizontal="right" vertical="top"/>
    </xf>
    <xf numFmtId="0" fontId="0" fillId="3" borderId="4" xfId="0" applyFill="1" applyBorder="1" applyAlignment="1">
      <alignment horizontal="left"/>
    </xf>
    <xf numFmtId="0" fontId="3" fillId="3" borderId="0" xfId="0" applyFont="1" applyFill="1" applyBorder="1" applyAlignment="1">
      <alignment horizontal="left"/>
    </xf>
    <xf numFmtId="0" fontId="14" fillId="4" borderId="0" xfId="0" applyFont="1" applyFill="1" applyAlignment="1">
      <alignment horizontal="left" vertical="top" wrapText="1"/>
    </xf>
    <xf numFmtId="164" fontId="6" fillId="2" borderId="0" xfId="0" applyNumberFormat="1" applyFont="1" applyFill="1" applyBorder="1" applyAlignment="1">
      <alignment horizontal="left"/>
    </xf>
    <xf numFmtId="0" fontId="10" fillId="2" borderId="0" xfId="0" applyFont="1" applyFill="1" applyBorder="1" applyAlignment="1">
      <alignment horizontal="left" vertical="top"/>
    </xf>
    <xf numFmtId="164" fontId="7" fillId="2" borderId="0" xfId="0" applyNumberFormat="1" applyFont="1" applyFill="1" applyBorder="1" applyAlignment="1">
      <alignment horizontal="left"/>
    </xf>
    <xf numFmtId="1" fontId="7" fillId="2" borderId="0" xfId="0" applyNumberFormat="1" applyFont="1" applyFill="1" applyBorder="1" applyAlignment="1">
      <alignment horizontal="right"/>
    </xf>
    <xf numFmtId="1" fontId="7" fillId="2" borderId="0" xfId="0" applyNumberFormat="1" applyFont="1" applyFill="1" applyBorder="1"/>
    <xf numFmtId="0" fontId="15" fillId="4" borderId="0" xfId="0" applyFont="1" applyFill="1" applyAlignment="1">
      <alignment wrapText="1"/>
    </xf>
    <xf numFmtId="0" fontId="15" fillId="3" borderId="0" xfId="0" applyFont="1" applyFill="1" applyBorder="1"/>
    <xf numFmtId="0" fontId="11" fillId="4" borderId="1" xfId="0" applyFont="1" applyFill="1" applyBorder="1"/>
    <xf numFmtId="0" fontId="16" fillId="4" borderId="0" xfId="0" applyFont="1" applyFill="1" applyAlignment="1">
      <alignment horizontal="left"/>
    </xf>
    <xf numFmtId="0" fontId="10" fillId="2" borderId="0" xfId="0" applyFont="1" applyFill="1" applyAlignment="1">
      <alignment horizontal="left" vertical="top"/>
    </xf>
    <xf numFmtId="0" fontId="14" fillId="3" borderId="0" xfId="0" applyFont="1" applyFill="1" applyAlignment="1">
      <alignment vertical="top"/>
    </xf>
    <xf numFmtId="0" fontId="0" fillId="4" borderId="0" xfId="0" applyFill="1" applyAlignment="1">
      <alignment vertical="top" wrapText="1"/>
    </xf>
    <xf numFmtId="0" fontId="0" fillId="3" borderId="0" xfId="0" applyFont="1" applyFill="1" applyAlignment="1"/>
    <xf numFmtId="0" fontId="2" fillId="3" borderId="0" xfId="1" applyFill="1" applyAlignment="1">
      <alignment vertical="top"/>
    </xf>
    <xf numFmtId="0" fontId="0" fillId="3" borderId="1" xfId="0" applyFill="1" applyBorder="1" applyAlignment="1">
      <alignment vertical="top" wrapText="1"/>
    </xf>
    <xf numFmtId="0" fontId="1" fillId="3" borderId="0" xfId="0" applyFont="1" applyFill="1" applyBorder="1" applyAlignment="1">
      <alignment vertical="top" wrapText="1"/>
    </xf>
    <xf numFmtId="0" fontId="0" fillId="3" borderId="0" xfId="0" applyFill="1" applyBorder="1" applyAlignment="1">
      <alignment vertical="top" wrapText="1"/>
    </xf>
    <xf numFmtId="0" fontId="14" fillId="3" borderId="2" xfId="0" applyFont="1" applyFill="1" applyBorder="1" applyAlignment="1">
      <alignment vertical="top"/>
    </xf>
    <xf numFmtId="0" fontId="14" fillId="3" borderId="2" xfId="0" applyFont="1" applyFill="1" applyBorder="1" applyAlignment="1">
      <alignment vertical="top" wrapText="1"/>
    </xf>
    <xf numFmtId="0" fontId="0" fillId="3" borderId="1" xfId="0" applyFill="1" applyBorder="1" applyAlignment="1">
      <alignment vertical="top"/>
    </xf>
    <xf numFmtId="0" fontId="20" fillId="4" borderId="0" xfId="0" applyFont="1" applyFill="1" applyAlignment="1">
      <alignment vertical="top"/>
    </xf>
    <xf numFmtId="0" fontId="0" fillId="3" borderId="0" xfId="0" applyFill="1" applyBorder="1" applyAlignment="1">
      <alignment vertical="top"/>
    </xf>
    <xf numFmtId="0" fontId="0" fillId="5" borderId="0" xfId="0" applyFill="1" applyAlignment="1">
      <alignment vertical="top" wrapText="1"/>
    </xf>
    <xf numFmtId="0" fontId="0" fillId="5" borderId="1" xfId="0" applyFill="1" applyBorder="1" applyAlignment="1">
      <alignment vertical="top" wrapText="1"/>
    </xf>
    <xf numFmtId="0" fontId="1" fillId="5" borderId="0" xfId="0" applyFont="1" applyFill="1" applyAlignment="1">
      <alignment vertical="top" wrapText="1"/>
    </xf>
    <xf numFmtId="0" fontId="14" fillId="5" borderId="0" xfId="0" applyFont="1" applyFill="1" applyAlignment="1">
      <alignment vertical="top"/>
    </xf>
    <xf numFmtId="0" fontId="14" fillId="5" borderId="1" xfId="0" applyFont="1" applyFill="1" applyBorder="1" applyAlignment="1">
      <alignment vertical="top" wrapText="1"/>
    </xf>
    <xf numFmtId="0" fontId="14" fillId="5" borderId="1" xfId="0" applyFont="1" applyFill="1" applyBorder="1" applyAlignment="1">
      <alignment vertical="top"/>
    </xf>
    <xf numFmtId="0" fontId="3" fillId="3" borderId="0" xfId="0" applyFont="1" applyFill="1" applyBorder="1" applyAlignment="1">
      <alignment horizontal="left" vertical="top"/>
    </xf>
    <xf numFmtId="164" fontId="0" fillId="2" borderId="0" xfId="0" applyNumberFormat="1" applyFill="1" applyBorder="1" applyAlignment="1">
      <alignment horizontal="right"/>
    </xf>
    <xf numFmtId="0" fontId="0" fillId="4" borderId="0" xfId="0" applyNumberFormat="1" applyFill="1"/>
    <xf numFmtId="0" fontId="33" fillId="3" borderId="0" xfId="0" applyFont="1" applyFill="1" applyAlignment="1">
      <alignment horizontal="center"/>
    </xf>
    <xf numFmtId="0" fontId="33" fillId="3" borderId="0" xfId="0" applyFont="1" applyFill="1" applyAlignment="1">
      <alignment horizontal="left"/>
    </xf>
    <xf numFmtId="164" fontId="10" fillId="2" borderId="0" xfId="0" applyNumberFormat="1" applyFont="1" applyFill="1"/>
    <xf numFmtId="0" fontId="3" fillId="4" borderId="0" xfId="0" applyFont="1" applyFill="1"/>
    <xf numFmtId="0" fontId="2" fillId="4" borderId="0" xfId="1" applyFill="1"/>
    <xf numFmtId="0" fontId="3" fillId="4" borderId="0" xfId="0" applyFont="1" applyFill="1" applyAlignment="1">
      <alignment vertical="top"/>
    </xf>
    <xf numFmtId="1" fontId="6" fillId="2" borderId="0" xfId="0" applyNumberFormat="1" applyFont="1" applyFill="1" applyAlignment="1">
      <alignment horizontal="right"/>
    </xf>
    <xf numFmtId="0" fontId="25" fillId="3" borderId="0" xfId="0" applyFont="1" applyFill="1" applyBorder="1" applyAlignment="1">
      <alignment vertical="top" wrapText="1"/>
    </xf>
    <xf numFmtId="0" fontId="23" fillId="3" borderId="0" xfId="0" applyFont="1" applyFill="1" applyAlignment="1">
      <alignment vertical="top" wrapText="1"/>
    </xf>
    <xf numFmtId="0" fontId="3" fillId="3" borderId="0" xfId="0" applyFont="1" applyFill="1" applyAlignment="1">
      <alignment vertical="top"/>
    </xf>
    <xf numFmtId="0" fontId="2" fillId="4" borderId="0" xfId="1" applyFill="1" applyAlignment="1">
      <alignment vertical="top"/>
    </xf>
    <xf numFmtId="0" fontId="1" fillId="5" borderId="1" xfId="0" applyFont="1" applyFill="1" applyBorder="1" applyAlignment="1">
      <alignment vertical="top" wrapText="1"/>
    </xf>
    <xf numFmtId="0" fontId="1" fillId="0" borderId="0" xfId="0" applyFont="1" applyAlignment="1">
      <alignment vertical="center"/>
    </xf>
    <xf numFmtId="0" fontId="1" fillId="0" borderId="0" xfId="0" applyFont="1" applyAlignment="1">
      <alignment horizontal="left" vertical="center"/>
    </xf>
    <xf numFmtId="0" fontId="1" fillId="0" borderId="0" xfId="0" applyFont="1" applyFill="1" applyBorder="1" applyAlignment="1">
      <alignment horizontal="left" vertical="center"/>
    </xf>
    <xf numFmtId="164" fontId="1" fillId="0" borderId="0" xfId="0" applyNumberFormat="1" applyFont="1" applyAlignment="1">
      <alignment vertical="center"/>
    </xf>
    <xf numFmtId="0" fontId="1" fillId="0" borderId="12" xfId="0" applyFont="1" applyBorder="1" applyAlignment="1">
      <alignment vertical="center"/>
    </xf>
    <xf numFmtId="0" fontId="1" fillId="0" borderId="0" xfId="0" applyFont="1" applyBorder="1" applyAlignment="1">
      <alignment vertical="center"/>
    </xf>
    <xf numFmtId="0" fontId="0" fillId="0" borderId="12" xfId="0" applyBorder="1"/>
    <xf numFmtId="0" fontId="0" fillId="0" borderId="0" xfId="0" applyBorder="1"/>
    <xf numFmtId="0" fontId="0" fillId="0" borderId="0" xfId="0" applyAlignment="1">
      <alignment horizontal="right"/>
    </xf>
    <xf numFmtId="0" fontId="3" fillId="4" borderId="0" xfId="0" applyFont="1" applyFill="1" applyAlignment="1">
      <alignment horizontal="left" wrapText="1"/>
    </xf>
    <xf numFmtId="0" fontId="3" fillId="3" borderId="0" xfId="0" applyFont="1" applyFill="1" applyAlignment="1">
      <alignment horizontal="left" wrapText="1"/>
    </xf>
    <xf numFmtId="0" fontId="3" fillId="3" borderId="0" xfId="0" applyFont="1" applyFill="1" applyAlignment="1">
      <alignment wrapText="1"/>
    </xf>
    <xf numFmtId="0" fontId="1" fillId="3" borderId="0" xfId="0" applyFont="1" applyFill="1" applyAlignment="1">
      <alignment horizontal="left" vertical="top" wrapText="1" indent="1"/>
    </xf>
    <xf numFmtId="0" fontId="0" fillId="3" borderId="0" xfId="0" applyFill="1" applyAlignment="1"/>
    <xf numFmtId="0" fontId="0" fillId="2" borderId="0" xfId="0" applyFill="1" applyAlignment="1"/>
    <xf numFmtId="0" fontId="14" fillId="3" borderId="0" xfId="0" applyFont="1" applyFill="1" applyAlignment="1">
      <alignment wrapText="1"/>
    </xf>
    <xf numFmtId="0" fontId="15" fillId="3" borderId="0" xfId="0" applyFont="1" applyFill="1" applyAlignment="1"/>
    <xf numFmtId="0" fontId="15" fillId="3" borderId="0" xfId="0" applyFont="1" applyFill="1" applyAlignment="1">
      <alignment vertical="top"/>
    </xf>
    <xf numFmtId="0" fontId="14" fillId="3" borderId="0" xfId="0" applyFont="1" applyFill="1" applyBorder="1" applyAlignment="1">
      <alignment vertical="top" wrapText="1"/>
    </xf>
    <xf numFmtId="0" fontId="5" fillId="3" borderId="0" xfId="0" applyFont="1" applyFill="1" applyBorder="1" applyAlignment="1"/>
    <xf numFmtId="0" fontId="5" fillId="3" borderId="0" xfId="0" applyFont="1" applyFill="1" applyAlignment="1"/>
    <xf numFmtId="20" fontId="11" fillId="2" borderId="0" xfId="0" quotePrefix="1" applyNumberFormat="1" applyFont="1" applyFill="1"/>
    <xf numFmtId="0" fontId="15" fillId="2" borderId="2" xfId="0" applyFont="1" applyFill="1" applyBorder="1" applyAlignment="1">
      <alignment vertical="top"/>
    </xf>
    <xf numFmtId="0" fontId="0" fillId="2" borderId="2" xfId="0" applyFill="1" applyBorder="1" applyAlignment="1">
      <alignment vertical="top"/>
    </xf>
    <xf numFmtId="0" fontId="6" fillId="2" borderId="0" xfId="0" applyFont="1" applyFill="1" applyBorder="1" applyAlignment="1"/>
    <xf numFmtId="0" fontId="7" fillId="2" borderId="1" xfId="0" applyFont="1" applyFill="1" applyBorder="1" applyAlignment="1"/>
    <xf numFmtId="0" fontId="6" fillId="2" borderId="0" xfId="0" applyFont="1" applyFill="1" applyAlignment="1"/>
    <xf numFmtId="0" fontId="6" fillId="2" borderId="1" xfId="0" applyFont="1" applyFill="1" applyBorder="1" applyAlignment="1"/>
    <xf numFmtId="0" fontId="5" fillId="2" borderId="1" xfId="0" applyFont="1" applyFill="1" applyBorder="1" applyAlignment="1"/>
    <xf numFmtId="0" fontId="6" fillId="2" borderId="0" xfId="0" applyFont="1" applyFill="1" applyBorder="1" applyAlignment="1">
      <alignment vertical="center"/>
    </xf>
    <xf numFmtId="0" fontId="7" fillId="2" borderId="1" xfId="0" applyFont="1" applyFill="1" applyBorder="1" applyAlignment="1">
      <alignment horizontal="left"/>
    </xf>
    <xf numFmtId="0" fontId="6" fillId="2" borderId="1" xfId="0" applyFont="1" applyFill="1" applyBorder="1" applyAlignment="1">
      <alignment horizontal="left"/>
    </xf>
    <xf numFmtId="0" fontId="7" fillId="2" borderId="0" xfId="0" applyFont="1" applyFill="1" applyBorder="1" applyAlignment="1">
      <alignment horizontal="left"/>
    </xf>
    <xf numFmtId="0" fontId="5" fillId="2" borderId="1" xfId="0" applyFont="1" applyFill="1" applyBorder="1" applyAlignment="1">
      <alignment horizontal="left"/>
    </xf>
    <xf numFmtId="0" fontId="15" fillId="2" borderId="2" xfId="0" applyFont="1" applyFill="1" applyBorder="1"/>
    <xf numFmtId="0" fontId="15" fillId="2" borderId="2" xfId="0" applyFont="1" applyFill="1" applyBorder="1" applyAlignment="1">
      <alignment horizontal="right"/>
    </xf>
    <xf numFmtId="0" fontId="0" fillId="2" borderId="2" xfId="0" applyFill="1" applyBorder="1" applyAlignment="1">
      <alignment horizontal="right"/>
    </xf>
    <xf numFmtId="16" fontId="10" fillId="4" borderId="0" xfId="0" quotePrefix="1" applyNumberFormat="1" applyFont="1" applyFill="1" applyAlignment="1">
      <alignment horizontal="right"/>
    </xf>
    <xf numFmtId="1" fontId="11" fillId="4" borderId="0" xfId="0" applyNumberFormat="1" applyFont="1" applyFill="1" applyAlignment="1">
      <alignment horizontal="right" vertical="top"/>
    </xf>
    <xf numFmtId="0" fontId="10" fillId="4" borderId="0" xfId="0" applyFont="1" applyFill="1"/>
    <xf numFmtId="0" fontId="11" fillId="4" borderId="0" xfId="0" applyFont="1" applyFill="1" applyAlignment="1">
      <alignment horizontal="right" vertical="top"/>
    </xf>
    <xf numFmtId="0" fontId="10" fillId="4" borderId="0" xfId="0" applyFont="1" applyFill="1" applyBorder="1"/>
    <xf numFmtId="0" fontId="11" fillId="4" borderId="0" xfId="0" applyFont="1" applyFill="1" applyBorder="1"/>
    <xf numFmtId="164" fontId="11" fillId="4" borderId="0" xfId="0" applyNumberFormat="1" applyFont="1" applyFill="1"/>
    <xf numFmtId="164" fontId="11" fillId="4" borderId="0" xfId="0" applyNumberFormat="1" applyFont="1" applyFill="1" applyAlignment="1">
      <alignment horizontal="right"/>
    </xf>
    <xf numFmtId="1" fontId="11" fillId="4" borderId="0" xfId="0" applyNumberFormat="1" applyFont="1" applyFill="1"/>
    <xf numFmtId="164" fontId="11" fillId="4" borderId="0" xfId="0" quotePrefix="1" applyNumberFormat="1" applyFont="1" applyFill="1" applyAlignment="1">
      <alignment horizontal="right"/>
    </xf>
    <xf numFmtId="0" fontId="10" fillId="4" borderId="1" xfId="0" applyFont="1" applyFill="1" applyBorder="1"/>
    <xf numFmtId="0" fontId="2" fillId="4" borderId="0" xfId="1" applyFill="1" applyAlignment="1">
      <alignment vertical="center"/>
    </xf>
    <xf numFmtId="1" fontId="11" fillId="4" borderId="0" xfId="0" applyNumberFormat="1" applyFont="1" applyFill="1" applyAlignment="1">
      <alignment horizontal="right"/>
    </xf>
    <xf numFmtId="164" fontId="11" fillId="4" borderId="1" xfId="0" applyNumberFormat="1" applyFont="1" applyFill="1" applyBorder="1" applyAlignment="1">
      <alignment horizontal="right"/>
    </xf>
    <xf numFmtId="0" fontId="6" fillId="4" borderId="0" xfId="0" applyFont="1" applyFill="1" applyAlignment="1">
      <alignment horizontal="right"/>
    </xf>
    <xf numFmtId="1" fontId="6" fillId="4" borderId="0" xfId="0" applyNumberFormat="1" applyFont="1" applyFill="1" applyAlignment="1">
      <alignment horizontal="right"/>
    </xf>
    <xf numFmtId="0" fontId="14" fillId="5" borderId="0" xfId="0" applyFont="1" applyFill="1" applyBorder="1" applyAlignment="1">
      <alignment vertical="top" wrapText="1"/>
    </xf>
    <xf numFmtId="0" fontId="0" fillId="5" borderId="0" xfId="0" applyFill="1" applyBorder="1" applyAlignment="1">
      <alignment vertical="top" wrapText="1"/>
    </xf>
    <xf numFmtId="0" fontId="0" fillId="6" borderId="0" xfId="0" applyFill="1"/>
    <xf numFmtId="0" fontId="11" fillId="2" borderId="0" xfId="0" applyFont="1" applyFill="1" applyBorder="1" applyAlignment="1"/>
    <xf numFmtId="0" fontId="11" fillId="2" borderId="1" xfId="0" applyFont="1" applyFill="1" applyBorder="1" applyAlignment="1"/>
    <xf numFmtId="164" fontId="11" fillId="2" borderId="0" xfId="0" applyNumberFormat="1" applyFont="1" applyFill="1" applyBorder="1" applyAlignment="1"/>
    <xf numFmtId="0" fontId="0" fillId="3" borderId="0" xfId="0" applyFont="1" applyFill="1" applyAlignment="1">
      <alignment vertical="center" wrapText="1"/>
    </xf>
    <xf numFmtId="0" fontId="0" fillId="3" borderId="0" xfId="0" applyFill="1" applyAlignment="1"/>
    <xf numFmtId="0" fontId="16" fillId="3" borderId="0" xfId="0" applyFont="1" applyFill="1" applyAlignment="1">
      <alignment vertical="top" wrapText="1"/>
    </xf>
    <xf numFmtId="0" fontId="0" fillId="3" borderId="0" xfId="0" applyFill="1" applyAlignment="1"/>
    <xf numFmtId="0" fontId="15" fillId="4" borderId="0" xfId="0" applyFont="1" applyFill="1" applyAlignment="1">
      <alignment wrapText="1"/>
    </xf>
    <xf numFmtId="0" fontId="15" fillId="2" borderId="0" xfId="0" applyFont="1" applyFill="1" applyAlignment="1">
      <alignment wrapText="1"/>
    </xf>
    <xf numFmtId="0" fontId="14" fillId="3" borderId="0" xfId="0" applyFont="1" applyFill="1" applyAlignment="1">
      <alignment vertical="top" wrapText="1"/>
    </xf>
    <xf numFmtId="0" fontId="15" fillId="3" borderId="0" xfId="0" applyFont="1" applyFill="1" applyAlignment="1">
      <alignment vertical="top"/>
    </xf>
    <xf numFmtId="0" fontId="15" fillId="3" borderId="0" xfId="0" applyFont="1" applyFill="1" applyAlignment="1"/>
    <xf numFmtId="0" fontId="0" fillId="4" borderId="0" xfId="0" applyFill="1" applyAlignment="1">
      <alignment vertical="top"/>
    </xf>
    <xf numFmtId="0" fontId="1" fillId="3" borderId="0" xfId="0" applyFont="1" applyFill="1" applyAlignment="1"/>
    <xf numFmtId="0" fontId="0" fillId="3" borderId="0" xfId="0" applyFill="1" applyAlignment="1">
      <alignment vertical="top"/>
    </xf>
    <xf numFmtId="0" fontId="15" fillId="3" borderId="0" xfId="0" applyFont="1" applyFill="1" applyAlignment="1">
      <alignment vertical="top"/>
    </xf>
    <xf numFmtId="17" fontId="0" fillId="3" borderId="0" xfId="0" quotePrefix="1" applyNumberFormat="1" applyFill="1"/>
    <xf numFmtId="15" fontId="0" fillId="3" borderId="0" xfId="0" quotePrefix="1" applyNumberFormat="1" applyFill="1"/>
    <xf numFmtId="0" fontId="31" fillId="3" borderId="0" xfId="0" applyFont="1" applyFill="1" applyBorder="1" applyAlignment="1">
      <alignment vertical="top" wrapText="1"/>
    </xf>
    <xf numFmtId="0" fontId="0" fillId="3" borderId="0" xfId="0" applyFill="1" applyBorder="1" applyAlignment="1">
      <alignment horizontal="left" vertical="top"/>
    </xf>
    <xf numFmtId="0" fontId="0" fillId="3" borderId="7" xfId="0" applyFill="1" applyBorder="1" applyAlignment="1"/>
    <xf numFmtId="0" fontId="0" fillId="3" borderId="9" xfId="0" applyFill="1" applyBorder="1" applyAlignment="1">
      <alignment vertical="top"/>
    </xf>
    <xf numFmtId="0" fontId="0" fillId="3" borderId="9" xfId="0" applyFill="1" applyBorder="1" applyAlignment="1">
      <alignment horizontal="left" vertical="top"/>
    </xf>
    <xf numFmtId="0" fontId="0" fillId="3" borderId="3" xfId="0" applyFill="1" applyBorder="1" applyAlignment="1">
      <alignment horizontal="left"/>
    </xf>
    <xf numFmtId="0" fontId="3" fillId="3" borderId="5" xfId="0" applyFont="1" applyFill="1" applyBorder="1" applyAlignment="1"/>
    <xf numFmtId="0" fontId="0" fillId="3" borderId="6" xfId="0" applyFill="1" applyBorder="1" applyAlignment="1">
      <alignment horizontal="left"/>
    </xf>
    <xf numFmtId="0" fontId="0" fillId="3" borderId="7" xfId="0" applyFill="1" applyBorder="1" applyAlignment="1">
      <alignment vertical="top"/>
    </xf>
    <xf numFmtId="0" fontId="3" fillId="3" borderId="7" xfId="0" applyFont="1" applyFill="1" applyBorder="1" applyAlignment="1">
      <alignment vertical="top"/>
    </xf>
    <xf numFmtId="0" fontId="0" fillId="3" borderId="8" xfId="0" applyFill="1" applyBorder="1" applyAlignment="1">
      <alignment vertical="top"/>
    </xf>
    <xf numFmtId="0" fontId="32" fillId="3" borderId="0" xfId="0" applyFont="1" applyFill="1" applyBorder="1" applyAlignment="1">
      <alignment horizontal="center" vertical="top"/>
    </xf>
    <xf numFmtId="0" fontId="0" fillId="3" borderId="0" xfId="0" applyFill="1" applyBorder="1" applyAlignment="1">
      <alignment horizontal="center" vertical="center"/>
    </xf>
    <xf numFmtId="0" fontId="0" fillId="3" borderId="9" xfId="0" applyFill="1" applyBorder="1" applyAlignment="1">
      <alignment horizontal="center" vertical="center"/>
    </xf>
    <xf numFmtId="0" fontId="14" fillId="3" borderId="0" xfId="0" applyFont="1" applyFill="1" applyBorder="1" applyAlignment="1">
      <alignment horizontal="left" vertical="top"/>
    </xf>
    <xf numFmtId="0" fontId="3" fillId="3" borderId="0" xfId="0" applyFont="1" applyFill="1" applyBorder="1" applyAlignment="1">
      <alignment horizontal="left" vertical="top" wrapText="1"/>
    </xf>
    <xf numFmtId="0" fontId="0" fillId="2" borderId="2" xfId="0" applyFill="1" applyBorder="1" applyAlignment="1">
      <alignment horizontal="left"/>
    </xf>
    <xf numFmtId="0" fontId="16" fillId="4" borderId="0" xfId="0" applyFont="1" applyFill="1" applyBorder="1"/>
    <xf numFmtId="0" fontId="3" fillId="3" borderId="7" xfId="0" applyFont="1" applyFill="1" applyBorder="1" applyAlignment="1">
      <alignment vertical="top" wrapText="1"/>
    </xf>
    <xf numFmtId="0" fontId="0" fillId="3" borderId="9" xfId="0" applyFill="1" applyBorder="1"/>
    <xf numFmtId="0" fontId="0" fillId="3" borderId="8" xfId="0" applyFill="1" applyBorder="1"/>
    <xf numFmtId="0" fontId="0" fillId="6" borderId="0" xfId="0" applyFill="1" applyBorder="1"/>
    <xf numFmtId="0" fontId="0" fillId="3" borderId="5" xfId="0" applyFill="1" applyBorder="1" applyAlignment="1">
      <alignment horizontal="center" vertical="center"/>
    </xf>
    <xf numFmtId="0" fontId="0" fillId="3" borderId="7" xfId="0" applyFill="1" applyBorder="1" applyAlignment="1">
      <alignment horizontal="center" vertical="center"/>
    </xf>
    <xf numFmtId="0" fontId="0" fillId="3" borderId="10" xfId="0" applyFill="1" applyBorder="1" applyAlignment="1">
      <alignment horizontal="center" vertical="center"/>
    </xf>
    <xf numFmtId="0" fontId="0" fillId="6" borderId="0" xfId="0" applyFill="1" applyAlignment="1">
      <alignment horizontal="center" vertical="center"/>
    </xf>
    <xf numFmtId="0" fontId="11" fillId="6" borderId="0" xfId="0" applyFont="1" applyFill="1" applyBorder="1" applyAlignment="1">
      <alignment horizontal="left" vertical="center"/>
    </xf>
    <xf numFmtId="0" fontId="0" fillId="6" borderId="0" xfId="0" applyFill="1" applyAlignment="1">
      <alignment horizontal="left"/>
    </xf>
    <xf numFmtId="0" fontId="10" fillId="6" borderId="0" xfId="0" applyFont="1" applyFill="1" applyAlignment="1">
      <alignment vertical="top" wrapText="1"/>
    </xf>
    <xf numFmtId="0" fontId="0" fillId="6" borderId="0" xfId="0" applyFill="1" applyAlignment="1"/>
    <xf numFmtId="0" fontId="0" fillId="6" borderId="0" xfId="0" applyFill="1" applyBorder="1" applyAlignment="1"/>
    <xf numFmtId="0" fontId="15" fillId="6" borderId="0" xfId="0" applyFont="1" applyFill="1"/>
    <xf numFmtId="0" fontId="15" fillId="6" borderId="0" xfId="0" applyFont="1" applyFill="1" applyAlignment="1">
      <alignment wrapText="1"/>
    </xf>
    <xf numFmtId="0" fontId="15" fillId="3" borderId="0" xfId="0" applyFont="1" applyFill="1" applyBorder="1" applyAlignment="1"/>
    <xf numFmtId="0" fontId="0" fillId="0" borderId="0" xfId="0" applyAlignment="1"/>
    <xf numFmtId="0" fontId="0" fillId="3" borderId="0" xfId="0" applyFill="1" applyAlignment="1"/>
    <xf numFmtId="0" fontId="15" fillId="3" borderId="0" xfId="0" applyFont="1" applyFill="1" applyAlignment="1">
      <alignment wrapText="1"/>
    </xf>
    <xf numFmtId="0" fontId="15" fillId="3" borderId="0" xfId="0" applyFont="1" applyFill="1" applyAlignment="1"/>
    <xf numFmtId="0" fontId="0" fillId="4" borderId="0" xfId="0" applyFill="1" applyAlignment="1">
      <alignment vertical="top"/>
    </xf>
    <xf numFmtId="164" fontId="11" fillId="2" borderId="0" xfId="0" applyNumberFormat="1" applyFont="1" applyFill="1" applyBorder="1" applyAlignment="1">
      <alignment horizontal="right" vertical="top"/>
    </xf>
    <xf numFmtId="164" fontId="11" fillId="2" borderId="1" xfId="0" applyNumberFormat="1" applyFont="1" applyFill="1" applyBorder="1" applyAlignment="1">
      <alignment horizontal="right" vertical="top"/>
    </xf>
    <xf numFmtId="164" fontId="11" fillId="2" borderId="0" xfId="0" quotePrefix="1" applyNumberFormat="1" applyFont="1" applyFill="1" applyBorder="1" applyAlignment="1">
      <alignment horizontal="right" vertical="top"/>
    </xf>
    <xf numFmtId="0" fontId="0" fillId="2" borderId="0" xfId="0" applyFill="1" applyBorder="1" applyAlignment="1">
      <alignment vertical="top"/>
    </xf>
    <xf numFmtId="164" fontId="17" fillId="4" borderId="0" xfId="0" applyNumberFormat="1" applyFont="1" applyFill="1"/>
    <xf numFmtId="0" fontId="1" fillId="4" borderId="0" xfId="0" applyFont="1" applyFill="1" applyAlignment="1">
      <alignment vertical="top"/>
    </xf>
    <xf numFmtId="0" fontId="0" fillId="6" borderId="0" xfId="0" applyFill="1" applyAlignment="1">
      <alignment vertical="top"/>
    </xf>
    <xf numFmtId="0" fontId="1" fillId="6" borderId="0" xfId="0" applyFont="1" applyFill="1"/>
    <xf numFmtId="0" fontId="11" fillId="4" borderId="0" xfId="0" quotePrefix="1" applyFont="1" applyFill="1" applyAlignment="1">
      <alignment horizontal="right"/>
    </xf>
    <xf numFmtId="0" fontId="1" fillId="2" borderId="0" xfId="0" applyFont="1" applyFill="1" applyAlignment="1">
      <alignment vertical="top" wrapText="1"/>
    </xf>
    <xf numFmtId="0" fontId="2" fillId="2" borderId="0" xfId="1" applyFill="1" applyAlignment="1">
      <alignment horizontal="center" vertical="center"/>
    </xf>
    <xf numFmtId="0" fontId="2" fillId="2" borderId="0" xfId="1" applyFill="1" applyAlignment="1">
      <alignment horizontal="center"/>
    </xf>
    <xf numFmtId="0" fontId="34" fillId="2" borderId="0" xfId="0" applyFont="1" applyFill="1"/>
    <xf numFmtId="164" fontId="34" fillId="2" borderId="0" xfId="0" applyNumberFormat="1" applyFont="1" applyFill="1"/>
    <xf numFmtId="0" fontId="7" fillId="3" borderId="0" xfId="0" applyFont="1" applyFill="1" applyAlignment="1">
      <alignment horizontal="center"/>
    </xf>
    <xf numFmtId="0" fontId="36" fillId="4" borderId="0" xfId="0" applyFont="1" applyFill="1"/>
    <xf numFmtId="0" fontId="37" fillId="4" borderId="0" xfId="0" applyFont="1" applyFill="1" applyAlignment="1">
      <alignment horizontal="left"/>
    </xf>
    <xf numFmtId="0" fontId="35" fillId="4" borderId="0" xfId="0" applyFont="1" applyFill="1" applyAlignment="1">
      <alignment horizontal="right"/>
    </xf>
    <xf numFmtId="0" fontId="37" fillId="4" borderId="0" xfId="0" applyFont="1" applyFill="1" applyAlignment="1">
      <alignment horizontal="right"/>
    </xf>
    <xf numFmtId="0" fontId="38" fillId="4" borderId="0" xfId="0" applyFont="1" applyFill="1" applyBorder="1" applyAlignment="1">
      <alignment horizontal="left"/>
    </xf>
    <xf numFmtId="0" fontId="35" fillId="4" borderId="0" xfId="0" applyFont="1" applyFill="1"/>
    <xf numFmtId="164" fontId="36" fillId="4" borderId="0" xfId="0" applyNumberFormat="1" applyFont="1" applyFill="1"/>
    <xf numFmtId="164" fontId="36" fillId="4" borderId="0" xfId="0" applyNumberFormat="1" applyFont="1" applyFill="1" applyAlignment="1">
      <alignment horizontal="right"/>
    </xf>
    <xf numFmtId="0" fontId="7" fillId="4" borderId="0" xfId="0" applyFont="1" applyFill="1"/>
    <xf numFmtId="0" fontId="7" fillId="4" borderId="0" xfId="0" applyFont="1" applyFill="1" applyAlignment="1">
      <alignment horizontal="right"/>
    </xf>
    <xf numFmtId="0" fontId="11" fillId="3" borderId="0" xfId="0" applyFont="1" applyFill="1" applyAlignment="1">
      <alignment vertical="top"/>
    </xf>
    <xf numFmtId="0" fontId="6" fillId="3" borderId="0" xfId="0" applyFont="1" applyFill="1" applyAlignment="1">
      <alignment vertical="top" wrapText="1"/>
    </xf>
    <xf numFmtId="0" fontId="39" fillId="3" borderId="0" xfId="1" applyFont="1" applyFill="1" applyAlignment="1">
      <alignment vertical="center"/>
    </xf>
    <xf numFmtId="0" fontId="39" fillId="3" borderId="0" xfId="1" applyFont="1" applyFill="1" applyAlignment="1">
      <alignment vertical="top" wrapText="1"/>
    </xf>
    <xf numFmtId="0" fontId="11" fillId="3" borderId="0" xfId="0" applyFont="1" applyFill="1" applyBorder="1" applyAlignment="1">
      <alignment vertical="top" wrapText="1"/>
    </xf>
    <xf numFmtId="0" fontId="39" fillId="3" borderId="0" xfId="1" applyFont="1" applyFill="1" applyBorder="1" applyAlignment="1">
      <alignment horizontal="left" vertical="center" indent="3"/>
    </xf>
    <xf numFmtId="0" fontId="11" fillId="3" borderId="1" xfId="0" applyFont="1" applyFill="1" applyBorder="1" applyAlignment="1">
      <alignment horizontal="left"/>
    </xf>
    <xf numFmtId="0" fontId="11" fillId="3" borderId="1" xfId="0" applyFont="1" applyFill="1" applyBorder="1"/>
    <xf numFmtId="164" fontId="0" fillId="2" borderId="0" xfId="0" applyNumberFormat="1" applyFont="1" applyFill="1"/>
    <xf numFmtId="0" fontId="1" fillId="2" borderId="0" xfId="0" quotePrefix="1" applyFont="1" applyFill="1"/>
    <xf numFmtId="0" fontId="15" fillId="3" borderId="0" xfId="0" applyFont="1" applyFill="1" applyAlignment="1">
      <alignment vertical="top"/>
    </xf>
    <xf numFmtId="0" fontId="0" fillId="6" borderId="0" xfId="0" applyFont="1" applyFill="1"/>
    <xf numFmtId="0" fontId="0" fillId="3" borderId="0" xfId="0" applyFill="1" applyAlignment="1">
      <alignment vertical="top"/>
    </xf>
    <xf numFmtId="0" fontId="15" fillId="3" borderId="0" xfId="0" applyFont="1" applyFill="1" applyAlignment="1">
      <alignment vertical="top"/>
    </xf>
    <xf numFmtId="0" fontId="0" fillId="4" borderId="0" xfId="0" applyFill="1" applyAlignment="1">
      <alignment vertical="top"/>
    </xf>
    <xf numFmtId="0" fontId="0" fillId="3" borderId="0" xfId="0" applyFill="1" applyAlignment="1">
      <alignment wrapText="1"/>
    </xf>
    <xf numFmtId="0" fontId="4" fillId="0" borderId="0" xfId="0" applyFont="1"/>
    <xf numFmtId="0" fontId="15" fillId="3" borderId="0" xfId="0" applyFont="1" applyFill="1" applyAlignment="1">
      <alignment vertical="top"/>
    </xf>
    <xf numFmtId="0" fontId="36" fillId="2" borderId="0" xfId="0" applyFont="1" applyFill="1"/>
    <xf numFmtId="0" fontId="35" fillId="2" borderId="0" xfId="0" applyFont="1" applyFill="1" applyAlignment="1">
      <alignment horizontal="right"/>
    </xf>
    <xf numFmtId="164" fontId="36" fillId="2" borderId="0" xfId="0" applyNumberFormat="1" applyFont="1" applyFill="1"/>
    <xf numFmtId="0" fontId="36" fillId="4" borderId="0" xfId="0" quotePrefix="1" applyFont="1" applyFill="1"/>
    <xf numFmtId="0" fontId="38" fillId="4" borderId="0" xfId="0" applyFont="1" applyFill="1"/>
    <xf numFmtId="1" fontId="36" fillId="4" borderId="0" xfId="0" applyNumberFormat="1" applyFont="1" applyFill="1"/>
    <xf numFmtId="0" fontId="38" fillId="4" borderId="0" xfId="0" applyFont="1" applyFill="1" applyAlignment="1">
      <alignment horizontal="left"/>
    </xf>
    <xf numFmtId="0" fontId="3" fillId="3" borderId="0" xfId="0" applyFont="1" applyFill="1" applyBorder="1" applyAlignment="1">
      <alignment horizontal="left" vertical="top"/>
    </xf>
    <xf numFmtId="0" fontId="0" fillId="3" borderId="0" xfId="0" applyFill="1" applyAlignment="1">
      <alignment vertical="top"/>
    </xf>
    <xf numFmtId="0" fontId="38" fillId="2" borderId="0" xfId="0" applyFont="1" applyFill="1"/>
    <xf numFmtId="0" fontId="38" fillId="4" borderId="0" xfId="0" applyFont="1" applyFill="1" applyAlignment="1">
      <alignment horizontal="right"/>
    </xf>
    <xf numFmtId="0" fontId="3" fillId="3" borderId="0" xfId="0" applyFont="1" applyFill="1" applyBorder="1" applyAlignment="1">
      <alignment vertical="center"/>
    </xf>
    <xf numFmtId="0" fontId="23" fillId="3" borderId="0" xfId="0" applyFont="1" applyFill="1" applyBorder="1" applyAlignment="1">
      <alignment vertical="center"/>
    </xf>
    <xf numFmtId="0" fontId="2" fillId="3" borderId="0" xfId="1" applyFill="1" applyAlignment="1">
      <alignment wrapText="1"/>
    </xf>
    <xf numFmtId="0" fontId="0" fillId="3" borderId="0" xfId="0" applyFill="1" applyAlignment="1">
      <alignment vertical="top" wrapText="1"/>
    </xf>
    <xf numFmtId="0" fontId="0" fillId="0" borderId="0" xfId="0" applyAlignment="1">
      <alignment vertical="top"/>
    </xf>
    <xf numFmtId="0" fontId="3" fillId="3" borderId="0" xfId="0" applyFont="1" applyFill="1" applyBorder="1" applyAlignment="1">
      <alignment horizontal="left" vertical="top" wrapText="1"/>
    </xf>
    <xf numFmtId="0" fontId="0" fillId="0" borderId="0" xfId="0" applyAlignment="1"/>
    <xf numFmtId="0" fontId="9" fillId="3" borderId="0" xfId="0" applyFont="1" applyFill="1" applyAlignment="1">
      <alignment vertical="top" wrapText="1"/>
    </xf>
    <xf numFmtId="0" fontId="16" fillId="3" borderId="0" xfId="0" applyFont="1" applyFill="1" applyAlignment="1">
      <alignment vertical="top" wrapText="1"/>
    </xf>
    <xf numFmtId="0" fontId="0" fillId="0" borderId="0" xfId="0" applyAlignment="1">
      <alignment vertical="top" wrapText="1"/>
    </xf>
    <xf numFmtId="0" fontId="15" fillId="6" borderId="0" xfId="0" applyFont="1" applyFill="1" applyAlignment="1">
      <alignment wrapText="1"/>
    </xf>
    <xf numFmtId="0" fontId="0" fillId="6" borderId="0" xfId="0" applyFill="1" applyAlignment="1"/>
    <xf numFmtId="0" fontId="15" fillId="2" borderId="0" xfId="0" applyFont="1" applyFill="1" applyBorder="1" applyAlignment="1">
      <alignment wrapText="1"/>
    </xf>
    <xf numFmtId="0" fontId="0" fillId="0" borderId="0" xfId="0" applyBorder="1" applyAlignment="1"/>
    <xf numFmtId="0" fontId="15" fillId="0" borderId="0" xfId="0" applyFont="1" applyFill="1" applyAlignment="1">
      <alignment wrapText="1"/>
    </xf>
    <xf numFmtId="0" fontId="0" fillId="0" borderId="0" xfId="0" applyFill="1" applyAlignment="1"/>
    <xf numFmtId="0" fontId="10" fillId="2" borderId="0" xfId="0" applyFont="1" applyFill="1" applyAlignment="1">
      <alignment vertical="top" wrapText="1"/>
    </xf>
    <xf numFmtId="0" fontId="3" fillId="3" borderId="0" xfId="0" applyFont="1" applyFill="1" applyBorder="1" applyAlignment="1">
      <alignment horizontal="left" vertical="top"/>
    </xf>
    <xf numFmtId="0" fontId="15" fillId="6" borderId="0" xfId="0" applyFont="1" applyFill="1" applyAlignment="1">
      <alignment vertical="top" wrapText="1"/>
    </xf>
    <xf numFmtId="0" fontId="0" fillId="6" borderId="0" xfId="0" applyFill="1" applyAlignment="1">
      <alignment vertical="top" wrapText="1"/>
    </xf>
    <xf numFmtId="0" fontId="15" fillId="4" borderId="0" xfId="0" applyFont="1" applyFill="1" applyAlignment="1">
      <alignment wrapText="1"/>
    </xf>
    <xf numFmtId="0" fontId="0" fillId="0" borderId="0" xfId="0" applyAlignment="1">
      <alignment wrapText="1"/>
    </xf>
    <xf numFmtId="0" fontId="15" fillId="2" borderId="0" xfId="0" applyFont="1" applyFill="1" applyBorder="1" applyAlignment="1">
      <alignment horizontal="left" vertical="top" wrapText="1"/>
    </xf>
    <xf numFmtId="0" fontId="0" fillId="0" borderId="0" xfId="0" applyAlignment="1">
      <alignment horizontal="left" vertical="top" wrapText="1"/>
    </xf>
    <xf numFmtId="0" fontId="20" fillId="4" borderId="0" xfId="0" applyFont="1" applyFill="1" applyAlignment="1">
      <alignment vertical="top" wrapText="1"/>
    </xf>
    <xf numFmtId="0" fontId="13" fillId="5" borderId="1" xfId="0" applyFont="1" applyFill="1" applyBorder="1" applyAlignment="1">
      <alignment vertical="top" wrapText="1"/>
    </xf>
    <xf numFmtId="0" fontId="0" fillId="0" borderId="1" xfId="0" applyBorder="1" applyAlignment="1">
      <alignment vertical="top"/>
    </xf>
    <xf numFmtId="0" fontId="14" fillId="2" borderId="0" xfId="0" applyFont="1" applyFill="1" applyAlignment="1">
      <alignment wrapText="1"/>
    </xf>
    <xf numFmtId="0" fontId="8" fillId="2" borderId="0" xfId="0" applyFont="1" applyFill="1" applyAlignment="1">
      <alignment vertical="top" wrapText="1"/>
    </xf>
    <xf numFmtId="0" fontId="0" fillId="0" borderId="0" xfId="0" applyFont="1" applyAlignment="1">
      <alignment vertical="top" wrapText="1"/>
    </xf>
    <xf numFmtId="0" fontId="1" fillId="2" borderId="0" xfId="0" applyFont="1" applyFill="1" applyAlignment="1">
      <alignment vertical="top" wrapText="1"/>
    </xf>
    <xf numFmtId="0" fontId="1" fillId="0" borderId="0" xfId="0" applyFont="1" applyAlignment="1">
      <alignment vertical="top"/>
    </xf>
    <xf numFmtId="0" fontId="3" fillId="2" borderId="0" xfId="0" applyFont="1" applyFill="1" applyAlignment="1"/>
    <xf numFmtId="0" fontId="3" fillId="0" borderId="0" xfId="0" applyFont="1" applyAlignment="1"/>
    <xf numFmtId="0" fontId="9" fillId="3" borderId="0" xfId="0" applyFont="1" applyFill="1" applyAlignment="1">
      <alignment wrapText="1"/>
    </xf>
    <xf numFmtId="0" fontId="14" fillId="3" borderId="0" xfId="0" applyFont="1" applyFill="1" applyAlignment="1">
      <alignment wrapText="1"/>
    </xf>
    <xf numFmtId="0" fontId="14" fillId="3" borderId="0" xfId="0" applyFont="1" applyFill="1" applyAlignment="1">
      <alignment vertical="top" wrapText="1"/>
    </xf>
    <xf numFmtId="0" fontId="15" fillId="3" borderId="0" xfId="0" applyFont="1" applyFill="1" applyAlignment="1">
      <alignment vertical="top" wrapText="1"/>
    </xf>
    <xf numFmtId="0" fontId="0" fillId="3" borderId="0" xfId="0" applyFill="1" applyAlignment="1">
      <alignment vertical="top"/>
    </xf>
    <xf numFmtId="0" fontId="0" fillId="3" borderId="0" xfId="0" applyFill="1" applyAlignment="1"/>
    <xf numFmtId="0" fontId="15" fillId="3" borderId="0" xfId="0" applyFont="1" applyFill="1" applyAlignment="1">
      <alignment wrapText="1"/>
    </xf>
    <xf numFmtId="0" fontId="15" fillId="2" borderId="2" xfId="0" applyFont="1" applyFill="1" applyBorder="1" applyAlignment="1"/>
    <xf numFmtId="0" fontId="0" fillId="0" borderId="2" xfId="0" applyBorder="1" applyAlignment="1"/>
    <xf numFmtId="0" fontId="8" fillId="2" borderId="0" xfId="0" applyFont="1" applyFill="1" applyAlignment="1">
      <alignment wrapText="1"/>
    </xf>
    <xf numFmtId="0" fontId="14" fillId="2" borderId="0" xfId="0" applyFont="1" applyFill="1" applyAlignment="1">
      <alignment vertical="top" wrapText="1"/>
    </xf>
    <xf numFmtId="0" fontId="15" fillId="4" borderId="0" xfId="0" applyFont="1" applyFill="1" applyBorder="1" applyAlignment="1">
      <alignment vertical="top" wrapText="1"/>
    </xf>
    <xf numFmtId="0" fontId="14" fillId="4" borderId="0" xfId="0" applyFont="1" applyFill="1" applyAlignment="1">
      <alignment vertical="top" wrapText="1"/>
    </xf>
    <xf numFmtId="0" fontId="15" fillId="6" borderId="0" xfId="0" applyFont="1" applyFill="1" applyAlignment="1">
      <alignment vertical="top"/>
    </xf>
    <xf numFmtId="0" fontId="15" fillId="3" borderId="0" xfId="0" applyFont="1" applyFill="1" applyAlignment="1">
      <alignment vertical="top"/>
    </xf>
    <xf numFmtId="0" fontId="15" fillId="4" borderId="0" xfId="0" applyFont="1" applyFill="1" applyAlignment="1">
      <alignment vertical="top" wrapText="1"/>
    </xf>
    <xf numFmtId="0" fontId="1" fillId="4" borderId="0" xfId="0" applyFont="1" applyFill="1" applyAlignment="1">
      <alignment wrapText="1"/>
    </xf>
    <xf numFmtId="0" fontId="1" fillId="2" borderId="0" xfId="0" applyFont="1" applyFill="1" applyAlignment="1">
      <alignment vertical="top"/>
    </xf>
    <xf numFmtId="0" fontId="1" fillId="0" borderId="0" xfId="0" applyFont="1" applyAlignment="1"/>
    <xf numFmtId="0" fontId="15" fillId="3" borderId="0" xfId="0" applyFont="1" applyFill="1" applyAlignment="1">
      <alignment horizontal="left" vertical="top" wrapText="1"/>
    </xf>
    <xf numFmtId="0" fontId="15" fillId="6" borderId="0" xfId="0" applyFont="1" applyFill="1" applyAlignment="1">
      <alignment horizontal="left" vertical="top" wrapText="1"/>
    </xf>
    <xf numFmtId="0" fontId="15" fillId="4" borderId="0" xfId="0" applyFont="1" applyFill="1" applyAlignment="1">
      <alignment horizontal="left" vertical="top" wrapText="1"/>
    </xf>
    <xf numFmtId="0" fontId="8" fillId="2" borderId="0" xfId="0" applyFont="1" applyFill="1" applyAlignment="1">
      <alignment vertical="center" wrapText="1"/>
    </xf>
    <xf numFmtId="0" fontId="0" fillId="0" borderId="0" xfId="0" applyAlignment="1">
      <alignment vertical="center"/>
    </xf>
    <xf numFmtId="0" fontId="0" fillId="4" borderId="0" xfId="0" applyFill="1" applyAlignment="1">
      <alignment vertical="top"/>
    </xf>
    <xf numFmtId="0" fontId="14" fillId="4" borderId="0" xfId="0" applyFont="1" applyFill="1" applyAlignment="1">
      <alignment wrapText="1"/>
    </xf>
    <xf numFmtId="0" fontId="15" fillId="3" borderId="0" xfId="0" applyFont="1" applyFill="1" applyAlignment="1">
      <alignment horizontal="left" wrapText="1"/>
    </xf>
    <xf numFmtId="0" fontId="15" fillId="2" borderId="0" xfId="0" applyFont="1" applyFill="1" applyAlignment="1">
      <alignment wrapText="1"/>
    </xf>
    <xf numFmtId="0" fontId="20" fillId="2" borderId="0" xfId="0" applyFont="1" applyFill="1" applyAlignment="1">
      <alignment wrapText="1"/>
    </xf>
    <xf numFmtId="0" fontId="0" fillId="2" borderId="0" xfId="0" applyFill="1" applyAlignment="1"/>
    <xf numFmtId="0" fontId="14" fillId="3" borderId="0" xfId="0" applyFont="1" applyFill="1" applyBorder="1" applyAlignment="1">
      <alignment horizontal="left" vertical="center" wrapText="1"/>
    </xf>
    <xf numFmtId="0" fontId="15" fillId="3" borderId="0" xfId="0" applyFont="1" applyFill="1" applyBorder="1" applyAlignment="1">
      <alignment horizontal="left" vertical="center" wrapText="1"/>
    </xf>
    <xf numFmtId="0" fontId="0" fillId="3" borderId="0" xfId="0" applyFill="1" applyAlignment="1">
      <alignment wrapText="1"/>
    </xf>
  </cellXfs>
  <cellStyles count="9">
    <cellStyle name="Hyperlink" xfId="1" builtinId="8"/>
    <cellStyle name="Normal" xfId="0" builtinId="0"/>
    <cellStyle name="Normal 10" xfId="2"/>
    <cellStyle name="Normal 2" xfId="5"/>
    <cellStyle name="Normal 3" xfId="3"/>
    <cellStyle name="Normal 3 2" xfId="6"/>
    <cellStyle name="Normal 4" xfId="7"/>
    <cellStyle name="Normal 5" xfId="8"/>
    <cellStyle name="Normal 6" xfId="4"/>
  </cellStyles>
  <dxfs count="0"/>
  <tableStyles count="0" defaultTableStyle="TableStyleMedium2" defaultPivotStyle="PivotStyleLight16"/>
  <colors>
    <mruColors>
      <color rgb="FFE6E6E6"/>
      <color rgb="FF4BACC6"/>
      <color rgb="FF317CC1"/>
      <color rgb="FF8F8F91"/>
      <color rgb="FF1E4B74"/>
      <color rgb="FFA7D6E3"/>
      <color rgb="FF70BDD2"/>
      <color rgb="FF69A4D9"/>
      <color rgb="FF276399"/>
      <color rgb="FF193F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2.xml"/><Relationship Id="rId1" Type="http://schemas.microsoft.com/office/2011/relationships/chartStyle" Target="style22.xml"/><Relationship Id="rId4" Type="http://schemas.openxmlformats.org/officeDocument/2006/relationships/chartUserShapes" Target="../drawings/drawing17.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90.xml"/><Relationship Id="rId1" Type="http://schemas.microsoft.com/office/2011/relationships/chartStyle" Target="style9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545156168252092E-2"/>
          <c:y val="0.18372643090810922"/>
          <c:w val="0.87549193254817703"/>
          <c:h val="0.65972945170431485"/>
        </c:manualLayout>
      </c:layout>
      <c:barChart>
        <c:barDir val="col"/>
        <c:grouping val="clustered"/>
        <c:varyColors val="0"/>
        <c:ser>
          <c:idx val="1"/>
          <c:order val="1"/>
          <c:tx>
            <c:v>Number</c:v>
          </c:tx>
          <c:spPr>
            <a:solidFill>
              <a:schemeClr val="accent1"/>
            </a:solidFill>
            <a:ln>
              <a:noFill/>
            </a:ln>
            <a:effectLst/>
          </c:spPr>
          <c:invertIfNegative val="0"/>
          <c:cat>
            <c:numRef>
              <c:f>'Quick facts'!$X$31:$AQ$31</c:f>
              <c:numCache>
                <c:formatCode>0</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'Quick facts'!$X$33:$AQ$33</c:f>
              <c:numCache>
                <c:formatCode>0</c:formatCode>
                <c:ptCount val="20"/>
                <c:pt idx="0">
                  <c:v>540</c:v>
                </c:pt>
                <c:pt idx="1">
                  <c:v>562</c:v>
                </c:pt>
                <c:pt idx="2">
                  <c:v>579</c:v>
                </c:pt>
                <c:pt idx="3">
                  <c:v>517</c:v>
                </c:pt>
                <c:pt idx="4">
                  <c:v>459</c:v>
                </c:pt>
                <c:pt idx="5">
                  <c:v>508</c:v>
                </c:pt>
                <c:pt idx="6">
                  <c:v>470</c:v>
                </c:pt>
                <c:pt idx="7">
                  <c:v>522</c:v>
                </c:pt>
                <c:pt idx="8">
                  <c:v>494</c:v>
                </c:pt>
                <c:pt idx="9">
                  <c:v>515</c:v>
                </c:pt>
                <c:pt idx="10">
                  <c:v>524</c:v>
                </c:pt>
                <c:pt idx="11">
                  <c:v>501</c:v>
                </c:pt>
                <c:pt idx="12">
                  <c:v>518</c:v>
                </c:pt>
                <c:pt idx="13">
                  <c:v>512</c:v>
                </c:pt>
                <c:pt idx="14">
                  <c:v>534</c:v>
                </c:pt>
                <c:pt idx="15">
                  <c:v>494</c:v>
                </c:pt>
                <c:pt idx="16">
                  <c:v>550</c:v>
                </c:pt>
                <c:pt idx="17">
                  <c:v>514</c:v>
                </c:pt>
                <c:pt idx="18">
                  <c:v>509</c:v>
                </c:pt>
                <c:pt idx="19">
                  <c:v>525</c:v>
                </c:pt>
              </c:numCache>
            </c:numRef>
          </c:val>
        </c:ser>
        <c:dLbls>
          <c:showLegendKey val="0"/>
          <c:showVal val="0"/>
          <c:showCatName val="0"/>
          <c:showSerName val="0"/>
          <c:showPercent val="0"/>
          <c:showBubbleSize val="0"/>
        </c:dLbls>
        <c:gapWidth val="89"/>
        <c:overlap val="-27"/>
        <c:axId val="672426032"/>
        <c:axId val="672426424"/>
      </c:barChart>
      <c:lineChart>
        <c:grouping val="standard"/>
        <c:varyColors val="0"/>
        <c:ser>
          <c:idx val="0"/>
          <c:order val="0"/>
          <c:tx>
            <c:v>Rate</c:v>
          </c:tx>
          <c:spPr>
            <a:ln w="22225" cap="rnd">
              <a:solidFill>
                <a:schemeClr val="bg1">
                  <a:lumMod val="50000"/>
                </a:schemeClr>
              </a:solidFill>
              <a:round/>
            </a:ln>
            <a:effectLst/>
          </c:spPr>
          <c:marker>
            <c:symbol val="none"/>
          </c:marker>
          <c:cat>
            <c:numRef>
              <c:f>'Quick facts'!$X$31:$AQ$31</c:f>
              <c:numCache>
                <c:formatCode>0</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'Quick facts'!$X$37:$AQ$37</c:f>
              <c:numCache>
                <c:formatCode>0.0</c:formatCode>
                <c:ptCount val="20"/>
                <c:pt idx="0">
                  <c:v>14.1955765609588</c:v>
                </c:pt>
                <c:pt idx="1">
                  <c:v>14.7420910684024</c:v>
                </c:pt>
                <c:pt idx="2">
                  <c:v>15.0505296495582</c:v>
                </c:pt>
                <c:pt idx="3">
                  <c:v>13.3447308402635</c:v>
                </c:pt>
                <c:pt idx="4">
                  <c:v>11.849825329552701</c:v>
                </c:pt>
                <c:pt idx="5">
                  <c:v>12.883752602379101</c:v>
                </c:pt>
                <c:pt idx="6">
                  <c:v>11.6928074680746</c:v>
                </c:pt>
                <c:pt idx="7">
                  <c:v>12.438164727895</c:v>
                </c:pt>
                <c:pt idx="8">
                  <c:v>11.7975245433749</c:v>
                </c:pt>
                <c:pt idx="9">
                  <c:v>12.193157353861301</c:v>
                </c:pt>
                <c:pt idx="10">
                  <c:v>12.199561585611701</c:v>
                </c:pt>
                <c:pt idx="11">
                  <c:v>11.3776715520784</c:v>
                </c:pt>
                <c:pt idx="12">
                  <c:v>11.809655272717</c:v>
                </c:pt>
                <c:pt idx="13">
                  <c:v>11.484055558810701</c:v>
                </c:pt>
                <c:pt idx="14">
                  <c:v>11.9073434349195</c:v>
                </c:pt>
                <c:pt idx="15">
                  <c:v>11.118020247642701</c:v>
                </c:pt>
                <c:pt idx="16">
                  <c:v>12.338278444361899</c:v>
                </c:pt>
                <c:pt idx="17">
                  <c:v>11.034032541703001</c:v>
                </c:pt>
                <c:pt idx="18">
                  <c:v>10.7943716813274</c:v>
                </c:pt>
                <c:pt idx="19">
                  <c:v>11.023796328985499</c:v>
                </c:pt>
              </c:numCache>
            </c:numRef>
          </c:val>
          <c:smooth val="0"/>
        </c:ser>
        <c:dLbls>
          <c:showLegendKey val="0"/>
          <c:showVal val="0"/>
          <c:showCatName val="0"/>
          <c:showSerName val="0"/>
          <c:showPercent val="0"/>
          <c:showBubbleSize val="0"/>
        </c:dLbls>
        <c:marker val="1"/>
        <c:smooth val="0"/>
        <c:axId val="184326440"/>
        <c:axId val="184324872"/>
      </c:lineChart>
      <c:catAx>
        <c:axId val="184326440"/>
        <c:scaling>
          <c:orientation val="minMax"/>
        </c:scaling>
        <c:delete val="0"/>
        <c:axPos val="b"/>
        <c:numFmt formatCode="0"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4324872"/>
        <c:crosses val="autoZero"/>
        <c:auto val="1"/>
        <c:lblAlgn val="ctr"/>
        <c:lblOffset val="100"/>
        <c:tickLblSkip val="2"/>
        <c:noMultiLvlLbl val="0"/>
      </c:catAx>
      <c:valAx>
        <c:axId val="184324872"/>
        <c:scaling>
          <c:orientation val="minMax"/>
          <c:max val="2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4326440"/>
        <c:crosses val="autoZero"/>
        <c:crossBetween val="between"/>
        <c:majorUnit val="5"/>
      </c:valAx>
      <c:valAx>
        <c:axId val="672426424"/>
        <c:scaling>
          <c:orientation val="minMax"/>
          <c:max val="600"/>
        </c:scaling>
        <c:delete val="0"/>
        <c:axPos val="r"/>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2426032"/>
        <c:crosses val="max"/>
        <c:crossBetween val="between"/>
      </c:valAx>
      <c:catAx>
        <c:axId val="672426032"/>
        <c:scaling>
          <c:orientation val="minMax"/>
        </c:scaling>
        <c:delete val="1"/>
        <c:axPos val="b"/>
        <c:numFmt formatCode="0" sourceLinked="1"/>
        <c:majorTickMark val="out"/>
        <c:minorTickMark val="none"/>
        <c:tickLblPos val="nextTo"/>
        <c:crossAx val="672426424"/>
        <c:crosses val="autoZero"/>
        <c:auto val="1"/>
        <c:lblAlgn val="ctr"/>
        <c:lblOffset val="100"/>
        <c:noMultiLvlLbl val="0"/>
      </c:catAx>
      <c:spPr>
        <a:noFill/>
        <a:ln>
          <a:noFill/>
        </a:ln>
        <a:effectLst/>
      </c:spPr>
    </c:plotArea>
    <c:legend>
      <c:legendPos val="r"/>
      <c:layout>
        <c:manualLayout>
          <c:xMode val="edge"/>
          <c:yMode val="edge"/>
          <c:x val="0.63816042940159012"/>
          <c:y val="1.1784324373246448E-2"/>
          <c:w val="0.1070901063100487"/>
          <c:h val="0.183327902977645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900" b="1">
                <a:solidFill>
                  <a:sysClr val="windowText" lastClr="000000"/>
                </a:solidFill>
              </a:rPr>
              <a:t>15–24 years</a:t>
            </a:r>
          </a:p>
        </c:rich>
      </c:tx>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416952380952381"/>
          <c:y val="0.33048248737120278"/>
          <c:w val="0.8088251185975126"/>
          <c:h val="0.56470274875923554"/>
        </c:manualLayout>
      </c:layout>
      <c:lineChart>
        <c:grouping val="standard"/>
        <c:varyColors val="0"/>
        <c:ser>
          <c:idx val="2"/>
          <c:order val="0"/>
          <c:tx>
            <c:v>Māori</c:v>
          </c:tx>
          <c:spPr>
            <a:ln w="22225" cap="rnd">
              <a:solidFill>
                <a:schemeClr val="bg1">
                  <a:lumMod val="50000"/>
                </a:schemeClr>
              </a:solidFill>
              <a:round/>
            </a:ln>
            <a:effectLst/>
          </c:spPr>
          <c:marker>
            <c:symbol val="none"/>
          </c:marker>
          <c:trendline>
            <c:spPr>
              <a:ln w="19050" cap="rnd">
                <a:solidFill>
                  <a:schemeClr val="accent3"/>
                </a:solidFill>
                <a:prstDash val="sysDot"/>
              </a:ln>
              <a:effectLst/>
            </c:spPr>
            <c:trendlineType val="movingAvg"/>
            <c:period val="5"/>
            <c:dispRSqr val="0"/>
            <c:dispEq val="0"/>
          </c:trendline>
          <c:cat>
            <c:numRef>
              <c:f>'Māori Non-Māori'!$S$82:$AL$82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Non-Māori'!$S$64:$AL$64</c:f>
              <c:numCache>
                <c:formatCode>0.0</c:formatCode>
                <c:ptCount val="20"/>
                <c:pt idx="0">
                  <c:v>37.445991358617398</c:v>
                </c:pt>
                <c:pt idx="1">
                  <c:v>36.496350364963497</c:v>
                </c:pt>
                <c:pt idx="2">
                  <c:v>41.485769416304898</c:v>
                </c:pt>
                <c:pt idx="3">
                  <c:v>32.110538094774697</c:v>
                </c:pt>
                <c:pt idx="4">
                  <c:v>27.378507871320998</c:v>
                </c:pt>
                <c:pt idx="5">
                  <c:v>28.016616752004602</c:v>
                </c:pt>
                <c:pt idx="6">
                  <c:v>31.252959560564399</c:v>
                </c:pt>
                <c:pt idx="7">
                  <c:v>28.6162651158497</c:v>
                </c:pt>
                <c:pt idx="8">
                  <c:v>37.732458898571601</c:v>
                </c:pt>
                <c:pt idx="9">
                  <c:v>35.010940919037203</c:v>
                </c:pt>
                <c:pt idx="10">
                  <c:v>31.8498751829216</c:v>
                </c:pt>
                <c:pt idx="11">
                  <c:v>27.961362480935399</c:v>
                </c:pt>
                <c:pt idx="12">
                  <c:v>29.247096181164899</c:v>
                </c:pt>
                <c:pt idx="13">
                  <c:v>28.863598878443</c:v>
                </c:pt>
                <c:pt idx="14">
                  <c:v>34.126919639229698</c:v>
                </c:pt>
                <c:pt idx="15">
                  <c:v>39.319531375381203</c:v>
                </c:pt>
                <c:pt idx="16">
                  <c:v>48.389655719498698</c:v>
                </c:pt>
                <c:pt idx="17">
                  <c:v>39.135879774577297</c:v>
                </c:pt>
                <c:pt idx="18">
                  <c:v>21.611608521148501</c:v>
                </c:pt>
                <c:pt idx="19">
                  <c:v>31.7989097516657</c:v>
                </c:pt>
              </c:numCache>
            </c:numRef>
          </c:val>
          <c:smooth val="0"/>
        </c:ser>
        <c:ser>
          <c:idx val="3"/>
          <c:order val="1"/>
          <c:tx>
            <c:v>Non-Māori</c:v>
          </c:tx>
          <c:spPr>
            <a:ln w="22225" cap="rnd">
              <a:solidFill>
                <a:schemeClr val="accent1"/>
              </a:solidFill>
              <a:round/>
            </a:ln>
            <a:effectLst/>
          </c:spPr>
          <c:marker>
            <c:symbol val="none"/>
          </c:marker>
          <c:trendline>
            <c:spPr>
              <a:ln w="19050" cap="rnd">
                <a:solidFill>
                  <a:schemeClr val="accent4"/>
                </a:solidFill>
                <a:prstDash val="sysDot"/>
              </a:ln>
              <a:effectLst/>
            </c:spPr>
            <c:trendlineType val="movingAvg"/>
            <c:period val="5"/>
            <c:dispRSqr val="0"/>
            <c:dispEq val="0"/>
          </c:trendline>
          <c:cat>
            <c:numRef>
              <c:f>'Māori Non-Māori'!$S$82:$AL$82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Non-Māori'!$S$99:$AL$99</c:f>
              <c:numCache>
                <c:formatCode>0.0</c:formatCode>
                <c:ptCount val="20"/>
                <c:pt idx="0">
                  <c:v>23.258934561882199</c:v>
                </c:pt>
                <c:pt idx="1">
                  <c:v>23.608462725869401</c:v>
                </c:pt>
                <c:pt idx="2">
                  <c:v>22.384787575289</c:v>
                </c:pt>
                <c:pt idx="3">
                  <c:v>20.338032120064501</c:v>
                </c:pt>
                <c:pt idx="4">
                  <c:v>15.9399906235349</c:v>
                </c:pt>
                <c:pt idx="5">
                  <c:v>18.786965093355001</c:v>
                </c:pt>
                <c:pt idx="6">
                  <c:v>14.0980598384318</c:v>
                </c:pt>
                <c:pt idx="7">
                  <c:v>14.4042653824655</c:v>
                </c:pt>
                <c:pt idx="8">
                  <c:v>15.163960320970499</c:v>
                </c:pt>
                <c:pt idx="9">
                  <c:v>14.344816116089101</c:v>
                </c:pt>
                <c:pt idx="10">
                  <c:v>16.795018843191901</c:v>
                </c:pt>
                <c:pt idx="11">
                  <c:v>12.488228309380499</c:v>
                </c:pt>
                <c:pt idx="12">
                  <c:v>17.6642155855893</c:v>
                </c:pt>
                <c:pt idx="13">
                  <c:v>16.560353287536799</c:v>
                </c:pt>
                <c:pt idx="14">
                  <c:v>13.9464375947448</c:v>
                </c:pt>
                <c:pt idx="15">
                  <c:v>16.261794820317199</c:v>
                </c:pt>
                <c:pt idx="16">
                  <c:v>17.457259812183999</c:v>
                </c:pt>
                <c:pt idx="17">
                  <c:v>12.380438906527701</c:v>
                </c:pt>
                <c:pt idx="18">
                  <c:v>12.134497201236901</c:v>
                </c:pt>
                <c:pt idx="19">
                  <c:v>13.155887736424599</c:v>
                </c:pt>
              </c:numCache>
            </c:numRef>
          </c:val>
          <c:smooth val="0"/>
        </c:ser>
        <c:dLbls>
          <c:showLegendKey val="0"/>
          <c:showVal val="0"/>
          <c:showCatName val="0"/>
          <c:showSerName val="0"/>
          <c:showPercent val="0"/>
          <c:showBubbleSize val="0"/>
        </c:dLbls>
        <c:smooth val="0"/>
        <c:axId val="685070088"/>
        <c:axId val="685068912"/>
      </c:lineChart>
      <c:catAx>
        <c:axId val="685070088"/>
        <c:scaling>
          <c:orientation val="minMax"/>
        </c:scaling>
        <c:delete val="0"/>
        <c:axPos val="b"/>
        <c:numFmt formatCode="General"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85068912"/>
        <c:crossesAt val="0"/>
        <c:auto val="1"/>
        <c:lblAlgn val="ctr"/>
        <c:lblOffset val="100"/>
        <c:tickLblSkip val="3"/>
        <c:noMultiLvlLbl val="0"/>
      </c:catAx>
      <c:valAx>
        <c:axId val="685068912"/>
        <c:scaling>
          <c:orientation val="minMax"/>
          <c:max val="5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85070088"/>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900" b="1">
                <a:solidFill>
                  <a:sysClr val="windowText" lastClr="000000"/>
                </a:solidFill>
              </a:rPr>
              <a:t>25–44 years</a:t>
            </a:r>
          </a:p>
        </c:rich>
      </c:tx>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4079548611111112"/>
          <c:y val="0.32025638426098024"/>
          <c:w val="0.8088251185975126"/>
          <c:h val="0.58065132416387855"/>
        </c:manualLayout>
      </c:layout>
      <c:lineChart>
        <c:grouping val="standard"/>
        <c:varyColors val="0"/>
        <c:ser>
          <c:idx val="2"/>
          <c:order val="0"/>
          <c:tx>
            <c:v>Māori</c:v>
          </c:tx>
          <c:spPr>
            <a:ln w="22225" cap="rnd">
              <a:solidFill>
                <a:schemeClr val="bg1">
                  <a:lumMod val="50000"/>
                </a:schemeClr>
              </a:solidFill>
              <a:round/>
            </a:ln>
            <a:effectLst/>
          </c:spPr>
          <c:marker>
            <c:symbol val="none"/>
          </c:marker>
          <c:trendline>
            <c:spPr>
              <a:ln w="19050" cap="rnd">
                <a:solidFill>
                  <a:schemeClr val="accent3"/>
                </a:solidFill>
                <a:prstDash val="sysDot"/>
              </a:ln>
              <a:effectLst/>
            </c:spPr>
            <c:trendlineType val="movingAvg"/>
            <c:period val="5"/>
            <c:dispRSqr val="0"/>
            <c:dispEq val="0"/>
          </c:trendline>
          <c:cat>
            <c:numRef>
              <c:f>'Māori Non-Māori'!$S$82:$AL$82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Non-Māori'!$S$65:$AL$65</c:f>
              <c:numCache>
                <c:formatCode>0.0</c:formatCode>
                <c:ptCount val="20"/>
                <c:pt idx="0">
                  <c:v>30.213508795488099</c:v>
                </c:pt>
                <c:pt idx="1">
                  <c:v>36.558297427862598</c:v>
                </c:pt>
                <c:pt idx="2">
                  <c:v>29.862125929220401</c:v>
                </c:pt>
                <c:pt idx="3">
                  <c:v>25.360301849446401</c:v>
                </c:pt>
                <c:pt idx="4">
                  <c:v>24.150214333152199</c:v>
                </c:pt>
                <c:pt idx="5">
                  <c:v>24.9346948468297</c:v>
                </c:pt>
                <c:pt idx="6">
                  <c:v>23.602997580692701</c:v>
                </c:pt>
                <c:pt idx="7">
                  <c:v>27.093886205677901</c:v>
                </c:pt>
                <c:pt idx="8">
                  <c:v>32.433069937492597</c:v>
                </c:pt>
                <c:pt idx="9">
                  <c:v>31.865927062433599</c:v>
                </c:pt>
                <c:pt idx="10">
                  <c:v>31.802120141342801</c:v>
                </c:pt>
                <c:pt idx="11">
                  <c:v>29.570051451889501</c:v>
                </c:pt>
                <c:pt idx="12">
                  <c:v>22.0277430493541</c:v>
                </c:pt>
                <c:pt idx="13">
                  <c:v>18.520731270163701</c:v>
                </c:pt>
                <c:pt idx="14">
                  <c:v>24.4863831820354</c:v>
                </c:pt>
                <c:pt idx="15">
                  <c:v>26.256116481680401</c:v>
                </c:pt>
                <c:pt idx="16">
                  <c:v>23.2641374373658</c:v>
                </c:pt>
                <c:pt idx="17">
                  <c:v>26.227944682880299</c:v>
                </c:pt>
                <c:pt idx="18">
                  <c:v>30.236556589790698</c:v>
                </c:pt>
                <c:pt idx="19">
                  <c:v>31.665982525068902</c:v>
                </c:pt>
              </c:numCache>
            </c:numRef>
          </c:val>
          <c:smooth val="0"/>
        </c:ser>
        <c:ser>
          <c:idx val="3"/>
          <c:order val="1"/>
          <c:tx>
            <c:v>Non-Māori</c:v>
          </c:tx>
          <c:spPr>
            <a:ln w="22225" cap="rnd">
              <a:solidFill>
                <a:schemeClr val="accent1"/>
              </a:solidFill>
              <a:round/>
            </a:ln>
            <a:effectLst/>
          </c:spPr>
          <c:marker>
            <c:symbol val="none"/>
          </c:marker>
          <c:trendline>
            <c:spPr>
              <a:ln w="19050" cap="rnd">
                <a:solidFill>
                  <a:schemeClr val="accent4"/>
                </a:solidFill>
                <a:prstDash val="sysDot"/>
              </a:ln>
              <a:effectLst/>
            </c:spPr>
            <c:trendlineType val="movingAvg"/>
            <c:period val="5"/>
            <c:dispRSqr val="0"/>
            <c:dispEq val="0"/>
          </c:trendline>
          <c:cat>
            <c:numRef>
              <c:f>'Māori Non-Māori'!$S$82:$AL$82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Non-Māori'!$S$100:$AL$100</c:f>
              <c:numCache>
                <c:formatCode>0.0</c:formatCode>
                <c:ptCount val="20"/>
                <c:pt idx="0">
                  <c:v>17.723039951937501</c:v>
                </c:pt>
                <c:pt idx="1">
                  <c:v>19.763431722284299</c:v>
                </c:pt>
                <c:pt idx="2">
                  <c:v>19.9213009990237</c:v>
                </c:pt>
                <c:pt idx="3">
                  <c:v>19.248896165103901</c:v>
                </c:pt>
                <c:pt idx="4">
                  <c:v>16.9221680401326</c:v>
                </c:pt>
                <c:pt idx="5">
                  <c:v>19.962304683541699</c:v>
                </c:pt>
                <c:pt idx="6">
                  <c:v>17.429852400382899</c:v>
                </c:pt>
                <c:pt idx="7">
                  <c:v>17.0213613107444</c:v>
                </c:pt>
                <c:pt idx="8">
                  <c:v>14.429443972248</c:v>
                </c:pt>
                <c:pt idx="9">
                  <c:v>16.289699973344099</c:v>
                </c:pt>
                <c:pt idx="10">
                  <c:v>15.112902269898701</c:v>
                </c:pt>
                <c:pt idx="11">
                  <c:v>16.1504468620574</c:v>
                </c:pt>
                <c:pt idx="12">
                  <c:v>14.4589366199992</c:v>
                </c:pt>
                <c:pt idx="13">
                  <c:v>14.2147833747097</c:v>
                </c:pt>
                <c:pt idx="14">
                  <c:v>15.868392772850999</c:v>
                </c:pt>
                <c:pt idx="15">
                  <c:v>12.051121058068199</c:v>
                </c:pt>
                <c:pt idx="16">
                  <c:v>15.025451274608001</c:v>
                </c:pt>
                <c:pt idx="17">
                  <c:v>11.9851261511355</c:v>
                </c:pt>
                <c:pt idx="18">
                  <c:v>14.0580120555039</c:v>
                </c:pt>
                <c:pt idx="19">
                  <c:v>11.542331748318</c:v>
                </c:pt>
              </c:numCache>
            </c:numRef>
          </c:val>
          <c:smooth val="0"/>
        </c:ser>
        <c:dLbls>
          <c:showLegendKey val="0"/>
          <c:showVal val="0"/>
          <c:showCatName val="0"/>
          <c:showSerName val="0"/>
          <c:showPercent val="0"/>
          <c:showBubbleSize val="0"/>
        </c:dLbls>
        <c:smooth val="0"/>
        <c:axId val="685070872"/>
        <c:axId val="685067344"/>
      </c:lineChart>
      <c:catAx>
        <c:axId val="685070872"/>
        <c:scaling>
          <c:orientation val="minMax"/>
        </c:scaling>
        <c:delete val="0"/>
        <c:axPos val="b"/>
        <c:numFmt formatCode="General"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85067344"/>
        <c:crossesAt val="0"/>
        <c:auto val="1"/>
        <c:lblAlgn val="ctr"/>
        <c:lblOffset val="100"/>
        <c:tickLblSkip val="3"/>
        <c:noMultiLvlLbl val="0"/>
      </c:catAx>
      <c:valAx>
        <c:axId val="685067344"/>
        <c:scaling>
          <c:orientation val="minMax"/>
          <c:max val="5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85070872"/>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900" b="1">
                <a:solidFill>
                  <a:sysClr val="windowText" lastClr="000000"/>
                </a:solidFill>
              </a:rPr>
              <a:t>45–64 years</a:t>
            </a:r>
          </a:p>
        </c:rich>
      </c:tx>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740785801188005"/>
          <c:y val="0.16671326798435909"/>
          <c:w val="0.8088251185975126"/>
          <c:h val="0.6831685932875412"/>
        </c:manualLayout>
      </c:layout>
      <c:lineChart>
        <c:grouping val="standard"/>
        <c:varyColors val="0"/>
        <c:ser>
          <c:idx val="2"/>
          <c:order val="0"/>
          <c:tx>
            <c:v>Māori</c:v>
          </c:tx>
          <c:spPr>
            <a:ln w="22225" cap="rnd">
              <a:solidFill>
                <a:schemeClr val="bg1">
                  <a:lumMod val="50000"/>
                </a:schemeClr>
              </a:solidFill>
              <a:round/>
            </a:ln>
            <a:effectLst/>
          </c:spPr>
          <c:marker>
            <c:symbol val="none"/>
          </c:marker>
          <c:dPt>
            <c:idx val="3"/>
            <c:marker>
              <c:symbol val="none"/>
            </c:marker>
            <c:bubble3D val="0"/>
            <c:spPr>
              <a:ln w="22225" cap="rnd">
                <a:noFill/>
                <a:prstDash val="sysDot"/>
                <a:round/>
              </a:ln>
              <a:effectLst/>
            </c:spPr>
          </c:dPt>
          <c:dPt>
            <c:idx val="4"/>
            <c:marker>
              <c:symbol val="none"/>
            </c:marker>
            <c:bubble3D val="0"/>
            <c:spPr>
              <a:ln w="22225" cap="rnd">
                <a:noFill/>
                <a:prstDash val="sysDot"/>
                <a:round/>
              </a:ln>
              <a:effectLst/>
            </c:spPr>
          </c:dPt>
          <c:trendline>
            <c:spPr>
              <a:ln w="19050" cap="rnd">
                <a:solidFill>
                  <a:schemeClr val="accent3"/>
                </a:solidFill>
                <a:prstDash val="sysDot"/>
              </a:ln>
              <a:effectLst/>
            </c:spPr>
            <c:trendlineType val="movingAvg"/>
            <c:period val="5"/>
            <c:dispRSqr val="0"/>
            <c:dispEq val="0"/>
          </c:trendline>
          <c:cat>
            <c:numRef>
              <c:f>'Māori Non-Māori'!$S$82:$AL$82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Non-Māori'!$S$66:$AL$66</c:f>
              <c:numCache>
                <c:formatCode>0.0</c:formatCode>
                <c:ptCount val="20"/>
                <c:pt idx="0">
                  <c:v>12.674271229404299</c:v>
                </c:pt>
                <c:pt idx="1">
                  <c:v>10.644768856447699</c:v>
                </c:pt>
                <c:pt idx="2">
                  <c:v>17.528483786152499</c:v>
                </c:pt>
                <c:pt idx="3">
                  <c:v>0</c:v>
                </c:pt>
                <c:pt idx="4">
                  <c:v>13.4156157767642</c:v>
                </c:pt>
                <c:pt idx="5">
                  <c:v>6.4094346878605304</c:v>
                </c:pt>
                <c:pt idx="6">
                  <c:v>8.5637386836310192</c:v>
                </c:pt>
                <c:pt idx="7">
                  <c:v>5.8486372675166702</c:v>
                </c:pt>
                <c:pt idx="8">
                  <c:v>10.058113544926201</c:v>
                </c:pt>
                <c:pt idx="9">
                  <c:v>7.4994643239768601</c:v>
                </c:pt>
                <c:pt idx="10">
                  <c:v>12.327922745017499</c:v>
                </c:pt>
                <c:pt idx="11">
                  <c:v>11.773940345368899</c:v>
                </c:pt>
                <c:pt idx="12">
                  <c:v>9.3624192491339802</c:v>
                </c:pt>
                <c:pt idx="13">
                  <c:v>9.8858632156016899</c:v>
                </c:pt>
                <c:pt idx="14">
                  <c:v>12.978023879563899</c:v>
                </c:pt>
                <c:pt idx="15">
                  <c:v>13.3723359799415</c:v>
                </c:pt>
                <c:pt idx="16">
                  <c:v>8.08865162177465</c:v>
                </c:pt>
                <c:pt idx="17">
                  <c:v>7.8492935635792804</c:v>
                </c:pt>
                <c:pt idx="18">
                  <c:v>8.4207303069738995</c:v>
                </c:pt>
                <c:pt idx="19">
                  <c:v>13.474062429822601</c:v>
                </c:pt>
              </c:numCache>
            </c:numRef>
          </c:val>
          <c:smooth val="0"/>
        </c:ser>
        <c:ser>
          <c:idx val="3"/>
          <c:order val="1"/>
          <c:tx>
            <c:v>Non-Māori</c:v>
          </c:tx>
          <c:spPr>
            <a:ln w="22225" cap="rnd">
              <a:solidFill>
                <a:schemeClr val="accent1"/>
              </a:solidFill>
              <a:round/>
            </a:ln>
            <a:effectLst/>
          </c:spPr>
          <c:marker>
            <c:symbol val="none"/>
          </c:marker>
          <c:trendline>
            <c:spPr>
              <a:ln w="19050" cap="rnd">
                <a:solidFill>
                  <a:schemeClr val="accent4"/>
                </a:solidFill>
                <a:prstDash val="sysDot"/>
              </a:ln>
              <a:effectLst/>
            </c:spPr>
            <c:trendlineType val="movingAvg"/>
            <c:period val="5"/>
            <c:dispRSqr val="0"/>
            <c:dispEq val="0"/>
          </c:trendline>
          <c:cat>
            <c:numRef>
              <c:f>'Māori Non-Māori'!$S$82:$AL$82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Non-Māori'!$S$101:$AL$101</c:f>
              <c:numCache>
                <c:formatCode>0.0</c:formatCode>
                <c:ptCount val="20"/>
                <c:pt idx="0">
                  <c:v>13.7837996363423</c:v>
                </c:pt>
                <c:pt idx="1">
                  <c:v>13.5431813645824</c:v>
                </c:pt>
                <c:pt idx="2">
                  <c:v>14.1448600074885</c:v>
                </c:pt>
                <c:pt idx="3">
                  <c:v>13.904075378987301</c:v>
                </c:pt>
                <c:pt idx="4">
                  <c:v>12.2329790592444</c:v>
                </c:pt>
                <c:pt idx="5">
                  <c:v>11.152988231674501</c:v>
                </c:pt>
                <c:pt idx="6">
                  <c:v>13.187360039810899</c:v>
                </c:pt>
                <c:pt idx="7">
                  <c:v>15.6785180182353</c:v>
                </c:pt>
                <c:pt idx="8">
                  <c:v>12.756445515933899</c:v>
                </c:pt>
                <c:pt idx="9">
                  <c:v>14.689805957912</c:v>
                </c:pt>
                <c:pt idx="10">
                  <c:v>14.3125006934351</c:v>
                </c:pt>
                <c:pt idx="11">
                  <c:v>14.0802356814834</c:v>
                </c:pt>
                <c:pt idx="12">
                  <c:v>15.737053896769201</c:v>
                </c:pt>
                <c:pt idx="13">
                  <c:v>15.298580746529399</c:v>
                </c:pt>
                <c:pt idx="14">
                  <c:v>14.822335025380699</c:v>
                </c:pt>
                <c:pt idx="15">
                  <c:v>13.431025669296099</c:v>
                </c:pt>
                <c:pt idx="16">
                  <c:v>13.648137079099399</c:v>
                </c:pt>
                <c:pt idx="17">
                  <c:v>17.105002966185499</c:v>
                </c:pt>
                <c:pt idx="18">
                  <c:v>14.954111403242999</c:v>
                </c:pt>
                <c:pt idx="19">
                  <c:v>14.5703671539538</c:v>
                </c:pt>
              </c:numCache>
            </c:numRef>
          </c:val>
          <c:smooth val="0"/>
        </c:ser>
        <c:dLbls>
          <c:showLegendKey val="0"/>
          <c:showVal val="0"/>
          <c:showCatName val="0"/>
          <c:showSerName val="0"/>
          <c:showPercent val="0"/>
          <c:showBubbleSize val="0"/>
        </c:dLbls>
        <c:smooth val="0"/>
        <c:axId val="430443760"/>
        <c:axId val="430444152"/>
      </c:lineChart>
      <c:catAx>
        <c:axId val="430443760"/>
        <c:scaling>
          <c:orientation val="minMax"/>
        </c:scaling>
        <c:delete val="0"/>
        <c:axPos val="b"/>
        <c:numFmt formatCode="General"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30444152"/>
        <c:crossesAt val="0"/>
        <c:auto val="1"/>
        <c:lblAlgn val="ctr"/>
        <c:lblOffset val="100"/>
        <c:tickLblSkip val="3"/>
        <c:noMultiLvlLbl val="0"/>
      </c:catAx>
      <c:valAx>
        <c:axId val="430444152"/>
        <c:scaling>
          <c:orientation val="minMax"/>
          <c:max val="5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30443760"/>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6159122085048"/>
          <c:y val="0.22719967831652313"/>
          <c:w val="0.79595423777769403"/>
          <c:h val="0.60872253683164101"/>
        </c:manualLayout>
      </c:layout>
      <c:lineChart>
        <c:grouping val="standard"/>
        <c:varyColors val="0"/>
        <c:ser>
          <c:idx val="0"/>
          <c:order val="0"/>
          <c:tx>
            <c:v>Māori</c:v>
          </c:tx>
          <c:spPr>
            <a:ln w="22225" cap="rnd">
              <a:solidFill>
                <a:schemeClr val="bg1">
                  <a:lumMod val="65000"/>
                </a:schemeClr>
              </a:solidFill>
              <a:round/>
            </a:ln>
            <a:effectLst/>
          </c:spPr>
          <c:marker>
            <c:symbol val="none"/>
          </c:marker>
          <c:trendline>
            <c:spPr>
              <a:ln w="19050" cap="rnd">
                <a:solidFill>
                  <a:schemeClr val="bg1">
                    <a:lumMod val="50000"/>
                  </a:schemeClr>
                </a:solidFill>
                <a:prstDash val="sysDot"/>
              </a:ln>
              <a:effectLst/>
            </c:spPr>
            <c:trendlineType val="movingAvg"/>
            <c:period val="5"/>
            <c:dispRSqr val="0"/>
            <c:dispEq val="0"/>
          </c:trendline>
          <c:cat>
            <c:numRef>
              <c:f>'Māori Non-Māori'!$S$10:$AL$10</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Non-Māori'!$S$69:$AL$69</c:f>
              <c:numCache>
                <c:formatCode>0.0</c:formatCode>
                <c:ptCount val="20"/>
                <c:pt idx="0">
                  <c:v>58.59375</c:v>
                </c:pt>
                <c:pt idx="1">
                  <c:v>56.431212298112499</c:v>
                </c:pt>
                <c:pt idx="2">
                  <c:v>58.490933905244702</c:v>
                </c:pt>
                <c:pt idx="3">
                  <c:v>45.195519748477103</c:v>
                </c:pt>
                <c:pt idx="4">
                  <c:v>47.374654559810502</c:v>
                </c:pt>
                <c:pt idx="5">
                  <c:v>38.978756577665202</c:v>
                </c:pt>
                <c:pt idx="6">
                  <c:v>43.909889270713997</c:v>
                </c:pt>
                <c:pt idx="7">
                  <c:v>37.306472673008798</c:v>
                </c:pt>
                <c:pt idx="8">
                  <c:v>50.918348790689201</c:v>
                </c:pt>
                <c:pt idx="9">
                  <c:v>51.5280739161336</c:v>
                </c:pt>
                <c:pt idx="10">
                  <c:v>50.752537626881299</c:v>
                </c:pt>
                <c:pt idx="11">
                  <c:v>39.593733861249802</c:v>
                </c:pt>
                <c:pt idx="12">
                  <c:v>28.857579358343202</c:v>
                </c:pt>
                <c:pt idx="13">
                  <c:v>40.140491721023601</c:v>
                </c:pt>
                <c:pt idx="14">
                  <c:v>44.437129690585898</c:v>
                </c:pt>
                <c:pt idx="15">
                  <c:v>53.519299383717197</c:v>
                </c:pt>
                <c:pt idx="16">
                  <c:v>59.247397918334698</c:v>
                </c:pt>
                <c:pt idx="17">
                  <c:v>47.169811320754697</c:v>
                </c:pt>
                <c:pt idx="18">
                  <c:v>30.736130321192601</c:v>
                </c:pt>
                <c:pt idx="19">
                  <c:v>28.4048437733592</c:v>
                </c:pt>
              </c:numCache>
            </c:numRef>
          </c:val>
          <c:smooth val="0"/>
        </c:ser>
        <c:ser>
          <c:idx val="2"/>
          <c:order val="1"/>
          <c:tx>
            <c:v>Non-Māori</c:v>
          </c:tx>
          <c:spPr>
            <a:ln w="22225" cap="rnd">
              <a:solidFill>
                <a:schemeClr val="accent1"/>
              </a:solidFill>
              <a:round/>
            </a:ln>
            <a:effectLst/>
          </c:spPr>
          <c:marker>
            <c:symbol val="none"/>
          </c:marker>
          <c:trendline>
            <c:spPr>
              <a:ln w="19050" cap="rnd">
                <a:solidFill>
                  <a:schemeClr val="accent3"/>
                </a:solidFill>
                <a:prstDash val="sysDot"/>
              </a:ln>
              <a:effectLst/>
            </c:spPr>
            <c:trendlineType val="movingAvg"/>
            <c:period val="5"/>
            <c:dispRSqr val="0"/>
            <c:dispEq val="0"/>
          </c:trendline>
          <c:cat>
            <c:numRef>
              <c:f>'Māori Non-Māori'!$S$10:$AL$10</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Non-Māori'!$S$104:$AL$104</c:f>
              <c:numCache>
                <c:formatCode>0.0</c:formatCode>
                <c:ptCount val="20"/>
                <c:pt idx="0">
                  <c:v>33.017829627999099</c:v>
                </c:pt>
                <c:pt idx="1">
                  <c:v>37.505022994150998</c:v>
                </c:pt>
                <c:pt idx="2">
                  <c:v>34.083162917518699</c:v>
                </c:pt>
                <c:pt idx="3">
                  <c:v>27.653592662580099</c:v>
                </c:pt>
                <c:pt idx="4">
                  <c:v>26.336459825347699</c:v>
                </c:pt>
                <c:pt idx="5">
                  <c:v>30.611778681409099</c:v>
                </c:pt>
                <c:pt idx="6">
                  <c:v>18.9260563380282</c:v>
                </c:pt>
                <c:pt idx="7">
                  <c:v>19.839594765723898</c:v>
                </c:pt>
                <c:pt idx="8">
                  <c:v>22.754540565140001</c:v>
                </c:pt>
                <c:pt idx="9">
                  <c:v>22.494887525562401</c:v>
                </c:pt>
                <c:pt idx="10">
                  <c:v>26.6311584553928</c:v>
                </c:pt>
                <c:pt idx="11">
                  <c:v>19.402562755163899</c:v>
                </c:pt>
                <c:pt idx="12">
                  <c:v>26.791150801704902</c:v>
                </c:pt>
                <c:pt idx="13">
                  <c:v>28.669493236422401</c:v>
                </c:pt>
                <c:pt idx="14">
                  <c:v>19.9163513244374</c:v>
                </c:pt>
                <c:pt idx="15">
                  <c:v>24.846190250828201</c:v>
                </c:pt>
                <c:pt idx="16">
                  <c:v>27.5319567354966</c:v>
                </c:pt>
                <c:pt idx="17">
                  <c:v>17.1667121844641</c:v>
                </c:pt>
                <c:pt idx="18">
                  <c:v>18.231540565177799</c:v>
                </c:pt>
                <c:pt idx="19">
                  <c:v>18.353338472268099</c:v>
                </c:pt>
              </c:numCache>
            </c:numRef>
          </c:val>
          <c:smooth val="0"/>
        </c:ser>
        <c:dLbls>
          <c:showLegendKey val="0"/>
          <c:showVal val="0"/>
          <c:showCatName val="0"/>
          <c:showSerName val="0"/>
          <c:showPercent val="0"/>
          <c:showBubbleSize val="0"/>
        </c:dLbls>
        <c:smooth val="0"/>
        <c:axId val="430441016"/>
        <c:axId val="430441408"/>
      </c:lineChart>
      <c:catAx>
        <c:axId val="4304410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30441408"/>
        <c:crosses val="autoZero"/>
        <c:auto val="1"/>
        <c:lblAlgn val="ctr"/>
        <c:lblOffset val="100"/>
        <c:tickLblSkip val="3"/>
        <c:noMultiLvlLbl val="0"/>
      </c:catAx>
      <c:valAx>
        <c:axId val="430441408"/>
        <c:scaling>
          <c:orientation val="minMax"/>
          <c:max val="7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30441016"/>
        <c:crosses val="autoZero"/>
        <c:crossBetween val="between"/>
        <c:majorUnit val="10"/>
      </c:valAx>
      <c:spPr>
        <a:noFill/>
        <a:ln>
          <a:noFill/>
        </a:ln>
        <a:effectLst/>
      </c:spPr>
    </c:plotArea>
    <c:legend>
      <c:legendPos val="r"/>
      <c:layout>
        <c:manualLayout>
          <c:xMode val="edge"/>
          <c:yMode val="edge"/>
          <c:x val="0.54049485596707814"/>
          <c:y val="3.4114414679619273E-2"/>
          <c:w val="0.45514986282578873"/>
          <c:h val="0.231600933775648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839506172839515E-2"/>
          <c:y val="0.13039347604485221"/>
          <c:w val="0.87273388203017832"/>
          <c:h val="0.70049031600407741"/>
        </c:manualLayout>
      </c:layout>
      <c:lineChart>
        <c:grouping val="standard"/>
        <c:varyColors val="0"/>
        <c:ser>
          <c:idx val="2"/>
          <c:order val="0"/>
          <c:tx>
            <c:v>Māori</c:v>
          </c:tx>
          <c:spPr>
            <a:ln w="22225" cap="rnd">
              <a:solidFill>
                <a:schemeClr val="bg1">
                  <a:lumMod val="50000"/>
                </a:schemeClr>
              </a:solidFill>
              <a:prstDash val="solid"/>
              <a:round/>
            </a:ln>
            <a:effectLst/>
          </c:spPr>
          <c:marker>
            <c:symbol val="none"/>
          </c:marker>
          <c:cat>
            <c:numRef>
              <c:f>'Māori Non-Māori'!$S$134:$AB$134</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'Māori Non-Māori'!$S$144:$AB$144</c:f>
              <c:numCache>
                <c:formatCode>0.0</c:formatCode>
                <c:ptCount val="10"/>
                <c:pt idx="0">
                  <c:v>10.3413491121837</c:v>
                </c:pt>
                <c:pt idx="1">
                  <c:v>8.1565810584055303</c:v>
                </c:pt>
                <c:pt idx="2">
                  <c:v>9.4013724061805295</c:v>
                </c:pt>
                <c:pt idx="3">
                  <c:v>11.764406152372301</c:v>
                </c:pt>
                <c:pt idx="4">
                  <c:v>13.234319650344901</c:v>
                </c:pt>
                <c:pt idx="5">
                  <c:v>21.6531984067813</c:v>
                </c:pt>
                <c:pt idx="6">
                  <c:v>16.637221219970201</c:v>
                </c:pt>
                <c:pt idx="7">
                  <c:v>12.8935925880459</c:v>
                </c:pt>
                <c:pt idx="8">
                  <c:v>5.1621445438996396</c:v>
                </c:pt>
                <c:pt idx="9">
                  <c:v>16.101954318973899</c:v>
                </c:pt>
              </c:numCache>
            </c:numRef>
          </c:val>
          <c:smooth val="0"/>
          <c:extLst/>
        </c:ser>
        <c:ser>
          <c:idx val="0"/>
          <c:order val="1"/>
          <c:tx>
            <c:v>Non-Māori</c:v>
          </c:tx>
          <c:spPr>
            <a:ln w="22225" cap="rnd">
              <a:solidFill>
                <a:schemeClr val="accent1"/>
              </a:solidFill>
              <a:round/>
            </a:ln>
            <a:effectLst/>
          </c:spPr>
          <c:marker>
            <c:symbol val="none"/>
          </c:marker>
          <c:cat>
            <c:numRef>
              <c:f>'Māori Non-Māori'!$S$134:$AB$134</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'Māori Non-Māori'!$S$161:$AB$161</c:f>
              <c:numCache>
                <c:formatCode>0.0</c:formatCode>
                <c:ptCount val="10"/>
                <c:pt idx="0">
                  <c:v>9.6645431208614596</c:v>
                </c:pt>
                <c:pt idx="1">
                  <c:v>7.70857713977278</c:v>
                </c:pt>
                <c:pt idx="2">
                  <c:v>9.0240190540465299</c:v>
                </c:pt>
                <c:pt idx="3">
                  <c:v>9.2339983930278997</c:v>
                </c:pt>
                <c:pt idx="4">
                  <c:v>8.9807969074907099</c:v>
                </c:pt>
                <c:pt idx="5">
                  <c:v>7.1735157232694</c:v>
                </c:pt>
                <c:pt idx="6">
                  <c:v>8.4212610687443306</c:v>
                </c:pt>
                <c:pt idx="7">
                  <c:v>7.75061254391865</c:v>
                </c:pt>
                <c:pt idx="8">
                  <c:v>7.61139158241141</c:v>
                </c:pt>
                <c:pt idx="9">
                  <c:v>8.1080777953149603</c:v>
                </c:pt>
              </c:numCache>
            </c:numRef>
          </c:val>
          <c:smooth val="0"/>
        </c:ser>
        <c:dLbls>
          <c:showLegendKey val="0"/>
          <c:showVal val="0"/>
          <c:showCatName val="0"/>
          <c:showSerName val="0"/>
          <c:showPercent val="0"/>
          <c:showBubbleSize val="0"/>
        </c:dLbls>
        <c:smooth val="0"/>
        <c:axId val="430442584"/>
        <c:axId val="430441800"/>
      </c:lineChart>
      <c:catAx>
        <c:axId val="43044258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30441800"/>
        <c:crosses val="autoZero"/>
        <c:auto val="1"/>
        <c:lblAlgn val="ctr"/>
        <c:lblOffset val="100"/>
        <c:tickLblSkip val="3"/>
        <c:noMultiLvlLbl val="0"/>
      </c:catAx>
      <c:valAx>
        <c:axId val="430441800"/>
        <c:scaling>
          <c:orientation val="minMax"/>
          <c:max val="25"/>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304425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839506172839515E-2"/>
          <c:y val="0.1368664627930683"/>
          <c:w val="0.87273388203017832"/>
          <c:h val="0.70049031600407741"/>
        </c:manualLayout>
      </c:layout>
      <c:lineChart>
        <c:grouping val="standard"/>
        <c:varyColors val="0"/>
        <c:ser>
          <c:idx val="1"/>
          <c:order val="0"/>
          <c:tx>
            <c:v>Māori</c:v>
          </c:tx>
          <c:spPr>
            <a:ln w="22225" cap="rnd">
              <a:solidFill>
                <a:schemeClr val="bg1">
                  <a:lumMod val="50000"/>
                </a:schemeClr>
              </a:solidFill>
              <a:prstDash val="solid"/>
              <a:round/>
            </a:ln>
            <a:effectLst/>
          </c:spPr>
          <c:marker>
            <c:symbol val="none"/>
          </c:marker>
          <c:cat>
            <c:numRef>
              <c:f>'Māori Non-Māori'!$S$151:$AB$151</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'Māori Non-Māori'!$S$146:$AB$146</c:f>
              <c:numCache>
                <c:formatCode>0.0</c:formatCode>
                <c:ptCount val="10"/>
                <c:pt idx="0">
                  <c:v>16.629745393731099</c:v>
                </c:pt>
                <c:pt idx="1">
                  <c:v>11.358463125385599</c:v>
                </c:pt>
                <c:pt idx="2">
                  <c:v>13.3027935406478</c:v>
                </c:pt>
                <c:pt idx="3">
                  <c:v>12.5866132128183</c:v>
                </c:pt>
                <c:pt idx="4">
                  <c:v>12.8928666096258</c:v>
                </c:pt>
                <c:pt idx="5">
                  <c:v>12.891795717896899</c:v>
                </c:pt>
                <c:pt idx="6">
                  <c:v>21.7493772047203</c:v>
                </c:pt>
                <c:pt idx="7">
                  <c:v>17.802485127361699</c:v>
                </c:pt>
                <c:pt idx="8">
                  <c:v>12.808492818776701</c:v>
                </c:pt>
                <c:pt idx="9">
                  <c:v>17.885642735328801</c:v>
                </c:pt>
              </c:numCache>
            </c:numRef>
          </c:val>
          <c:smooth val="0"/>
          <c:extLst/>
        </c:ser>
        <c:ser>
          <c:idx val="0"/>
          <c:order val="1"/>
          <c:tx>
            <c:v>Non-Māori</c:v>
          </c:tx>
          <c:spPr>
            <a:ln w="22225" cap="rnd">
              <a:solidFill>
                <a:schemeClr val="accent1"/>
              </a:solidFill>
              <a:round/>
            </a:ln>
            <a:effectLst/>
          </c:spPr>
          <c:marker>
            <c:symbol val="none"/>
          </c:marker>
          <c:cat>
            <c:numRef>
              <c:f>'Māori Non-Māori'!$S$151:$AB$151</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'Māori Non-Māori'!$S$163:$AB$163</c:f>
              <c:numCache>
                <c:formatCode>0.0</c:formatCode>
                <c:ptCount val="10"/>
                <c:pt idx="0">
                  <c:v>10.464113939899301</c:v>
                </c:pt>
                <c:pt idx="1">
                  <c:v>12.2661593803128</c:v>
                </c:pt>
                <c:pt idx="2">
                  <c:v>11.021127423476001</c:v>
                </c:pt>
                <c:pt idx="3">
                  <c:v>14.5141755107568</c:v>
                </c:pt>
                <c:pt idx="4">
                  <c:v>11.896161889371299</c:v>
                </c:pt>
                <c:pt idx="5">
                  <c:v>9.1452574133930806</c:v>
                </c:pt>
                <c:pt idx="6">
                  <c:v>13.592609385810301</c:v>
                </c:pt>
                <c:pt idx="7">
                  <c:v>9.19443356923286</c:v>
                </c:pt>
                <c:pt idx="8">
                  <c:v>12.3602665214657</c:v>
                </c:pt>
                <c:pt idx="9">
                  <c:v>10.9885179324571</c:v>
                </c:pt>
              </c:numCache>
            </c:numRef>
          </c:val>
          <c:smooth val="0"/>
        </c:ser>
        <c:dLbls>
          <c:showLegendKey val="0"/>
          <c:showVal val="0"/>
          <c:showCatName val="0"/>
          <c:showSerName val="0"/>
          <c:showPercent val="0"/>
          <c:showBubbleSize val="0"/>
        </c:dLbls>
        <c:smooth val="0"/>
        <c:axId val="656110856"/>
        <c:axId val="656110072"/>
      </c:lineChart>
      <c:catAx>
        <c:axId val="6561108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56110072"/>
        <c:crosses val="autoZero"/>
        <c:auto val="1"/>
        <c:lblAlgn val="ctr"/>
        <c:lblOffset val="100"/>
        <c:tickLblSkip val="3"/>
        <c:noMultiLvlLbl val="0"/>
      </c:catAx>
      <c:valAx>
        <c:axId val="656110072"/>
        <c:scaling>
          <c:orientation val="minMax"/>
          <c:max val="25"/>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561108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76154806491885"/>
          <c:y val="0.18709500000000001"/>
          <c:w val="0.82835552781245669"/>
          <c:h val="0.67581000000000002"/>
        </c:manualLayout>
      </c:layout>
      <c:lineChart>
        <c:grouping val="standard"/>
        <c:varyColors val="0"/>
        <c:ser>
          <c:idx val="0"/>
          <c:order val="0"/>
          <c:tx>
            <c:strRef>
              <c:f>'Māori Non-Māori'!$R$196</c:f>
              <c:strCache>
                <c:ptCount val="1"/>
                <c:pt idx="0">
                  <c:v>Hanging, strangulation and suffocation</c:v>
                </c:pt>
              </c:strCache>
            </c:strRef>
          </c:tx>
          <c:spPr>
            <a:ln w="22225" cap="rnd">
              <a:solidFill>
                <a:schemeClr val="tx1"/>
              </a:solidFill>
              <a:round/>
            </a:ln>
            <a:effectLst/>
          </c:spPr>
          <c:marker>
            <c:symbol val="none"/>
          </c:marker>
          <c:cat>
            <c:numRef>
              <c:f>'Māori Non-Māori'!$T$194:$AM$194</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Non-Māori'!$T$196:$AM$196</c:f>
              <c:numCache>
                <c:formatCode>0.0</c:formatCode>
                <c:ptCount val="20"/>
                <c:pt idx="0">
                  <c:v>68</c:v>
                </c:pt>
                <c:pt idx="1">
                  <c:v>66</c:v>
                </c:pt>
                <c:pt idx="2">
                  <c:v>65.5</c:v>
                </c:pt>
                <c:pt idx="3">
                  <c:v>74.7</c:v>
                </c:pt>
                <c:pt idx="4">
                  <c:v>73.8</c:v>
                </c:pt>
                <c:pt idx="5">
                  <c:v>70.900000000000006</c:v>
                </c:pt>
                <c:pt idx="6">
                  <c:v>76.2</c:v>
                </c:pt>
                <c:pt idx="7">
                  <c:v>78.2</c:v>
                </c:pt>
                <c:pt idx="8">
                  <c:v>82.9</c:v>
                </c:pt>
                <c:pt idx="9">
                  <c:v>75.2</c:v>
                </c:pt>
                <c:pt idx="10">
                  <c:v>75</c:v>
                </c:pt>
                <c:pt idx="11">
                  <c:v>73.2</c:v>
                </c:pt>
                <c:pt idx="12">
                  <c:v>87.4</c:v>
                </c:pt>
                <c:pt idx="13">
                  <c:v>84.3</c:v>
                </c:pt>
                <c:pt idx="14">
                  <c:v>76.5</c:v>
                </c:pt>
                <c:pt idx="15">
                  <c:v>85</c:v>
                </c:pt>
                <c:pt idx="16">
                  <c:v>89.1</c:v>
                </c:pt>
                <c:pt idx="17">
                  <c:v>81</c:v>
                </c:pt>
                <c:pt idx="18">
                  <c:v>83.7</c:v>
                </c:pt>
                <c:pt idx="19">
                  <c:v>89.8</c:v>
                </c:pt>
              </c:numCache>
            </c:numRef>
          </c:val>
          <c:smooth val="0"/>
        </c:ser>
        <c:ser>
          <c:idx val="5"/>
          <c:order val="1"/>
          <c:tx>
            <c:strRef>
              <c:f>'Māori Non-Māori'!$R$197</c:f>
              <c:strCache>
                <c:ptCount val="1"/>
                <c:pt idx="0">
                  <c:v>Poisoning by gases and vapours</c:v>
                </c:pt>
              </c:strCache>
            </c:strRef>
          </c:tx>
          <c:spPr>
            <a:ln w="22225" cap="rnd">
              <a:solidFill>
                <a:schemeClr val="bg1">
                  <a:lumMod val="50000"/>
                </a:schemeClr>
              </a:solidFill>
              <a:round/>
            </a:ln>
            <a:effectLst/>
          </c:spPr>
          <c:marker>
            <c:symbol val="none"/>
          </c:marker>
          <c:cat>
            <c:numRef>
              <c:f>'Māori Non-Māori'!$T$194:$AM$194</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Non-Māori'!$T$197:$AM$197</c:f>
              <c:numCache>
                <c:formatCode>0.0</c:formatCode>
                <c:ptCount val="20"/>
                <c:pt idx="0">
                  <c:v>10.3</c:v>
                </c:pt>
                <c:pt idx="1">
                  <c:v>7.5</c:v>
                </c:pt>
                <c:pt idx="2">
                  <c:v>8</c:v>
                </c:pt>
                <c:pt idx="3">
                  <c:v>6.3</c:v>
                </c:pt>
                <c:pt idx="4">
                  <c:v>8.8000000000000007</c:v>
                </c:pt>
                <c:pt idx="5">
                  <c:v>13.9</c:v>
                </c:pt>
                <c:pt idx="6">
                  <c:v>10</c:v>
                </c:pt>
                <c:pt idx="7">
                  <c:v>8</c:v>
                </c:pt>
                <c:pt idx="8">
                  <c:v>2.7</c:v>
                </c:pt>
                <c:pt idx="9">
                  <c:v>10.5</c:v>
                </c:pt>
                <c:pt idx="10">
                  <c:v>6.5</c:v>
                </c:pt>
                <c:pt idx="11">
                  <c:v>6.2</c:v>
                </c:pt>
                <c:pt idx="12">
                  <c:v>2.2999999999999998</c:v>
                </c:pt>
                <c:pt idx="13">
                  <c:v>3.6</c:v>
                </c:pt>
                <c:pt idx="14">
                  <c:v>3.9</c:v>
                </c:pt>
                <c:pt idx="15">
                  <c:v>4.4000000000000004</c:v>
                </c:pt>
                <c:pt idx="16">
                  <c:v>1.7</c:v>
                </c:pt>
                <c:pt idx="17">
                  <c:v>4.8</c:v>
                </c:pt>
                <c:pt idx="18">
                  <c:v>2.2000000000000002</c:v>
                </c:pt>
                <c:pt idx="19">
                  <c:v>3.4</c:v>
                </c:pt>
              </c:numCache>
            </c:numRef>
          </c:val>
          <c:smooth val="0"/>
        </c:ser>
        <c:ser>
          <c:idx val="6"/>
          <c:order val="2"/>
          <c:tx>
            <c:strRef>
              <c:f>'Māori Non-Māori'!$R$198</c:f>
              <c:strCache>
                <c:ptCount val="1"/>
                <c:pt idx="0">
                  <c:v>Poisoning by solids and liquids</c:v>
                </c:pt>
              </c:strCache>
            </c:strRef>
          </c:tx>
          <c:spPr>
            <a:ln w="22225" cap="rnd">
              <a:solidFill>
                <a:srgbClr val="4BACC6"/>
              </a:solidFill>
              <a:round/>
            </a:ln>
            <a:effectLst/>
          </c:spPr>
          <c:marker>
            <c:symbol val="none"/>
          </c:marker>
          <c:cat>
            <c:numRef>
              <c:f>'Māori Non-Māori'!$T$194:$AM$194</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Non-Māori'!$T$198:$AM$198</c:f>
              <c:numCache>
                <c:formatCode>0.0</c:formatCode>
                <c:ptCount val="20"/>
                <c:pt idx="0">
                  <c:v>11.3</c:v>
                </c:pt>
                <c:pt idx="1">
                  <c:v>10.4</c:v>
                </c:pt>
                <c:pt idx="2">
                  <c:v>8.8000000000000007</c:v>
                </c:pt>
                <c:pt idx="3">
                  <c:v>6.3</c:v>
                </c:pt>
                <c:pt idx="4">
                  <c:v>5</c:v>
                </c:pt>
                <c:pt idx="5">
                  <c:v>5.0999999999999996</c:v>
                </c:pt>
                <c:pt idx="6">
                  <c:v>6.2</c:v>
                </c:pt>
                <c:pt idx="7">
                  <c:v>1.1000000000000001</c:v>
                </c:pt>
                <c:pt idx="8">
                  <c:v>5.4</c:v>
                </c:pt>
                <c:pt idx="9">
                  <c:v>2.9</c:v>
                </c:pt>
                <c:pt idx="10">
                  <c:v>4.5999999999999996</c:v>
                </c:pt>
                <c:pt idx="11">
                  <c:v>9.3000000000000007</c:v>
                </c:pt>
                <c:pt idx="12">
                  <c:v>3.4</c:v>
                </c:pt>
                <c:pt idx="13">
                  <c:v>4.8</c:v>
                </c:pt>
                <c:pt idx="14">
                  <c:v>10.8</c:v>
                </c:pt>
                <c:pt idx="15">
                  <c:v>2.7</c:v>
                </c:pt>
                <c:pt idx="16">
                  <c:v>1.7</c:v>
                </c:pt>
                <c:pt idx="17">
                  <c:v>5.7</c:v>
                </c:pt>
                <c:pt idx="18">
                  <c:v>6.5</c:v>
                </c:pt>
                <c:pt idx="19">
                  <c:v>1.7</c:v>
                </c:pt>
              </c:numCache>
            </c:numRef>
          </c:val>
          <c:smooth val="0"/>
        </c:ser>
        <c:ser>
          <c:idx val="1"/>
          <c:order val="3"/>
          <c:tx>
            <c:strRef>
              <c:f>'Māori Non-Māori'!$R$199</c:f>
              <c:strCache>
                <c:ptCount val="1"/>
                <c:pt idx="0">
                  <c:v>Firearms and explosives</c:v>
                </c:pt>
              </c:strCache>
            </c:strRef>
          </c:tx>
          <c:spPr>
            <a:ln w="22225" cap="rnd">
              <a:solidFill>
                <a:srgbClr val="A7D6E3"/>
              </a:solidFill>
              <a:round/>
            </a:ln>
            <a:effectLst/>
          </c:spPr>
          <c:marker>
            <c:symbol val="none"/>
          </c:marker>
          <c:cat>
            <c:numRef>
              <c:f>'Māori Non-Māori'!$T$194:$AM$194</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Non-Māori'!$T$199:$AM$199</c:f>
              <c:numCache>
                <c:formatCode>0.0</c:formatCode>
                <c:ptCount val="20"/>
                <c:pt idx="0">
                  <c:v>4.0999999999999996</c:v>
                </c:pt>
                <c:pt idx="1">
                  <c:v>7.5</c:v>
                </c:pt>
                <c:pt idx="2">
                  <c:v>8.8000000000000007</c:v>
                </c:pt>
                <c:pt idx="3">
                  <c:v>2.5</c:v>
                </c:pt>
                <c:pt idx="4">
                  <c:v>5</c:v>
                </c:pt>
                <c:pt idx="5">
                  <c:v>5.0999999999999996</c:v>
                </c:pt>
                <c:pt idx="6">
                  <c:v>5</c:v>
                </c:pt>
                <c:pt idx="7">
                  <c:v>4.5999999999999996</c:v>
                </c:pt>
                <c:pt idx="8">
                  <c:v>3.6</c:v>
                </c:pt>
                <c:pt idx="9">
                  <c:v>6.7</c:v>
                </c:pt>
                <c:pt idx="10">
                  <c:v>5.6</c:v>
                </c:pt>
                <c:pt idx="11">
                  <c:v>6.2</c:v>
                </c:pt>
                <c:pt idx="12">
                  <c:v>3.4</c:v>
                </c:pt>
                <c:pt idx="13">
                  <c:v>3.6</c:v>
                </c:pt>
                <c:pt idx="14">
                  <c:v>3.9</c:v>
                </c:pt>
                <c:pt idx="15">
                  <c:v>1.8</c:v>
                </c:pt>
                <c:pt idx="16">
                  <c:v>4.2</c:v>
                </c:pt>
                <c:pt idx="17">
                  <c:v>1.9</c:v>
                </c:pt>
                <c:pt idx="18">
                  <c:v>1.1000000000000001</c:v>
                </c:pt>
                <c:pt idx="19">
                  <c:v>0.8</c:v>
                </c:pt>
              </c:numCache>
            </c:numRef>
          </c:val>
          <c:smooth val="0"/>
        </c:ser>
        <c:dLbls>
          <c:showLegendKey val="0"/>
          <c:showVal val="0"/>
          <c:showCatName val="0"/>
          <c:showSerName val="0"/>
          <c:showPercent val="0"/>
          <c:showBubbleSize val="0"/>
        </c:dLbls>
        <c:smooth val="0"/>
        <c:axId val="656108896"/>
        <c:axId val="656109288"/>
      </c:lineChart>
      <c:catAx>
        <c:axId val="6561088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56109288"/>
        <c:crosses val="autoZero"/>
        <c:auto val="1"/>
        <c:lblAlgn val="ctr"/>
        <c:lblOffset val="100"/>
        <c:tickLblSkip val="3"/>
        <c:noMultiLvlLbl val="0"/>
      </c:catAx>
      <c:valAx>
        <c:axId val="656109288"/>
        <c:scaling>
          <c:orientation val="minMax"/>
          <c:max val="10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56108896"/>
        <c:crossesAt val="1"/>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76154806491885"/>
          <c:y val="0.16592833333333334"/>
          <c:w val="0.83240812240812245"/>
          <c:h val="0.69697666666666669"/>
        </c:manualLayout>
      </c:layout>
      <c:lineChart>
        <c:grouping val="standard"/>
        <c:varyColors val="0"/>
        <c:ser>
          <c:idx val="0"/>
          <c:order val="0"/>
          <c:tx>
            <c:strRef>
              <c:f>'Māori Non-Māori'!$R$205</c:f>
              <c:strCache>
                <c:ptCount val="1"/>
                <c:pt idx="0">
                  <c:v>Hanging, strangulation and suffocation</c:v>
                </c:pt>
              </c:strCache>
            </c:strRef>
          </c:tx>
          <c:spPr>
            <a:ln w="22225" cap="rnd">
              <a:solidFill>
                <a:schemeClr val="tx1"/>
              </a:solidFill>
              <a:round/>
            </a:ln>
            <a:effectLst/>
          </c:spPr>
          <c:marker>
            <c:symbol val="none"/>
          </c:marker>
          <c:cat>
            <c:numRef>
              <c:f>'Māori Non-Māori'!$T$194:$AM$194</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Non-Māori'!$T$205:$AM$205</c:f>
              <c:numCache>
                <c:formatCode>0.0</c:formatCode>
                <c:ptCount val="20"/>
                <c:pt idx="0">
                  <c:v>71.2</c:v>
                </c:pt>
                <c:pt idx="1">
                  <c:v>70</c:v>
                </c:pt>
                <c:pt idx="2">
                  <c:v>64.8</c:v>
                </c:pt>
                <c:pt idx="3">
                  <c:v>72.900000000000006</c:v>
                </c:pt>
                <c:pt idx="4">
                  <c:v>75.400000000000006</c:v>
                </c:pt>
                <c:pt idx="5">
                  <c:v>70.7</c:v>
                </c:pt>
                <c:pt idx="6">
                  <c:v>81.7</c:v>
                </c:pt>
                <c:pt idx="7">
                  <c:v>79.099999999999994</c:v>
                </c:pt>
                <c:pt idx="8">
                  <c:v>84.3</c:v>
                </c:pt>
                <c:pt idx="9">
                  <c:v>71.8</c:v>
                </c:pt>
                <c:pt idx="10">
                  <c:v>76</c:v>
                </c:pt>
                <c:pt idx="11">
                  <c:v>74.3</c:v>
                </c:pt>
                <c:pt idx="12">
                  <c:v>85.7</c:v>
                </c:pt>
                <c:pt idx="13">
                  <c:v>82.8</c:v>
                </c:pt>
                <c:pt idx="14">
                  <c:v>79.2</c:v>
                </c:pt>
                <c:pt idx="15">
                  <c:v>81.5</c:v>
                </c:pt>
                <c:pt idx="16">
                  <c:v>86.6</c:v>
                </c:pt>
                <c:pt idx="17">
                  <c:v>80.3</c:v>
                </c:pt>
                <c:pt idx="18">
                  <c:v>85.1</c:v>
                </c:pt>
                <c:pt idx="19">
                  <c:v>89.6</c:v>
                </c:pt>
              </c:numCache>
            </c:numRef>
          </c:val>
          <c:smooth val="0"/>
        </c:ser>
        <c:ser>
          <c:idx val="5"/>
          <c:order val="1"/>
          <c:tx>
            <c:strRef>
              <c:f>'Māori Non-Māori'!$R$206</c:f>
              <c:strCache>
                <c:ptCount val="1"/>
                <c:pt idx="0">
                  <c:v>Poisoning by gases and vapours</c:v>
                </c:pt>
              </c:strCache>
            </c:strRef>
          </c:tx>
          <c:spPr>
            <a:ln w="22225" cap="rnd">
              <a:solidFill>
                <a:schemeClr val="bg1">
                  <a:lumMod val="50000"/>
                </a:schemeClr>
              </a:solidFill>
              <a:round/>
            </a:ln>
            <a:effectLst/>
          </c:spPr>
          <c:marker>
            <c:symbol val="none"/>
          </c:marker>
          <c:cat>
            <c:numRef>
              <c:f>'Māori Non-Māori'!$T$194:$AM$194</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Non-Māori'!$T$206:$AM$206</c:f>
              <c:numCache>
                <c:formatCode>0.0</c:formatCode>
                <c:ptCount val="20"/>
                <c:pt idx="0">
                  <c:v>12.3</c:v>
                </c:pt>
                <c:pt idx="1">
                  <c:v>6.2</c:v>
                </c:pt>
                <c:pt idx="2">
                  <c:v>10.199999999999999</c:v>
                </c:pt>
                <c:pt idx="3">
                  <c:v>6.8</c:v>
                </c:pt>
                <c:pt idx="4">
                  <c:v>7.2</c:v>
                </c:pt>
                <c:pt idx="5">
                  <c:v>13.8</c:v>
                </c:pt>
                <c:pt idx="6">
                  <c:v>10</c:v>
                </c:pt>
                <c:pt idx="7">
                  <c:v>6</c:v>
                </c:pt>
                <c:pt idx="8">
                  <c:v>2.4</c:v>
                </c:pt>
                <c:pt idx="9">
                  <c:v>12.8</c:v>
                </c:pt>
                <c:pt idx="10">
                  <c:v>4</c:v>
                </c:pt>
                <c:pt idx="11">
                  <c:v>8.1</c:v>
                </c:pt>
                <c:pt idx="12">
                  <c:v>3.6</c:v>
                </c:pt>
                <c:pt idx="13">
                  <c:v>3.4</c:v>
                </c:pt>
                <c:pt idx="14">
                  <c:v>5.6</c:v>
                </c:pt>
                <c:pt idx="15">
                  <c:v>6.2</c:v>
                </c:pt>
                <c:pt idx="16">
                  <c:v>2.4</c:v>
                </c:pt>
                <c:pt idx="17">
                  <c:v>6.1</c:v>
                </c:pt>
                <c:pt idx="18">
                  <c:v>3</c:v>
                </c:pt>
                <c:pt idx="19">
                  <c:v>5.2</c:v>
                </c:pt>
              </c:numCache>
            </c:numRef>
          </c:val>
          <c:smooth val="0"/>
        </c:ser>
        <c:ser>
          <c:idx val="6"/>
          <c:order val="2"/>
          <c:tx>
            <c:strRef>
              <c:f>'Māori Non-Māori'!$R$207</c:f>
              <c:strCache>
                <c:ptCount val="1"/>
                <c:pt idx="0">
                  <c:v>Poisoning by solids and liquids</c:v>
                </c:pt>
              </c:strCache>
            </c:strRef>
          </c:tx>
          <c:spPr>
            <a:ln w="22225" cap="rnd">
              <a:solidFill>
                <a:srgbClr val="4BACC6"/>
              </a:solidFill>
              <a:round/>
            </a:ln>
            <a:effectLst/>
          </c:spPr>
          <c:marker>
            <c:symbol val="none"/>
          </c:marker>
          <c:cat>
            <c:numRef>
              <c:f>'Māori Non-Māori'!$T$194:$AM$194</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Non-Māori'!$T$207:$AM$207</c:f>
              <c:numCache>
                <c:formatCode>0.0</c:formatCode>
                <c:ptCount val="20"/>
                <c:pt idx="0">
                  <c:v>5.5</c:v>
                </c:pt>
                <c:pt idx="1">
                  <c:v>7.5</c:v>
                </c:pt>
                <c:pt idx="2">
                  <c:v>3.4</c:v>
                </c:pt>
                <c:pt idx="3">
                  <c:v>6.8</c:v>
                </c:pt>
                <c:pt idx="4">
                  <c:v>4.3</c:v>
                </c:pt>
                <c:pt idx="5">
                  <c:v>5.2</c:v>
                </c:pt>
                <c:pt idx="6">
                  <c:v>0</c:v>
                </c:pt>
                <c:pt idx="7">
                  <c:v>1.5</c:v>
                </c:pt>
                <c:pt idx="8">
                  <c:v>3.6</c:v>
                </c:pt>
                <c:pt idx="9">
                  <c:v>1.3</c:v>
                </c:pt>
                <c:pt idx="10">
                  <c:v>4</c:v>
                </c:pt>
                <c:pt idx="11">
                  <c:v>5.4</c:v>
                </c:pt>
                <c:pt idx="12">
                  <c:v>1.8</c:v>
                </c:pt>
                <c:pt idx="13">
                  <c:v>3.4</c:v>
                </c:pt>
                <c:pt idx="14">
                  <c:v>5.6</c:v>
                </c:pt>
                <c:pt idx="15">
                  <c:v>2.5</c:v>
                </c:pt>
                <c:pt idx="16">
                  <c:v>1.2</c:v>
                </c:pt>
                <c:pt idx="17">
                  <c:v>1.5</c:v>
                </c:pt>
                <c:pt idx="18">
                  <c:v>3</c:v>
                </c:pt>
                <c:pt idx="19">
                  <c:v>0</c:v>
                </c:pt>
              </c:numCache>
            </c:numRef>
          </c:val>
          <c:smooth val="0"/>
        </c:ser>
        <c:ser>
          <c:idx val="1"/>
          <c:order val="3"/>
          <c:tx>
            <c:strRef>
              <c:f>'Māori Non-Māori'!$R$208</c:f>
              <c:strCache>
                <c:ptCount val="1"/>
                <c:pt idx="0">
                  <c:v>Firearms and explosives</c:v>
                </c:pt>
              </c:strCache>
            </c:strRef>
          </c:tx>
          <c:spPr>
            <a:ln w="22225" cap="rnd">
              <a:solidFill>
                <a:srgbClr val="A7D6E3"/>
              </a:solidFill>
              <a:round/>
            </a:ln>
            <a:effectLst/>
          </c:spPr>
          <c:marker>
            <c:symbol val="none"/>
          </c:marker>
          <c:cat>
            <c:numRef>
              <c:f>'Māori Non-Māori'!$T$194:$AM$194</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Non-Māori'!$T$208:$AM$208</c:f>
              <c:numCache>
                <c:formatCode>0.0</c:formatCode>
                <c:ptCount val="20"/>
                <c:pt idx="0">
                  <c:v>4.0999999999999996</c:v>
                </c:pt>
                <c:pt idx="1">
                  <c:v>8.8000000000000007</c:v>
                </c:pt>
                <c:pt idx="2">
                  <c:v>11.4</c:v>
                </c:pt>
                <c:pt idx="3">
                  <c:v>3.4</c:v>
                </c:pt>
                <c:pt idx="4">
                  <c:v>5.8</c:v>
                </c:pt>
                <c:pt idx="5">
                  <c:v>6.9</c:v>
                </c:pt>
                <c:pt idx="6">
                  <c:v>6.7</c:v>
                </c:pt>
                <c:pt idx="7">
                  <c:v>6</c:v>
                </c:pt>
                <c:pt idx="8">
                  <c:v>4.8</c:v>
                </c:pt>
                <c:pt idx="9">
                  <c:v>9</c:v>
                </c:pt>
                <c:pt idx="10">
                  <c:v>8</c:v>
                </c:pt>
                <c:pt idx="11">
                  <c:v>8.1</c:v>
                </c:pt>
                <c:pt idx="12">
                  <c:v>3.6</c:v>
                </c:pt>
                <c:pt idx="13">
                  <c:v>5.2</c:v>
                </c:pt>
                <c:pt idx="14">
                  <c:v>4.2</c:v>
                </c:pt>
                <c:pt idx="15">
                  <c:v>2.5</c:v>
                </c:pt>
                <c:pt idx="16">
                  <c:v>6.1</c:v>
                </c:pt>
                <c:pt idx="17">
                  <c:v>1.5</c:v>
                </c:pt>
                <c:pt idx="18">
                  <c:v>1.5</c:v>
                </c:pt>
                <c:pt idx="19">
                  <c:v>1.3</c:v>
                </c:pt>
              </c:numCache>
            </c:numRef>
          </c:val>
          <c:smooth val="0"/>
        </c:ser>
        <c:dLbls>
          <c:showLegendKey val="0"/>
          <c:showVal val="0"/>
          <c:showCatName val="0"/>
          <c:showSerName val="0"/>
          <c:showPercent val="0"/>
          <c:showBubbleSize val="0"/>
        </c:dLbls>
        <c:smooth val="0"/>
        <c:axId val="656110464"/>
        <c:axId val="656111248"/>
      </c:lineChart>
      <c:catAx>
        <c:axId val="65611046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56111248"/>
        <c:crosses val="autoZero"/>
        <c:auto val="1"/>
        <c:lblAlgn val="ctr"/>
        <c:lblOffset val="100"/>
        <c:tickLblSkip val="3"/>
        <c:noMultiLvlLbl val="0"/>
      </c:catAx>
      <c:valAx>
        <c:axId val="656111248"/>
        <c:scaling>
          <c:orientation val="minMax"/>
          <c:max val="10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56110464"/>
        <c:crossesAt val="1"/>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76154806491885"/>
          <c:y val="0.16592833333333334"/>
          <c:w val="0.83240812240812245"/>
          <c:h val="0.69697666666666669"/>
        </c:manualLayout>
      </c:layout>
      <c:lineChart>
        <c:grouping val="standard"/>
        <c:varyColors val="0"/>
        <c:ser>
          <c:idx val="0"/>
          <c:order val="0"/>
          <c:tx>
            <c:strRef>
              <c:f>'Māori Non-Māori'!$R$214</c:f>
              <c:strCache>
                <c:ptCount val="1"/>
                <c:pt idx="0">
                  <c:v>Hanging, strangulation and suffocation</c:v>
                </c:pt>
              </c:strCache>
            </c:strRef>
          </c:tx>
          <c:spPr>
            <a:ln w="22225" cap="rnd">
              <a:solidFill>
                <a:schemeClr val="tx1"/>
              </a:solidFill>
              <a:round/>
            </a:ln>
            <a:effectLst/>
          </c:spPr>
          <c:marker>
            <c:symbol val="none"/>
          </c:marker>
          <c:cat>
            <c:numRef>
              <c:f>'Māori Non-Māori'!$T$194:$AM$194</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Non-Māori'!$T$214:$AM$214</c:f>
              <c:numCache>
                <c:formatCode>0.0</c:formatCode>
                <c:ptCount val="20"/>
                <c:pt idx="0">
                  <c:v>58.3</c:v>
                </c:pt>
                <c:pt idx="1">
                  <c:v>53.8</c:v>
                </c:pt>
                <c:pt idx="2">
                  <c:v>68</c:v>
                </c:pt>
                <c:pt idx="3">
                  <c:v>80</c:v>
                </c:pt>
                <c:pt idx="4">
                  <c:v>63.6</c:v>
                </c:pt>
                <c:pt idx="5">
                  <c:v>71.400000000000006</c:v>
                </c:pt>
                <c:pt idx="6">
                  <c:v>60</c:v>
                </c:pt>
                <c:pt idx="7">
                  <c:v>75</c:v>
                </c:pt>
                <c:pt idx="8">
                  <c:v>78.599999999999994</c:v>
                </c:pt>
                <c:pt idx="9">
                  <c:v>85.2</c:v>
                </c:pt>
                <c:pt idx="10">
                  <c:v>72.7</c:v>
                </c:pt>
                <c:pt idx="11">
                  <c:v>69.599999999999994</c:v>
                </c:pt>
                <c:pt idx="12">
                  <c:v>90.3</c:v>
                </c:pt>
                <c:pt idx="13">
                  <c:v>88</c:v>
                </c:pt>
                <c:pt idx="14">
                  <c:v>70</c:v>
                </c:pt>
                <c:pt idx="15">
                  <c:v>93.8</c:v>
                </c:pt>
                <c:pt idx="16">
                  <c:v>94.6</c:v>
                </c:pt>
                <c:pt idx="17">
                  <c:v>82.1</c:v>
                </c:pt>
                <c:pt idx="18">
                  <c:v>80</c:v>
                </c:pt>
                <c:pt idx="19">
                  <c:v>90.2</c:v>
                </c:pt>
              </c:numCache>
            </c:numRef>
          </c:val>
          <c:smooth val="0"/>
        </c:ser>
        <c:ser>
          <c:idx val="5"/>
          <c:order val="1"/>
          <c:tx>
            <c:strRef>
              <c:f>'Māori Non-Māori'!$R$215</c:f>
              <c:strCache>
                <c:ptCount val="1"/>
                <c:pt idx="0">
                  <c:v>Poisoning by gases and vapours</c:v>
                </c:pt>
              </c:strCache>
            </c:strRef>
          </c:tx>
          <c:spPr>
            <a:ln w="22225" cap="rnd">
              <a:solidFill>
                <a:schemeClr val="bg1">
                  <a:lumMod val="50000"/>
                </a:schemeClr>
              </a:solidFill>
              <a:round/>
            </a:ln>
            <a:effectLst/>
          </c:spPr>
          <c:marker>
            <c:symbol val="none"/>
          </c:marker>
          <c:cat>
            <c:numRef>
              <c:f>'Māori Non-Māori'!$T$194:$AM$194</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Non-Māori'!$T$215:$AM$215</c:f>
              <c:numCache>
                <c:formatCode>0.0</c:formatCode>
                <c:ptCount val="20"/>
                <c:pt idx="0">
                  <c:v>4.2</c:v>
                </c:pt>
                <c:pt idx="1">
                  <c:v>11.5</c:v>
                </c:pt>
                <c:pt idx="2">
                  <c:v>0</c:v>
                </c:pt>
                <c:pt idx="3">
                  <c:v>5</c:v>
                </c:pt>
                <c:pt idx="4">
                  <c:v>18.2</c:v>
                </c:pt>
                <c:pt idx="5">
                  <c:v>14.3</c:v>
                </c:pt>
                <c:pt idx="6">
                  <c:v>10</c:v>
                </c:pt>
                <c:pt idx="7">
                  <c:v>15</c:v>
                </c:pt>
                <c:pt idx="8">
                  <c:v>3.6</c:v>
                </c:pt>
                <c:pt idx="9">
                  <c:v>3.7</c:v>
                </c:pt>
                <c:pt idx="10">
                  <c:v>12.1</c:v>
                </c:pt>
                <c:pt idx="11">
                  <c:v>0</c:v>
                </c:pt>
                <c:pt idx="12">
                  <c:v>0</c:v>
                </c:pt>
                <c:pt idx="13">
                  <c:v>4</c:v>
                </c:pt>
                <c:pt idx="14">
                  <c:v>0</c:v>
                </c:pt>
                <c:pt idx="15">
                  <c:v>0</c:v>
                </c:pt>
                <c:pt idx="16">
                  <c:v>0</c:v>
                </c:pt>
                <c:pt idx="17">
                  <c:v>2.6</c:v>
                </c:pt>
                <c:pt idx="18">
                  <c:v>0</c:v>
                </c:pt>
                <c:pt idx="19">
                  <c:v>0</c:v>
                </c:pt>
              </c:numCache>
            </c:numRef>
          </c:val>
          <c:smooth val="0"/>
        </c:ser>
        <c:ser>
          <c:idx val="6"/>
          <c:order val="2"/>
          <c:tx>
            <c:strRef>
              <c:f>'Māori Non-Māori'!$R$216</c:f>
              <c:strCache>
                <c:ptCount val="1"/>
                <c:pt idx="0">
                  <c:v>Poisoning by solids and liquids</c:v>
                </c:pt>
              </c:strCache>
            </c:strRef>
          </c:tx>
          <c:spPr>
            <a:ln w="22225" cap="rnd">
              <a:solidFill>
                <a:srgbClr val="4BACC6"/>
              </a:solidFill>
              <a:round/>
            </a:ln>
            <a:effectLst/>
          </c:spPr>
          <c:marker>
            <c:symbol val="none"/>
          </c:marker>
          <c:cat>
            <c:numRef>
              <c:f>'Māori Non-Māori'!$T$194:$AM$194</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Non-Māori'!$T$216:$AM$216</c:f>
              <c:numCache>
                <c:formatCode>0.0</c:formatCode>
                <c:ptCount val="20"/>
                <c:pt idx="0">
                  <c:v>29.2</c:v>
                </c:pt>
                <c:pt idx="1">
                  <c:v>19.2</c:v>
                </c:pt>
                <c:pt idx="2">
                  <c:v>28</c:v>
                </c:pt>
                <c:pt idx="3">
                  <c:v>5</c:v>
                </c:pt>
                <c:pt idx="4">
                  <c:v>9.1</c:v>
                </c:pt>
                <c:pt idx="5">
                  <c:v>4.8</c:v>
                </c:pt>
                <c:pt idx="6">
                  <c:v>25</c:v>
                </c:pt>
                <c:pt idx="7">
                  <c:v>0</c:v>
                </c:pt>
                <c:pt idx="8">
                  <c:v>10.7</c:v>
                </c:pt>
                <c:pt idx="9">
                  <c:v>7.4</c:v>
                </c:pt>
                <c:pt idx="10">
                  <c:v>6.1</c:v>
                </c:pt>
                <c:pt idx="11">
                  <c:v>21.7</c:v>
                </c:pt>
                <c:pt idx="12">
                  <c:v>6.5</c:v>
                </c:pt>
                <c:pt idx="13">
                  <c:v>8</c:v>
                </c:pt>
                <c:pt idx="14">
                  <c:v>23.3</c:v>
                </c:pt>
                <c:pt idx="15">
                  <c:v>3.1</c:v>
                </c:pt>
                <c:pt idx="16">
                  <c:v>2.7</c:v>
                </c:pt>
                <c:pt idx="17">
                  <c:v>12.8</c:v>
                </c:pt>
                <c:pt idx="18">
                  <c:v>16</c:v>
                </c:pt>
                <c:pt idx="19">
                  <c:v>4.9000000000000004</c:v>
                </c:pt>
              </c:numCache>
            </c:numRef>
          </c:val>
          <c:smooth val="0"/>
        </c:ser>
        <c:ser>
          <c:idx val="1"/>
          <c:order val="3"/>
          <c:tx>
            <c:strRef>
              <c:f>'Māori Non-Māori'!$R$217</c:f>
              <c:strCache>
                <c:ptCount val="1"/>
                <c:pt idx="0">
                  <c:v>Firearms and explosives</c:v>
                </c:pt>
              </c:strCache>
            </c:strRef>
          </c:tx>
          <c:spPr>
            <a:ln w="22225" cap="rnd">
              <a:solidFill>
                <a:srgbClr val="A7D6E3"/>
              </a:solidFill>
              <a:round/>
            </a:ln>
            <a:effectLst/>
          </c:spPr>
          <c:marker>
            <c:symbol val="none"/>
          </c:marker>
          <c:cat>
            <c:numRef>
              <c:f>'Māori Non-Māori'!$T$194:$AM$194</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Non-Māori'!$T$217:$AM$217</c:f>
              <c:numCache>
                <c:formatCode>0.0</c:formatCode>
                <c:ptCount val="20"/>
                <c:pt idx="0">
                  <c:v>4.2</c:v>
                </c:pt>
                <c:pt idx="1">
                  <c:v>3.8</c:v>
                </c:pt>
                <c:pt idx="2">
                  <c:v>0</c:v>
                </c:pt>
                <c:pt idx="3">
                  <c:v>0</c:v>
                </c:pt>
                <c:pt idx="4">
                  <c:v>0</c:v>
                </c:pt>
                <c:pt idx="5">
                  <c:v>0</c:v>
                </c:pt>
                <c:pt idx="6">
                  <c:v>0</c:v>
                </c:pt>
                <c:pt idx="7">
                  <c:v>0</c:v>
                </c:pt>
                <c:pt idx="8">
                  <c:v>0</c:v>
                </c:pt>
                <c:pt idx="9">
                  <c:v>0</c:v>
                </c:pt>
                <c:pt idx="10">
                  <c:v>0</c:v>
                </c:pt>
                <c:pt idx="11">
                  <c:v>0</c:v>
                </c:pt>
                <c:pt idx="12">
                  <c:v>3.2</c:v>
                </c:pt>
                <c:pt idx="13">
                  <c:v>0</c:v>
                </c:pt>
                <c:pt idx="14">
                  <c:v>3.3</c:v>
                </c:pt>
                <c:pt idx="15">
                  <c:v>0</c:v>
                </c:pt>
                <c:pt idx="16">
                  <c:v>0</c:v>
                </c:pt>
                <c:pt idx="17">
                  <c:v>2.6</c:v>
                </c:pt>
                <c:pt idx="18">
                  <c:v>0</c:v>
                </c:pt>
                <c:pt idx="19">
                  <c:v>0</c:v>
                </c:pt>
              </c:numCache>
            </c:numRef>
          </c:val>
          <c:smooth val="0"/>
        </c:ser>
        <c:dLbls>
          <c:showLegendKey val="0"/>
          <c:showVal val="0"/>
          <c:showCatName val="0"/>
          <c:showSerName val="0"/>
          <c:showPercent val="0"/>
          <c:showBubbleSize val="0"/>
        </c:dLbls>
        <c:smooth val="0"/>
        <c:axId val="656108112"/>
        <c:axId val="800748664"/>
      </c:lineChart>
      <c:catAx>
        <c:axId val="6561081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00748664"/>
        <c:crosses val="autoZero"/>
        <c:auto val="1"/>
        <c:lblAlgn val="ctr"/>
        <c:lblOffset val="100"/>
        <c:tickLblSkip val="3"/>
        <c:noMultiLvlLbl val="0"/>
      </c:catAx>
      <c:valAx>
        <c:axId val="800748664"/>
        <c:scaling>
          <c:orientation val="minMax"/>
          <c:max val="10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56108112"/>
        <c:crossesAt val="1"/>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76154806491885"/>
          <c:y val="0.16592833333333334"/>
          <c:w val="0.83240812240812245"/>
          <c:h val="0.69697666666666669"/>
        </c:manualLayout>
      </c:layout>
      <c:lineChart>
        <c:grouping val="standard"/>
        <c:varyColors val="0"/>
        <c:ser>
          <c:idx val="0"/>
          <c:order val="0"/>
          <c:tx>
            <c:strRef>
              <c:f>'Māori Non-Māori'!$R$227</c:f>
              <c:strCache>
                <c:ptCount val="1"/>
                <c:pt idx="0">
                  <c:v>Hanging, strangulation and suffocation</c:v>
                </c:pt>
              </c:strCache>
            </c:strRef>
          </c:tx>
          <c:spPr>
            <a:ln w="22225" cap="rnd">
              <a:solidFill>
                <a:schemeClr val="tx1"/>
              </a:solidFill>
              <a:round/>
            </a:ln>
            <a:effectLst/>
          </c:spPr>
          <c:marker>
            <c:symbol val="none"/>
          </c:marker>
          <c:cat>
            <c:numRef>
              <c:f>'Māori Non-Māori'!$T$225:$AM$225</c:f>
              <c:numCache>
                <c:formatCode>0</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Non-Māori'!$T$227:$AM$227</c:f>
              <c:numCache>
                <c:formatCode>0.0</c:formatCode>
                <c:ptCount val="20"/>
                <c:pt idx="0">
                  <c:v>37</c:v>
                </c:pt>
                <c:pt idx="1">
                  <c:v>35.5</c:v>
                </c:pt>
                <c:pt idx="2">
                  <c:v>37.799999999999997</c:v>
                </c:pt>
                <c:pt idx="3">
                  <c:v>41.8</c:v>
                </c:pt>
                <c:pt idx="4">
                  <c:v>41.2</c:v>
                </c:pt>
                <c:pt idx="5">
                  <c:v>41.7</c:v>
                </c:pt>
                <c:pt idx="6">
                  <c:v>41.3</c:v>
                </c:pt>
                <c:pt idx="7">
                  <c:v>41.8</c:v>
                </c:pt>
                <c:pt idx="8">
                  <c:v>46.5</c:v>
                </c:pt>
                <c:pt idx="9">
                  <c:v>43.2</c:v>
                </c:pt>
                <c:pt idx="10">
                  <c:v>49.3</c:v>
                </c:pt>
                <c:pt idx="11">
                  <c:v>52.7</c:v>
                </c:pt>
                <c:pt idx="12">
                  <c:v>49.7</c:v>
                </c:pt>
                <c:pt idx="13">
                  <c:v>54.1</c:v>
                </c:pt>
                <c:pt idx="14">
                  <c:v>54.4</c:v>
                </c:pt>
                <c:pt idx="15">
                  <c:v>54.1</c:v>
                </c:pt>
                <c:pt idx="16">
                  <c:v>55</c:v>
                </c:pt>
                <c:pt idx="17">
                  <c:v>51.1</c:v>
                </c:pt>
                <c:pt idx="18">
                  <c:v>55.9</c:v>
                </c:pt>
                <c:pt idx="19">
                  <c:v>54.5</c:v>
                </c:pt>
              </c:numCache>
            </c:numRef>
          </c:val>
          <c:smooth val="0"/>
        </c:ser>
        <c:ser>
          <c:idx val="5"/>
          <c:order val="1"/>
          <c:tx>
            <c:strRef>
              <c:f>'Māori Non-Māori'!$R$228</c:f>
              <c:strCache>
                <c:ptCount val="1"/>
                <c:pt idx="0">
                  <c:v>Poisoning by gases and vapours</c:v>
                </c:pt>
              </c:strCache>
            </c:strRef>
          </c:tx>
          <c:spPr>
            <a:ln w="22225" cap="rnd">
              <a:solidFill>
                <a:schemeClr val="bg1">
                  <a:lumMod val="50000"/>
                </a:schemeClr>
              </a:solidFill>
              <a:round/>
            </a:ln>
            <a:effectLst/>
          </c:spPr>
          <c:marker>
            <c:symbol val="none"/>
          </c:marker>
          <c:cat>
            <c:numRef>
              <c:f>'Māori Non-Māori'!$T$225:$AM$225</c:f>
              <c:numCache>
                <c:formatCode>0</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Non-Māori'!$T$228:$AM$228</c:f>
              <c:numCache>
                <c:formatCode>0.0</c:formatCode>
                <c:ptCount val="20"/>
                <c:pt idx="0">
                  <c:v>33.200000000000003</c:v>
                </c:pt>
                <c:pt idx="1">
                  <c:v>32.700000000000003</c:v>
                </c:pt>
                <c:pt idx="2">
                  <c:v>26.8</c:v>
                </c:pt>
                <c:pt idx="3">
                  <c:v>25.6</c:v>
                </c:pt>
                <c:pt idx="4">
                  <c:v>28</c:v>
                </c:pt>
                <c:pt idx="5">
                  <c:v>23.3</c:v>
                </c:pt>
                <c:pt idx="6">
                  <c:v>23.3</c:v>
                </c:pt>
                <c:pt idx="7">
                  <c:v>22.3</c:v>
                </c:pt>
                <c:pt idx="8">
                  <c:v>24</c:v>
                </c:pt>
                <c:pt idx="9">
                  <c:v>24.1</c:v>
                </c:pt>
                <c:pt idx="10">
                  <c:v>19.2</c:v>
                </c:pt>
                <c:pt idx="11">
                  <c:v>16.3</c:v>
                </c:pt>
                <c:pt idx="12">
                  <c:v>16.899999999999999</c:v>
                </c:pt>
                <c:pt idx="13">
                  <c:v>11</c:v>
                </c:pt>
                <c:pt idx="14">
                  <c:v>13.2</c:v>
                </c:pt>
                <c:pt idx="15">
                  <c:v>11.3</c:v>
                </c:pt>
                <c:pt idx="16">
                  <c:v>9.5</c:v>
                </c:pt>
                <c:pt idx="17">
                  <c:v>9.8000000000000007</c:v>
                </c:pt>
                <c:pt idx="18">
                  <c:v>9.4</c:v>
                </c:pt>
                <c:pt idx="19">
                  <c:v>10.3</c:v>
                </c:pt>
              </c:numCache>
            </c:numRef>
          </c:val>
          <c:smooth val="0"/>
        </c:ser>
        <c:ser>
          <c:idx val="6"/>
          <c:order val="2"/>
          <c:tx>
            <c:strRef>
              <c:f>'Māori Non-Māori'!$R$229</c:f>
              <c:strCache>
                <c:ptCount val="1"/>
                <c:pt idx="0">
                  <c:v>Poisoning by solids and liquids</c:v>
                </c:pt>
              </c:strCache>
            </c:strRef>
          </c:tx>
          <c:spPr>
            <a:ln w="22225" cap="rnd">
              <a:solidFill>
                <a:srgbClr val="4BACC6"/>
              </a:solidFill>
              <a:round/>
            </a:ln>
            <a:effectLst/>
          </c:spPr>
          <c:marker>
            <c:symbol val="none"/>
          </c:marker>
          <c:cat>
            <c:numRef>
              <c:f>'Māori Non-Māori'!$T$225:$AM$225</c:f>
              <c:numCache>
                <c:formatCode>0</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Non-Māori'!$T$229:$AM$229</c:f>
              <c:numCache>
                <c:formatCode>0.0</c:formatCode>
                <c:ptCount val="20"/>
                <c:pt idx="0">
                  <c:v>10.8</c:v>
                </c:pt>
                <c:pt idx="1">
                  <c:v>10.5</c:v>
                </c:pt>
                <c:pt idx="2">
                  <c:v>11.6</c:v>
                </c:pt>
                <c:pt idx="3">
                  <c:v>10.7</c:v>
                </c:pt>
                <c:pt idx="4">
                  <c:v>8.4</c:v>
                </c:pt>
                <c:pt idx="5">
                  <c:v>11.7</c:v>
                </c:pt>
                <c:pt idx="6">
                  <c:v>10.8</c:v>
                </c:pt>
                <c:pt idx="7">
                  <c:v>13.1</c:v>
                </c:pt>
                <c:pt idx="8">
                  <c:v>10.4</c:v>
                </c:pt>
                <c:pt idx="9">
                  <c:v>11.7</c:v>
                </c:pt>
                <c:pt idx="10">
                  <c:v>10.6</c:v>
                </c:pt>
                <c:pt idx="11">
                  <c:v>9.6999999999999993</c:v>
                </c:pt>
                <c:pt idx="12">
                  <c:v>12.1</c:v>
                </c:pt>
                <c:pt idx="13">
                  <c:v>12.8</c:v>
                </c:pt>
                <c:pt idx="14">
                  <c:v>13</c:v>
                </c:pt>
                <c:pt idx="15">
                  <c:v>13.9</c:v>
                </c:pt>
                <c:pt idx="16">
                  <c:v>14.4</c:v>
                </c:pt>
                <c:pt idx="17">
                  <c:v>15.4</c:v>
                </c:pt>
                <c:pt idx="18">
                  <c:v>13.9</c:v>
                </c:pt>
                <c:pt idx="19">
                  <c:v>11.5</c:v>
                </c:pt>
              </c:numCache>
            </c:numRef>
          </c:val>
          <c:smooth val="0"/>
        </c:ser>
        <c:ser>
          <c:idx val="1"/>
          <c:order val="3"/>
          <c:tx>
            <c:strRef>
              <c:f>'Māori Non-Māori'!$R$230</c:f>
              <c:strCache>
                <c:ptCount val="1"/>
                <c:pt idx="0">
                  <c:v>Firearms and explosives</c:v>
                </c:pt>
              </c:strCache>
            </c:strRef>
          </c:tx>
          <c:spPr>
            <a:ln w="22225" cap="rnd">
              <a:solidFill>
                <a:srgbClr val="A7D6E3"/>
              </a:solidFill>
              <a:round/>
            </a:ln>
            <a:effectLst/>
          </c:spPr>
          <c:marker>
            <c:symbol val="none"/>
          </c:marker>
          <c:cat>
            <c:numRef>
              <c:f>'Māori Non-Māori'!$T$225:$AM$225</c:f>
              <c:numCache>
                <c:formatCode>0</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Non-Māori'!$T$230:$AM$230</c:f>
              <c:numCache>
                <c:formatCode>0.0</c:formatCode>
                <c:ptCount val="20"/>
                <c:pt idx="0">
                  <c:v>9.6999999999999993</c:v>
                </c:pt>
                <c:pt idx="1">
                  <c:v>10.5</c:v>
                </c:pt>
                <c:pt idx="2">
                  <c:v>13.3</c:v>
                </c:pt>
                <c:pt idx="3">
                  <c:v>10.3</c:v>
                </c:pt>
                <c:pt idx="4">
                  <c:v>8.6999999999999993</c:v>
                </c:pt>
                <c:pt idx="5">
                  <c:v>11</c:v>
                </c:pt>
                <c:pt idx="6">
                  <c:v>11.5</c:v>
                </c:pt>
                <c:pt idx="7">
                  <c:v>8.6999999999999993</c:v>
                </c:pt>
                <c:pt idx="8">
                  <c:v>9.1</c:v>
                </c:pt>
                <c:pt idx="9">
                  <c:v>9</c:v>
                </c:pt>
                <c:pt idx="10">
                  <c:v>10.1</c:v>
                </c:pt>
                <c:pt idx="11">
                  <c:v>10.4</c:v>
                </c:pt>
                <c:pt idx="12">
                  <c:v>9</c:v>
                </c:pt>
                <c:pt idx="13">
                  <c:v>11.7</c:v>
                </c:pt>
                <c:pt idx="14">
                  <c:v>8.8000000000000007</c:v>
                </c:pt>
                <c:pt idx="15">
                  <c:v>8.9</c:v>
                </c:pt>
                <c:pt idx="16">
                  <c:v>9.6999999999999993</c:v>
                </c:pt>
                <c:pt idx="17">
                  <c:v>11.2</c:v>
                </c:pt>
                <c:pt idx="18">
                  <c:v>9.6</c:v>
                </c:pt>
                <c:pt idx="19">
                  <c:v>9.8000000000000007</c:v>
                </c:pt>
              </c:numCache>
            </c:numRef>
          </c:val>
          <c:smooth val="0"/>
        </c:ser>
        <c:dLbls>
          <c:showLegendKey val="0"/>
          <c:showVal val="0"/>
          <c:showCatName val="0"/>
          <c:showSerName val="0"/>
          <c:showPercent val="0"/>
          <c:showBubbleSize val="0"/>
        </c:dLbls>
        <c:smooth val="0"/>
        <c:axId val="800747096"/>
        <c:axId val="800749056"/>
      </c:lineChart>
      <c:catAx>
        <c:axId val="800747096"/>
        <c:scaling>
          <c:orientation val="minMax"/>
        </c:scaling>
        <c:delete val="0"/>
        <c:axPos val="b"/>
        <c:numFmt formatCode="0"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00749056"/>
        <c:crosses val="autoZero"/>
        <c:auto val="1"/>
        <c:lblAlgn val="ctr"/>
        <c:lblOffset val="100"/>
        <c:tickLblSkip val="3"/>
        <c:noMultiLvlLbl val="0"/>
      </c:catAx>
      <c:valAx>
        <c:axId val="800749056"/>
        <c:scaling>
          <c:orientation val="minMax"/>
          <c:max val="10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00747096"/>
        <c:crossesAt val="1"/>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265524444308498E-2"/>
          <c:y val="0.17706356270683557"/>
          <c:w val="0.89442918273702166"/>
          <c:h val="0.65425130682194144"/>
        </c:manualLayout>
      </c:layout>
      <c:barChart>
        <c:barDir val="col"/>
        <c:grouping val="clustered"/>
        <c:varyColors val="0"/>
        <c:ser>
          <c:idx val="0"/>
          <c:order val="0"/>
          <c:tx>
            <c:strRef>
              <c:f>'Quick facts'!$T$82</c:f>
              <c:strCache>
                <c:ptCount val="1"/>
                <c:pt idx="0">
                  <c:v>Male</c:v>
                </c:pt>
              </c:strCache>
            </c:strRef>
          </c:tx>
          <c:spPr>
            <a:solidFill>
              <a:schemeClr val="bg1">
                <a:lumMod val="50000"/>
              </a:schemeClr>
            </a:solidFill>
            <a:ln>
              <a:noFill/>
            </a:ln>
            <a:effectLst/>
          </c:spPr>
          <c:invertIfNegative val="0"/>
          <c:cat>
            <c:strRef>
              <c:f>'Quick facts'!$X$79:$AM$79</c:f>
              <c:strCache>
                <c:ptCount val="16"/>
                <c:pt idx="0">
                  <c:v>10–14</c:v>
                </c:pt>
                <c:pt idx="1">
                  <c:v>15–19</c:v>
                </c:pt>
                <c:pt idx="2">
                  <c:v>20–24</c:v>
                </c:pt>
                <c:pt idx="3">
                  <c:v>25–29</c:v>
                </c:pt>
                <c:pt idx="4">
                  <c:v>30–34</c:v>
                </c:pt>
                <c:pt idx="5">
                  <c:v>35–39</c:v>
                </c:pt>
                <c:pt idx="6">
                  <c:v>40–44</c:v>
                </c:pt>
                <c:pt idx="7">
                  <c:v>45–49</c:v>
                </c:pt>
                <c:pt idx="8">
                  <c:v>50–54</c:v>
                </c:pt>
                <c:pt idx="9">
                  <c:v>55–59</c:v>
                </c:pt>
                <c:pt idx="10">
                  <c:v>60–64</c:v>
                </c:pt>
                <c:pt idx="11">
                  <c:v>65–69</c:v>
                </c:pt>
                <c:pt idx="12">
                  <c:v>70–74</c:v>
                </c:pt>
                <c:pt idx="13">
                  <c:v>75–79</c:v>
                </c:pt>
                <c:pt idx="14">
                  <c:v>80–84</c:v>
                </c:pt>
                <c:pt idx="15">
                  <c:v>85+</c:v>
                </c:pt>
              </c:strCache>
            </c:strRef>
          </c:cat>
          <c:val>
            <c:numRef>
              <c:f>'Quick facts'!$X$82:$AM$82</c:f>
              <c:numCache>
                <c:formatCode>0.0</c:formatCode>
                <c:ptCount val="16"/>
                <c:pt idx="0">
                  <c:v>27.3</c:v>
                </c:pt>
                <c:pt idx="1">
                  <c:v>32.299999999999997</c:v>
                </c:pt>
                <c:pt idx="2">
                  <c:v>26.8</c:v>
                </c:pt>
                <c:pt idx="3">
                  <c:v>34.1</c:v>
                </c:pt>
                <c:pt idx="4">
                  <c:v>29.2</c:v>
                </c:pt>
                <c:pt idx="5">
                  <c:v>25.4</c:v>
                </c:pt>
                <c:pt idx="6">
                  <c:v>13.2</c:v>
                </c:pt>
                <c:pt idx="7">
                  <c:v>11.1</c:v>
                </c:pt>
                <c:pt idx="8">
                  <c:v>7</c:v>
                </c:pt>
                <c:pt idx="9">
                  <c:v>3.7</c:v>
                </c:pt>
                <c:pt idx="10">
                  <c:v>2.2000000000000002</c:v>
                </c:pt>
                <c:pt idx="11">
                  <c:v>0.9</c:v>
                </c:pt>
                <c:pt idx="12">
                  <c:v>0.4</c:v>
                </c:pt>
                <c:pt idx="13">
                  <c:v>0.6</c:v>
                </c:pt>
                <c:pt idx="14">
                  <c:v>0.4</c:v>
                </c:pt>
                <c:pt idx="15">
                  <c:v>0.1</c:v>
                </c:pt>
              </c:numCache>
            </c:numRef>
          </c:val>
        </c:ser>
        <c:ser>
          <c:idx val="1"/>
          <c:order val="1"/>
          <c:tx>
            <c:strRef>
              <c:f>'Quick facts'!$T$83</c:f>
              <c:strCache>
                <c:ptCount val="1"/>
                <c:pt idx="0">
                  <c:v>Female</c:v>
                </c:pt>
              </c:strCache>
            </c:strRef>
          </c:tx>
          <c:spPr>
            <a:solidFill>
              <a:schemeClr val="accent1"/>
            </a:solidFill>
            <a:ln>
              <a:noFill/>
            </a:ln>
            <a:effectLst/>
          </c:spPr>
          <c:invertIfNegative val="0"/>
          <c:cat>
            <c:strRef>
              <c:f>'Quick facts'!$X$79:$AM$79</c:f>
              <c:strCache>
                <c:ptCount val="16"/>
                <c:pt idx="0">
                  <c:v>10–14</c:v>
                </c:pt>
                <c:pt idx="1">
                  <c:v>15–19</c:v>
                </c:pt>
                <c:pt idx="2">
                  <c:v>20–24</c:v>
                </c:pt>
                <c:pt idx="3">
                  <c:v>25–29</c:v>
                </c:pt>
                <c:pt idx="4">
                  <c:v>30–34</c:v>
                </c:pt>
                <c:pt idx="5">
                  <c:v>35–39</c:v>
                </c:pt>
                <c:pt idx="6">
                  <c:v>40–44</c:v>
                </c:pt>
                <c:pt idx="7">
                  <c:v>45–49</c:v>
                </c:pt>
                <c:pt idx="8">
                  <c:v>50–54</c:v>
                </c:pt>
                <c:pt idx="9">
                  <c:v>55–59</c:v>
                </c:pt>
                <c:pt idx="10">
                  <c:v>60–64</c:v>
                </c:pt>
                <c:pt idx="11">
                  <c:v>65–69</c:v>
                </c:pt>
                <c:pt idx="12">
                  <c:v>70–74</c:v>
                </c:pt>
                <c:pt idx="13">
                  <c:v>75–79</c:v>
                </c:pt>
                <c:pt idx="14">
                  <c:v>80–84</c:v>
                </c:pt>
                <c:pt idx="15">
                  <c:v>85+</c:v>
                </c:pt>
              </c:strCache>
            </c:strRef>
          </c:cat>
          <c:val>
            <c:numRef>
              <c:f>'Quick facts'!$X$83:$AM$83</c:f>
              <c:numCache>
                <c:formatCode>0.0</c:formatCode>
                <c:ptCount val="16"/>
                <c:pt idx="0">
                  <c:v>28.6</c:v>
                </c:pt>
                <c:pt idx="1">
                  <c:v>52.1</c:v>
                </c:pt>
                <c:pt idx="2">
                  <c:v>31.5</c:v>
                </c:pt>
                <c:pt idx="3">
                  <c:v>15.1</c:v>
                </c:pt>
                <c:pt idx="4">
                  <c:v>13</c:v>
                </c:pt>
                <c:pt idx="5">
                  <c:v>10.1</c:v>
                </c:pt>
                <c:pt idx="6">
                  <c:v>5.7</c:v>
                </c:pt>
                <c:pt idx="7">
                  <c:v>4.2</c:v>
                </c:pt>
                <c:pt idx="8">
                  <c:v>3.6</c:v>
                </c:pt>
                <c:pt idx="9">
                  <c:v>1.3</c:v>
                </c:pt>
                <c:pt idx="10">
                  <c:v>1.6</c:v>
                </c:pt>
                <c:pt idx="11">
                  <c:v>0.7</c:v>
                </c:pt>
                <c:pt idx="12">
                  <c:v>0.2</c:v>
                </c:pt>
                <c:pt idx="13">
                  <c:v>0.2</c:v>
                </c:pt>
                <c:pt idx="14">
                  <c:v>0</c:v>
                </c:pt>
                <c:pt idx="15">
                  <c:v>0</c:v>
                </c:pt>
              </c:numCache>
            </c:numRef>
          </c:val>
        </c:ser>
        <c:dLbls>
          <c:showLegendKey val="0"/>
          <c:showVal val="0"/>
          <c:showCatName val="0"/>
          <c:showSerName val="0"/>
          <c:showPercent val="0"/>
          <c:showBubbleSize val="0"/>
        </c:dLbls>
        <c:gapWidth val="59"/>
        <c:overlap val="-10"/>
        <c:axId val="799499320"/>
        <c:axId val="799496184"/>
      </c:barChart>
      <c:catAx>
        <c:axId val="79949932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9496184"/>
        <c:crosses val="autoZero"/>
        <c:auto val="1"/>
        <c:lblAlgn val="ctr"/>
        <c:lblOffset val="100"/>
        <c:noMultiLvlLbl val="0"/>
      </c:catAx>
      <c:valAx>
        <c:axId val="799496184"/>
        <c:scaling>
          <c:orientation val="minMax"/>
          <c:max val="70"/>
        </c:scaling>
        <c:delete val="0"/>
        <c:axPos val="l"/>
        <c:numFmt formatCode="0.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9499320"/>
        <c:crosses val="autoZero"/>
        <c:crossBetween val="between"/>
      </c:valAx>
      <c:spPr>
        <a:noFill/>
        <a:ln>
          <a:noFill/>
        </a:ln>
        <a:effectLst/>
      </c:spPr>
    </c:plotArea>
    <c:legend>
      <c:legendPos val="b"/>
      <c:layout>
        <c:manualLayout>
          <c:xMode val="edge"/>
          <c:yMode val="edge"/>
          <c:x val="0.63611557989291856"/>
          <c:y val="2.1676702176933772E-3"/>
          <c:w val="0.27509555555555554"/>
          <c:h val="9.921944444444445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76154806491885"/>
          <c:y val="0.16592833333333334"/>
          <c:w val="0.83240812240812245"/>
          <c:h val="0.69697666666666669"/>
        </c:manualLayout>
      </c:layout>
      <c:lineChart>
        <c:grouping val="standard"/>
        <c:varyColors val="0"/>
        <c:ser>
          <c:idx val="0"/>
          <c:order val="0"/>
          <c:tx>
            <c:strRef>
              <c:f>'Māori Non-Māori'!$R$236</c:f>
              <c:strCache>
                <c:ptCount val="1"/>
                <c:pt idx="0">
                  <c:v>Hanging, strangulation and suffocation</c:v>
                </c:pt>
              </c:strCache>
            </c:strRef>
          </c:tx>
          <c:spPr>
            <a:ln w="22225" cap="rnd">
              <a:solidFill>
                <a:schemeClr val="tx1"/>
              </a:solidFill>
              <a:round/>
            </a:ln>
            <a:effectLst/>
          </c:spPr>
          <c:marker>
            <c:symbol val="none"/>
          </c:marker>
          <c:cat>
            <c:numRef>
              <c:f>'Māori Non-Māori'!$T$225:$AM$225</c:f>
              <c:numCache>
                <c:formatCode>0</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Non-Māori'!$T$236:$AM$236</c:f>
              <c:numCache>
                <c:formatCode>0.0</c:formatCode>
                <c:ptCount val="20"/>
                <c:pt idx="0">
                  <c:v>38.799999999999997</c:v>
                </c:pt>
                <c:pt idx="1">
                  <c:v>35.700000000000003</c:v>
                </c:pt>
                <c:pt idx="2">
                  <c:v>36.9</c:v>
                </c:pt>
                <c:pt idx="3">
                  <c:v>42.3</c:v>
                </c:pt>
                <c:pt idx="4">
                  <c:v>43.6</c:v>
                </c:pt>
                <c:pt idx="5">
                  <c:v>43.1</c:v>
                </c:pt>
                <c:pt idx="6">
                  <c:v>41.2</c:v>
                </c:pt>
                <c:pt idx="7">
                  <c:v>43.1</c:v>
                </c:pt>
                <c:pt idx="8">
                  <c:v>47.2</c:v>
                </c:pt>
                <c:pt idx="9">
                  <c:v>44.9</c:v>
                </c:pt>
                <c:pt idx="10">
                  <c:v>49.7</c:v>
                </c:pt>
                <c:pt idx="11">
                  <c:v>57</c:v>
                </c:pt>
                <c:pt idx="12">
                  <c:v>50.2</c:v>
                </c:pt>
                <c:pt idx="13">
                  <c:v>56.5</c:v>
                </c:pt>
                <c:pt idx="14">
                  <c:v>55.9</c:v>
                </c:pt>
                <c:pt idx="15">
                  <c:v>56.4</c:v>
                </c:pt>
                <c:pt idx="16">
                  <c:v>57</c:v>
                </c:pt>
                <c:pt idx="17">
                  <c:v>53</c:v>
                </c:pt>
                <c:pt idx="18">
                  <c:v>59</c:v>
                </c:pt>
                <c:pt idx="19">
                  <c:v>57.2</c:v>
                </c:pt>
              </c:numCache>
            </c:numRef>
          </c:val>
          <c:smooth val="0"/>
        </c:ser>
        <c:ser>
          <c:idx val="5"/>
          <c:order val="1"/>
          <c:tx>
            <c:strRef>
              <c:f>'Māori Non-Māori'!$R$237</c:f>
              <c:strCache>
                <c:ptCount val="1"/>
                <c:pt idx="0">
                  <c:v>Poisoning by gases and vapours</c:v>
                </c:pt>
              </c:strCache>
            </c:strRef>
          </c:tx>
          <c:spPr>
            <a:ln w="22225" cap="rnd">
              <a:solidFill>
                <a:schemeClr val="bg1">
                  <a:lumMod val="50000"/>
                </a:schemeClr>
              </a:solidFill>
              <a:round/>
            </a:ln>
            <a:effectLst/>
          </c:spPr>
          <c:marker>
            <c:symbol val="none"/>
          </c:marker>
          <c:cat>
            <c:numRef>
              <c:f>'Māori Non-Māori'!$T$225:$AM$225</c:f>
              <c:numCache>
                <c:formatCode>0</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Non-Māori'!$T$237:$AM$237</c:f>
              <c:numCache>
                <c:formatCode>0.0</c:formatCode>
                <c:ptCount val="20"/>
                <c:pt idx="0">
                  <c:v>32.9</c:v>
                </c:pt>
                <c:pt idx="1">
                  <c:v>35.700000000000003</c:v>
                </c:pt>
                <c:pt idx="2">
                  <c:v>28.5</c:v>
                </c:pt>
                <c:pt idx="3">
                  <c:v>27.9</c:v>
                </c:pt>
                <c:pt idx="4">
                  <c:v>27.4</c:v>
                </c:pt>
                <c:pt idx="5">
                  <c:v>24.7</c:v>
                </c:pt>
                <c:pt idx="6">
                  <c:v>24.3</c:v>
                </c:pt>
                <c:pt idx="7">
                  <c:v>22.7</c:v>
                </c:pt>
                <c:pt idx="8">
                  <c:v>26.4</c:v>
                </c:pt>
                <c:pt idx="9">
                  <c:v>25.6</c:v>
                </c:pt>
                <c:pt idx="10">
                  <c:v>20.5</c:v>
                </c:pt>
                <c:pt idx="11">
                  <c:v>15</c:v>
                </c:pt>
                <c:pt idx="12">
                  <c:v>19.5</c:v>
                </c:pt>
                <c:pt idx="13">
                  <c:v>11</c:v>
                </c:pt>
                <c:pt idx="14">
                  <c:v>14.9</c:v>
                </c:pt>
                <c:pt idx="15">
                  <c:v>12.8</c:v>
                </c:pt>
                <c:pt idx="16">
                  <c:v>10.8</c:v>
                </c:pt>
                <c:pt idx="17">
                  <c:v>11.7</c:v>
                </c:pt>
                <c:pt idx="18">
                  <c:v>9.6</c:v>
                </c:pt>
                <c:pt idx="19">
                  <c:v>11.1</c:v>
                </c:pt>
              </c:numCache>
            </c:numRef>
          </c:val>
          <c:smooth val="0"/>
        </c:ser>
        <c:ser>
          <c:idx val="6"/>
          <c:order val="2"/>
          <c:tx>
            <c:strRef>
              <c:f>'Māori Non-Māori'!$R$238</c:f>
              <c:strCache>
                <c:ptCount val="1"/>
                <c:pt idx="0">
                  <c:v>Poisoning by solids and liquids</c:v>
                </c:pt>
              </c:strCache>
            </c:strRef>
          </c:tx>
          <c:spPr>
            <a:ln w="22225" cap="rnd">
              <a:solidFill>
                <a:srgbClr val="4BACC6"/>
              </a:solidFill>
              <a:round/>
            </a:ln>
            <a:effectLst/>
          </c:spPr>
          <c:marker>
            <c:symbol val="none"/>
          </c:marker>
          <c:cat>
            <c:numRef>
              <c:f>'Māori Non-Māori'!$T$225:$AM$225</c:f>
              <c:numCache>
                <c:formatCode>0</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Non-Māori'!$T$238:$AM$238</c:f>
              <c:numCache>
                <c:formatCode>0.0</c:formatCode>
                <c:ptCount val="20"/>
                <c:pt idx="0">
                  <c:v>7.3</c:v>
                </c:pt>
                <c:pt idx="1">
                  <c:v>5.5</c:v>
                </c:pt>
                <c:pt idx="2">
                  <c:v>7.8</c:v>
                </c:pt>
                <c:pt idx="3">
                  <c:v>5.5</c:v>
                </c:pt>
                <c:pt idx="4">
                  <c:v>5.5</c:v>
                </c:pt>
                <c:pt idx="5">
                  <c:v>7.8</c:v>
                </c:pt>
                <c:pt idx="6">
                  <c:v>8.1</c:v>
                </c:pt>
                <c:pt idx="7">
                  <c:v>9.9</c:v>
                </c:pt>
                <c:pt idx="8">
                  <c:v>6.4</c:v>
                </c:pt>
                <c:pt idx="9">
                  <c:v>8.5</c:v>
                </c:pt>
                <c:pt idx="10">
                  <c:v>6.7</c:v>
                </c:pt>
                <c:pt idx="11">
                  <c:v>5.2</c:v>
                </c:pt>
                <c:pt idx="12">
                  <c:v>6.2</c:v>
                </c:pt>
                <c:pt idx="13">
                  <c:v>8.9</c:v>
                </c:pt>
                <c:pt idx="14">
                  <c:v>7.6</c:v>
                </c:pt>
                <c:pt idx="15">
                  <c:v>9.8000000000000007</c:v>
                </c:pt>
                <c:pt idx="16">
                  <c:v>8.6999999999999993</c:v>
                </c:pt>
                <c:pt idx="17">
                  <c:v>10</c:v>
                </c:pt>
                <c:pt idx="18">
                  <c:v>9</c:v>
                </c:pt>
                <c:pt idx="19">
                  <c:v>5.2</c:v>
                </c:pt>
              </c:numCache>
            </c:numRef>
          </c:val>
          <c:smooth val="0"/>
        </c:ser>
        <c:ser>
          <c:idx val="1"/>
          <c:order val="3"/>
          <c:tx>
            <c:strRef>
              <c:f>'Māori Non-Māori'!$R$239</c:f>
              <c:strCache>
                <c:ptCount val="1"/>
                <c:pt idx="0">
                  <c:v>Firearms and explosives</c:v>
                </c:pt>
              </c:strCache>
            </c:strRef>
          </c:tx>
          <c:spPr>
            <a:ln w="22225" cap="rnd">
              <a:solidFill>
                <a:srgbClr val="A7D6E3"/>
              </a:solidFill>
              <a:round/>
            </a:ln>
            <a:effectLst/>
          </c:spPr>
          <c:marker>
            <c:symbol val="none"/>
          </c:marker>
          <c:cat>
            <c:numRef>
              <c:f>'Māori Non-Māori'!$T$225:$AM$225</c:f>
              <c:numCache>
                <c:formatCode>0</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Non-Māori'!$T$239:$AM$239</c:f>
              <c:numCache>
                <c:formatCode>0.0</c:formatCode>
                <c:ptCount val="20"/>
                <c:pt idx="0">
                  <c:v>12.1</c:v>
                </c:pt>
                <c:pt idx="1">
                  <c:v>12.5</c:v>
                </c:pt>
                <c:pt idx="2">
                  <c:v>17</c:v>
                </c:pt>
                <c:pt idx="3">
                  <c:v>12.6</c:v>
                </c:pt>
                <c:pt idx="4">
                  <c:v>10.1</c:v>
                </c:pt>
                <c:pt idx="5">
                  <c:v>13.9</c:v>
                </c:pt>
                <c:pt idx="6">
                  <c:v>14.2</c:v>
                </c:pt>
                <c:pt idx="7">
                  <c:v>10.9</c:v>
                </c:pt>
                <c:pt idx="8">
                  <c:v>11</c:v>
                </c:pt>
                <c:pt idx="9">
                  <c:v>11.5</c:v>
                </c:pt>
                <c:pt idx="10">
                  <c:v>11.5</c:v>
                </c:pt>
                <c:pt idx="11">
                  <c:v>12.4</c:v>
                </c:pt>
                <c:pt idx="12">
                  <c:v>11.8</c:v>
                </c:pt>
                <c:pt idx="13">
                  <c:v>14.9</c:v>
                </c:pt>
                <c:pt idx="14">
                  <c:v>11.7</c:v>
                </c:pt>
                <c:pt idx="15">
                  <c:v>10.8</c:v>
                </c:pt>
                <c:pt idx="16">
                  <c:v>12.4</c:v>
                </c:pt>
                <c:pt idx="17">
                  <c:v>15</c:v>
                </c:pt>
                <c:pt idx="18">
                  <c:v>11.9</c:v>
                </c:pt>
                <c:pt idx="19">
                  <c:v>12.1</c:v>
                </c:pt>
              </c:numCache>
            </c:numRef>
          </c:val>
          <c:smooth val="0"/>
        </c:ser>
        <c:dLbls>
          <c:showLegendKey val="0"/>
          <c:showVal val="0"/>
          <c:showCatName val="0"/>
          <c:showSerName val="0"/>
          <c:showPercent val="0"/>
          <c:showBubbleSize val="0"/>
        </c:dLbls>
        <c:smooth val="0"/>
        <c:axId val="800749448"/>
        <c:axId val="800750624"/>
      </c:lineChart>
      <c:catAx>
        <c:axId val="800749448"/>
        <c:scaling>
          <c:orientation val="minMax"/>
        </c:scaling>
        <c:delete val="0"/>
        <c:axPos val="b"/>
        <c:numFmt formatCode="0"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00750624"/>
        <c:crosses val="autoZero"/>
        <c:auto val="1"/>
        <c:lblAlgn val="ctr"/>
        <c:lblOffset val="100"/>
        <c:tickLblSkip val="3"/>
        <c:noMultiLvlLbl val="0"/>
      </c:catAx>
      <c:valAx>
        <c:axId val="800750624"/>
        <c:scaling>
          <c:orientation val="minMax"/>
          <c:max val="10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00749448"/>
        <c:crossesAt val="1"/>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76154806491885"/>
          <c:y val="0.16592833333333334"/>
          <c:w val="0.83240812240812245"/>
          <c:h val="0.69697666666666669"/>
        </c:manualLayout>
      </c:layout>
      <c:lineChart>
        <c:grouping val="standard"/>
        <c:varyColors val="0"/>
        <c:ser>
          <c:idx val="0"/>
          <c:order val="0"/>
          <c:tx>
            <c:strRef>
              <c:f>'Māori Non-Māori'!$R$245</c:f>
              <c:strCache>
                <c:ptCount val="1"/>
                <c:pt idx="0">
                  <c:v>Hanging, strangulation and suffocation</c:v>
                </c:pt>
              </c:strCache>
            </c:strRef>
          </c:tx>
          <c:spPr>
            <a:ln w="22225" cap="rnd">
              <a:solidFill>
                <a:schemeClr val="tx1"/>
              </a:solidFill>
              <a:round/>
            </a:ln>
            <a:effectLst/>
          </c:spPr>
          <c:marker>
            <c:symbol val="none"/>
          </c:marker>
          <c:cat>
            <c:numRef>
              <c:f>'Māori Non-Māori'!$T$225:$AM$225</c:f>
              <c:numCache>
                <c:formatCode>0</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Non-Māori'!$T$245:$AM$245</c:f>
              <c:numCache>
                <c:formatCode>0.0</c:formatCode>
                <c:ptCount val="20"/>
                <c:pt idx="0">
                  <c:v>29.9</c:v>
                </c:pt>
                <c:pt idx="1">
                  <c:v>34.700000000000003</c:v>
                </c:pt>
                <c:pt idx="2">
                  <c:v>40.700000000000003</c:v>
                </c:pt>
                <c:pt idx="3">
                  <c:v>40.200000000000003</c:v>
                </c:pt>
                <c:pt idx="4">
                  <c:v>30.6</c:v>
                </c:pt>
                <c:pt idx="5">
                  <c:v>37.1</c:v>
                </c:pt>
                <c:pt idx="6">
                  <c:v>41.5</c:v>
                </c:pt>
                <c:pt idx="7">
                  <c:v>38.5</c:v>
                </c:pt>
                <c:pt idx="8">
                  <c:v>44</c:v>
                </c:pt>
                <c:pt idx="9">
                  <c:v>38.1</c:v>
                </c:pt>
                <c:pt idx="10">
                  <c:v>48.1</c:v>
                </c:pt>
                <c:pt idx="11">
                  <c:v>39.200000000000003</c:v>
                </c:pt>
                <c:pt idx="12">
                  <c:v>48.1</c:v>
                </c:pt>
                <c:pt idx="13">
                  <c:v>45.2</c:v>
                </c:pt>
                <c:pt idx="14">
                  <c:v>50.4</c:v>
                </c:pt>
                <c:pt idx="15">
                  <c:v>45.9</c:v>
                </c:pt>
                <c:pt idx="16">
                  <c:v>49.1</c:v>
                </c:pt>
                <c:pt idx="17">
                  <c:v>45.9</c:v>
                </c:pt>
                <c:pt idx="18">
                  <c:v>46.7</c:v>
                </c:pt>
                <c:pt idx="19">
                  <c:v>46.5</c:v>
                </c:pt>
              </c:numCache>
            </c:numRef>
          </c:val>
          <c:smooth val="0"/>
        </c:ser>
        <c:ser>
          <c:idx val="5"/>
          <c:order val="1"/>
          <c:tx>
            <c:strRef>
              <c:f>'Māori Non-Māori'!$R$246</c:f>
              <c:strCache>
                <c:ptCount val="1"/>
                <c:pt idx="0">
                  <c:v>Poisoning by gases and vapours</c:v>
                </c:pt>
              </c:strCache>
            </c:strRef>
          </c:tx>
          <c:spPr>
            <a:ln w="22225" cap="rnd">
              <a:solidFill>
                <a:schemeClr val="bg1">
                  <a:lumMod val="50000"/>
                </a:schemeClr>
              </a:solidFill>
              <a:round/>
            </a:ln>
            <a:effectLst/>
          </c:spPr>
          <c:marker>
            <c:symbol val="none"/>
          </c:marker>
          <c:cat>
            <c:numRef>
              <c:f>'Māori Non-Māori'!$T$225:$AM$225</c:f>
              <c:numCache>
                <c:formatCode>0</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Non-Māori'!$T$246:$AM$246</c:f>
              <c:numCache>
                <c:formatCode>0.0</c:formatCode>
                <c:ptCount val="20"/>
                <c:pt idx="0">
                  <c:v>34.5</c:v>
                </c:pt>
                <c:pt idx="1">
                  <c:v>21.1</c:v>
                </c:pt>
                <c:pt idx="2">
                  <c:v>21.3</c:v>
                </c:pt>
                <c:pt idx="3">
                  <c:v>18.8</c:v>
                </c:pt>
                <c:pt idx="4">
                  <c:v>30.6</c:v>
                </c:pt>
                <c:pt idx="5">
                  <c:v>18.600000000000001</c:v>
                </c:pt>
                <c:pt idx="6">
                  <c:v>20.2</c:v>
                </c:pt>
                <c:pt idx="7">
                  <c:v>21.3</c:v>
                </c:pt>
                <c:pt idx="8">
                  <c:v>15.5</c:v>
                </c:pt>
                <c:pt idx="9">
                  <c:v>20</c:v>
                </c:pt>
                <c:pt idx="10">
                  <c:v>15.4</c:v>
                </c:pt>
                <c:pt idx="11">
                  <c:v>20.6</c:v>
                </c:pt>
                <c:pt idx="12">
                  <c:v>9.3000000000000007</c:v>
                </c:pt>
                <c:pt idx="13">
                  <c:v>10.8</c:v>
                </c:pt>
                <c:pt idx="14">
                  <c:v>8.5</c:v>
                </c:pt>
                <c:pt idx="15">
                  <c:v>5.9</c:v>
                </c:pt>
                <c:pt idx="16">
                  <c:v>5.6</c:v>
                </c:pt>
                <c:pt idx="17">
                  <c:v>4.5999999999999996</c:v>
                </c:pt>
                <c:pt idx="18">
                  <c:v>8.6</c:v>
                </c:pt>
                <c:pt idx="19">
                  <c:v>7.9</c:v>
                </c:pt>
              </c:numCache>
            </c:numRef>
          </c:val>
          <c:smooth val="0"/>
        </c:ser>
        <c:ser>
          <c:idx val="6"/>
          <c:order val="2"/>
          <c:tx>
            <c:strRef>
              <c:f>'Māori Non-Māori'!$R$247</c:f>
              <c:strCache>
                <c:ptCount val="1"/>
                <c:pt idx="0">
                  <c:v>Poisoning by solids and liquids</c:v>
                </c:pt>
              </c:strCache>
            </c:strRef>
          </c:tx>
          <c:spPr>
            <a:ln w="22225" cap="rnd">
              <a:solidFill>
                <a:srgbClr val="4BACC6"/>
              </a:solidFill>
              <a:round/>
            </a:ln>
            <a:effectLst/>
          </c:spPr>
          <c:marker>
            <c:symbol val="none"/>
          </c:marker>
          <c:cat>
            <c:numRef>
              <c:f>'Māori Non-Māori'!$T$225:$AM$225</c:f>
              <c:numCache>
                <c:formatCode>0</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Non-Māori'!$T$247:$AM$247</c:f>
              <c:numCache>
                <c:formatCode>0.0</c:formatCode>
                <c:ptCount val="20"/>
                <c:pt idx="0">
                  <c:v>25.3</c:v>
                </c:pt>
                <c:pt idx="1">
                  <c:v>29.5</c:v>
                </c:pt>
                <c:pt idx="2">
                  <c:v>24.1</c:v>
                </c:pt>
                <c:pt idx="3">
                  <c:v>25.9</c:v>
                </c:pt>
                <c:pt idx="4">
                  <c:v>20.8</c:v>
                </c:pt>
                <c:pt idx="5">
                  <c:v>24.7</c:v>
                </c:pt>
                <c:pt idx="6">
                  <c:v>19.100000000000001</c:v>
                </c:pt>
                <c:pt idx="7">
                  <c:v>21.3</c:v>
                </c:pt>
                <c:pt idx="8">
                  <c:v>25</c:v>
                </c:pt>
                <c:pt idx="9">
                  <c:v>21</c:v>
                </c:pt>
                <c:pt idx="10">
                  <c:v>22.1</c:v>
                </c:pt>
                <c:pt idx="11">
                  <c:v>23.7</c:v>
                </c:pt>
                <c:pt idx="12">
                  <c:v>29.6</c:v>
                </c:pt>
                <c:pt idx="13">
                  <c:v>26.9</c:v>
                </c:pt>
                <c:pt idx="14">
                  <c:v>27.4</c:v>
                </c:pt>
                <c:pt idx="15">
                  <c:v>28.2</c:v>
                </c:pt>
                <c:pt idx="16">
                  <c:v>31.5</c:v>
                </c:pt>
                <c:pt idx="17">
                  <c:v>30.3</c:v>
                </c:pt>
                <c:pt idx="18">
                  <c:v>28.6</c:v>
                </c:pt>
                <c:pt idx="19">
                  <c:v>30.7</c:v>
                </c:pt>
              </c:numCache>
            </c:numRef>
          </c:val>
          <c:smooth val="0"/>
        </c:ser>
        <c:ser>
          <c:idx val="1"/>
          <c:order val="3"/>
          <c:tx>
            <c:strRef>
              <c:f>'Māori Non-Māori'!$R$248</c:f>
              <c:strCache>
                <c:ptCount val="1"/>
                <c:pt idx="0">
                  <c:v>Firearms and explosives</c:v>
                </c:pt>
              </c:strCache>
            </c:strRef>
          </c:tx>
          <c:spPr>
            <a:ln w="22225" cap="rnd">
              <a:solidFill>
                <a:srgbClr val="A7D6E3"/>
              </a:solidFill>
              <a:round/>
            </a:ln>
            <a:effectLst/>
          </c:spPr>
          <c:marker>
            <c:symbol val="none"/>
          </c:marker>
          <c:cat>
            <c:numRef>
              <c:f>'Māori Non-Māori'!$T$225:$AM$225</c:f>
              <c:numCache>
                <c:formatCode>0</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Non-Māori'!$T$248:$AM$248</c:f>
              <c:numCache>
                <c:formatCode>0.0</c:formatCode>
                <c:ptCount val="20"/>
                <c:pt idx="0">
                  <c:v>0</c:v>
                </c:pt>
                <c:pt idx="1">
                  <c:v>3.2</c:v>
                </c:pt>
                <c:pt idx="2">
                  <c:v>0.9</c:v>
                </c:pt>
                <c:pt idx="3">
                  <c:v>3.6</c:v>
                </c:pt>
                <c:pt idx="4">
                  <c:v>2.8</c:v>
                </c:pt>
                <c:pt idx="5">
                  <c:v>1</c:v>
                </c:pt>
                <c:pt idx="6">
                  <c:v>3.2</c:v>
                </c:pt>
                <c:pt idx="7">
                  <c:v>3.3</c:v>
                </c:pt>
                <c:pt idx="8">
                  <c:v>2.4</c:v>
                </c:pt>
                <c:pt idx="9">
                  <c:v>1.9</c:v>
                </c:pt>
                <c:pt idx="10">
                  <c:v>5.8</c:v>
                </c:pt>
                <c:pt idx="11">
                  <c:v>4.0999999999999996</c:v>
                </c:pt>
                <c:pt idx="12">
                  <c:v>0.9</c:v>
                </c:pt>
                <c:pt idx="13">
                  <c:v>0</c:v>
                </c:pt>
                <c:pt idx="14">
                  <c:v>0.9</c:v>
                </c:pt>
                <c:pt idx="15">
                  <c:v>2.4</c:v>
                </c:pt>
                <c:pt idx="16">
                  <c:v>1.9</c:v>
                </c:pt>
                <c:pt idx="17">
                  <c:v>0.9</c:v>
                </c:pt>
                <c:pt idx="18">
                  <c:v>2.9</c:v>
                </c:pt>
                <c:pt idx="19">
                  <c:v>3</c:v>
                </c:pt>
              </c:numCache>
            </c:numRef>
          </c:val>
          <c:smooth val="0"/>
        </c:ser>
        <c:dLbls>
          <c:showLegendKey val="0"/>
          <c:showVal val="0"/>
          <c:showCatName val="0"/>
          <c:showSerName val="0"/>
          <c:showPercent val="0"/>
          <c:showBubbleSize val="0"/>
        </c:dLbls>
        <c:smooth val="0"/>
        <c:axId val="800749840"/>
        <c:axId val="800750232"/>
      </c:lineChart>
      <c:catAx>
        <c:axId val="800749840"/>
        <c:scaling>
          <c:orientation val="minMax"/>
        </c:scaling>
        <c:delete val="0"/>
        <c:axPos val="b"/>
        <c:numFmt formatCode="0"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00750232"/>
        <c:crosses val="autoZero"/>
        <c:auto val="1"/>
        <c:lblAlgn val="ctr"/>
        <c:lblOffset val="100"/>
        <c:tickLblSkip val="3"/>
        <c:noMultiLvlLbl val="0"/>
      </c:catAx>
      <c:valAx>
        <c:axId val="800750232"/>
        <c:scaling>
          <c:orientation val="minMax"/>
          <c:max val="10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00749840"/>
        <c:crossesAt val="1"/>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787369171446162"/>
          <c:y val="0.15843170234454637"/>
          <c:w val="0.84646155341693397"/>
          <c:h val="0.73165698267074419"/>
        </c:manualLayout>
      </c:layout>
      <c:lineChart>
        <c:grouping val="standard"/>
        <c:varyColors val="0"/>
        <c:ser>
          <c:idx val="2"/>
          <c:order val="0"/>
          <c:tx>
            <c:v>Non-Māori</c:v>
          </c:tx>
          <c:spPr>
            <a:ln w="22225" cap="rnd">
              <a:solidFill>
                <a:schemeClr val="accent1"/>
              </a:solidFill>
              <a:round/>
            </a:ln>
            <a:effectLst/>
          </c:spPr>
          <c:marker>
            <c:symbol val="none"/>
          </c:marker>
          <c:trendline>
            <c:spPr>
              <a:ln w="22225" cap="rnd">
                <a:solidFill>
                  <a:srgbClr val="5B9BD5"/>
                </a:solidFill>
                <a:prstDash val="sysDot"/>
              </a:ln>
              <a:effectLst/>
            </c:spPr>
            <c:trendlineType val="movingAvg"/>
            <c:period val="5"/>
            <c:dispRSqr val="0"/>
            <c:dispEq val="0"/>
          </c:trendline>
          <c:cat>
            <c:numRef>
              <c:f>'Māori Non-Māori'!$S$10:$AL$10</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Non-Māori'!$S$29:$AL$29</c:f>
              <c:numCache>
                <c:formatCode>0.0</c:formatCode>
                <c:ptCount val="20"/>
                <c:pt idx="0">
                  <c:v>5.2986962640135697</c:v>
                </c:pt>
                <c:pt idx="1">
                  <c:v>5.6892468332060497</c:v>
                </c:pt>
                <c:pt idx="2">
                  <c:v>6.1878498162513402</c:v>
                </c:pt>
                <c:pt idx="3">
                  <c:v>6.4624543900880198</c:v>
                </c:pt>
                <c:pt idx="4">
                  <c:v>4.1381655103116204</c:v>
                </c:pt>
                <c:pt idx="5">
                  <c:v>5.3611446727339196</c:v>
                </c:pt>
                <c:pt idx="6">
                  <c:v>5.26343516708328</c:v>
                </c:pt>
                <c:pt idx="7">
                  <c:v>6.4039999122093398</c:v>
                </c:pt>
                <c:pt idx="8">
                  <c:v>4.5051607691466504</c:v>
                </c:pt>
                <c:pt idx="9">
                  <c:v>5.2590011370533496</c:v>
                </c:pt>
                <c:pt idx="10">
                  <c:v>5.2009651380039701</c:v>
                </c:pt>
                <c:pt idx="11">
                  <c:v>4.6012421251756503</c:v>
                </c:pt>
                <c:pt idx="12">
                  <c:v>5.4589151940525902</c:v>
                </c:pt>
                <c:pt idx="13">
                  <c:v>4.4437437379171101</c:v>
                </c:pt>
                <c:pt idx="14">
                  <c:v>5.9134650848101904</c:v>
                </c:pt>
                <c:pt idx="15">
                  <c:v>4.0833090975863904</c:v>
                </c:pt>
                <c:pt idx="16">
                  <c:v>5.1528651892542001</c:v>
                </c:pt>
                <c:pt idx="17">
                  <c:v>5.2765407142672398</c:v>
                </c:pt>
                <c:pt idx="18">
                  <c:v>4.9008932000909704</c:v>
                </c:pt>
                <c:pt idx="19">
                  <c:v>4.6330361677979601</c:v>
                </c:pt>
              </c:numCache>
            </c:numRef>
          </c:val>
          <c:smooth val="0"/>
        </c:ser>
        <c:ser>
          <c:idx val="3"/>
          <c:order val="1"/>
          <c:tx>
            <c:v>Māori</c:v>
          </c:tx>
          <c:spPr>
            <a:ln w="22225" cap="rnd">
              <a:solidFill>
                <a:schemeClr val="bg1">
                  <a:lumMod val="50000"/>
                </a:schemeClr>
              </a:solidFill>
              <a:round/>
            </a:ln>
            <a:effectLst/>
          </c:spPr>
          <c:marker>
            <c:symbol val="none"/>
          </c:marker>
          <c:trendline>
            <c:spPr>
              <a:ln w="19050" cap="rnd">
                <a:solidFill>
                  <a:schemeClr val="bg1">
                    <a:lumMod val="50000"/>
                  </a:schemeClr>
                </a:solidFill>
                <a:prstDash val="sysDot"/>
              </a:ln>
              <a:effectLst/>
            </c:spPr>
            <c:trendlineType val="movingAvg"/>
            <c:period val="5"/>
            <c:dispRSqr val="0"/>
            <c:dispEq val="0"/>
          </c:trendline>
          <c:cat>
            <c:numRef>
              <c:f>'Māori Non-Māori'!$S$10:$AL$10</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Non-Māori'!$S$18:$AL$18</c:f>
              <c:numCache>
                <c:formatCode>0.0</c:formatCode>
                <c:ptCount val="20"/>
                <c:pt idx="0">
                  <c:v>9.0066061781584406</c:v>
                </c:pt>
                <c:pt idx="1">
                  <c:v>9.7792096693832598</c:v>
                </c:pt>
                <c:pt idx="2">
                  <c:v>8.5337610468083493</c:v>
                </c:pt>
                <c:pt idx="3">
                  <c:v>6.5325578987774104</c:v>
                </c:pt>
                <c:pt idx="4">
                  <c:v>3.9576666859530998</c:v>
                </c:pt>
                <c:pt idx="5">
                  <c:v>6.6998382352426704</c:v>
                </c:pt>
                <c:pt idx="6">
                  <c:v>6.4896231886298903</c:v>
                </c:pt>
                <c:pt idx="7">
                  <c:v>6.4102244752664204</c:v>
                </c:pt>
                <c:pt idx="8">
                  <c:v>8.6787187808636208</c:v>
                </c:pt>
                <c:pt idx="9">
                  <c:v>8.7267571514896503</c:v>
                </c:pt>
                <c:pt idx="10">
                  <c:v>10.6723123955334</c:v>
                </c:pt>
                <c:pt idx="11">
                  <c:v>7.2545885050603403</c:v>
                </c:pt>
                <c:pt idx="12">
                  <c:v>8.8796426541518301</c:v>
                </c:pt>
                <c:pt idx="13">
                  <c:v>7.3206868063360204</c:v>
                </c:pt>
                <c:pt idx="14">
                  <c:v>8.74468389486562</c:v>
                </c:pt>
                <c:pt idx="15">
                  <c:v>9.3323745071337907</c:v>
                </c:pt>
                <c:pt idx="16">
                  <c:v>10.376266848783301</c:v>
                </c:pt>
                <c:pt idx="17">
                  <c:v>11.129535195000299</c:v>
                </c:pt>
                <c:pt idx="18">
                  <c:v>7.4271825890909202</c:v>
                </c:pt>
                <c:pt idx="19">
                  <c:v>11.481074678715</c:v>
                </c:pt>
              </c:numCache>
            </c:numRef>
          </c:val>
          <c:smooth val="0"/>
        </c:ser>
        <c:dLbls>
          <c:showLegendKey val="0"/>
          <c:showVal val="0"/>
          <c:showCatName val="0"/>
          <c:showSerName val="0"/>
          <c:showPercent val="0"/>
          <c:showBubbleSize val="0"/>
        </c:dLbls>
        <c:smooth val="0"/>
        <c:axId val="675693064"/>
        <c:axId val="675691104"/>
      </c:lineChart>
      <c:catAx>
        <c:axId val="675693064"/>
        <c:scaling>
          <c:orientation val="minMax"/>
        </c:scaling>
        <c:delete val="0"/>
        <c:axPos val="b"/>
        <c:numFmt formatCode="General"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5691104"/>
        <c:crossesAt val="0"/>
        <c:auto val="1"/>
        <c:lblAlgn val="ctr"/>
        <c:lblOffset val="100"/>
        <c:tickLblSkip val="3"/>
        <c:noMultiLvlLbl val="0"/>
      </c:catAx>
      <c:valAx>
        <c:axId val="675691104"/>
        <c:scaling>
          <c:orientation val="minMax"/>
          <c:max val="4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5693064"/>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4"/>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587615692775247E-2"/>
          <c:y val="0.19635015290519875"/>
          <c:w val="0.84795789507465436"/>
          <c:h val="0.69373853211009173"/>
        </c:manualLayout>
      </c:layout>
      <c:lineChart>
        <c:grouping val="standard"/>
        <c:varyColors val="0"/>
        <c:ser>
          <c:idx val="0"/>
          <c:order val="0"/>
          <c:tx>
            <c:v>Māori female</c:v>
          </c:tx>
          <c:spPr>
            <a:ln w="22225" cap="rnd">
              <a:solidFill>
                <a:schemeClr val="bg1">
                  <a:lumMod val="65000"/>
                </a:schemeClr>
              </a:solidFill>
              <a:round/>
            </a:ln>
            <a:effectLst/>
          </c:spPr>
          <c:marker>
            <c:symbol val="none"/>
          </c:marker>
          <c:trendline>
            <c:spPr>
              <a:ln w="19050" cap="rnd">
                <a:solidFill>
                  <a:schemeClr val="accent3"/>
                </a:solidFill>
                <a:prstDash val="sysDot"/>
              </a:ln>
              <a:effectLst/>
            </c:spPr>
            <c:trendlineType val="movingAvg"/>
            <c:period val="5"/>
            <c:dispRSqr val="0"/>
            <c:dispEq val="0"/>
          </c:trendline>
          <c:cat>
            <c:numRef>
              <c:f>'Māori Non-Māori'!$S$47:$AL$47</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Non-Māori'!$S$74:$AL$74</c:f>
              <c:numCache>
                <c:formatCode>0.0</c:formatCode>
                <c:ptCount val="20"/>
                <c:pt idx="0">
                  <c:v>16.997167138810202</c:v>
                </c:pt>
                <c:pt idx="1">
                  <c:v>17.0680826853783</c:v>
                </c:pt>
                <c:pt idx="2">
                  <c:v>24.823372159633401</c:v>
                </c:pt>
                <c:pt idx="3">
                  <c:v>19.275250578257499</c:v>
                </c:pt>
                <c:pt idx="4">
                  <c:v>7.7489345215032897</c:v>
                </c:pt>
                <c:pt idx="5">
                  <c:v>17.241379310344801</c:v>
                </c:pt>
                <c:pt idx="6">
                  <c:v>18.793459875963201</c:v>
                </c:pt>
                <c:pt idx="7">
                  <c:v>20.106013525863599</c:v>
                </c:pt>
                <c:pt idx="8">
                  <c:v>24.857954545454501</c:v>
                </c:pt>
                <c:pt idx="9">
                  <c:v>18.9753320683112</c:v>
                </c:pt>
                <c:pt idx="10">
                  <c:v>13.552430967304799</c:v>
                </c:pt>
                <c:pt idx="11">
                  <c:v>16.686133822793298</c:v>
                </c:pt>
                <c:pt idx="12">
                  <c:v>29.6247531270573</c:v>
                </c:pt>
                <c:pt idx="13">
                  <c:v>17.889087656529501</c:v>
                </c:pt>
                <c:pt idx="14">
                  <c:v>24.0731824747232</c:v>
                </c:pt>
                <c:pt idx="15">
                  <c:v>25.412960609911099</c:v>
                </c:pt>
                <c:pt idx="16">
                  <c:v>37.7299166797673</c:v>
                </c:pt>
                <c:pt idx="17">
                  <c:v>31.172069825436399</c:v>
                </c:pt>
                <c:pt idx="18">
                  <c:v>12.405024034734099</c:v>
                </c:pt>
                <c:pt idx="19">
                  <c:v>35.281484890320598</c:v>
                </c:pt>
              </c:numCache>
            </c:numRef>
          </c:val>
          <c:smooth val="0"/>
        </c:ser>
        <c:ser>
          <c:idx val="2"/>
          <c:order val="1"/>
          <c:tx>
            <c:v>Non-Māori female</c:v>
          </c:tx>
          <c:spPr>
            <a:ln w="22225" cap="rnd">
              <a:solidFill>
                <a:schemeClr val="accent1"/>
              </a:solidFill>
              <a:round/>
            </a:ln>
            <a:effectLst/>
          </c:spPr>
          <c:marker>
            <c:symbol val="none"/>
          </c:marker>
          <c:trendline>
            <c:spPr>
              <a:ln w="19050" cap="rnd">
                <a:solidFill>
                  <a:schemeClr val="accent3"/>
                </a:solidFill>
                <a:prstDash val="sysDot"/>
              </a:ln>
              <a:effectLst/>
            </c:spPr>
            <c:trendlineType val="movingAvg"/>
            <c:period val="5"/>
            <c:dispRSqr val="0"/>
            <c:dispEq val="0"/>
          </c:trendline>
          <c:cat>
            <c:numRef>
              <c:f>'Māori Non-Māori'!$S$47:$AL$47</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Non-Māori'!$S$109:$AL$109</c:f>
              <c:numCache>
                <c:formatCode>0.0</c:formatCode>
                <c:ptCount val="20"/>
                <c:pt idx="0">
                  <c:v>13.1824173826083</c:v>
                </c:pt>
                <c:pt idx="1">
                  <c:v>9.2357423227891893</c:v>
                </c:pt>
                <c:pt idx="2">
                  <c:v>10.315562432597201</c:v>
                </c:pt>
                <c:pt idx="3">
                  <c:v>12.808956781631</c:v>
                </c:pt>
                <c:pt idx="4">
                  <c:v>5.2338583051815197</c:v>
                </c:pt>
                <c:pt idx="5">
                  <c:v>6.5950631241756197</c:v>
                </c:pt>
                <c:pt idx="6">
                  <c:v>9.1049804242920906</c:v>
                </c:pt>
                <c:pt idx="7">
                  <c:v>8.7623220153340604</c:v>
                </c:pt>
                <c:pt idx="8">
                  <c:v>7.2933201767557598</c:v>
                </c:pt>
                <c:pt idx="9">
                  <c:v>5.9194114413766901</c:v>
                </c:pt>
                <c:pt idx="10">
                  <c:v>6.6552972006156201</c:v>
                </c:pt>
                <c:pt idx="11">
                  <c:v>5.3926245488862197</c:v>
                </c:pt>
                <c:pt idx="12">
                  <c:v>8.3156625504137001</c:v>
                </c:pt>
                <c:pt idx="13">
                  <c:v>4.1414727076948603</c:v>
                </c:pt>
                <c:pt idx="14">
                  <c:v>7.7961511632678198</c:v>
                </c:pt>
                <c:pt idx="15">
                  <c:v>7.3604579840523403</c:v>
                </c:pt>
                <c:pt idx="16">
                  <c:v>6.96407357338905</c:v>
                </c:pt>
                <c:pt idx="17">
                  <c:v>7.3625654450261804</c:v>
                </c:pt>
                <c:pt idx="18">
                  <c:v>5.65291124929339</c:v>
                </c:pt>
                <c:pt idx="19">
                  <c:v>7.5381868676849804</c:v>
                </c:pt>
              </c:numCache>
            </c:numRef>
          </c:val>
          <c:smooth val="0"/>
        </c:ser>
        <c:dLbls>
          <c:showLegendKey val="0"/>
          <c:showVal val="0"/>
          <c:showCatName val="0"/>
          <c:showSerName val="0"/>
          <c:showPercent val="0"/>
          <c:showBubbleSize val="0"/>
        </c:dLbls>
        <c:smooth val="0"/>
        <c:axId val="675693848"/>
        <c:axId val="675694240"/>
      </c:lineChart>
      <c:catAx>
        <c:axId val="6756938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5694240"/>
        <c:crosses val="autoZero"/>
        <c:auto val="1"/>
        <c:lblAlgn val="ctr"/>
        <c:lblOffset val="100"/>
        <c:tickLblSkip val="3"/>
        <c:noMultiLvlLbl val="0"/>
      </c:catAx>
      <c:valAx>
        <c:axId val="675694240"/>
        <c:scaling>
          <c:orientation val="minMax"/>
          <c:max val="7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5693848"/>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839506172839515E-2"/>
          <c:y val="0.1368664627930683"/>
          <c:w val="0.87273388203017832"/>
          <c:h val="0.70049031600407741"/>
        </c:manualLayout>
      </c:layout>
      <c:lineChart>
        <c:grouping val="standard"/>
        <c:varyColors val="0"/>
        <c:ser>
          <c:idx val="1"/>
          <c:order val="0"/>
          <c:tx>
            <c:v>Māori</c:v>
          </c:tx>
          <c:spPr>
            <a:ln w="22225" cap="rnd">
              <a:solidFill>
                <a:schemeClr val="bg1">
                  <a:lumMod val="50000"/>
                </a:schemeClr>
              </a:solidFill>
              <a:prstDash val="solid"/>
              <a:round/>
            </a:ln>
            <a:effectLst/>
          </c:spPr>
          <c:marker>
            <c:symbol val="none"/>
          </c:marker>
          <c:cat>
            <c:numRef>
              <c:f>'Māori Non-Māori'!$S$134:$AB$134</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'Māori Non-Māori'!$S$145:$AB$145</c:f>
              <c:numCache>
                <c:formatCode>0.0</c:formatCode>
                <c:ptCount val="10"/>
                <c:pt idx="0">
                  <c:v>14.744848230571399</c:v>
                </c:pt>
                <c:pt idx="1">
                  <c:v>18.388081375555899</c:v>
                </c:pt>
                <c:pt idx="2">
                  <c:v>15.677335095772801</c:v>
                </c:pt>
                <c:pt idx="3">
                  <c:v>13.2947520863601</c:v>
                </c:pt>
                <c:pt idx="4">
                  <c:v>11.7392941235848</c:v>
                </c:pt>
                <c:pt idx="5">
                  <c:v>12.3556696064809</c:v>
                </c:pt>
                <c:pt idx="6">
                  <c:v>15.938378032392</c:v>
                </c:pt>
                <c:pt idx="7">
                  <c:v>9.6904713196985099</c:v>
                </c:pt>
                <c:pt idx="8">
                  <c:v>17.5302711263314</c:v>
                </c:pt>
                <c:pt idx="9">
                  <c:v>15.772700744577</c:v>
                </c:pt>
              </c:numCache>
            </c:numRef>
          </c:val>
          <c:smooth val="0"/>
          <c:extLst/>
        </c:ser>
        <c:ser>
          <c:idx val="0"/>
          <c:order val="1"/>
          <c:tx>
            <c:v>Non-Māori</c:v>
          </c:tx>
          <c:spPr>
            <a:ln w="22225" cap="rnd">
              <a:solidFill>
                <a:schemeClr val="accent1"/>
              </a:solidFill>
              <a:round/>
            </a:ln>
            <a:effectLst/>
          </c:spPr>
          <c:marker>
            <c:symbol val="none"/>
          </c:marker>
          <c:cat>
            <c:numRef>
              <c:f>'Māori Non-Māori'!$S$134:$AB$134</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'Māori Non-Māori'!$S$162:$AB$162</c:f>
              <c:numCache>
                <c:formatCode>0.0</c:formatCode>
                <c:ptCount val="10"/>
                <c:pt idx="0">
                  <c:v>10.465207830197601</c:v>
                </c:pt>
                <c:pt idx="1">
                  <c:v>11.080984410546</c:v>
                </c:pt>
                <c:pt idx="2">
                  <c:v>11.173808666885</c:v>
                </c:pt>
                <c:pt idx="3">
                  <c:v>9.1279852968133408</c:v>
                </c:pt>
                <c:pt idx="4">
                  <c:v>10.527981699193599</c:v>
                </c:pt>
                <c:pt idx="5">
                  <c:v>10.666353724075799</c:v>
                </c:pt>
                <c:pt idx="6">
                  <c:v>12.2450346228781</c:v>
                </c:pt>
                <c:pt idx="7">
                  <c:v>9.7238612561748106</c:v>
                </c:pt>
                <c:pt idx="8">
                  <c:v>9.0486738474224495</c:v>
                </c:pt>
                <c:pt idx="9">
                  <c:v>8.1892500380217292</c:v>
                </c:pt>
              </c:numCache>
            </c:numRef>
          </c:val>
          <c:smooth val="0"/>
        </c:ser>
        <c:dLbls>
          <c:showLegendKey val="0"/>
          <c:showVal val="0"/>
          <c:showCatName val="0"/>
          <c:showSerName val="0"/>
          <c:showPercent val="0"/>
          <c:showBubbleSize val="0"/>
        </c:dLbls>
        <c:smooth val="0"/>
        <c:axId val="675691496"/>
        <c:axId val="675691888"/>
      </c:lineChart>
      <c:catAx>
        <c:axId val="6756914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5691888"/>
        <c:crosses val="autoZero"/>
        <c:auto val="1"/>
        <c:lblAlgn val="ctr"/>
        <c:lblOffset val="100"/>
        <c:tickLblSkip val="3"/>
        <c:noMultiLvlLbl val="0"/>
      </c:catAx>
      <c:valAx>
        <c:axId val="675691888"/>
        <c:scaling>
          <c:orientation val="minMax"/>
          <c:max val="25"/>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56914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839506172839515E-2"/>
          <c:y val="0.1368664627930683"/>
          <c:w val="0.87273388203017832"/>
          <c:h val="0.70049031600407741"/>
        </c:manualLayout>
      </c:layout>
      <c:lineChart>
        <c:grouping val="standard"/>
        <c:varyColors val="0"/>
        <c:ser>
          <c:idx val="1"/>
          <c:order val="0"/>
          <c:tx>
            <c:v>Māori</c:v>
          </c:tx>
          <c:spPr>
            <a:ln w="22225" cap="rnd">
              <a:solidFill>
                <a:schemeClr val="bg1">
                  <a:lumMod val="50000"/>
                </a:schemeClr>
              </a:solidFill>
              <a:prstDash val="solid"/>
              <a:round/>
            </a:ln>
            <a:effectLst/>
          </c:spPr>
          <c:marker>
            <c:symbol val="none"/>
          </c:marker>
          <c:cat>
            <c:numRef>
              <c:f>'Māori Non-Māori'!$S$134:$AB$134</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'Māori Non-Māori'!$S$147:$AB$147</c:f>
              <c:numCache>
                <c:formatCode>0.0</c:formatCode>
                <c:ptCount val="10"/>
                <c:pt idx="0">
                  <c:v>21.657972259840701</c:v>
                </c:pt>
                <c:pt idx="1">
                  <c:v>19.169053604398101</c:v>
                </c:pt>
                <c:pt idx="2">
                  <c:v>16.099910181965601</c:v>
                </c:pt>
                <c:pt idx="3">
                  <c:v>14.498638527004401</c:v>
                </c:pt>
                <c:pt idx="4">
                  <c:v>21.5974219861146</c:v>
                </c:pt>
                <c:pt idx="5">
                  <c:v>21.835288706363301</c:v>
                </c:pt>
                <c:pt idx="6">
                  <c:v>18.144466542874301</c:v>
                </c:pt>
                <c:pt idx="7">
                  <c:v>20.706632827755101</c:v>
                </c:pt>
                <c:pt idx="8">
                  <c:v>15.406326348591801</c:v>
                </c:pt>
                <c:pt idx="9">
                  <c:v>21.651215428792302</c:v>
                </c:pt>
              </c:numCache>
            </c:numRef>
          </c:val>
          <c:smooth val="0"/>
          <c:extLst/>
        </c:ser>
        <c:ser>
          <c:idx val="0"/>
          <c:order val="1"/>
          <c:tx>
            <c:v>Non-Māori</c:v>
          </c:tx>
          <c:spPr>
            <a:ln w="22225" cap="rnd">
              <a:solidFill>
                <a:schemeClr val="accent1"/>
              </a:solidFill>
              <a:round/>
            </a:ln>
            <a:effectLst/>
          </c:spPr>
          <c:marker>
            <c:symbol val="none"/>
          </c:marker>
          <c:cat>
            <c:numRef>
              <c:f>'Māori Non-Māori'!$S$134:$AB$134</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'Māori Non-Māori'!$S$164:$AB$164</c:f>
              <c:numCache>
                <c:formatCode>0.0</c:formatCode>
                <c:ptCount val="10"/>
                <c:pt idx="0">
                  <c:v>16.452598673553201</c:v>
                </c:pt>
                <c:pt idx="1">
                  <c:v>12.587052355612199</c:v>
                </c:pt>
                <c:pt idx="2">
                  <c:v>12.896367785498301</c:v>
                </c:pt>
                <c:pt idx="3">
                  <c:v>15.407246316021901</c:v>
                </c:pt>
                <c:pt idx="4">
                  <c:v>11.9050077950544</c:v>
                </c:pt>
                <c:pt idx="5">
                  <c:v>13.213031406173</c:v>
                </c:pt>
                <c:pt idx="6">
                  <c:v>13.792419367632601</c:v>
                </c:pt>
                <c:pt idx="7">
                  <c:v>13.1094925994683</c:v>
                </c:pt>
                <c:pt idx="8">
                  <c:v>15.6158667997486</c:v>
                </c:pt>
                <c:pt idx="9">
                  <c:v>12.6037126874363</c:v>
                </c:pt>
              </c:numCache>
            </c:numRef>
          </c:val>
          <c:smooth val="0"/>
        </c:ser>
        <c:dLbls>
          <c:showLegendKey val="0"/>
          <c:showVal val="0"/>
          <c:showCatName val="0"/>
          <c:showSerName val="0"/>
          <c:showPercent val="0"/>
          <c:showBubbleSize val="0"/>
        </c:dLbls>
        <c:smooth val="0"/>
        <c:axId val="776354440"/>
        <c:axId val="776352872"/>
      </c:lineChart>
      <c:catAx>
        <c:axId val="776354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6352872"/>
        <c:crosses val="autoZero"/>
        <c:auto val="1"/>
        <c:lblAlgn val="ctr"/>
        <c:lblOffset val="100"/>
        <c:tickLblSkip val="3"/>
        <c:noMultiLvlLbl val="0"/>
      </c:catAx>
      <c:valAx>
        <c:axId val="776352872"/>
        <c:scaling>
          <c:orientation val="minMax"/>
          <c:max val="25"/>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63544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470425437507993E-2"/>
          <c:y val="0.17638023150183699"/>
          <c:w val="0.69266484245439475"/>
          <c:h val="0.68475335313920571"/>
        </c:manualLayout>
      </c:layout>
      <c:lineChart>
        <c:grouping val="standard"/>
        <c:varyColors val="0"/>
        <c:ser>
          <c:idx val="4"/>
          <c:order val="0"/>
          <c:tx>
            <c:v>5 (most deprived)</c:v>
          </c:tx>
          <c:spPr>
            <a:ln w="22225" cap="rnd">
              <a:solidFill>
                <a:schemeClr val="bg1">
                  <a:lumMod val="50000"/>
                </a:schemeClr>
              </a:solidFill>
              <a:round/>
            </a:ln>
            <a:effectLst/>
          </c:spPr>
          <c:marker>
            <c:symbol val="none"/>
          </c:marker>
          <c:cat>
            <c:numRef>
              <c:f>'Māori Non-Māori'!$S$134:$AB$134</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'Māori Non-Māori'!$S$147:$AB$147</c:f>
              <c:numCache>
                <c:formatCode>0.0</c:formatCode>
                <c:ptCount val="10"/>
                <c:pt idx="0">
                  <c:v>21.657972259840701</c:v>
                </c:pt>
                <c:pt idx="1">
                  <c:v>19.169053604398101</c:v>
                </c:pt>
                <c:pt idx="2">
                  <c:v>16.099910181965601</c:v>
                </c:pt>
                <c:pt idx="3">
                  <c:v>14.498638527004401</c:v>
                </c:pt>
                <c:pt idx="4">
                  <c:v>21.5974219861146</c:v>
                </c:pt>
                <c:pt idx="5">
                  <c:v>21.835288706363301</c:v>
                </c:pt>
                <c:pt idx="6">
                  <c:v>18.144466542874301</c:v>
                </c:pt>
                <c:pt idx="7">
                  <c:v>20.706632827755101</c:v>
                </c:pt>
                <c:pt idx="8">
                  <c:v>15.406326348591801</c:v>
                </c:pt>
                <c:pt idx="9">
                  <c:v>21.651215428792302</c:v>
                </c:pt>
              </c:numCache>
            </c:numRef>
          </c:val>
          <c:smooth val="0"/>
          <c:extLst/>
        </c:ser>
        <c:ser>
          <c:idx val="0"/>
          <c:order val="1"/>
          <c:tx>
            <c:v>4</c:v>
          </c:tx>
          <c:spPr>
            <a:ln w="22225" cap="rnd">
              <a:solidFill>
                <a:schemeClr val="bg1">
                  <a:lumMod val="75000"/>
                </a:schemeClr>
              </a:solidFill>
              <a:prstDash val="solid"/>
              <a:round/>
            </a:ln>
            <a:effectLst/>
          </c:spPr>
          <c:marker>
            <c:symbol val="none"/>
          </c:marker>
          <c:cat>
            <c:numRef>
              <c:f>'Māori Non-Māori'!$S$134:$AB$134</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'Māori Non-Māori'!$S$146:$AB$146</c:f>
              <c:numCache>
                <c:formatCode>0.0</c:formatCode>
                <c:ptCount val="10"/>
                <c:pt idx="0">
                  <c:v>16.629745393731099</c:v>
                </c:pt>
                <c:pt idx="1">
                  <c:v>11.358463125385599</c:v>
                </c:pt>
                <c:pt idx="2">
                  <c:v>13.3027935406478</c:v>
                </c:pt>
                <c:pt idx="3">
                  <c:v>12.5866132128183</c:v>
                </c:pt>
                <c:pt idx="4">
                  <c:v>12.8928666096258</c:v>
                </c:pt>
                <c:pt idx="5">
                  <c:v>12.891795717896899</c:v>
                </c:pt>
                <c:pt idx="6">
                  <c:v>21.7493772047203</c:v>
                </c:pt>
                <c:pt idx="7">
                  <c:v>17.802485127361699</c:v>
                </c:pt>
                <c:pt idx="8">
                  <c:v>12.808492818776701</c:v>
                </c:pt>
                <c:pt idx="9">
                  <c:v>17.885642735328801</c:v>
                </c:pt>
              </c:numCache>
            </c:numRef>
          </c:val>
          <c:smooth val="0"/>
          <c:extLst/>
        </c:ser>
        <c:ser>
          <c:idx val="1"/>
          <c:order val="2"/>
          <c:tx>
            <c:v>3</c:v>
          </c:tx>
          <c:spPr>
            <a:ln w="22225" cap="rnd">
              <a:solidFill>
                <a:schemeClr val="accent1">
                  <a:lumMod val="60000"/>
                  <a:lumOff val="40000"/>
                </a:schemeClr>
              </a:solidFill>
              <a:prstDash val="solid"/>
              <a:round/>
            </a:ln>
            <a:effectLst/>
          </c:spPr>
          <c:marker>
            <c:symbol val="none"/>
          </c:marker>
          <c:cat>
            <c:numRef>
              <c:f>'Māori Non-Māori'!$S$134:$AB$134</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'Māori Non-Māori'!$S$145:$AB$145</c:f>
              <c:numCache>
                <c:formatCode>0.0</c:formatCode>
                <c:ptCount val="10"/>
                <c:pt idx="0">
                  <c:v>14.744848230571399</c:v>
                </c:pt>
                <c:pt idx="1">
                  <c:v>18.388081375555899</c:v>
                </c:pt>
                <c:pt idx="2">
                  <c:v>15.677335095772801</c:v>
                </c:pt>
                <c:pt idx="3">
                  <c:v>13.2947520863601</c:v>
                </c:pt>
                <c:pt idx="4">
                  <c:v>11.7392941235848</c:v>
                </c:pt>
                <c:pt idx="5">
                  <c:v>12.3556696064809</c:v>
                </c:pt>
                <c:pt idx="6">
                  <c:v>15.938378032392</c:v>
                </c:pt>
                <c:pt idx="7">
                  <c:v>9.6904713196985099</c:v>
                </c:pt>
                <c:pt idx="8">
                  <c:v>17.5302711263314</c:v>
                </c:pt>
                <c:pt idx="9">
                  <c:v>15.772700744577</c:v>
                </c:pt>
              </c:numCache>
            </c:numRef>
          </c:val>
          <c:smooth val="0"/>
          <c:extLst/>
        </c:ser>
        <c:ser>
          <c:idx val="2"/>
          <c:order val="3"/>
          <c:tx>
            <c:v>2</c:v>
          </c:tx>
          <c:spPr>
            <a:ln w="22225" cap="rnd">
              <a:solidFill>
                <a:srgbClr val="4BACC6"/>
              </a:solidFill>
              <a:prstDash val="solid"/>
              <a:round/>
            </a:ln>
            <a:effectLst/>
          </c:spPr>
          <c:marker>
            <c:symbol val="none"/>
          </c:marker>
          <c:cat>
            <c:numRef>
              <c:f>'Māori Non-Māori'!$S$134:$AB$134</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'Māori Non-Māori'!$S$144:$AB$144</c:f>
              <c:numCache>
                <c:formatCode>0.0</c:formatCode>
                <c:ptCount val="10"/>
                <c:pt idx="0">
                  <c:v>10.3413491121837</c:v>
                </c:pt>
                <c:pt idx="1">
                  <c:v>8.1565810584055303</c:v>
                </c:pt>
                <c:pt idx="2">
                  <c:v>9.4013724061805295</c:v>
                </c:pt>
                <c:pt idx="3">
                  <c:v>11.764406152372301</c:v>
                </c:pt>
                <c:pt idx="4">
                  <c:v>13.234319650344901</c:v>
                </c:pt>
                <c:pt idx="5">
                  <c:v>21.6531984067813</c:v>
                </c:pt>
                <c:pt idx="6">
                  <c:v>16.637221219970201</c:v>
                </c:pt>
                <c:pt idx="7">
                  <c:v>12.8935925880459</c:v>
                </c:pt>
                <c:pt idx="8">
                  <c:v>5.1621445438996396</c:v>
                </c:pt>
                <c:pt idx="9">
                  <c:v>16.101954318973899</c:v>
                </c:pt>
              </c:numCache>
            </c:numRef>
          </c:val>
          <c:smooth val="0"/>
          <c:extLst/>
        </c:ser>
        <c:dLbls>
          <c:showLegendKey val="0"/>
          <c:showVal val="0"/>
          <c:showCatName val="0"/>
          <c:showSerName val="0"/>
          <c:showPercent val="0"/>
          <c:showBubbleSize val="0"/>
        </c:dLbls>
        <c:smooth val="0"/>
        <c:axId val="776353656"/>
        <c:axId val="776356008"/>
      </c:lineChart>
      <c:catAx>
        <c:axId val="7763536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6356008"/>
        <c:crosses val="autoZero"/>
        <c:auto val="1"/>
        <c:lblAlgn val="ctr"/>
        <c:lblOffset val="100"/>
        <c:noMultiLvlLbl val="0"/>
      </c:catAx>
      <c:valAx>
        <c:axId val="776356008"/>
        <c:scaling>
          <c:orientation val="minMax"/>
          <c:max val="25"/>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6353656"/>
        <c:crosses val="autoZero"/>
        <c:crossBetween val="between"/>
      </c:valAx>
      <c:spPr>
        <a:noFill/>
        <a:ln>
          <a:noFill/>
        </a:ln>
        <a:effectLst/>
      </c:spPr>
    </c:plotArea>
    <c:legend>
      <c:legendPos val="r"/>
      <c:layout>
        <c:manualLayout>
          <c:xMode val="edge"/>
          <c:yMode val="edge"/>
          <c:x val="0.78100348258706465"/>
          <c:y val="6.4317777777777765E-2"/>
          <c:w val="0.21064610281923715"/>
          <c:h val="0.351353333333333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194818261853867E-2"/>
          <c:y val="0.21086111111111111"/>
          <c:w val="0.89563264987916114"/>
          <c:h val="0.63917231265581465"/>
        </c:manualLayout>
      </c:layout>
      <c:lineChart>
        <c:grouping val="standard"/>
        <c:varyColors val="0"/>
        <c:ser>
          <c:idx val="0"/>
          <c:order val="0"/>
          <c:tx>
            <c:strRef>
              <c:f>'Age Sex'!$O$11</c:f>
              <c:strCache>
                <c:ptCount val="1"/>
                <c:pt idx="0">
                  <c:v>Male</c:v>
                </c:pt>
              </c:strCache>
            </c:strRef>
          </c:tx>
          <c:spPr>
            <a:ln w="22225" cap="rnd">
              <a:solidFill>
                <a:schemeClr val="bg1">
                  <a:lumMod val="65000"/>
                </a:schemeClr>
              </a:solidFill>
              <a:round/>
            </a:ln>
            <a:effectLst/>
          </c:spPr>
          <c:marker>
            <c:symbol val="none"/>
          </c:marker>
          <c:errBars>
            <c:errDir val="y"/>
            <c:errBarType val="both"/>
            <c:errValType val="cust"/>
            <c:noEndCap val="0"/>
            <c:plus>
              <c:numRef>
                <c:f>'Age Sex'!$BI$10:$CB$10</c:f>
                <c:numCache>
                  <c:formatCode>General</c:formatCode>
                  <c:ptCount val="20"/>
                  <c:pt idx="0">
                    <c:v>2.2000000000000002</c:v>
                  </c:pt>
                  <c:pt idx="1">
                    <c:v>2.2000000000000002</c:v>
                  </c:pt>
                  <c:pt idx="2">
                    <c:v>2.2000000000000002</c:v>
                  </c:pt>
                  <c:pt idx="3">
                    <c:v>2</c:v>
                  </c:pt>
                  <c:pt idx="4">
                    <c:v>2</c:v>
                  </c:pt>
                  <c:pt idx="5">
                    <c:v>2</c:v>
                  </c:pt>
                  <c:pt idx="6">
                    <c:v>1.9</c:v>
                  </c:pt>
                  <c:pt idx="7">
                    <c:v>1.9</c:v>
                  </c:pt>
                  <c:pt idx="8">
                    <c:v>1.9</c:v>
                  </c:pt>
                  <c:pt idx="9">
                    <c:v>1.9</c:v>
                  </c:pt>
                  <c:pt idx="10">
                    <c:v>1.8</c:v>
                  </c:pt>
                  <c:pt idx="11">
                    <c:v>1.8</c:v>
                  </c:pt>
                  <c:pt idx="12">
                    <c:v>1.8</c:v>
                  </c:pt>
                  <c:pt idx="13">
                    <c:v>1.8</c:v>
                  </c:pt>
                  <c:pt idx="14">
                    <c:v>1.8</c:v>
                  </c:pt>
                  <c:pt idx="15">
                    <c:v>1.8</c:v>
                  </c:pt>
                  <c:pt idx="16">
                    <c:v>1.8</c:v>
                  </c:pt>
                  <c:pt idx="17">
                    <c:v>1.6</c:v>
                  </c:pt>
                  <c:pt idx="18">
                    <c:v>1.7</c:v>
                  </c:pt>
                  <c:pt idx="19">
                    <c:v>1.6</c:v>
                  </c:pt>
                </c:numCache>
              </c:numRef>
            </c:plus>
            <c:minus>
              <c:numRef>
                <c:f>'Age Sex'!$BI$10:$CB$10</c:f>
                <c:numCache>
                  <c:formatCode>General</c:formatCode>
                  <c:ptCount val="20"/>
                  <c:pt idx="0">
                    <c:v>2.2000000000000002</c:v>
                  </c:pt>
                  <c:pt idx="1">
                    <c:v>2.2000000000000002</c:v>
                  </c:pt>
                  <c:pt idx="2">
                    <c:v>2.2000000000000002</c:v>
                  </c:pt>
                  <c:pt idx="3">
                    <c:v>2</c:v>
                  </c:pt>
                  <c:pt idx="4">
                    <c:v>2</c:v>
                  </c:pt>
                  <c:pt idx="5">
                    <c:v>2</c:v>
                  </c:pt>
                  <c:pt idx="6">
                    <c:v>1.9</c:v>
                  </c:pt>
                  <c:pt idx="7">
                    <c:v>1.9</c:v>
                  </c:pt>
                  <c:pt idx="8">
                    <c:v>1.9</c:v>
                  </c:pt>
                  <c:pt idx="9">
                    <c:v>1.9</c:v>
                  </c:pt>
                  <c:pt idx="10">
                    <c:v>1.8</c:v>
                  </c:pt>
                  <c:pt idx="11">
                    <c:v>1.8</c:v>
                  </c:pt>
                  <c:pt idx="12">
                    <c:v>1.8</c:v>
                  </c:pt>
                  <c:pt idx="13">
                    <c:v>1.8</c:v>
                  </c:pt>
                  <c:pt idx="14">
                    <c:v>1.8</c:v>
                  </c:pt>
                  <c:pt idx="15">
                    <c:v>1.8</c:v>
                  </c:pt>
                  <c:pt idx="16">
                    <c:v>1.8</c:v>
                  </c:pt>
                  <c:pt idx="17">
                    <c:v>1.6</c:v>
                  </c:pt>
                  <c:pt idx="18">
                    <c:v>1.7</c:v>
                  </c:pt>
                  <c:pt idx="19">
                    <c:v>1.6</c:v>
                  </c:pt>
                </c:numCache>
              </c:numRef>
            </c:minus>
            <c:spPr>
              <a:noFill/>
              <a:ln w="9525" cap="flat" cmpd="sng" algn="ctr">
                <a:solidFill>
                  <a:schemeClr val="tx1">
                    <a:lumMod val="65000"/>
                    <a:lumOff val="35000"/>
                  </a:schemeClr>
                </a:solidFill>
                <a:round/>
              </a:ln>
              <a:effectLst/>
            </c:spPr>
          </c:errBars>
          <c:cat>
            <c:numRef>
              <c:f>'Age Sex'!$R$8:$AK$8</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'Age Sex'!$R$15:$AK$15</c:f>
              <c:numCache>
                <c:formatCode>0.0</c:formatCode>
                <c:ptCount val="20"/>
                <c:pt idx="0">
                  <c:v>22.945293453419598</c:v>
                </c:pt>
                <c:pt idx="1">
                  <c:v>23.553351547621599</c:v>
                </c:pt>
                <c:pt idx="2">
                  <c:v>23.645478379784802</c:v>
                </c:pt>
                <c:pt idx="3">
                  <c:v>20.3315431402172</c:v>
                </c:pt>
                <c:pt idx="4">
                  <c:v>19.947436156558702</c:v>
                </c:pt>
                <c:pt idx="5">
                  <c:v>20.356398349177098</c:v>
                </c:pt>
                <c:pt idx="6">
                  <c:v>18.167720892576899</c:v>
                </c:pt>
                <c:pt idx="7">
                  <c:v>18.574084657112099</c:v>
                </c:pt>
                <c:pt idx="8">
                  <c:v>18.725315817265901</c:v>
                </c:pt>
                <c:pt idx="9">
                  <c:v>18.722380905625801</c:v>
                </c:pt>
                <c:pt idx="10">
                  <c:v>18.521171460464299</c:v>
                </c:pt>
                <c:pt idx="11">
                  <c:v>17.981880281474702</c:v>
                </c:pt>
                <c:pt idx="12">
                  <c:v>17.700121249097698</c:v>
                </c:pt>
                <c:pt idx="13">
                  <c:v>18.249471294450601</c:v>
                </c:pt>
                <c:pt idx="14">
                  <c:v>17.638688314312301</c:v>
                </c:pt>
                <c:pt idx="15">
                  <c:v>17.402217133944198</c:v>
                </c:pt>
                <c:pt idx="16">
                  <c:v>18.616289554563799</c:v>
                </c:pt>
                <c:pt idx="17">
                  <c:v>15.948704143969101</c:v>
                </c:pt>
                <c:pt idx="18">
                  <c:v>16.462028222989101</c:v>
                </c:pt>
                <c:pt idx="19">
                  <c:v>16.341274903858402</c:v>
                </c:pt>
              </c:numCache>
            </c:numRef>
          </c:val>
          <c:smooth val="0"/>
        </c:ser>
        <c:ser>
          <c:idx val="1"/>
          <c:order val="1"/>
          <c:tx>
            <c:strRef>
              <c:f>'Age Sex'!$O$12</c:f>
              <c:strCache>
                <c:ptCount val="1"/>
                <c:pt idx="0">
                  <c:v>Female</c:v>
                </c:pt>
              </c:strCache>
            </c:strRef>
          </c:tx>
          <c:spPr>
            <a:ln w="22225" cap="rnd">
              <a:solidFill>
                <a:schemeClr val="accent1"/>
              </a:solidFill>
              <a:round/>
            </a:ln>
            <a:effectLst/>
          </c:spPr>
          <c:marker>
            <c:symbol val="none"/>
          </c:marker>
          <c:errBars>
            <c:errDir val="y"/>
            <c:errBarType val="both"/>
            <c:errValType val="cust"/>
            <c:noEndCap val="0"/>
            <c:plus>
              <c:numRef>
                <c:f>'Age Sex'!$BI$12:$CB$12</c:f>
                <c:numCache>
                  <c:formatCode>General</c:formatCode>
                  <c:ptCount val="20"/>
                  <c:pt idx="0">
                    <c:v>1.1000000000000001</c:v>
                  </c:pt>
                  <c:pt idx="1">
                    <c:v>1.1000000000000001</c:v>
                  </c:pt>
                  <c:pt idx="2">
                    <c:v>1.2</c:v>
                  </c:pt>
                  <c:pt idx="3">
                    <c:v>1.1000000000000001</c:v>
                  </c:pt>
                  <c:pt idx="4">
                    <c:v>0.9</c:v>
                  </c:pt>
                  <c:pt idx="5">
                    <c:v>1.1000000000000001</c:v>
                  </c:pt>
                  <c:pt idx="6">
                    <c:v>1</c:v>
                  </c:pt>
                  <c:pt idx="7">
                    <c:v>1.1000000000000001</c:v>
                  </c:pt>
                  <c:pt idx="8">
                    <c:v>1</c:v>
                  </c:pt>
                  <c:pt idx="9">
                    <c:v>1</c:v>
                  </c:pt>
                  <c:pt idx="10">
                    <c:v>1</c:v>
                  </c:pt>
                  <c:pt idx="11">
                    <c:v>0.9</c:v>
                  </c:pt>
                  <c:pt idx="12">
                    <c:v>1</c:v>
                  </c:pt>
                  <c:pt idx="13">
                    <c:v>0.9</c:v>
                  </c:pt>
                  <c:pt idx="14">
                    <c:v>1.1000000000000001</c:v>
                  </c:pt>
                  <c:pt idx="15">
                    <c:v>0.9</c:v>
                  </c:pt>
                  <c:pt idx="16">
                    <c:v>1</c:v>
                  </c:pt>
                  <c:pt idx="17">
                    <c:v>1</c:v>
                  </c:pt>
                  <c:pt idx="18">
                    <c:v>0.9</c:v>
                  </c:pt>
                  <c:pt idx="19">
                    <c:v>1</c:v>
                  </c:pt>
                </c:numCache>
              </c:numRef>
            </c:plus>
            <c:minus>
              <c:numRef>
                <c:f>'Age Sex'!$BI$12:$CB$12</c:f>
                <c:numCache>
                  <c:formatCode>General</c:formatCode>
                  <c:ptCount val="20"/>
                  <c:pt idx="0">
                    <c:v>1.1000000000000001</c:v>
                  </c:pt>
                  <c:pt idx="1">
                    <c:v>1.1000000000000001</c:v>
                  </c:pt>
                  <c:pt idx="2">
                    <c:v>1.2</c:v>
                  </c:pt>
                  <c:pt idx="3">
                    <c:v>1.1000000000000001</c:v>
                  </c:pt>
                  <c:pt idx="4">
                    <c:v>0.9</c:v>
                  </c:pt>
                  <c:pt idx="5">
                    <c:v>1.1000000000000001</c:v>
                  </c:pt>
                  <c:pt idx="6">
                    <c:v>1</c:v>
                  </c:pt>
                  <c:pt idx="7">
                    <c:v>1.1000000000000001</c:v>
                  </c:pt>
                  <c:pt idx="8">
                    <c:v>1</c:v>
                  </c:pt>
                  <c:pt idx="9">
                    <c:v>1</c:v>
                  </c:pt>
                  <c:pt idx="10">
                    <c:v>1</c:v>
                  </c:pt>
                  <c:pt idx="11">
                    <c:v>0.9</c:v>
                  </c:pt>
                  <c:pt idx="12">
                    <c:v>1</c:v>
                  </c:pt>
                  <c:pt idx="13">
                    <c:v>0.9</c:v>
                  </c:pt>
                  <c:pt idx="14">
                    <c:v>1.1000000000000001</c:v>
                  </c:pt>
                  <c:pt idx="15">
                    <c:v>0.9</c:v>
                  </c:pt>
                  <c:pt idx="16">
                    <c:v>1</c:v>
                  </c:pt>
                  <c:pt idx="17">
                    <c:v>1</c:v>
                  </c:pt>
                  <c:pt idx="18">
                    <c:v>0.9</c:v>
                  </c:pt>
                  <c:pt idx="19">
                    <c:v>1</c:v>
                  </c:pt>
                </c:numCache>
              </c:numRef>
            </c:minus>
            <c:spPr>
              <a:noFill/>
              <a:ln w="9525" cap="flat" cmpd="sng" algn="ctr">
                <a:solidFill>
                  <a:schemeClr val="tx1">
                    <a:lumMod val="65000"/>
                    <a:lumOff val="35000"/>
                  </a:schemeClr>
                </a:solidFill>
                <a:round/>
              </a:ln>
              <a:effectLst/>
            </c:spPr>
          </c:errBars>
          <c:cat>
            <c:numRef>
              <c:f>'Age Sex'!$R$8:$AK$8</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'Age Sex'!$R$16:$AK$16</c:f>
              <c:numCache>
                <c:formatCode>0.0</c:formatCode>
                <c:ptCount val="20"/>
                <c:pt idx="0">
                  <c:v>5.8886653384406102</c:v>
                </c:pt>
                <c:pt idx="1">
                  <c:v>6.2967087648044799</c:v>
                </c:pt>
                <c:pt idx="2">
                  <c:v>6.7999900162587199</c:v>
                </c:pt>
                <c:pt idx="3">
                  <c:v>6.7167156494892</c:v>
                </c:pt>
                <c:pt idx="4">
                  <c:v>4.1665204234231998</c:v>
                </c:pt>
                <c:pt idx="5">
                  <c:v>5.8286706673737303</c:v>
                </c:pt>
                <c:pt idx="6">
                  <c:v>5.6012768971608997</c:v>
                </c:pt>
                <c:pt idx="7">
                  <c:v>6.6355676799870498</c:v>
                </c:pt>
                <c:pt idx="8">
                  <c:v>5.3216551470799702</c:v>
                </c:pt>
                <c:pt idx="9">
                  <c:v>5.9861646575977696</c:v>
                </c:pt>
                <c:pt idx="10">
                  <c:v>6.2050827070238999</c:v>
                </c:pt>
                <c:pt idx="11">
                  <c:v>5.16144825407138</c:v>
                </c:pt>
                <c:pt idx="12">
                  <c:v>6.26512973729122</c:v>
                </c:pt>
                <c:pt idx="13">
                  <c:v>5.08858477285475</c:v>
                </c:pt>
                <c:pt idx="14">
                  <c:v>6.5442717734968303</c:v>
                </c:pt>
                <c:pt idx="15">
                  <c:v>5.1499552709199499</c:v>
                </c:pt>
                <c:pt idx="16">
                  <c:v>6.37288192291782</c:v>
                </c:pt>
                <c:pt idx="17">
                  <c:v>6.4674511523826501</c:v>
                </c:pt>
                <c:pt idx="18">
                  <c:v>5.4320300052619803</c:v>
                </c:pt>
                <c:pt idx="19">
                  <c:v>5.9998856620394596</c:v>
                </c:pt>
              </c:numCache>
            </c:numRef>
          </c:val>
          <c:smooth val="0"/>
        </c:ser>
        <c:dLbls>
          <c:showLegendKey val="0"/>
          <c:showVal val="0"/>
          <c:showCatName val="0"/>
          <c:showSerName val="0"/>
          <c:showPercent val="0"/>
          <c:showBubbleSize val="0"/>
        </c:dLbls>
        <c:smooth val="0"/>
        <c:axId val="776356400"/>
        <c:axId val="776354832"/>
      </c:lineChart>
      <c:catAx>
        <c:axId val="77635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6354832"/>
        <c:crosses val="autoZero"/>
        <c:auto val="1"/>
        <c:lblAlgn val="ctr"/>
        <c:lblOffset val="100"/>
        <c:tickLblSkip val="2"/>
        <c:noMultiLvlLbl val="0"/>
      </c:catAx>
      <c:valAx>
        <c:axId val="776354832"/>
        <c:scaling>
          <c:orientation val="minMax"/>
          <c:max val="3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6356400"/>
        <c:crosses val="autoZero"/>
        <c:crossBetween val="between"/>
        <c:majorUnit val="5"/>
      </c:valAx>
      <c:spPr>
        <a:noFill/>
        <a:ln>
          <a:noFill/>
        </a:ln>
        <a:effectLst/>
      </c:spPr>
    </c:plotArea>
    <c:legend>
      <c:legendPos val="r"/>
      <c:layout>
        <c:manualLayout>
          <c:xMode val="edge"/>
          <c:yMode val="edge"/>
          <c:x val="0.8707554945054945"/>
          <c:y val="4.5939873881800854E-2"/>
          <c:w val="0.1292445054945055"/>
          <c:h val="0.185492300923889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324445830409814E-2"/>
          <c:y val="0.19210277777777779"/>
          <c:w val="0.85561153197082596"/>
          <c:h val="0.65135277777777767"/>
        </c:manualLayout>
      </c:layout>
      <c:lineChart>
        <c:grouping val="standard"/>
        <c:varyColors val="0"/>
        <c:ser>
          <c:idx val="0"/>
          <c:order val="0"/>
          <c:tx>
            <c:strRef>
              <c:f>'Age Sex'!$P$44</c:f>
              <c:strCache>
                <c:ptCount val="1"/>
                <c:pt idx="0">
                  <c:v>15–24</c:v>
                </c:pt>
              </c:strCache>
            </c:strRef>
          </c:tx>
          <c:spPr>
            <a:ln w="22225" cap="rnd">
              <a:solidFill>
                <a:schemeClr val="bg1">
                  <a:lumMod val="50000"/>
                </a:schemeClr>
              </a:solidFill>
              <a:round/>
            </a:ln>
            <a:effectLst/>
          </c:spPr>
          <c:marker>
            <c:symbol val="none"/>
          </c:marker>
          <c:cat>
            <c:numRef>
              <c:f>'Age Sex'!$R$27:$AK$27</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'Age Sex'!$R$44:$AK$44</c:f>
              <c:numCache>
                <c:formatCode>0.0</c:formatCode>
                <c:ptCount val="20"/>
                <c:pt idx="0">
                  <c:v>25.939160877215301</c:v>
                </c:pt>
                <c:pt idx="1">
                  <c:v>26.072267920093999</c:v>
                </c:pt>
                <c:pt idx="2">
                  <c:v>26.071734515252</c:v>
                </c:pt>
                <c:pt idx="3">
                  <c:v>22.6184642062804</c:v>
                </c:pt>
                <c:pt idx="4">
                  <c:v>18.1519087866583</c:v>
                </c:pt>
                <c:pt idx="5">
                  <c:v>20.573822616242101</c:v>
                </c:pt>
                <c:pt idx="6">
                  <c:v>17.376823661441598</c:v>
                </c:pt>
                <c:pt idx="7">
                  <c:v>17.088949727099902</c:v>
                </c:pt>
                <c:pt idx="8">
                  <c:v>19.449941991401101</c:v>
                </c:pt>
                <c:pt idx="9">
                  <c:v>18.311326143197899</c:v>
                </c:pt>
                <c:pt idx="10">
                  <c:v>19.688621961913299</c:v>
                </c:pt>
                <c:pt idx="11">
                  <c:v>15.499274502044599</c:v>
                </c:pt>
                <c:pt idx="12">
                  <c:v>19.949549074242</c:v>
                </c:pt>
                <c:pt idx="13">
                  <c:v>19.004554539794899</c:v>
                </c:pt>
                <c:pt idx="14">
                  <c:v>17.966397979994198</c:v>
                </c:pt>
                <c:pt idx="15">
                  <c:v>20.876156217882802</c:v>
                </c:pt>
                <c:pt idx="16">
                  <c:v>23.7019954517793</c:v>
                </c:pt>
                <c:pt idx="17">
                  <c:v>17.8187892769072</c:v>
                </c:pt>
                <c:pt idx="18">
                  <c:v>14.0515222482436</c:v>
                </c:pt>
                <c:pt idx="19">
                  <c:v>16.906299500426499</c:v>
                </c:pt>
              </c:numCache>
            </c:numRef>
          </c:val>
          <c:smooth val="0"/>
        </c:ser>
        <c:ser>
          <c:idx val="3"/>
          <c:order val="1"/>
          <c:tx>
            <c:strRef>
              <c:f>'Age Sex'!$P$45</c:f>
              <c:strCache>
                <c:ptCount val="1"/>
                <c:pt idx="0">
                  <c:v>25–44</c:v>
                </c:pt>
              </c:strCache>
            </c:strRef>
          </c:tx>
          <c:spPr>
            <a:ln w="22225" cap="rnd">
              <a:solidFill>
                <a:schemeClr val="bg1">
                  <a:lumMod val="75000"/>
                </a:schemeClr>
              </a:solidFill>
              <a:prstDash val="solid"/>
              <a:round/>
            </a:ln>
            <a:effectLst/>
          </c:spPr>
          <c:marker>
            <c:symbol val="none"/>
          </c:marker>
          <c:cat>
            <c:numRef>
              <c:f>'Age Sex'!$R$27:$AK$27</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'Age Sex'!$R$45:$AK$45</c:f>
              <c:numCache>
                <c:formatCode>0.0</c:formatCode>
                <c:ptCount val="20"/>
                <c:pt idx="0">
                  <c:v>19.3440451709595</c:v>
                </c:pt>
                <c:pt idx="1">
                  <c:v>21.971419988842602</c:v>
                </c:pt>
                <c:pt idx="2">
                  <c:v>21.256978947907601</c:v>
                </c:pt>
                <c:pt idx="3">
                  <c:v>20.093713660305099</c:v>
                </c:pt>
                <c:pt idx="4">
                  <c:v>17.950391644908599</c:v>
                </c:pt>
                <c:pt idx="5">
                  <c:v>20.687267376438999</c:v>
                </c:pt>
                <c:pt idx="6">
                  <c:v>18.3301492229049</c:v>
                </c:pt>
                <c:pt idx="7">
                  <c:v>18.4775204359673</c:v>
                </c:pt>
                <c:pt idx="8">
                  <c:v>17.0137125444388</c:v>
                </c:pt>
                <c:pt idx="9">
                  <c:v>18.5221208251224</c:v>
                </c:pt>
                <c:pt idx="10">
                  <c:v>17.510023854235399</c:v>
                </c:pt>
                <c:pt idx="11">
                  <c:v>18.0761233928799</c:v>
                </c:pt>
                <c:pt idx="12">
                  <c:v>15.5447937752496</c:v>
                </c:pt>
                <c:pt idx="13">
                  <c:v>14.832724591457</c:v>
                </c:pt>
                <c:pt idx="14">
                  <c:v>17.109007591584799</c:v>
                </c:pt>
                <c:pt idx="15">
                  <c:v>14.112065383017001</c:v>
                </c:pt>
                <c:pt idx="16">
                  <c:v>16.230649749559301</c:v>
                </c:pt>
                <c:pt idx="17">
                  <c:v>14.073795641494099</c:v>
                </c:pt>
                <c:pt idx="18">
                  <c:v>16.415679565934902</c:v>
                </c:pt>
                <c:pt idx="19">
                  <c:v>14.440250297671801</c:v>
                </c:pt>
              </c:numCache>
            </c:numRef>
          </c:val>
          <c:smooth val="0"/>
        </c:ser>
        <c:ser>
          <c:idx val="1"/>
          <c:order val="2"/>
          <c:tx>
            <c:strRef>
              <c:f>'Age Sex'!$P$46</c:f>
              <c:strCache>
                <c:ptCount val="1"/>
                <c:pt idx="0">
                  <c:v>45–64</c:v>
                </c:pt>
              </c:strCache>
            </c:strRef>
          </c:tx>
          <c:spPr>
            <a:ln w="22225" cap="rnd">
              <a:solidFill>
                <a:schemeClr val="accent1"/>
              </a:solidFill>
              <a:round/>
            </a:ln>
            <a:effectLst/>
          </c:spPr>
          <c:marker>
            <c:symbol val="none"/>
          </c:marker>
          <c:cat>
            <c:numRef>
              <c:f>'Age Sex'!$R$27:$AK$27</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'Age Sex'!$R$46:$AK$46</c:f>
              <c:numCache>
                <c:formatCode>0.0</c:formatCode>
                <c:ptCount val="20"/>
                <c:pt idx="0">
                  <c:v>13.689805121597701</c:v>
                </c:pt>
                <c:pt idx="1">
                  <c:v>13.2947524829905</c:v>
                </c:pt>
                <c:pt idx="2">
                  <c:v>14.4382385348987</c:v>
                </c:pt>
                <c:pt idx="3">
                  <c:v>12.805358550039401</c:v>
                </c:pt>
                <c:pt idx="4">
                  <c:v>12.338580224729901</c:v>
                </c:pt>
                <c:pt idx="5">
                  <c:v>10.7217359889053</c:v>
                </c:pt>
                <c:pt idx="6">
                  <c:v>12.760575468076</c:v>
                </c:pt>
                <c:pt idx="7">
                  <c:v>14.759744164434499</c:v>
                </c:pt>
                <c:pt idx="8">
                  <c:v>12.500662111340599</c:v>
                </c:pt>
                <c:pt idx="9">
                  <c:v>13.998970663921799</c:v>
                </c:pt>
                <c:pt idx="10">
                  <c:v>14.119060731988201</c:v>
                </c:pt>
                <c:pt idx="11">
                  <c:v>13.8509559110417</c:v>
                </c:pt>
                <c:pt idx="12">
                  <c:v>15.090829710901501</c:v>
                </c:pt>
                <c:pt idx="13">
                  <c:v>14.740238068750701</c:v>
                </c:pt>
                <c:pt idx="14">
                  <c:v>14.628650347998301</c:v>
                </c:pt>
                <c:pt idx="15">
                  <c:v>13.4247409025006</c:v>
                </c:pt>
                <c:pt idx="16">
                  <c:v>13.0385034991086</c:v>
                </c:pt>
                <c:pt idx="17">
                  <c:v>16.0695468914647</c:v>
                </c:pt>
                <c:pt idx="18">
                  <c:v>14.214394674802399</c:v>
                </c:pt>
                <c:pt idx="19">
                  <c:v>14.4451852231738</c:v>
                </c:pt>
              </c:numCache>
            </c:numRef>
          </c:val>
          <c:smooth val="0"/>
        </c:ser>
        <c:ser>
          <c:idx val="2"/>
          <c:order val="3"/>
          <c:tx>
            <c:strRef>
              <c:f>'Age Sex'!$P$47</c:f>
              <c:strCache>
                <c:ptCount val="1"/>
                <c:pt idx="0">
                  <c:v>65+</c:v>
                </c:pt>
              </c:strCache>
            </c:strRef>
          </c:tx>
          <c:spPr>
            <a:ln w="22225" cap="rnd">
              <a:solidFill>
                <a:schemeClr val="accent1">
                  <a:lumMod val="40000"/>
                  <a:lumOff val="60000"/>
                </a:schemeClr>
              </a:solidFill>
              <a:prstDash val="solid"/>
              <a:round/>
            </a:ln>
            <a:effectLst/>
          </c:spPr>
          <c:marker>
            <c:symbol val="none"/>
          </c:marker>
          <c:cat>
            <c:numRef>
              <c:f>'Age Sex'!$R$27:$AK$27</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'Age Sex'!$R$47:$AK$47</c:f>
              <c:numCache>
                <c:formatCode>0.0</c:formatCode>
                <c:ptCount val="20"/>
                <c:pt idx="0">
                  <c:v>15.353121801433</c:v>
                </c:pt>
                <c:pt idx="1">
                  <c:v>12.387594053954899</c:v>
                </c:pt>
                <c:pt idx="2">
                  <c:v>14.481603837625</c:v>
                </c:pt>
                <c:pt idx="3">
                  <c:v>11.6169965595818</c:v>
                </c:pt>
                <c:pt idx="4">
                  <c:v>10.364979600838</c:v>
                </c:pt>
                <c:pt idx="5">
                  <c:v>13.900653765122399</c:v>
                </c:pt>
                <c:pt idx="6">
                  <c:v>10.268697586856099</c:v>
                </c:pt>
                <c:pt idx="7">
                  <c:v>14.086283744008099</c:v>
                </c:pt>
                <c:pt idx="8">
                  <c:v>11.345820612261701</c:v>
                </c:pt>
                <c:pt idx="9">
                  <c:v>9.6622247272434496</c:v>
                </c:pt>
                <c:pt idx="10">
                  <c:v>9.97125931139656</c:v>
                </c:pt>
                <c:pt idx="11">
                  <c:v>9.5254424568021197</c:v>
                </c:pt>
                <c:pt idx="12">
                  <c:v>9.5243431004538106</c:v>
                </c:pt>
                <c:pt idx="13">
                  <c:v>9.8484433988072393</c:v>
                </c:pt>
                <c:pt idx="14">
                  <c:v>10.1162481142959</c:v>
                </c:pt>
                <c:pt idx="15">
                  <c:v>7.7496684864036398</c:v>
                </c:pt>
                <c:pt idx="16">
                  <c:v>9.4530498523997508</c:v>
                </c:pt>
                <c:pt idx="17">
                  <c:v>8.9415446518385995</c:v>
                </c:pt>
                <c:pt idx="18">
                  <c:v>9.2238158926347804</c:v>
                </c:pt>
                <c:pt idx="19">
                  <c:v>9.49273212696529</c:v>
                </c:pt>
              </c:numCache>
            </c:numRef>
          </c:val>
          <c:smooth val="0"/>
        </c:ser>
        <c:dLbls>
          <c:showLegendKey val="0"/>
          <c:showVal val="0"/>
          <c:showCatName val="0"/>
          <c:showSerName val="0"/>
          <c:showPercent val="0"/>
          <c:showBubbleSize val="0"/>
        </c:dLbls>
        <c:smooth val="0"/>
        <c:axId val="776355616"/>
        <c:axId val="798974520"/>
      </c:lineChart>
      <c:catAx>
        <c:axId val="776355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8974520"/>
        <c:crosses val="autoZero"/>
        <c:auto val="1"/>
        <c:lblAlgn val="ctr"/>
        <c:lblOffset val="100"/>
        <c:tickLblSkip val="2"/>
        <c:noMultiLvlLbl val="0"/>
      </c:catAx>
      <c:valAx>
        <c:axId val="798974520"/>
        <c:scaling>
          <c:orientation val="minMax"/>
          <c:max val="3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6355616"/>
        <c:crosses val="autoZero"/>
        <c:crossBetween val="between"/>
        <c:majorUnit val="5"/>
      </c:valAx>
      <c:spPr>
        <a:noFill/>
        <a:ln w="25400">
          <a:noFill/>
        </a:ln>
        <a:effectLst/>
      </c:spPr>
    </c:plotArea>
    <c:legend>
      <c:legendPos val="r"/>
      <c:layout>
        <c:manualLayout>
          <c:xMode val="edge"/>
          <c:yMode val="edge"/>
          <c:x val="0.84136734006734004"/>
          <c:y val="2.9974878140232464E-2"/>
          <c:w val="0.15863269230769231"/>
          <c:h val="0.362820370370370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4803149606299213" l="0.70866141732283472" r="0.70866141732283472" t="0.74803149606299213" header="0.31496062992125984" footer="0.31496062992125984"/>
    <c:pageSetup orientation="landscape"/>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900" b="1">
                <a:solidFill>
                  <a:sysClr val="windowText" lastClr="000000"/>
                </a:solidFill>
              </a:rPr>
              <a:t>65+ years</a:t>
            </a:r>
          </a:p>
        </c:rich>
      </c:tx>
      <c:layout>
        <c:manualLayout>
          <c:xMode val="edge"/>
          <c:yMode val="edge"/>
          <c:x val="0.38938030465721263"/>
          <c:y val="4.2110475339950902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2067980191493777"/>
          <c:y val="0.17097350355839042"/>
          <c:w val="0.82727438433313905"/>
          <c:h val="0.66546388888888885"/>
        </c:manualLayout>
      </c:layout>
      <c:lineChart>
        <c:grouping val="standard"/>
        <c:varyColors val="0"/>
        <c:ser>
          <c:idx val="0"/>
          <c:order val="0"/>
          <c:tx>
            <c:strRef>
              <c:f>'Age Sex'!$O$49</c:f>
              <c:strCache>
                <c:ptCount val="1"/>
                <c:pt idx="0">
                  <c:v>Male</c:v>
                </c:pt>
              </c:strCache>
            </c:strRef>
          </c:tx>
          <c:spPr>
            <a:ln w="22225" cap="rnd">
              <a:solidFill>
                <a:schemeClr val="bg1">
                  <a:lumMod val="50000"/>
                </a:schemeClr>
              </a:solidFill>
              <a:round/>
            </a:ln>
            <a:effectLst/>
          </c:spPr>
          <c:marker>
            <c:symbol val="none"/>
          </c:marker>
          <c:trendline>
            <c:spPr>
              <a:ln w="19050" cap="rnd">
                <a:solidFill>
                  <a:schemeClr val="bg1">
                    <a:lumMod val="50000"/>
                  </a:schemeClr>
                </a:solidFill>
                <a:prstDash val="sysDot"/>
              </a:ln>
              <a:effectLst/>
            </c:spPr>
            <c:trendlineType val="movingAvg"/>
            <c:period val="5"/>
            <c:dispRSqr val="0"/>
            <c:dispEq val="0"/>
          </c:trendline>
          <c:cat>
            <c:numRef>
              <c:f>'Age Sex'!$R$27:$AK$27</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'Age Sex'!$R$52:$AK$52</c:f>
              <c:numCache>
                <c:formatCode>0.0</c:formatCode>
                <c:ptCount val="20"/>
                <c:pt idx="0">
                  <c:v>28.5529576554251</c:v>
                </c:pt>
                <c:pt idx="1">
                  <c:v>24.361826077745999</c:v>
                </c:pt>
                <c:pt idx="2">
                  <c:v>25.019546520719299</c:v>
                </c:pt>
                <c:pt idx="3">
                  <c:v>18.4729064039409</c:v>
                </c:pt>
                <c:pt idx="4">
                  <c:v>20.708116571544</c:v>
                </c:pt>
                <c:pt idx="5">
                  <c:v>23.830801310694099</c:v>
                </c:pt>
                <c:pt idx="6">
                  <c:v>17.5378769425635</c:v>
                </c:pt>
                <c:pt idx="7">
                  <c:v>21.930870083432701</c:v>
                </c:pt>
                <c:pt idx="8">
                  <c:v>21.446221269056799</c:v>
                </c:pt>
                <c:pt idx="9">
                  <c:v>14.4783277531445</c:v>
                </c:pt>
                <c:pt idx="10">
                  <c:v>14.4167758846658</c:v>
                </c:pt>
                <c:pt idx="11">
                  <c:v>17.793594306049801</c:v>
                </c:pt>
                <c:pt idx="12">
                  <c:v>14.890800794176</c:v>
                </c:pt>
                <c:pt idx="13">
                  <c:v>16.489703989704001</c:v>
                </c:pt>
                <c:pt idx="14">
                  <c:v>16.766093500214399</c:v>
                </c:pt>
                <c:pt idx="15">
                  <c:v>11.676082862523501</c:v>
                </c:pt>
                <c:pt idx="16">
                  <c:v>15.527389593038</c:v>
                </c:pt>
                <c:pt idx="17">
                  <c:v>16.625103906899401</c:v>
                </c:pt>
                <c:pt idx="18">
                  <c:v>16.2817743811264</c:v>
                </c:pt>
                <c:pt idx="19">
                  <c:v>15.3516487031055</c:v>
                </c:pt>
              </c:numCache>
            </c:numRef>
          </c:val>
          <c:smooth val="0"/>
        </c:ser>
        <c:ser>
          <c:idx val="1"/>
          <c:order val="1"/>
          <c:tx>
            <c:strRef>
              <c:f>'Age Sex'!$O$54</c:f>
              <c:strCache>
                <c:ptCount val="1"/>
                <c:pt idx="0">
                  <c:v>Female</c:v>
                </c:pt>
              </c:strCache>
            </c:strRef>
          </c:tx>
          <c:spPr>
            <a:ln w="22225" cap="rnd">
              <a:solidFill>
                <a:schemeClr val="accent1"/>
              </a:solidFill>
              <a:round/>
            </a:ln>
            <a:effectLst/>
          </c:spPr>
          <c:marker>
            <c:symbol val="none"/>
          </c:marker>
          <c:trendline>
            <c:spPr>
              <a:ln w="22225" cap="rnd">
                <a:solidFill>
                  <a:schemeClr val="accent2"/>
                </a:solidFill>
                <a:prstDash val="sysDot"/>
              </a:ln>
              <a:effectLst/>
            </c:spPr>
            <c:trendlineType val="movingAvg"/>
            <c:period val="5"/>
            <c:dispRSqr val="0"/>
            <c:dispEq val="0"/>
          </c:trendline>
          <c:cat>
            <c:numRef>
              <c:f>'Age Sex'!$R$27:$AK$27</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'Age Sex'!$R$57:$AK$57</c:f>
              <c:numCache>
                <c:formatCode>0.0</c:formatCode>
                <c:ptCount val="20"/>
                <c:pt idx="0">
                  <c:v>5.3219797764768497</c:v>
                </c:pt>
                <c:pt idx="1">
                  <c:v>3.2375556454876602</c:v>
                </c:pt>
                <c:pt idx="2">
                  <c:v>6.3979526551503501</c:v>
                </c:pt>
                <c:pt idx="3">
                  <c:v>6.3303659742828904</c:v>
                </c:pt>
                <c:pt idx="4">
                  <c:v>2.3488881929220198</c:v>
                </c:pt>
                <c:pt idx="5">
                  <c:v>6.1773676692019599</c:v>
                </c:pt>
                <c:pt idx="6">
                  <c:v>4.5754375262134399</c:v>
                </c:pt>
                <c:pt idx="7">
                  <c:v>7.8982999849556199</c:v>
                </c:pt>
                <c:pt idx="8">
                  <c:v>3.33123588851464</c:v>
                </c:pt>
                <c:pt idx="9">
                  <c:v>5.8025676361790097</c:v>
                </c:pt>
                <c:pt idx="10">
                  <c:v>6.3701029833315603</c:v>
                </c:pt>
                <c:pt idx="11">
                  <c:v>2.7696036004846798</c:v>
                </c:pt>
                <c:pt idx="12">
                  <c:v>5.1070784106772003</c:v>
                </c:pt>
                <c:pt idx="13">
                  <c:v>4.3381052491073504</c:v>
                </c:pt>
                <c:pt idx="14">
                  <c:v>4.5607062579405104</c:v>
                </c:pt>
                <c:pt idx="15">
                  <c:v>4.4406381831446096</c:v>
                </c:pt>
                <c:pt idx="16">
                  <c:v>4.2935565982764397</c:v>
                </c:pt>
                <c:pt idx="17">
                  <c:v>2.36987883994431</c:v>
                </c:pt>
                <c:pt idx="18">
                  <c:v>3.1469931910511</c:v>
                </c:pt>
                <c:pt idx="19">
                  <c:v>4.42575791104227</c:v>
                </c:pt>
              </c:numCache>
            </c:numRef>
          </c:val>
          <c:smooth val="0"/>
        </c:ser>
        <c:dLbls>
          <c:showLegendKey val="0"/>
          <c:showVal val="0"/>
          <c:showCatName val="0"/>
          <c:showSerName val="0"/>
          <c:showPercent val="0"/>
          <c:showBubbleSize val="0"/>
        </c:dLbls>
        <c:smooth val="0"/>
        <c:axId val="798974912"/>
        <c:axId val="798979224"/>
      </c:lineChart>
      <c:catAx>
        <c:axId val="7989749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8979224"/>
        <c:crosses val="autoZero"/>
        <c:auto val="1"/>
        <c:lblAlgn val="ctr"/>
        <c:lblOffset val="100"/>
        <c:tickLblSkip val="3"/>
        <c:noMultiLvlLbl val="0"/>
      </c:catAx>
      <c:valAx>
        <c:axId val="798979224"/>
        <c:scaling>
          <c:orientation val="minMax"/>
          <c:max val="5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89749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6321885621603E-2"/>
          <c:y val="0.11509605416969937"/>
          <c:w val="0.88789371513453352"/>
          <c:h val="0.71127680742015664"/>
        </c:manualLayout>
      </c:layout>
      <c:barChart>
        <c:barDir val="col"/>
        <c:grouping val="clustered"/>
        <c:varyColors val="0"/>
        <c:ser>
          <c:idx val="0"/>
          <c:order val="0"/>
          <c:tx>
            <c:strRef>
              <c:f>'Quick facts'!$T$86</c:f>
              <c:strCache>
                <c:ptCount val="1"/>
                <c:pt idx="0">
                  <c:v>Māori male </c:v>
                </c:pt>
              </c:strCache>
            </c:strRef>
          </c:tx>
          <c:spPr>
            <a:solidFill>
              <a:schemeClr val="bg1">
                <a:lumMod val="50000"/>
              </a:schemeClr>
            </a:solidFill>
            <a:ln>
              <a:noFill/>
            </a:ln>
            <a:effectLst/>
          </c:spPr>
          <c:invertIfNegative val="0"/>
          <c:cat>
            <c:strRef>
              <c:f>'Quick facts'!$X$79:$AM$79</c:f>
              <c:strCache>
                <c:ptCount val="16"/>
                <c:pt idx="0">
                  <c:v>10–14</c:v>
                </c:pt>
                <c:pt idx="1">
                  <c:v>15–19</c:v>
                </c:pt>
                <c:pt idx="2">
                  <c:v>20–24</c:v>
                </c:pt>
                <c:pt idx="3">
                  <c:v>25–29</c:v>
                </c:pt>
                <c:pt idx="4">
                  <c:v>30–34</c:v>
                </c:pt>
                <c:pt idx="5">
                  <c:v>35–39</c:v>
                </c:pt>
                <c:pt idx="6">
                  <c:v>40–44</c:v>
                </c:pt>
                <c:pt idx="7">
                  <c:v>45–49</c:v>
                </c:pt>
                <c:pt idx="8">
                  <c:v>50–54</c:v>
                </c:pt>
                <c:pt idx="9">
                  <c:v>55–59</c:v>
                </c:pt>
                <c:pt idx="10">
                  <c:v>60–64</c:v>
                </c:pt>
                <c:pt idx="11">
                  <c:v>65–69</c:v>
                </c:pt>
                <c:pt idx="12">
                  <c:v>70–74</c:v>
                </c:pt>
                <c:pt idx="13">
                  <c:v>75–79</c:v>
                </c:pt>
                <c:pt idx="14">
                  <c:v>80–84</c:v>
                </c:pt>
                <c:pt idx="15">
                  <c:v>85+</c:v>
                </c:pt>
              </c:strCache>
            </c:strRef>
          </c:cat>
          <c:val>
            <c:numRef>
              <c:f>'Quick facts'!$X$86:$AM$86</c:f>
              <c:numCache>
                <c:formatCode>0.0</c:formatCode>
                <c:ptCount val="16"/>
                <c:pt idx="0">
                  <c:v>60</c:v>
                </c:pt>
                <c:pt idx="1">
                  <c:v>25</c:v>
                </c:pt>
                <c:pt idx="2">
                  <c:v>34.4</c:v>
                </c:pt>
                <c:pt idx="3">
                  <c:v>34.1</c:v>
                </c:pt>
                <c:pt idx="4">
                  <c:v>27.3</c:v>
                </c:pt>
                <c:pt idx="5">
                  <c:v>22.6</c:v>
                </c:pt>
                <c:pt idx="6">
                  <c:v>11.9</c:v>
                </c:pt>
                <c:pt idx="7">
                  <c:v>4.3</c:v>
                </c:pt>
                <c:pt idx="8">
                  <c:v>2.9</c:v>
                </c:pt>
                <c:pt idx="9">
                  <c:v>1.7</c:v>
                </c:pt>
                <c:pt idx="10">
                  <c:v>2</c:v>
                </c:pt>
                <c:pt idx="11">
                  <c:v>0</c:v>
                </c:pt>
                <c:pt idx="12">
                  <c:v>0</c:v>
                </c:pt>
                <c:pt idx="13">
                  <c:v>0</c:v>
                </c:pt>
                <c:pt idx="14">
                  <c:v>0</c:v>
                </c:pt>
                <c:pt idx="15">
                  <c:v>0</c:v>
                </c:pt>
              </c:numCache>
            </c:numRef>
          </c:val>
        </c:ser>
        <c:ser>
          <c:idx val="1"/>
          <c:order val="1"/>
          <c:tx>
            <c:strRef>
              <c:f>'Quick facts'!$T$87</c:f>
              <c:strCache>
                <c:ptCount val="1"/>
                <c:pt idx="0">
                  <c:v>Māori female </c:v>
                </c:pt>
              </c:strCache>
            </c:strRef>
          </c:tx>
          <c:spPr>
            <a:solidFill>
              <a:schemeClr val="accent1"/>
            </a:solidFill>
            <a:ln>
              <a:noFill/>
            </a:ln>
            <a:effectLst/>
          </c:spPr>
          <c:invertIfNegative val="0"/>
          <c:cat>
            <c:strRef>
              <c:f>'Quick facts'!$X$79:$AM$79</c:f>
              <c:strCache>
                <c:ptCount val="16"/>
                <c:pt idx="0">
                  <c:v>10–14</c:v>
                </c:pt>
                <c:pt idx="1">
                  <c:v>15–19</c:v>
                </c:pt>
                <c:pt idx="2">
                  <c:v>20–24</c:v>
                </c:pt>
                <c:pt idx="3">
                  <c:v>25–29</c:v>
                </c:pt>
                <c:pt idx="4">
                  <c:v>30–34</c:v>
                </c:pt>
                <c:pt idx="5">
                  <c:v>35–39</c:v>
                </c:pt>
                <c:pt idx="6">
                  <c:v>40–44</c:v>
                </c:pt>
                <c:pt idx="7">
                  <c:v>45–49</c:v>
                </c:pt>
                <c:pt idx="8">
                  <c:v>50–54</c:v>
                </c:pt>
                <c:pt idx="9">
                  <c:v>55–59</c:v>
                </c:pt>
                <c:pt idx="10">
                  <c:v>60–64</c:v>
                </c:pt>
                <c:pt idx="11">
                  <c:v>65–69</c:v>
                </c:pt>
                <c:pt idx="12">
                  <c:v>70–74</c:v>
                </c:pt>
                <c:pt idx="13">
                  <c:v>75–79</c:v>
                </c:pt>
                <c:pt idx="14">
                  <c:v>80–84</c:v>
                </c:pt>
                <c:pt idx="15">
                  <c:v>85+</c:v>
                </c:pt>
              </c:strCache>
            </c:strRef>
          </c:cat>
          <c:val>
            <c:numRef>
              <c:f>'Quick facts'!$X$87:$AM$87</c:f>
              <c:numCache>
                <c:formatCode>0.0</c:formatCode>
                <c:ptCount val="16"/>
                <c:pt idx="0">
                  <c:v>20</c:v>
                </c:pt>
                <c:pt idx="1">
                  <c:v>63.6</c:v>
                </c:pt>
                <c:pt idx="2">
                  <c:v>50</c:v>
                </c:pt>
                <c:pt idx="3">
                  <c:v>28.6</c:v>
                </c:pt>
                <c:pt idx="4">
                  <c:v>20.8</c:v>
                </c:pt>
                <c:pt idx="5">
                  <c:v>15.4</c:v>
                </c:pt>
                <c:pt idx="6">
                  <c:v>2.6</c:v>
                </c:pt>
                <c:pt idx="7">
                  <c:v>0</c:v>
                </c:pt>
                <c:pt idx="8">
                  <c:v>2.1</c:v>
                </c:pt>
                <c:pt idx="9">
                  <c:v>0.7</c:v>
                </c:pt>
                <c:pt idx="10">
                  <c:v>0</c:v>
                </c:pt>
                <c:pt idx="11">
                  <c:v>0</c:v>
                </c:pt>
                <c:pt idx="12">
                  <c:v>0</c:v>
                </c:pt>
                <c:pt idx="13">
                  <c:v>0</c:v>
                </c:pt>
                <c:pt idx="14">
                  <c:v>0</c:v>
                </c:pt>
                <c:pt idx="15">
                  <c:v>0</c:v>
                </c:pt>
              </c:numCache>
            </c:numRef>
          </c:val>
        </c:ser>
        <c:dLbls>
          <c:showLegendKey val="0"/>
          <c:showVal val="0"/>
          <c:showCatName val="0"/>
          <c:showSerName val="0"/>
          <c:showPercent val="0"/>
          <c:showBubbleSize val="0"/>
        </c:dLbls>
        <c:gapWidth val="59"/>
        <c:overlap val="-10"/>
        <c:axId val="799496968"/>
        <c:axId val="799497360"/>
      </c:barChart>
      <c:catAx>
        <c:axId val="79949696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9497360"/>
        <c:crosses val="autoZero"/>
        <c:auto val="1"/>
        <c:lblAlgn val="ctr"/>
        <c:lblOffset val="100"/>
        <c:noMultiLvlLbl val="0"/>
      </c:catAx>
      <c:valAx>
        <c:axId val="799497360"/>
        <c:scaling>
          <c:orientation val="minMax"/>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9496968"/>
        <c:crosses val="autoZero"/>
        <c:crossBetween val="between"/>
      </c:valAx>
      <c:spPr>
        <a:noFill/>
        <a:ln>
          <a:noFill/>
        </a:ln>
        <a:effectLst/>
      </c:spPr>
    </c:plotArea>
    <c:legend>
      <c:legendPos val="b"/>
      <c:layout>
        <c:manualLayout>
          <c:xMode val="edge"/>
          <c:yMode val="edge"/>
          <c:x val="0.46497217847769023"/>
          <c:y val="1.772398537519058E-3"/>
          <c:w val="0.47336913580246914"/>
          <c:h val="9.921944444444444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900" b="1">
                <a:solidFill>
                  <a:sysClr val="windowText" lastClr="000000"/>
                </a:solidFill>
              </a:rPr>
              <a:t>15–24 years</a:t>
            </a:r>
          </a:p>
        </c:rich>
      </c:tx>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416952380952381"/>
          <c:y val="0.26875416357708642"/>
          <c:w val="0.8088251185975126"/>
          <c:h val="0.58881254193001653"/>
        </c:manualLayout>
      </c:layout>
      <c:lineChart>
        <c:grouping val="standard"/>
        <c:varyColors val="0"/>
        <c:ser>
          <c:idx val="0"/>
          <c:order val="0"/>
          <c:tx>
            <c:strRef>
              <c:f>'Age Sex'!$O$49</c:f>
              <c:strCache>
                <c:ptCount val="1"/>
                <c:pt idx="0">
                  <c:v>Male</c:v>
                </c:pt>
              </c:strCache>
            </c:strRef>
          </c:tx>
          <c:spPr>
            <a:ln w="22225" cap="rnd">
              <a:solidFill>
                <a:schemeClr val="bg1">
                  <a:lumMod val="50000"/>
                </a:schemeClr>
              </a:solidFill>
              <a:round/>
            </a:ln>
            <a:effectLst/>
          </c:spPr>
          <c:marker>
            <c:symbol val="none"/>
          </c:marker>
          <c:trendline>
            <c:spPr>
              <a:ln w="19050" cap="rnd">
                <a:solidFill>
                  <a:schemeClr val="bg1">
                    <a:lumMod val="50000"/>
                  </a:schemeClr>
                </a:solidFill>
                <a:prstDash val="sysDot"/>
              </a:ln>
              <a:effectLst/>
            </c:spPr>
            <c:trendlineType val="movingAvg"/>
            <c:period val="5"/>
            <c:dispRSqr val="0"/>
            <c:dispEq val="0"/>
          </c:trendline>
          <c:cat>
            <c:numRef>
              <c:f>'Age Sex'!$R$27:$AK$27</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'Age Sex'!$R$49:$AK$49</c:f>
              <c:numCache>
                <c:formatCode>0.0</c:formatCode>
                <c:ptCount val="20"/>
                <c:pt idx="0">
                  <c:v>37.722292078318702</c:v>
                </c:pt>
                <c:pt idx="1">
                  <c:v>41.037187681580498</c:v>
                </c:pt>
                <c:pt idx="2">
                  <c:v>38.696837915530303</c:v>
                </c:pt>
                <c:pt idx="3">
                  <c:v>30.986336145747799</c:v>
                </c:pt>
                <c:pt idx="4">
                  <c:v>30.326856115916001</c:v>
                </c:pt>
                <c:pt idx="5">
                  <c:v>32.200755052187397</c:v>
                </c:pt>
                <c:pt idx="6">
                  <c:v>23.606838829673102</c:v>
                </c:pt>
                <c:pt idx="7">
                  <c:v>23.062889401397499</c:v>
                </c:pt>
                <c:pt idx="8">
                  <c:v>27.974384900573</c:v>
                </c:pt>
                <c:pt idx="9">
                  <c:v>27.9273887891482</c:v>
                </c:pt>
                <c:pt idx="10">
                  <c:v>31.150604977538801</c:v>
                </c:pt>
                <c:pt idx="11">
                  <c:v>23.2421107764829</c:v>
                </c:pt>
                <c:pt idx="12">
                  <c:v>27.1899364476184</c:v>
                </c:pt>
                <c:pt idx="13">
                  <c:v>30.900338277387501</c:v>
                </c:pt>
                <c:pt idx="14">
                  <c:v>24.6945255123312</c:v>
                </c:pt>
                <c:pt idx="15">
                  <c:v>30.454920373072799</c:v>
                </c:pt>
                <c:pt idx="16">
                  <c:v>33.785917271866097</c:v>
                </c:pt>
                <c:pt idx="17">
                  <c:v>23.131505735988199</c:v>
                </c:pt>
                <c:pt idx="18">
                  <c:v>20.7096086493071</c:v>
                </c:pt>
                <c:pt idx="19">
                  <c:v>20.334787221501799</c:v>
                </c:pt>
              </c:numCache>
            </c:numRef>
          </c:val>
          <c:smooth val="0"/>
        </c:ser>
        <c:ser>
          <c:idx val="1"/>
          <c:order val="1"/>
          <c:tx>
            <c:strRef>
              <c:f>'Age Sex'!$O$54</c:f>
              <c:strCache>
                <c:ptCount val="1"/>
                <c:pt idx="0">
                  <c:v>Female</c:v>
                </c:pt>
              </c:strCache>
            </c:strRef>
          </c:tx>
          <c:spPr>
            <a:ln w="22225" cap="rnd">
              <a:solidFill>
                <a:schemeClr val="accent1"/>
              </a:solidFill>
              <a:round/>
            </a:ln>
            <a:effectLst/>
          </c:spPr>
          <c:marker>
            <c:symbol val="none"/>
          </c:marker>
          <c:trendline>
            <c:spPr>
              <a:ln w="22225" cap="rnd">
                <a:solidFill>
                  <a:schemeClr val="accent2"/>
                </a:solidFill>
                <a:prstDash val="sysDot"/>
              </a:ln>
              <a:effectLst/>
            </c:spPr>
            <c:trendlineType val="movingAvg"/>
            <c:period val="5"/>
            <c:dispRSqr val="0"/>
            <c:dispEq val="0"/>
          </c:trendline>
          <c:cat>
            <c:numRef>
              <c:f>'Age Sex'!$R$27:$AK$27</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'Age Sex'!$R$54:$AK$54</c:f>
              <c:numCache>
                <c:formatCode>0.0</c:formatCode>
                <c:ptCount val="20"/>
                <c:pt idx="0">
                  <c:v>13.922473803766399</c:v>
                </c:pt>
                <c:pt idx="1">
                  <c:v>10.7694592988711</c:v>
                </c:pt>
                <c:pt idx="2">
                  <c:v>13.1757265472067</c:v>
                </c:pt>
                <c:pt idx="3">
                  <c:v>14.0861156584307</c:v>
                </c:pt>
                <c:pt idx="4">
                  <c:v>5.7297834141869401</c:v>
                </c:pt>
                <c:pt idx="5">
                  <c:v>8.6963097398669102</c:v>
                </c:pt>
                <c:pt idx="6">
                  <c:v>10.994246344413099</c:v>
                </c:pt>
                <c:pt idx="7">
                  <c:v>10.955612100650299</c:v>
                </c:pt>
                <c:pt idx="8">
                  <c:v>10.711447427525</c:v>
                </c:pt>
                <c:pt idx="9">
                  <c:v>8.4895408856289105</c:v>
                </c:pt>
                <c:pt idx="10">
                  <c:v>8.01496126102057</c:v>
                </c:pt>
                <c:pt idx="11">
                  <c:v>7.64119601328904</c:v>
                </c:pt>
                <c:pt idx="12">
                  <c:v>12.6132704882663</c:v>
                </c:pt>
                <c:pt idx="13">
                  <c:v>6.9318369367882502</c:v>
                </c:pt>
                <c:pt idx="14">
                  <c:v>11.1103849421606</c:v>
                </c:pt>
                <c:pt idx="15">
                  <c:v>11.056551006471301</c:v>
                </c:pt>
                <c:pt idx="16">
                  <c:v>13.3238008579228</c:v>
                </c:pt>
                <c:pt idx="17">
                  <c:v>12.3120787973043</c:v>
                </c:pt>
                <c:pt idx="18">
                  <c:v>7.0478936408777804</c:v>
                </c:pt>
                <c:pt idx="19">
                  <c:v>13.2391879964695</c:v>
                </c:pt>
              </c:numCache>
            </c:numRef>
          </c:val>
          <c:smooth val="0"/>
        </c:ser>
        <c:dLbls>
          <c:showLegendKey val="0"/>
          <c:showVal val="0"/>
          <c:showCatName val="0"/>
          <c:showSerName val="0"/>
          <c:showPercent val="0"/>
          <c:showBubbleSize val="0"/>
        </c:dLbls>
        <c:smooth val="0"/>
        <c:axId val="798973736"/>
        <c:axId val="798971776"/>
      </c:lineChart>
      <c:catAx>
        <c:axId val="798973736"/>
        <c:scaling>
          <c:orientation val="minMax"/>
        </c:scaling>
        <c:delete val="0"/>
        <c:axPos val="b"/>
        <c:numFmt formatCode="General"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8971776"/>
        <c:crossesAt val="0"/>
        <c:auto val="1"/>
        <c:lblAlgn val="ctr"/>
        <c:lblOffset val="100"/>
        <c:tickLblSkip val="3"/>
        <c:noMultiLvlLbl val="0"/>
      </c:catAx>
      <c:valAx>
        <c:axId val="798971776"/>
        <c:scaling>
          <c:orientation val="minMax"/>
          <c:max val="5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8973736"/>
        <c:crosses val="autoZero"/>
        <c:crossBetween val="between"/>
        <c:majorUnit val="10"/>
      </c:valAx>
      <c:spPr>
        <a:noFill/>
        <a:ln>
          <a:noFill/>
        </a:ln>
        <a:effectLst/>
      </c:spPr>
    </c:plotArea>
    <c:legend>
      <c:legendPos val="t"/>
      <c:legendEntry>
        <c:idx val="2"/>
        <c:delete val="1"/>
      </c:legendEntry>
      <c:legendEntry>
        <c:idx val="3"/>
        <c:delete val="1"/>
      </c:legendEntry>
      <c:layout>
        <c:manualLayout>
          <c:xMode val="edge"/>
          <c:yMode val="edge"/>
          <c:x val="0.72399854601831382"/>
          <c:y val="9.6750350152419284E-2"/>
          <c:w val="0.27331379086483676"/>
          <c:h val="0.162801219354307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900" b="1">
                <a:solidFill>
                  <a:sysClr val="windowText" lastClr="000000"/>
                </a:solidFill>
              </a:rPr>
              <a:t>25–44 years</a:t>
            </a:r>
          </a:p>
        </c:rich>
      </c:tx>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1429201447120571"/>
          <c:y val="0.24649060527625127"/>
          <c:w val="0.81941843366322098"/>
          <c:h val="0.59696467404976605"/>
        </c:manualLayout>
      </c:layout>
      <c:lineChart>
        <c:grouping val="standard"/>
        <c:varyColors val="0"/>
        <c:ser>
          <c:idx val="0"/>
          <c:order val="0"/>
          <c:tx>
            <c:strRef>
              <c:f>'Age Sex'!$O$49</c:f>
              <c:strCache>
                <c:ptCount val="1"/>
                <c:pt idx="0">
                  <c:v>Male</c:v>
                </c:pt>
              </c:strCache>
            </c:strRef>
          </c:tx>
          <c:spPr>
            <a:ln w="22225" cap="rnd">
              <a:solidFill>
                <a:schemeClr val="bg1">
                  <a:lumMod val="50000"/>
                </a:schemeClr>
              </a:solidFill>
              <a:round/>
            </a:ln>
            <a:effectLst/>
          </c:spPr>
          <c:marker>
            <c:symbol val="none"/>
          </c:marker>
          <c:trendline>
            <c:spPr>
              <a:ln w="19050" cap="rnd">
                <a:solidFill>
                  <a:schemeClr val="bg1">
                    <a:lumMod val="50000"/>
                  </a:schemeClr>
                </a:solidFill>
                <a:prstDash val="sysDot"/>
              </a:ln>
              <a:effectLst/>
            </c:spPr>
            <c:trendlineType val="movingAvg"/>
            <c:period val="5"/>
            <c:dispRSqr val="0"/>
            <c:dispEq val="0"/>
          </c:trendline>
          <c:cat>
            <c:numRef>
              <c:f>'Age Sex'!$R$27:$AK$27</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'Age Sex'!$R$50:$AK$50</c:f>
              <c:numCache>
                <c:formatCode>0.0</c:formatCode>
                <c:ptCount val="20"/>
                <c:pt idx="0">
                  <c:v>33.369424377429503</c:v>
                </c:pt>
                <c:pt idx="1">
                  <c:v>35.230399803691299</c:v>
                </c:pt>
                <c:pt idx="2">
                  <c:v>34.094485435535198</c:v>
                </c:pt>
                <c:pt idx="3">
                  <c:v>31.6316668131096</c:v>
                </c:pt>
                <c:pt idx="4">
                  <c:v>30.2703085447239</c:v>
                </c:pt>
                <c:pt idx="5">
                  <c:v>33.795865817895702</c:v>
                </c:pt>
                <c:pt idx="6">
                  <c:v>29.545778157482602</c:v>
                </c:pt>
                <c:pt idx="7">
                  <c:v>28.730567208375899</c:v>
                </c:pt>
                <c:pt idx="8">
                  <c:v>28.260487976127799</c:v>
                </c:pt>
                <c:pt idx="9">
                  <c:v>28.278854091651599</c:v>
                </c:pt>
                <c:pt idx="10">
                  <c:v>25.852972212451601</c:v>
                </c:pt>
                <c:pt idx="11">
                  <c:v>29.127756103588901</c:v>
                </c:pt>
                <c:pt idx="12">
                  <c:v>23.638140940193701</c:v>
                </c:pt>
                <c:pt idx="13">
                  <c:v>23.565116486655398</c:v>
                </c:pt>
                <c:pt idx="14">
                  <c:v>26.170033519152501</c:v>
                </c:pt>
                <c:pt idx="15">
                  <c:v>23.499213680157599</c:v>
                </c:pt>
                <c:pt idx="16">
                  <c:v>26.0701524101218</c:v>
                </c:pt>
                <c:pt idx="17">
                  <c:v>20.807476089654699</c:v>
                </c:pt>
                <c:pt idx="18">
                  <c:v>25.330099703583901</c:v>
                </c:pt>
                <c:pt idx="19">
                  <c:v>23.744674907465601</c:v>
                </c:pt>
              </c:numCache>
            </c:numRef>
          </c:val>
          <c:smooth val="0"/>
        </c:ser>
        <c:ser>
          <c:idx val="1"/>
          <c:order val="1"/>
          <c:tx>
            <c:strRef>
              <c:f>'Age Sex'!$O$54</c:f>
              <c:strCache>
                <c:ptCount val="1"/>
                <c:pt idx="0">
                  <c:v>Female</c:v>
                </c:pt>
              </c:strCache>
            </c:strRef>
          </c:tx>
          <c:spPr>
            <a:ln w="22225" cap="rnd">
              <a:solidFill>
                <a:schemeClr val="accent1"/>
              </a:solidFill>
              <a:round/>
            </a:ln>
            <a:effectLst/>
          </c:spPr>
          <c:marker>
            <c:symbol val="none"/>
          </c:marker>
          <c:trendline>
            <c:spPr>
              <a:ln w="22225" cap="rnd">
                <a:solidFill>
                  <a:schemeClr val="accent2"/>
                </a:solidFill>
                <a:prstDash val="sysDot"/>
              </a:ln>
              <a:effectLst/>
            </c:spPr>
            <c:trendlineType val="movingAvg"/>
            <c:period val="5"/>
            <c:dispRSqr val="0"/>
            <c:dispEq val="0"/>
          </c:trendline>
          <c:cat>
            <c:numRef>
              <c:f>'Age Sex'!$R$27:$AK$27</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'Age Sex'!$R$55:$AK$55</c:f>
              <c:numCache>
                <c:formatCode>0.0</c:formatCode>
                <c:ptCount val="20"/>
                <c:pt idx="0">
                  <c:v>5.8194266153187799</c:v>
                </c:pt>
                <c:pt idx="1">
                  <c:v>9.2497603471182792</c:v>
                </c:pt>
                <c:pt idx="2">
                  <c:v>9.0082575694386495</c:v>
                </c:pt>
                <c:pt idx="3">
                  <c:v>9.1593391953104195</c:v>
                </c:pt>
                <c:pt idx="4">
                  <c:v>6.3395672411204398</c:v>
                </c:pt>
                <c:pt idx="5">
                  <c:v>8.3884172734288498</c:v>
                </c:pt>
                <c:pt idx="6">
                  <c:v>7.8309840381219002</c:v>
                </c:pt>
                <c:pt idx="7">
                  <c:v>8.8953315981945806</c:v>
                </c:pt>
                <c:pt idx="8">
                  <c:v>6.5392600827216398</c:v>
                </c:pt>
                <c:pt idx="9">
                  <c:v>9.4612009200202305</c:v>
                </c:pt>
                <c:pt idx="10">
                  <c:v>9.7785165990319296</c:v>
                </c:pt>
                <c:pt idx="11">
                  <c:v>7.8448036347590202</c:v>
                </c:pt>
                <c:pt idx="12">
                  <c:v>8.05722272465675</c:v>
                </c:pt>
                <c:pt idx="13">
                  <c:v>6.7636675574911704</c:v>
                </c:pt>
                <c:pt idx="14">
                  <c:v>8.7568567840856506</c:v>
                </c:pt>
                <c:pt idx="15">
                  <c:v>5.4831848996410999</c:v>
                </c:pt>
                <c:pt idx="16">
                  <c:v>7.1972550004184503</c:v>
                </c:pt>
                <c:pt idx="17">
                  <c:v>7.8847153953262099</c:v>
                </c:pt>
                <c:pt idx="18">
                  <c:v>8.1559280280963407</c:v>
                </c:pt>
                <c:pt idx="19">
                  <c:v>5.7242856909212803</c:v>
                </c:pt>
              </c:numCache>
            </c:numRef>
          </c:val>
          <c:smooth val="0"/>
        </c:ser>
        <c:dLbls>
          <c:showLegendKey val="0"/>
          <c:showVal val="0"/>
          <c:showCatName val="0"/>
          <c:showSerName val="0"/>
          <c:showPercent val="0"/>
          <c:showBubbleSize val="0"/>
        </c:dLbls>
        <c:smooth val="0"/>
        <c:axId val="798972952"/>
        <c:axId val="798975696"/>
      </c:lineChart>
      <c:catAx>
        <c:axId val="798972952"/>
        <c:scaling>
          <c:orientation val="minMax"/>
        </c:scaling>
        <c:delete val="0"/>
        <c:axPos val="b"/>
        <c:numFmt formatCode="General"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8975696"/>
        <c:crossesAt val="0"/>
        <c:auto val="1"/>
        <c:lblAlgn val="ctr"/>
        <c:lblOffset val="100"/>
        <c:tickLblSkip val="3"/>
        <c:noMultiLvlLbl val="0"/>
      </c:catAx>
      <c:valAx>
        <c:axId val="798975696"/>
        <c:scaling>
          <c:orientation val="minMax"/>
          <c:max val="5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8972952"/>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900" b="1">
                <a:solidFill>
                  <a:sysClr val="windowText" lastClr="000000"/>
                </a:solidFill>
              </a:rPr>
              <a:t>45–64 years</a:t>
            </a:r>
          </a:p>
        </c:rich>
      </c:tx>
      <c:layout>
        <c:manualLayout>
          <c:xMode val="edge"/>
          <c:yMode val="edge"/>
          <c:x val="0.33933116972249516"/>
          <c:y val="5.6669400699912519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4473815378755889"/>
          <c:y val="0.17093611111111112"/>
          <c:w val="0.81529801842552729"/>
          <c:h val="0.67251944444444445"/>
        </c:manualLayout>
      </c:layout>
      <c:lineChart>
        <c:grouping val="standard"/>
        <c:varyColors val="0"/>
        <c:ser>
          <c:idx val="0"/>
          <c:order val="0"/>
          <c:tx>
            <c:strRef>
              <c:f>'Age Sex'!$O$49</c:f>
              <c:strCache>
                <c:ptCount val="1"/>
                <c:pt idx="0">
                  <c:v>Male</c:v>
                </c:pt>
              </c:strCache>
            </c:strRef>
          </c:tx>
          <c:spPr>
            <a:ln w="22225" cap="rnd">
              <a:solidFill>
                <a:schemeClr val="bg1">
                  <a:lumMod val="50000"/>
                </a:schemeClr>
              </a:solidFill>
              <a:round/>
            </a:ln>
            <a:effectLst/>
          </c:spPr>
          <c:marker>
            <c:symbol val="none"/>
          </c:marker>
          <c:trendline>
            <c:spPr>
              <a:ln w="19050" cap="rnd">
                <a:solidFill>
                  <a:schemeClr val="bg1">
                    <a:lumMod val="50000"/>
                  </a:schemeClr>
                </a:solidFill>
                <a:prstDash val="sysDot"/>
              </a:ln>
              <a:effectLst/>
            </c:spPr>
            <c:trendlineType val="movingAvg"/>
            <c:period val="5"/>
            <c:dispRSqr val="0"/>
            <c:dispEq val="0"/>
          </c:trendline>
          <c:cat>
            <c:numRef>
              <c:f>'Age Sex'!$R$27:$AK$27</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'Age Sex'!$R$51:$AK$51</c:f>
              <c:numCache>
                <c:formatCode>0.0</c:formatCode>
                <c:ptCount val="20"/>
                <c:pt idx="0">
                  <c:v>21.494975549465298</c:v>
                </c:pt>
                <c:pt idx="1">
                  <c:v>19.856303069889002</c:v>
                </c:pt>
                <c:pt idx="2">
                  <c:v>22.886786695148</c:v>
                </c:pt>
                <c:pt idx="3">
                  <c:v>20.56338726061</c:v>
                </c:pt>
                <c:pt idx="4">
                  <c:v>19.333011116481401</c:v>
                </c:pt>
                <c:pt idx="5">
                  <c:v>15.3052814994467</c:v>
                </c:pt>
                <c:pt idx="6">
                  <c:v>20.089030932541899</c:v>
                </c:pt>
                <c:pt idx="7">
                  <c:v>22.124383282816002</c:v>
                </c:pt>
                <c:pt idx="8">
                  <c:v>18.883714941739399</c:v>
                </c:pt>
                <c:pt idx="9">
                  <c:v>21.927992648901501</c:v>
                </c:pt>
                <c:pt idx="10">
                  <c:v>22.397328609533101</c:v>
                </c:pt>
                <c:pt idx="11">
                  <c:v>20.267853594563402</c:v>
                </c:pt>
                <c:pt idx="12">
                  <c:v>24.221050999845001</c:v>
                </c:pt>
                <c:pt idx="13">
                  <c:v>22.752265746463902</c:v>
                </c:pt>
                <c:pt idx="14">
                  <c:v>21.966566141703002</c:v>
                </c:pt>
                <c:pt idx="15">
                  <c:v>21.4970786021387</c:v>
                </c:pt>
                <c:pt idx="16">
                  <c:v>19.170029028901101</c:v>
                </c:pt>
                <c:pt idx="17">
                  <c:v>23.546885471571699</c:v>
                </c:pt>
                <c:pt idx="18">
                  <c:v>21.310888252148999</c:v>
                </c:pt>
                <c:pt idx="19">
                  <c:v>21.932539752728299</c:v>
                </c:pt>
              </c:numCache>
            </c:numRef>
          </c:val>
          <c:smooth val="0"/>
        </c:ser>
        <c:ser>
          <c:idx val="1"/>
          <c:order val="1"/>
          <c:tx>
            <c:strRef>
              <c:f>'Age Sex'!$O$54</c:f>
              <c:strCache>
                <c:ptCount val="1"/>
                <c:pt idx="0">
                  <c:v>Female</c:v>
                </c:pt>
              </c:strCache>
            </c:strRef>
          </c:tx>
          <c:spPr>
            <a:ln w="22225" cap="rnd">
              <a:solidFill>
                <a:schemeClr val="accent1"/>
              </a:solidFill>
              <a:round/>
            </a:ln>
            <a:effectLst/>
          </c:spPr>
          <c:marker>
            <c:symbol val="none"/>
          </c:marker>
          <c:trendline>
            <c:spPr>
              <a:ln w="22225" cap="rnd">
                <a:solidFill>
                  <a:schemeClr val="accent2"/>
                </a:solidFill>
                <a:prstDash val="sysDot"/>
              </a:ln>
              <a:effectLst/>
            </c:spPr>
            <c:trendlineType val="movingAvg"/>
            <c:period val="5"/>
            <c:dispRSqr val="0"/>
            <c:dispEq val="0"/>
          </c:trendline>
          <c:cat>
            <c:numRef>
              <c:f>'Age Sex'!$R$27:$AK$27</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'Age Sex'!$R$56:$AK$56</c:f>
              <c:numCache>
                <c:formatCode>0.0</c:formatCode>
                <c:ptCount val="20"/>
                <c:pt idx="0">
                  <c:v>5.8997050147492596</c:v>
                </c:pt>
                <c:pt idx="1">
                  <c:v>6.7625562462610898</c:v>
                </c:pt>
                <c:pt idx="2">
                  <c:v>6.05540697381036</c:v>
                </c:pt>
                <c:pt idx="3">
                  <c:v>5.1403813673414396</c:v>
                </c:pt>
                <c:pt idx="4">
                  <c:v>5.4634424438215596</c:v>
                </c:pt>
                <c:pt idx="5">
                  <c:v>6.2302420564413801</c:v>
                </c:pt>
                <c:pt idx="6">
                  <c:v>5.5867170216094202</c:v>
                </c:pt>
                <c:pt idx="7">
                  <c:v>7.5651140170755404</c:v>
                </c:pt>
                <c:pt idx="8">
                  <c:v>6.2768071974055903</c:v>
                </c:pt>
                <c:pt idx="9">
                  <c:v>6.2923720212722802</c:v>
                </c:pt>
                <c:pt idx="10">
                  <c:v>6.1083743842364502</c:v>
                </c:pt>
                <c:pt idx="11">
                  <c:v>7.6637161359543198</c:v>
                </c:pt>
                <c:pt idx="12">
                  <c:v>6.3251106894370697</c:v>
                </c:pt>
                <c:pt idx="13">
                  <c:v>7.0749582758870897</c:v>
                </c:pt>
                <c:pt idx="14">
                  <c:v>7.6322328718494896</c:v>
                </c:pt>
                <c:pt idx="15">
                  <c:v>5.7582578652567697</c:v>
                </c:pt>
                <c:pt idx="16">
                  <c:v>7.2452517724990901</c:v>
                </c:pt>
                <c:pt idx="17">
                  <c:v>9.0334236675700108</c:v>
                </c:pt>
                <c:pt idx="18">
                  <c:v>7.5585789871504199</c:v>
                </c:pt>
                <c:pt idx="19">
                  <c:v>7.4433068131068403</c:v>
                </c:pt>
              </c:numCache>
            </c:numRef>
          </c:val>
          <c:smooth val="0"/>
        </c:ser>
        <c:dLbls>
          <c:showLegendKey val="0"/>
          <c:showVal val="0"/>
          <c:showCatName val="0"/>
          <c:showSerName val="0"/>
          <c:showPercent val="0"/>
          <c:showBubbleSize val="0"/>
        </c:dLbls>
        <c:smooth val="0"/>
        <c:axId val="798975304"/>
        <c:axId val="798976088"/>
      </c:lineChart>
      <c:catAx>
        <c:axId val="7989753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8976088"/>
        <c:crosses val="autoZero"/>
        <c:auto val="1"/>
        <c:lblAlgn val="ctr"/>
        <c:lblOffset val="100"/>
        <c:tickLblSkip val="3"/>
        <c:noMultiLvlLbl val="0"/>
      </c:catAx>
      <c:valAx>
        <c:axId val="798976088"/>
        <c:scaling>
          <c:orientation val="minMax"/>
          <c:max val="5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8975304"/>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NZ" sz="1000" b="1">
                <a:solidFill>
                  <a:sysClr val="windowText" lastClr="000000"/>
                </a:solidFill>
              </a:rPr>
              <a:t>Total population</a:t>
            </a:r>
          </a:p>
        </c:rich>
      </c:tx>
      <c:overlay val="0"/>
      <c:spPr>
        <a:noFill/>
        <a:ln>
          <a:noFill/>
        </a:ln>
        <a:effectLst/>
      </c:spPr>
      <c:txPr>
        <a:bodyPr rot="0" spcFirstLastPara="1" vertOverflow="ellipsis" vert="horz" wrap="square" anchor="ctr" anchorCtr="1"/>
        <a:lstStyle/>
        <a:p>
          <a:pPr>
            <a:defRPr sz="10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2467372612906148E-2"/>
          <c:y val="0.15653722222222222"/>
          <c:w val="0.87651670074982957"/>
          <c:h val="0.70374777777777775"/>
        </c:manualLayout>
      </c:layout>
      <c:lineChart>
        <c:grouping val="standard"/>
        <c:varyColors val="0"/>
        <c:ser>
          <c:idx val="4"/>
          <c:order val="0"/>
          <c:tx>
            <c:strRef>
              <c:f>Deprivation!$N$36</c:f>
              <c:strCache>
                <c:ptCount val="1"/>
                <c:pt idx="0">
                  <c:v>5</c:v>
                </c:pt>
              </c:strCache>
            </c:strRef>
          </c:tx>
          <c:spPr>
            <a:ln w="22225" cap="rnd">
              <a:solidFill>
                <a:schemeClr val="bg1">
                  <a:lumMod val="50000"/>
                </a:schemeClr>
              </a:solidFill>
              <a:round/>
            </a:ln>
            <a:effectLst/>
          </c:spPr>
          <c:marker>
            <c:symbol val="none"/>
          </c:marker>
          <c:errBars>
            <c:errDir val="y"/>
            <c:errBarType val="both"/>
            <c:errValType val="cust"/>
            <c:noEndCap val="0"/>
            <c:plus>
              <c:numRef>
                <c:f>Deprivation!$AW$33:$BK$33</c:f>
                <c:numCache>
                  <c:formatCode>General</c:formatCode>
                  <c:ptCount val="15"/>
                  <c:pt idx="0">
                    <c:v>2.7</c:v>
                  </c:pt>
                  <c:pt idx="1">
                    <c:v>2.6</c:v>
                  </c:pt>
                  <c:pt idx="2">
                    <c:v>2.7</c:v>
                  </c:pt>
                  <c:pt idx="3">
                    <c:v>2.7</c:v>
                  </c:pt>
                  <c:pt idx="4">
                    <c:v>2.8</c:v>
                  </c:pt>
                  <c:pt idx="5">
                    <c:v>2.9</c:v>
                  </c:pt>
                  <c:pt idx="6">
                    <c:v>2.6</c:v>
                  </c:pt>
                  <c:pt idx="7">
                    <c:v>2.5</c:v>
                  </c:pt>
                  <c:pt idx="8">
                    <c:v>2.7</c:v>
                  </c:pt>
                  <c:pt idx="9">
                    <c:v>2.6</c:v>
                  </c:pt>
                  <c:pt idx="10">
                    <c:v>2.7</c:v>
                  </c:pt>
                  <c:pt idx="11">
                    <c:v>2.6</c:v>
                  </c:pt>
                  <c:pt idx="12">
                    <c:v>2.6</c:v>
                  </c:pt>
                  <c:pt idx="13">
                    <c:v>2.6</c:v>
                  </c:pt>
                  <c:pt idx="14">
                    <c:v>2.6</c:v>
                  </c:pt>
                </c:numCache>
              </c:numRef>
            </c:plus>
            <c:minus>
              <c:numRef>
                <c:f>Deprivation!$AW$33:$BK$33</c:f>
                <c:numCache>
                  <c:formatCode>General</c:formatCode>
                  <c:ptCount val="15"/>
                  <c:pt idx="0">
                    <c:v>2.7</c:v>
                  </c:pt>
                  <c:pt idx="1">
                    <c:v>2.6</c:v>
                  </c:pt>
                  <c:pt idx="2">
                    <c:v>2.7</c:v>
                  </c:pt>
                  <c:pt idx="3">
                    <c:v>2.7</c:v>
                  </c:pt>
                  <c:pt idx="4">
                    <c:v>2.8</c:v>
                  </c:pt>
                  <c:pt idx="5">
                    <c:v>2.9</c:v>
                  </c:pt>
                  <c:pt idx="6">
                    <c:v>2.6</c:v>
                  </c:pt>
                  <c:pt idx="7">
                    <c:v>2.5</c:v>
                  </c:pt>
                  <c:pt idx="8">
                    <c:v>2.7</c:v>
                  </c:pt>
                  <c:pt idx="9">
                    <c:v>2.6</c:v>
                  </c:pt>
                  <c:pt idx="10">
                    <c:v>2.7</c:v>
                  </c:pt>
                  <c:pt idx="11">
                    <c:v>2.6</c:v>
                  </c:pt>
                  <c:pt idx="12">
                    <c:v>2.6</c:v>
                  </c:pt>
                  <c:pt idx="13">
                    <c:v>2.6</c:v>
                  </c:pt>
                  <c:pt idx="14">
                    <c:v>2.6</c:v>
                  </c:pt>
                </c:numCache>
              </c:numRef>
            </c:minus>
            <c:spPr>
              <a:noFill/>
              <a:ln w="9525" cap="flat" cmpd="sng" algn="ctr">
                <a:solidFill>
                  <a:schemeClr val="tx1">
                    <a:lumMod val="65000"/>
                    <a:lumOff val="35000"/>
                  </a:schemeClr>
                </a:solidFill>
                <a:round/>
              </a:ln>
              <a:effectLst/>
            </c:spPr>
          </c:errBars>
          <c:cat>
            <c:numRef>
              <c:f>Deprivation!$P$9:$Y$9</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Deprivation!$P$36:$Y$36</c:f>
              <c:numCache>
                <c:formatCode>0.0</c:formatCode>
                <c:ptCount val="10"/>
                <c:pt idx="0">
                  <c:v>18.165153052613999</c:v>
                </c:pt>
                <c:pt idx="1">
                  <c:v>14.712819146531</c:v>
                </c:pt>
                <c:pt idx="2">
                  <c:v>14.0640790028423</c:v>
                </c:pt>
                <c:pt idx="3">
                  <c:v>15.354556077231001</c:v>
                </c:pt>
                <c:pt idx="4">
                  <c:v>14.8468642902606</c:v>
                </c:pt>
                <c:pt idx="5">
                  <c:v>15.957499301362001</c:v>
                </c:pt>
                <c:pt idx="6">
                  <c:v>15.5911311839955</c:v>
                </c:pt>
                <c:pt idx="7">
                  <c:v>15.6036784873721</c:v>
                </c:pt>
                <c:pt idx="8">
                  <c:v>15.887486723761301</c:v>
                </c:pt>
                <c:pt idx="9">
                  <c:v>15.3999588320555</c:v>
                </c:pt>
              </c:numCache>
            </c:numRef>
          </c:val>
          <c:smooth val="0"/>
        </c:ser>
        <c:ser>
          <c:idx val="0"/>
          <c:order val="1"/>
          <c:tx>
            <c:strRef>
              <c:f>Deprivation!$N$32</c:f>
              <c:strCache>
                <c:ptCount val="1"/>
                <c:pt idx="0">
                  <c:v>1</c:v>
                </c:pt>
              </c:strCache>
            </c:strRef>
          </c:tx>
          <c:spPr>
            <a:ln w="22225" cap="rnd">
              <a:solidFill>
                <a:schemeClr val="accent1"/>
              </a:solidFill>
              <a:prstDash val="solid"/>
              <a:round/>
            </a:ln>
            <a:effectLst/>
          </c:spPr>
          <c:marker>
            <c:symbol val="none"/>
          </c:marker>
          <c:errBars>
            <c:errDir val="y"/>
            <c:errBarType val="both"/>
            <c:errValType val="cust"/>
            <c:noEndCap val="0"/>
            <c:plus>
              <c:numRef>
                <c:f>Deprivation!$AW$30:$BK$30</c:f>
                <c:numCache>
                  <c:formatCode>General</c:formatCode>
                  <c:ptCount val="15"/>
                  <c:pt idx="0">
                    <c:v>2.2000000000000002</c:v>
                  </c:pt>
                  <c:pt idx="1">
                    <c:v>1.9</c:v>
                  </c:pt>
                  <c:pt idx="2">
                    <c:v>1.9</c:v>
                  </c:pt>
                  <c:pt idx="3">
                    <c:v>1.9</c:v>
                  </c:pt>
                  <c:pt idx="4">
                    <c:v>2</c:v>
                  </c:pt>
                  <c:pt idx="5">
                    <c:v>1.9</c:v>
                  </c:pt>
                  <c:pt idx="6">
                    <c:v>1.8</c:v>
                  </c:pt>
                  <c:pt idx="7">
                    <c:v>2.1</c:v>
                  </c:pt>
                  <c:pt idx="8">
                    <c:v>1.8</c:v>
                  </c:pt>
                  <c:pt idx="9">
                    <c:v>2.1</c:v>
                  </c:pt>
                  <c:pt idx="10">
                    <c:v>1.8</c:v>
                  </c:pt>
                  <c:pt idx="11">
                    <c:v>1.6</c:v>
                  </c:pt>
                  <c:pt idx="12">
                    <c:v>1.6</c:v>
                  </c:pt>
                  <c:pt idx="13">
                    <c:v>1.6</c:v>
                  </c:pt>
                  <c:pt idx="14">
                    <c:v>1.8</c:v>
                  </c:pt>
                </c:numCache>
              </c:numRef>
            </c:plus>
            <c:minus>
              <c:numRef>
                <c:f>Deprivation!$AW$30:$BK$30</c:f>
                <c:numCache>
                  <c:formatCode>General</c:formatCode>
                  <c:ptCount val="15"/>
                  <c:pt idx="0">
                    <c:v>2.2000000000000002</c:v>
                  </c:pt>
                  <c:pt idx="1">
                    <c:v>1.9</c:v>
                  </c:pt>
                  <c:pt idx="2">
                    <c:v>1.9</c:v>
                  </c:pt>
                  <c:pt idx="3">
                    <c:v>1.9</c:v>
                  </c:pt>
                  <c:pt idx="4">
                    <c:v>2</c:v>
                  </c:pt>
                  <c:pt idx="5">
                    <c:v>1.9</c:v>
                  </c:pt>
                  <c:pt idx="6">
                    <c:v>1.8</c:v>
                  </c:pt>
                  <c:pt idx="7">
                    <c:v>2.1</c:v>
                  </c:pt>
                  <c:pt idx="8">
                    <c:v>1.8</c:v>
                  </c:pt>
                  <c:pt idx="9">
                    <c:v>2.1</c:v>
                  </c:pt>
                  <c:pt idx="10">
                    <c:v>1.8</c:v>
                  </c:pt>
                  <c:pt idx="11">
                    <c:v>1.6</c:v>
                  </c:pt>
                  <c:pt idx="12">
                    <c:v>1.6</c:v>
                  </c:pt>
                  <c:pt idx="13">
                    <c:v>1.6</c:v>
                  </c:pt>
                  <c:pt idx="14">
                    <c:v>1.8</c:v>
                  </c:pt>
                </c:numCache>
              </c:numRef>
            </c:minus>
            <c:spPr>
              <a:noFill/>
              <a:ln w="9525" cap="flat" cmpd="sng" algn="ctr">
                <a:solidFill>
                  <a:schemeClr val="tx1">
                    <a:lumMod val="65000"/>
                    <a:lumOff val="35000"/>
                  </a:schemeClr>
                </a:solidFill>
                <a:round/>
              </a:ln>
              <a:effectLst/>
            </c:spPr>
          </c:errBars>
          <c:cat>
            <c:numRef>
              <c:f>Deprivation!$P$9:$Y$9</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Deprivation!$P$32:$Y$32</c:f>
              <c:numCache>
                <c:formatCode>0.0</c:formatCode>
                <c:ptCount val="10"/>
                <c:pt idx="0">
                  <c:v>7.7829388850515304</c:v>
                </c:pt>
                <c:pt idx="1">
                  <c:v>7.8368796841505901</c:v>
                </c:pt>
                <c:pt idx="2">
                  <c:v>9.8455520002290502</c:v>
                </c:pt>
                <c:pt idx="3">
                  <c:v>7.9860259733649004</c:v>
                </c:pt>
                <c:pt idx="4">
                  <c:v>10.1349018099747</c:v>
                </c:pt>
                <c:pt idx="5">
                  <c:v>8.0826555842724197</c:v>
                </c:pt>
                <c:pt idx="6">
                  <c:v>5.8150688207643197</c:v>
                </c:pt>
                <c:pt idx="7">
                  <c:v>6.73253886110823</c:v>
                </c:pt>
                <c:pt idx="8">
                  <c:v>6.6139183761554001</c:v>
                </c:pt>
                <c:pt idx="9">
                  <c:v>8.0896312487476205</c:v>
                </c:pt>
              </c:numCache>
            </c:numRef>
          </c:val>
          <c:smooth val="0"/>
        </c:ser>
        <c:dLbls>
          <c:showLegendKey val="0"/>
          <c:showVal val="0"/>
          <c:showCatName val="0"/>
          <c:showSerName val="0"/>
          <c:showPercent val="0"/>
          <c:showBubbleSize val="0"/>
        </c:dLbls>
        <c:smooth val="0"/>
        <c:axId val="798976872"/>
        <c:axId val="798977264"/>
      </c:lineChart>
      <c:catAx>
        <c:axId val="79897687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8977264"/>
        <c:crosses val="autoZero"/>
        <c:auto val="1"/>
        <c:lblAlgn val="ctr"/>
        <c:lblOffset val="100"/>
        <c:noMultiLvlLbl val="0"/>
      </c:catAx>
      <c:valAx>
        <c:axId val="798977264"/>
        <c:scaling>
          <c:orientation val="minMax"/>
          <c:max val="3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8976872"/>
        <c:crosses val="autoZero"/>
        <c:crossBetween val="between"/>
        <c:majorUnit val="5"/>
      </c:valAx>
      <c:spPr>
        <a:noFill/>
        <a:ln>
          <a:noFill/>
        </a:ln>
        <a:effectLst/>
      </c:spPr>
    </c:plotArea>
    <c:legend>
      <c:legendPos val="r"/>
      <c:layout>
        <c:manualLayout>
          <c:xMode val="edge"/>
          <c:yMode val="edge"/>
          <c:x val="0.88390371506475796"/>
          <c:y val="4.5635000000000002E-2"/>
          <c:w val="9.4144171779141098E-2"/>
          <c:h val="0.226813333333333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NZ" sz="1000" b="1">
                <a:solidFill>
                  <a:sysClr val="windowText" lastClr="000000"/>
                </a:solidFill>
              </a:rPr>
              <a:t>Males</a:t>
            </a:r>
          </a:p>
        </c:rich>
      </c:tx>
      <c:overlay val="0"/>
      <c:spPr>
        <a:noFill/>
        <a:ln>
          <a:noFill/>
        </a:ln>
        <a:effectLst/>
      </c:spPr>
      <c:txPr>
        <a:bodyPr rot="0" spcFirstLastPara="1" vertOverflow="ellipsis" vert="horz" wrap="square" anchor="ctr" anchorCtr="1"/>
        <a:lstStyle/>
        <a:p>
          <a:pPr>
            <a:defRPr sz="10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2467419042290422E-2"/>
          <c:y val="0.17660833333333334"/>
          <c:w val="0.8657183026584867"/>
          <c:h val="0.68940651833578448"/>
        </c:manualLayout>
      </c:layout>
      <c:lineChart>
        <c:grouping val="standard"/>
        <c:varyColors val="0"/>
        <c:ser>
          <c:idx val="3"/>
          <c:order val="0"/>
          <c:tx>
            <c:v>5</c:v>
          </c:tx>
          <c:spPr>
            <a:ln w="22225" cap="rnd">
              <a:solidFill>
                <a:schemeClr val="bg1">
                  <a:lumMod val="50000"/>
                </a:schemeClr>
              </a:solidFill>
              <a:round/>
            </a:ln>
            <a:effectLst/>
          </c:spPr>
          <c:marker>
            <c:symbol val="none"/>
          </c:marker>
          <c:cat>
            <c:numRef>
              <c:f>Deprivation!$P$9:$Y$9</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Deprivation!$P$42:$Y$42</c:f>
              <c:numCache>
                <c:formatCode>0.0</c:formatCode>
                <c:ptCount val="10"/>
                <c:pt idx="0">
                  <c:v>28.780033814011201</c:v>
                </c:pt>
                <c:pt idx="1">
                  <c:v>23.2431358648392</c:v>
                </c:pt>
                <c:pt idx="2">
                  <c:v>22.000250981121599</c:v>
                </c:pt>
                <c:pt idx="3">
                  <c:v>24.881574896415898</c:v>
                </c:pt>
                <c:pt idx="4">
                  <c:v>21.9325783022839</c:v>
                </c:pt>
                <c:pt idx="5">
                  <c:v>22.542784776259801</c:v>
                </c:pt>
                <c:pt idx="6">
                  <c:v>22.331571256110301</c:v>
                </c:pt>
                <c:pt idx="7">
                  <c:v>21.510814033369101</c:v>
                </c:pt>
                <c:pt idx="8">
                  <c:v>24.1272930335215</c:v>
                </c:pt>
                <c:pt idx="9">
                  <c:v>22.721973057487901</c:v>
                </c:pt>
              </c:numCache>
            </c:numRef>
          </c:val>
          <c:smooth val="0"/>
        </c:ser>
        <c:ser>
          <c:idx val="4"/>
          <c:order val="1"/>
          <c:tx>
            <c:v>4</c:v>
          </c:tx>
          <c:spPr>
            <a:ln w="22225" cap="rnd">
              <a:solidFill>
                <a:schemeClr val="bg1">
                  <a:lumMod val="75000"/>
                </a:schemeClr>
              </a:solidFill>
              <a:prstDash val="solid"/>
              <a:round/>
            </a:ln>
            <a:effectLst/>
          </c:spPr>
          <c:marker>
            <c:symbol val="none"/>
          </c:marker>
          <c:cat>
            <c:numRef>
              <c:f>Deprivation!$P$9:$Y$9</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Deprivation!$P$41:$Y$41</c:f>
              <c:numCache>
                <c:formatCode>0.0</c:formatCode>
                <c:ptCount val="10"/>
                <c:pt idx="0">
                  <c:v>18.318327574495498</c:v>
                </c:pt>
                <c:pt idx="1">
                  <c:v>20.099156960381102</c:v>
                </c:pt>
                <c:pt idx="2">
                  <c:v>18.758767968392899</c:v>
                </c:pt>
                <c:pt idx="3">
                  <c:v>22.008575617776099</c:v>
                </c:pt>
                <c:pt idx="4">
                  <c:v>19.758547312996701</c:v>
                </c:pt>
                <c:pt idx="5">
                  <c:v>15.145499660123701</c:v>
                </c:pt>
                <c:pt idx="6">
                  <c:v>22.4574835839713</c:v>
                </c:pt>
                <c:pt idx="7">
                  <c:v>17.298751296226801</c:v>
                </c:pt>
                <c:pt idx="8">
                  <c:v>19.678305147009201</c:v>
                </c:pt>
                <c:pt idx="9">
                  <c:v>19.115734604506201</c:v>
                </c:pt>
              </c:numCache>
            </c:numRef>
          </c:val>
          <c:smooth val="0"/>
        </c:ser>
        <c:ser>
          <c:idx val="2"/>
          <c:order val="2"/>
          <c:tx>
            <c:v>3</c:v>
          </c:tx>
          <c:spPr>
            <a:ln w="22225" cap="rnd">
              <a:solidFill>
                <a:schemeClr val="accent1">
                  <a:lumMod val="60000"/>
                  <a:lumOff val="40000"/>
                </a:schemeClr>
              </a:solidFill>
              <a:round/>
            </a:ln>
            <a:effectLst/>
          </c:spPr>
          <c:marker>
            <c:symbol val="none"/>
          </c:marker>
          <c:cat>
            <c:numRef>
              <c:f>Deprivation!$P$9:$Y$9</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Deprivation!$P$40:$Y$40</c:f>
              <c:numCache>
                <c:formatCode>0.0</c:formatCode>
                <c:ptCount val="10"/>
                <c:pt idx="0">
                  <c:v>16.606073448723802</c:v>
                </c:pt>
                <c:pt idx="1">
                  <c:v>18.999903182903601</c:v>
                </c:pt>
                <c:pt idx="2">
                  <c:v>16.2948414480312</c:v>
                </c:pt>
                <c:pt idx="3">
                  <c:v>14.769474357958099</c:v>
                </c:pt>
                <c:pt idx="4">
                  <c:v>16.768718439865602</c:v>
                </c:pt>
                <c:pt idx="5">
                  <c:v>19.0319542103353</c:v>
                </c:pt>
                <c:pt idx="6">
                  <c:v>22.1565092054778</c:v>
                </c:pt>
                <c:pt idx="7">
                  <c:v>14.8153782402544</c:v>
                </c:pt>
                <c:pt idx="8">
                  <c:v>15.486617317140601</c:v>
                </c:pt>
                <c:pt idx="9">
                  <c:v>12.848644486566799</c:v>
                </c:pt>
              </c:numCache>
            </c:numRef>
          </c:val>
          <c:smooth val="0"/>
        </c:ser>
        <c:ser>
          <c:idx val="0"/>
          <c:order val="3"/>
          <c:tx>
            <c:v>2</c:v>
          </c:tx>
          <c:spPr>
            <a:ln w="22225" cap="rnd">
              <a:solidFill>
                <a:srgbClr val="4BACC6"/>
              </a:solidFill>
              <a:prstDash val="solid"/>
              <a:round/>
            </a:ln>
            <a:effectLst/>
          </c:spPr>
          <c:marker>
            <c:symbol val="none"/>
          </c:marker>
          <c:cat>
            <c:numRef>
              <c:f>Deprivation!$P$9:$Y$9</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Deprivation!$P$39:$Y$39</c:f>
              <c:numCache>
                <c:formatCode>0.0</c:formatCode>
                <c:ptCount val="10"/>
                <c:pt idx="0">
                  <c:v>14.679615920843499</c:v>
                </c:pt>
                <c:pt idx="1">
                  <c:v>11.6028861834361</c:v>
                </c:pt>
                <c:pt idx="2">
                  <c:v>13.7450566156518</c:v>
                </c:pt>
                <c:pt idx="3">
                  <c:v>15.6322775264307</c:v>
                </c:pt>
                <c:pt idx="4">
                  <c:v>12.5788110241902</c:v>
                </c:pt>
                <c:pt idx="5">
                  <c:v>14.540831325937299</c:v>
                </c:pt>
                <c:pt idx="6">
                  <c:v>13.6769389350941</c:v>
                </c:pt>
                <c:pt idx="7">
                  <c:v>11.615740197445501</c:v>
                </c:pt>
                <c:pt idx="8">
                  <c:v>10.781463058969599</c:v>
                </c:pt>
                <c:pt idx="9">
                  <c:v>13.6474606292609</c:v>
                </c:pt>
              </c:numCache>
            </c:numRef>
          </c:val>
          <c:smooth val="0"/>
        </c:ser>
        <c:ser>
          <c:idx val="1"/>
          <c:order val="4"/>
          <c:tx>
            <c:v>1</c:v>
          </c:tx>
          <c:spPr>
            <a:ln w="22225" cap="rnd">
              <a:solidFill>
                <a:schemeClr val="accent1"/>
              </a:solidFill>
              <a:prstDash val="solid"/>
              <a:round/>
            </a:ln>
            <a:effectLst/>
          </c:spPr>
          <c:marker>
            <c:symbol val="none"/>
          </c:marker>
          <c:cat>
            <c:numRef>
              <c:f>Deprivation!$P$9:$Y$9</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Deprivation!$P$38:$Y$38</c:f>
              <c:numCache>
                <c:formatCode>0.0</c:formatCode>
                <c:ptCount val="10"/>
                <c:pt idx="0">
                  <c:v>11.7073332502529</c:v>
                </c:pt>
                <c:pt idx="1">
                  <c:v>12.5941055922708</c:v>
                </c:pt>
                <c:pt idx="2">
                  <c:v>14.8510810707393</c:v>
                </c:pt>
                <c:pt idx="3">
                  <c:v>13.672965099776199</c:v>
                </c:pt>
                <c:pt idx="4">
                  <c:v>14.145474507651899</c:v>
                </c:pt>
                <c:pt idx="5">
                  <c:v>13.239357279649701</c:v>
                </c:pt>
                <c:pt idx="6">
                  <c:v>10.046935011885701</c:v>
                </c:pt>
                <c:pt idx="7">
                  <c:v>10.1047073133151</c:v>
                </c:pt>
                <c:pt idx="8">
                  <c:v>10.623591071432999</c:v>
                </c:pt>
                <c:pt idx="9">
                  <c:v>12.2381526035751</c:v>
                </c:pt>
              </c:numCache>
            </c:numRef>
          </c:val>
          <c:smooth val="0"/>
        </c:ser>
        <c:dLbls>
          <c:showLegendKey val="0"/>
          <c:showVal val="0"/>
          <c:showCatName val="0"/>
          <c:showSerName val="0"/>
          <c:showPercent val="0"/>
          <c:showBubbleSize val="0"/>
        </c:dLbls>
        <c:smooth val="0"/>
        <c:axId val="798978832"/>
        <c:axId val="798978048"/>
      </c:lineChart>
      <c:catAx>
        <c:axId val="79897883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8978048"/>
        <c:crosses val="autoZero"/>
        <c:auto val="1"/>
        <c:lblAlgn val="ctr"/>
        <c:lblOffset val="100"/>
        <c:noMultiLvlLbl val="0"/>
      </c:catAx>
      <c:valAx>
        <c:axId val="798978048"/>
        <c:scaling>
          <c:orientation val="minMax"/>
          <c:max val="3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8978832"/>
        <c:crosses val="autoZero"/>
        <c:crossBetween val="between"/>
        <c:majorUnit val="5"/>
      </c:valAx>
      <c:spPr>
        <a:noFill/>
        <a:ln>
          <a:noFill/>
        </a:ln>
        <a:effectLst/>
      </c:spPr>
    </c:plotArea>
    <c:legend>
      <c:legendPos val="r"/>
      <c:layout>
        <c:manualLayout>
          <c:xMode val="edge"/>
          <c:yMode val="edge"/>
          <c:x val="0.89392825494205863"/>
          <c:y val="1.0984110857110603E-2"/>
          <c:w val="0.10607174505794138"/>
          <c:h val="0.366792704211465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467419042290422E-2"/>
          <c:y val="0.17660833333333334"/>
          <c:w val="0.8657183026584867"/>
          <c:h val="0.68940651833578448"/>
        </c:manualLayout>
      </c:layout>
      <c:lineChart>
        <c:grouping val="standard"/>
        <c:varyColors val="0"/>
        <c:ser>
          <c:idx val="3"/>
          <c:order val="0"/>
          <c:tx>
            <c:strRef>
              <c:f>Deprivation!$N$105</c:f>
              <c:strCache>
                <c:ptCount val="1"/>
                <c:pt idx="0">
                  <c:v>5</c:v>
                </c:pt>
              </c:strCache>
            </c:strRef>
          </c:tx>
          <c:spPr>
            <a:ln w="22225" cap="rnd">
              <a:solidFill>
                <a:schemeClr val="bg1">
                  <a:lumMod val="50000"/>
                </a:schemeClr>
              </a:solidFill>
              <a:round/>
            </a:ln>
            <a:effectLst/>
          </c:spPr>
          <c:marker>
            <c:symbol val="none"/>
          </c:marker>
          <c:cat>
            <c:numRef>
              <c:f>Deprivation!$P$75:$Y$75</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Deprivation!$P$105:$Y$105</c:f>
              <c:numCache>
                <c:formatCode>0.0</c:formatCode>
                <c:ptCount val="10"/>
                <c:pt idx="0">
                  <c:v>24.0603246091591</c:v>
                </c:pt>
                <c:pt idx="1">
                  <c:v>18.026957145990401</c:v>
                </c:pt>
                <c:pt idx="2">
                  <c:v>23.3578439517098</c:v>
                </c:pt>
                <c:pt idx="3">
                  <c:v>24.542902156326701</c:v>
                </c:pt>
                <c:pt idx="4">
                  <c:v>27.469658845595099</c:v>
                </c:pt>
                <c:pt idx="5">
                  <c:v>32.554462725283301</c:v>
                </c:pt>
                <c:pt idx="6">
                  <c:v>31.7937605176486</c:v>
                </c:pt>
                <c:pt idx="7">
                  <c:v>30.272525876177799</c:v>
                </c:pt>
                <c:pt idx="8">
                  <c:v>20.013974613699801</c:v>
                </c:pt>
                <c:pt idx="9">
                  <c:v>22.026800919296701</c:v>
                </c:pt>
              </c:numCache>
            </c:numRef>
          </c:val>
          <c:smooth val="0"/>
        </c:ser>
        <c:ser>
          <c:idx val="4"/>
          <c:order val="1"/>
          <c:tx>
            <c:v>4</c:v>
          </c:tx>
          <c:spPr>
            <a:ln w="22225" cap="rnd">
              <a:solidFill>
                <a:schemeClr val="bg1">
                  <a:lumMod val="75000"/>
                </a:schemeClr>
              </a:solidFill>
              <a:prstDash val="solid"/>
              <a:round/>
            </a:ln>
            <a:effectLst/>
          </c:spPr>
          <c:marker>
            <c:symbol val="none"/>
          </c:marker>
          <c:val>
            <c:numRef>
              <c:f>Deprivation!$P$104:$Y$104</c:f>
              <c:numCache>
                <c:formatCode>0.0</c:formatCode>
                <c:ptCount val="10"/>
                <c:pt idx="0">
                  <c:v>20.250110691416801</c:v>
                </c:pt>
                <c:pt idx="1">
                  <c:v>15.5687798971916</c:v>
                </c:pt>
                <c:pt idx="2">
                  <c:v>18.676491685595298</c:v>
                </c:pt>
                <c:pt idx="3">
                  <c:v>22.421879796150002</c:v>
                </c:pt>
                <c:pt idx="4">
                  <c:v>19.059862588335498</c:v>
                </c:pt>
                <c:pt idx="5">
                  <c:v>16.622611796462301</c:v>
                </c:pt>
                <c:pt idx="6">
                  <c:v>29.369879840171301</c:v>
                </c:pt>
                <c:pt idx="7">
                  <c:v>19.448647880211901</c:v>
                </c:pt>
                <c:pt idx="8">
                  <c:v>11.7351983797668</c:v>
                </c:pt>
                <c:pt idx="9">
                  <c:v>20.0088448670564</c:v>
                </c:pt>
              </c:numCache>
            </c:numRef>
          </c:val>
          <c:smooth val="0"/>
        </c:ser>
        <c:ser>
          <c:idx val="2"/>
          <c:order val="2"/>
          <c:tx>
            <c:v>3</c:v>
          </c:tx>
          <c:spPr>
            <a:ln w="22225" cap="rnd">
              <a:solidFill>
                <a:schemeClr val="accent1">
                  <a:lumMod val="60000"/>
                  <a:lumOff val="40000"/>
                </a:schemeClr>
              </a:solidFill>
              <a:round/>
            </a:ln>
            <a:effectLst/>
          </c:spPr>
          <c:marker>
            <c:symbol val="none"/>
          </c:marker>
          <c:val>
            <c:numRef>
              <c:f>Deprivation!$P$103:$Y$103</c:f>
              <c:numCache>
                <c:formatCode>0.0</c:formatCode>
                <c:ptCount val="10"/>
                <c:pt idx="0">
                  <c:v>17.100096928548201</c:v>
                </c:pt>
                <c:pt idx="1">
                  <c:v>17.939118145817702</c:v>
                </c:pt>
                <c:pt idx="2">
                  <c:v>17.077779442394402</c:v>
                </c:pt>
                <c:pt idx="3">
                  <c:v>18.6698371957295</c:v>
                </c:pt>
                <c:pt idx="4">
                  <c:v>16.283162914851601</c:v>
                </c:pt>
                <c:pt idx="5">
                  <c:v>21.241494334554901</c:v>
                </c:pt>
                <c:pt idx="6">
                  <c:v>25.4102857361258</c:v>
                </c:pt>
                <c:pt idx="7">
                  <c:v>15.1465122576609</c:v>
                </c:pt>
                <c:pt idx="8">
                  <c:v>14.856473338669799</c:v>
                </c:pt>
                <c:pt idx="9">
                  <c:v>11.2618063840156</c:v>
                </c:pt>
              </c:numCache>
            </c:numRef>
          </c:val>
          <c:smooth val="0"/>
        </c:ser>
        <c:ser>
          <c:idx val="0"/>
          <c:order val="3"/>
          <c:tx>
            <c:v>2</c:v>
          </c:tx>
          <c:spPr>
            <a:ln w="22225" cap="rnd">
              <a:solidFill>
                <a:srgbClr val="4BACC6"/>
              </a:solidFill>
              <a:prstDash val="solid"/>
              <a:round/>
            </a:ln>
            <a:effectLst/>
          </c:spPr>
          <c:marker>
            <c:symbol val="none"/>
          </c:marker>
          <c:val>
            <c:numRef>
              <c:f>Deprivation!$P$102:$Y$102</c:f>
              <c:numCache>
                <c:formatCode>0.0</c:formatCode>
                <c:ptCount val="10"/>
                <c:pt idx="0">
                  <c:v>13.869924506774399</c:v>
                </c:pt>
                <c:pt idx="1">
                  <c:v>10.156028828145599</c:v>
                </c:pt>
                <c:pt idx="2">
                  <c:v>16.609489598435299</c:v>
                </c:pt>
                <c:pt idx="3">
                  <c:v>11.0101774329999</c:v>
                </c:pt>
                <c:pt idx="4">
                  <c:v>11.7754172294279</c:v>
                </c:pt>
                <c:pt idx="5">
                  <c:v>17.0852915043818</c:v>
                </c:pt>
                <c:pt idx="6">
                  <c:v>14.3523465558831</c:v>
                </c:pt>
                <c:pt idx="7">
                  <c:v>9.8086002178118505</c:v>
                </c:pt>
                <c:pt idx="8">
                  <c:v>10.508134071104299</c:v>
                </c:pt>
                <c:pt idx="9">
                  <c:v>11.962381134026399</c:v>
                </c:pt>
              </c:numCache>
            </c:numRef>
          </c:val>
          <c:smooth val="0"/>
        </c:ser>
        <c:ser>
          <c:idx val="1"/>
          <c:order val="4"/>
          <c:tx>
            <c:strRef>
              <c:f>Deprivation!$N$101</c:f>
              <c:strCache>
                <c:ptCount val="1"/>
                <c:pt idx="0">
                  <c:v>1</c:v>
                </c:pt>
              </c:strCache>
            </c:strRef>
          </c:tx>
          <c:spPr>
            <a:ln w="22225" cap="rnd">
              <a:solidFill>
                <a:schemeClr val="accent1"/>
              </a:solidFill>
              <a:prstDash val="solid"/>
              <a:round/>
            </a:ln>
            <a:effectLst/>
          </c:spPr>
          <c:marker>
            <c:symbol val="none"/>
          </c:marker>
          <c:cat>
            <c:numRef>
              <c:f>Deprivation!$P$75:$Y$75</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Deprivation!$P$101:$Y$101</c:f>
              <c:numCache>
                <c:formatCode>0.0</c:formatCode>
                <c:ptCount val="10"/>
                <c:pt idx="0">
                  <c:v>13.777404864683101</c:v>
                </c:pt>
                <c:pt idx="1">
                  <c:v>11.780941947049399</c:v>
                </c:pt>
                <c:pt idx="2">
                  <c:v>17.6573444097845</c:v>
                </c:pt>
                <c:pt idx="3">
                  <c:v>15.6176130791048</c:v>
                </c:pt>
                <c:pt idx="4">
                  <c:v>10.0563462654691</c:v>
                </c:pt>
                <c:pt idx="5">
                  <c:v>9.9989165622484499</c:v>
                </c:pt>
                <c:pt idx="6">
                  <c:v>9.9822790655776394</c:v>
                </c:pt>
                <c:pt idx="7">
                  <c:v>7.2217854410360403</c:v>
                </c:pt>
                <c:pt idx="8">
                  <c:v>9.7656237803958401</c:v>
                </c:pt>
                <c:pt idx="9">
                  <c:v>15.6144781512393</c:v>
                </c:pt>
              </c:numCache>
            </c:numRef>
          </c:val>
          <c:smooth val="0"/>
        </c:ser>
        <c:dLbls>
          <c:showLegendKey val="0"/>
          <c:showVal val="0"/>
          <c:showCatName val="0"/>
          <c:showSerName val="0"/>
          <c:showPercent val="0"/>
          <c:showBubbleSize val="0"/>
        </c:dLbls>
        <c:smooth val="0"/>
        <c:axId val="668363448"/>
        <c:axId val="668363840"/>
      </c:lineChart>
      <c:catAx>
        <c:axId val="6683634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8363840"/>
        <c:crosses val="autoZero"/>
        <c:auto val="1"/>
        <c:lblAlgn val="ctr"/>
        <c:lblOffset val="100"/>
        <c:tickLblSkip val="3"/>
        <c:noMultiLvlLbl val="0"/>
      </c:catAx>
      <c:valAx>
        <c:axId val="668363840"/>
        <c:scaling>
          <c:orientation val="minMax"/>
          <c:max val="4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8363448"/>
        <c:crosses val="autoZero"/>
        <c:crossBetween val="between"/>
        <c:majorUnit val="5"/>
      </c:valAx>
      <c:spPr>
        <a:noFill/>
        <a:ln>
          <a:noFill/>
        </a:ln>
        <a:effectLst/>
      </c:spPr>
    </c:plotArea>
    <c:legend>
      <c:legendPos val="r"/>
      <c:layout>
        <c:manualLayout>
          <c:xMode val="edge"/>
          <c:yMode val="edge"/>
          <c:x val="0.83576288616572914"/>
          <c:y val="1.0984251968503939E-2"/>
          <c:w val="0.14186575706256688"/>
          <c:h val="0.366792704211465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467419042290422E-2"/>
          <c:y val="0.17660833333333334"/>
          <c:w val="0.8657183026584867"/>
          <c:h val="0.68940651833578448"/>
        </c:manualLayout>
      </c:layout>
      <c:lineChart>
        <c:grouping val="standard"/>
        <c:varyColors val="0"/>
        <c:ser>
          <c:idx val="3"/>
          <c:order val="0"/>
          <c:tx>
            <c:v>5</c:v>
          </c:tx>
          <c:spPr>
            <a:ln w="22225" cap="rnd">
              <a:solidFill>
                <a:schemeClr val="bg1">
                  <a:lumMod val="50000"/>
                </a:schemeClr>
              </a:solidFill>
              <a:round/>
            </a:ln>
            <a:effectLst/>
          </c:spPr>
          <c:marker>
            <c:symbol val="none"/>
          </c:marker>
          <c:cat>
            <c:numRef>
              <c:f>Deprivation!$P$75:$Y$75</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Deprivation!$P$111:$Y$111</c:f>
              <c:numCache>
                <c:formatCode>0.0</c:formatCode>
                <c:ptCount val="10"/>
                <c:pt idx="0">
                  <c:v>31.1878582508776</c:v>
                </c:pt>
                <c:pt idx="1">
                  <c:v>25.915722478530501</c:v>
                </c:pt>
                <c:pt idx="2">
                  <c:v>22.912910444206499</c:v>
                </c:pt>
                <c:pt idx="3">
                  <c:v>22.980220853362599</c:v>
                </c:pt>
                <c:pt idx="4">
                  <c:v>20.571696514574999</c:v>
                </c:pt>
                <c:pt idx="5">
                  <c:v>23.413397538986899</c:v>
                </c:pt>
                <c:pt idx="6">
                  <c:v>19.967310634898599</c:v>
                </c:pt>
                <c:pt idx="7">
                  <c:v>20.9127707375795</c:v>
                </c:pt>
                <c:pt idx="8">
                  <c:v>26.431412295100898</c:v>
                </c:pt>
                <c:pt idx="9">
                  <c:v>23.1272051079739</c:v>
                </c:pt>
              </c:numCache>
            </c:numRef>
          </c:val>
          <c:smooth val="0"/>
        </c:ser>
        <c:ser>
          <c:idx val="4"/>
          <c:order val="1"/>
          <c:tx>
            <c:v>4</c:v>
          </c:tx>
          <c:spPr>
            <a:ln w="22225" cap="rnd">
              <a:solidFill>
                <a:schemeClr val="bg1">
                  <a:lumMod val="75000"/>
                </a:schemeClr>
              </a:solidFill>
              <a:prstDash val="solid"/>
              <a:round/>
            </a:ln>
            <a:effectLst/>
          </c:spPr>
          <c:marker>
            <c:symbol val="none"/>
          </c:marker>
          <c:val>
            <c:numRef>
              <c:f>Deprivation!$P$110:$Y$110</c:f>
              <c:numCache>
                <c:formatCode>0.0</c:formatCode>
                <c:ptCount val="10"/>
                <c:pt idx="0">
                  <c:v>17.1654216466126</c:v>
                </c:pt>
                <c:pt idx="1">
                  <c:v>18.059075582843999</c:v>
                </c:pt>
                <c:pt idx="2">
                  <c:v>16.895748974619899</c:v>
                </c:pt>
                <c:pt idx="3">
                  <c:v>17.372435993773699</c:v>
                </c:pt>
                <c:pt idx="4">
                  <c:v>17.297876759946501</c:v>
                </c:pt>
                <c:pt idx="5">
                  <c:v>14.017735082138</c:v>
                </c:pt>
                <c:pt idx="6">
                  <c:v>20.550488387618401</c:v>
                </c:pt>
                <c:pt idx="7">
                  <c:v>13.727006596395499</c:v>
                </c:pt>
                <c:pt idx="8">
                  <c:v>19.454182215812999</c:v>
                </c:pt>
                <c:pt idx="9">
                  <c:v>15.66469047484</c:v>
                </c:pt>
              </c:numCache>
            </c:numRef>
          </c:val>
          <c:smooth val="0"/>
        </c:ser>
        <c:ser>
          <c:idx val="2"/>
          <c:order val="2"/>
          <c:tx>
            <c:v>3</c:v>
          </c:tx>
          <c:spPr>
            <a:ln w="22225" cap="rnd">
              <a:solidFill>
                <a:schemeClr val="accent1">
                  <a:lumMod val="60000"/>
                  <a:lumOff val="40000"/>
                </a:schemeClr>
              </a:solidFill>
              <a:round/>
            </a:ln>
            <a:effectLst/>
          </c:spPr>
          <c:marker>
            <c:symbol val="none"/>
          </c:marker>
          <c:val>
            <c:numRef>
              <c:f>Deprivation!$P$109:$Y$109</c:f>
              <c:numCache>
                <c:formatCode>0.0</c:formatCode>
                <c:ptCount val="10"/>
                <c:pt idx="0">
                  <c:v>13.9723083636888</c:v>
                </c:pt>
                <c:pt idx="1">
                  <c:v>17.7327187488089</c:v>
                </c:pt>
                <c:pt idx="2">
                  <c:v>13.693937194311401</c:v>
                </c:pt>
                <c:pt idx="3">
                  <c:v>12.9099007011847</c:v>
                </c:pt>
                <c:pt idx="4">
                  <c:v>15.275189025334999</c:v>
                </c:pt>
                <c:pt idx="5">
                  <c:v>11.2250458390719</c:v>
                </c:pt>
                <c:pt idx="6">
                  <c:v>15.9266886219936</c:v>
                </c:pt>
                <c:pt idx="7">
                  <c:v>12.6051108228083</c:v>
                </c:pt>
                <c:pt idx="8">
                  <c:v>14.1023989403629</c:v>
                </c:pt>
                <c:pt idx="9">
                  <c:v>11.7444880633042</c:v>
                </c:pt>
              </c:numCache>
            </c:numRef>
          </c:val>
          <c:smooth val="0"/>
        </c:ser>
        <c:ser>
          <c:idx val="0"/>
          <c:order val="3"/>
          <c:tx>
            <c:v>2</c:v>
          </c:tx>
          <c:spPr>
            <a:ln w="22225" cap="rnd">
              <a:solidFill>
                <a:srgbClr val="4BACC6"/>
              </a:solidFill>
              <a:prstDash val="solid"/>
              <a:round/>
            </a:ln>
            <a:effectLst/>
          </c:spPr>
          <c:marker>
            <c:symbol val="none"/>
          </c:marker>
          <c:val>
            <c:numRef>
              <c:f>Deprivation!$P$108:$Y$108</c:f>
              <c:numCache>
                <c:formatCode>0.0</c:formatCode>
                <c:ptCount val="10"/>
                <c:pt idx="0">
                  <c:v>13.1507001589565</c:v>
                </c:pt>
                <c:pt idx="1">
                  <c:v>12.7894311448789</c:v>
                </c:pt>
                <c:pt idx="2">
                  <c:v>10.8004022216293</c:v>
                </c:pt>
                <c:pt idx="3">
                  <c:v>12.930916649572801</c:v>
                </c:pt>
                <c:pt idx="4">
                  <c:v>13.8633531553544</c:v>
                </c:pt>
                <c:pt idx="5">
                  <c:v>10.153947571105199</c:v>
                </c:pt>
                <c:pt idx="6">
                  <c:v>11.517774124728399</c:v>
                </c:pt>
                <c:pt idx="7">
                  <c:v>11.1265212735501</c:v>
                </c:pt>
                <c:pt idx="8">
                  <c:v>10.580746570703401</c:v>
                </c:pt>
                <c:pt idx="9">
                  <c:v>11.599994790601199</c:v>
                </c:pt>
              </c:numCache>
            </c:numRef>
          </c:val>
          <c:smooth val="0"/>
        </c:ser>
        <c:ser>
          <c:idx val="1"/>
          <c:order val="4"/>
          <c:tx>
            <c:v>1</c:v>
          </c:tx>
          <c:spPr>
            <a:ln w="22225" cap="rnd">
              <a:solidFill>
                <a:schemeClr val="accent1"/>
              </a:solidFill>
              <a:prstDash val="solid"/>
              <a:round/>
            </a:ln>
            <a:effectLst/>
          </c:spPr>
          <c:marker>
            <c:symbol val="none"/>
          </c:marker>
          <c:cat>
            <c:numRef>
              <c:f>Deprivation!$P$75:$Y$75</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Deprivation!$P$107:$Y$107</c:f>
              <c:numCache>
                <c:formatCode>0.0</c:formatCode>
                <c:ptCount val="10"/>
                <c:pt idx="0">
                  <c:v>9.5047540081629904</c:v>
                </c:pt>
                <c:pt idx="1">
                  <c:v>12.149812140638801</c:v>
                </c:pt>
                <c:pt idx="2">
                  <c:v>10.4945048331157</c:v>
                </c:pt>
                <c:pt idx="3">
                  <c:v>8.3495916612372696</c:v>
                </c:pt>
                <c:pt idx="4">
                  <c:v>15.8243637928763</c:v>
                </c:pt>
                <c:pt idx="5">
                  <c:v>11.3851673282244</c:v>
                </c:pt>
                <c:pt idx="6">
                  <c:v>8.7270022479196694</c:v>
                </c:pt>
                <c:pt idx="7">
                  <c:v>7.8428840678284901</c:v>
                </c:pt>
                <c:pt idx="8">
                  <c:v>9.1534807636980595</c:v>
                </c:pt>
                <c:pt idx="9">
                  <c:v>9.4477166720078092</c:v>
                </c:pt>
              </c:numCache>
            </c:numRef>
          </c:val>
          <c:smooth val="0"/>
        </c:ser>
        <c:dLbls>
          <c:showLegendKey val="0"/>
          <c:showVal val="0"/>
          <c:showCatName val="0"/>
          <c:showSerName val="0"/>
          <c:showPercent val="0"/>
          <c:showBubbleSize val="0"/>
        </c:dLbls>
        <c:smooth val="0"/>
        <c:axId val="668365016"/>
        <c:axId val="668366584"/>
      </c:lineChart>
      <c:catAx>
        <c:axId val="6683650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8366584"/>
        <c:crosses val="autoZero"/>
        <c:auto val="1"/>
        <c:lblAlgn val="ctr"/>
        <c:lblOffset val="100"/>
        <c:tickLblSkip val="3"/>
        <c:noMultiLvlLbl val="0"/>
      </c:catAx>
      <c:valAx>
        <c:axId val="668366584"/>
        <c:scaling>
          <c:orientation val="minMax"/>
          <c:max val="4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8365016"/>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467419042290422E-2"/>
          <c:y val="0.17660833333333334"/>
          <c:w val="0.8657183026584867"/>
          <c:h val="0.68940651833578448"/>
        </c:manualLayout>
      </c:layout>
      <c:lineChart>
        <c:grouping val="standard"/>
        <c:varyColors val="0"/>
        <c:ser>
          <c:idx val="3"/>
          <c:order val="0"/>
          <c:tx>
            <c:v>5</c:v>
          </c:tx>
          <c:spPr>
            <a:ln w="22225" cap="rnd">
              <a:solidFill>
                <a:schemeClr val="bg1">
                  <a:lumMod val="50000"/>
                </a:schemeClr>
              </a:solidFill>
              <a:round/>
            </a:ln>
            <a:effectLst/>
          </c:spPr>
          <c:marker>
            <c:symbol val="none"/>
          </c:marker>
          <c:cat>
            <c:numRef>
              <c:f>Deprivation!$P$75:$Y$75</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Deprivation!$P$117:$Y$117</c:f>
              <c:numCache>
                <c:formatCode>0.0</c:formatCode>
                <c:ptCount val="10"/>
                <c:pt idx="0">
                  <c:v>19.4430096494523</c:v>
                </c:pt>
                <c:pt idx="1">
                  <c:v>16.499475182030999</c:v>
                </c:pt>
                <c:pt idx="2">
                  <c:v>12.475582038755901</c:v>
                </c:pt>
                <c:pt idx="3">
                  <c:v>16.8337113337709</c:v>
                </c:pt>
                <c:pt idx="4">
                  <c:v>17.1580379944476</c:v>
                </c:pt>
                <c:pt idx="5">
                  <c:v>13.6235726323133</c:v>
                </c:pt>
                <c:pt idx="6">
                  <c:v>15.6695562381692</c:v>
                </c:pt>
                <c:pt idx="7">
                  <c:v>19.793319766457898</c:v>
                </c:pt>
                <c:pt idx="8">
                  <c:v>19.536887234843299</c:v>
                </c:pt>
                <c:pt idx="9">
                  <c:v>19.275225052220598</c:v>
                </c:pt>
              </c:numCache>
            </c:numRef>
          </c:val>
          <c:smooth val="0"/>
        </c:ser>
        <c:ser>
          <c:idx val="4"/>
          <c:order val="1"/>
          <c:tx>
            <c:v>4</c:v>
          </c:tx>
          <c:spPr>
            <a:ln w="22225" cap="rnd">
              <a:solidFill>
                <a:schemeClr val="bg1">
                  <a:lumMod val="75000"/>
                </a:schemeClr>
              </a:solidFill>
              <a:prstDash val="solid"/>
              <a:round/>
            </a:ln>
            <a:effectLst/>
          </c:spPr>
          <c:marker>
            <c:symbol val="none"/>
          </c:marker>
          <c:val>
            <c:numRef>
              <c:f>Deprivation!$P$116:$Y$116</c:f>
              <c:numCache>
                <c:formatCode>0.0</c:formatCode>
                <c:ptCount val="10"/>
                <c:pt idx="0">
                  <c:v>13.3944607096868</c:v>
                </c:pt>
                <c:pt idx="1">
                  <c:v>16.8574199864481</c:v>
                </c:pt>
                <c:pt idx="2">
                  <c:v>15.3289440096198</c:v>
                </c:pt>
                <c:pt idx="3">
                  <c:v>22.720631399735002</c:v>
                </c:pt>
                <c:pt idx="4">
                  <c:v>16.7969263326627</c:v>
                </c:pt>
                <c:pt idx="5">
                  <c:v>13.0256196799048</c:v>
                </c:pt>
                <c:pt idx="6">
                  <c:v>18.376466860299701</c:v>
                </c:pt>
                <c:pt idx="7">
                  <c:v>17.207570453768401</c:v>
                </c:pt>
                <c:pt idx="8">
                  <c:v>19.406573028414101</c:v>
                </c:pt>
                <c:pt idx="9">
                  <c:v>16.749653895792999</c:v>
                </c:pt>
              </c:numCache>
            </c:numRef>
          </c:val>
          <c:smooth val="0"/>
        </c:ser>
        <c:ser>
          <c:idx val="2"/>
          <c:order val="2"/>
          <c:tx>
            <c:v>3</c:v>
          </c:tx>
          <c:spPr>
            <a:ln w="22225" cap="rnd">
              <a:solidFill>
                <a:schemeClr val="accent1">
                  <a:lumMod val="60000"/>
                  <a:lumOff val="40000"/>
                </a:schemeClr>
              </a:solidFill>
              <a:round/>
            </a:ln>
            <a:effectLst/>
          </c:spPr>
          <c:marker>
            <c:symbol val="none"/>
          </c:marker>
          <c:val>
            <c:numRef>
              <c:f>Deprivation!$P$115:$Y$115</c:f>
              <c:numCache>
                <c:formatCode>0.0</c:formatCode>
                <c:ptCount val="10"/>
                <c:pt idx="0">
                  <c:v>16.3227902507615</c:v>
                </c:pt>
                <c:pt idx="1">
                  <c:v>16.898953744977302</c:v>
                </c:pt>
                <c:pt idx="2">
                  <c:v>18.360229324573801</c:v>
                </c:pt>
                <c:pt idx="3">
                  <c:v>11.3287242061726</c:v>
                </c:pt>
                <c:pt idx="4">
                  <c:v>12.4815703580578</c:v>
                </c:pt>
                <c:pt idx="5">
                  <c:v>16.8368978272429</c:v>
                </c:pt>
                <c:pt idx="6">
                  <c:v>14.4370924253983</c:v>
                </c:pt>
                <c:pt idx="7">
                  <c:v>11.612468791183399</c:v>
                </c:pt>
                <c:pt idx="8">
                  <c:v>12.7827877561602</c:v>
                </c:pt>
                <c:pt idx="9">
                  <c:v>13.914332945355699</c:v>
                </c:pt>
              </c:numCache>
            </c:numRef>
          </c:val>
          <c:smooth val="0"/>
        </c:ser>
        <c:ser>
          <c:idx val="0"/>
          <c:order val="3"/>
          <c:tx>
            <c:v>2</c:v>
          </c:tx>
          <c:spPr>
            <a:ln w="22225" cap="rnd">
              <a:solidFill>
                <a:srgbClr val="4BACC6"/>
              </a:solidFill>
              <a:prstDash val="solid"/>
              <a:round/>
            </a:ln>
            <a:effectLst/>
          </c:spPr>
          <c:marker>
            <c:symbol val="none"/>
          </c:marker>
          <c:val>
            <c:numRef>
              <c:f>Deprivation!$P$114:$Y$114</c:f>
              <c:numCache>
                <c:formatCode>0.0</c:formatCode>
                <c:ptCount val="10"/>
                <c:pt idx="0">
                  <c:v>12.4153183119709</c:v>
                </c:pt>
                <c:pt idx="1">
                  <c:v>9.8596506814562996</c:v>
                </c:pt>
                <c:pt idx="2">
                  <c:v>12.6387700991577</c:v>
                </c:pt>
                <c:pt idx="3">
                  <c:v>14.479067118393999</c:v>
                </c:pt>
                <c:pt idx="4">
                  <c:v>12.971305078521601</c:v>
                </c:pt>
                <c:pt idx="5">
                  <c:v>9.8864789617812594</c:v>
                </c:pt>
                <c:pt idx="6">
                  <c:v>11.0276812039756</c:v>
                </c:pt>
                <c:pt idx="7">
                  <c:v>14.1523911696958</c:v>
                </c:pt>
                <c:pt idx="8">
                  <c:v>11.174325986053599</c:v>
                </c:pt>
                <c:pt idx="9">
                  <c:v>14.9607001533436</c:v>
                </c:pt>
              </c:numCache>
            </c:numRef>
          </c:val>
          <c:smooth val="0"/>
        </c:ser>
        <c:ser>
          <c:idx val="1"/>
          <c:order val="4"/>
          <c:tx>
            <c:strRef>
              <c:f>Deprivation!$N$113</c:f>
              <c:strCache>
                <c:ptCount val="1"/>
                <c:pt idx="0">
                  <c:v>1</c:v>
                </c:pt>
              </c:strCache>
            </c:strRef>
          </c:tx>
          <c:spPr>
            <a:ln w="22225" cap="rnd">
              <a:solidFill>
                <a:schemeClr val="accent1"/>
              </a:solidFill>
              <a:prstDash val="solid"/>
              <a:round/>
            </a:ln>
            <a:effectLst/>
          </c:spPr>
          <c:marker>
            <c:symbol val="none"/>
          </c:marker>
          <c:cat>
            <c:numRef>
              <c:f>Deprivation!$P$75:$Y$75</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Deprivation!$P$113:$Y$113</c:f>
              <c:numCache>
                <c:formatCode>0.0</c:formatCode>
                <c:ptCount val="10"/>
                <c:pt idx="0">
                  <c:v>8.5247018863974802</c:v>
                </c:pt>
                <c:pt idx="1">
                  <c:v>7.9149757874847104</c:v>
                </c:pt>
                <c:pt idx="2">
                  <c:v>12.7042958120834</c:v>
                </c:pt>
                <c:pt idx="3">
                  <c:v>9.4056632822046495</c:v>
                </c:pt>
                <c:pt idx="4">
                  <c:v>12.328896914508899</c:v>
                </c:pt>
                <c:pt idx="5">
                  <c:v>11.771349410784699</c:v>
                </c:pt>
                <c:pt idx="6">
                  <c:v>6.2006799575216904</c:v>
                </c:pt>
                <c:pt idx="7">
                  <c:v>13.722666242449399</c:v>
                </c:pt>
                <c:pt idx="8">
                  <c:v>7.4853703338470501</c:v>
                </c:pt>
                <c:pt idx="9">
                  <c:v>8.4400846005149202</c:v>
                </c:pt>
              </c:numCache>
            </c:numRef>
          </c:val>
          <c:smooth val="0"/>
        </c:ser>
        <c:dLbls>
          <c:showLegendKey val="0"/>
          <c:showVal val="0"/>
          <c:showCatName val="0"/>
          <c:showSerName val="0"/>
          <c:showPercent val="0"/>
          <c:showBubbleSize val="0"/>
        </c:dLbls>
        <c:smooth val="0"/>
        <c:axId val="668366192"/>
        <c:axId val="668364624"/>
      </c:lineChart>
      <c:catAx>
        <c:axId val="66836619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8364624"/>
        <c:crosses val="autoZero"/>
        <c:auto val="1"/>
        <c:lblAlgn val="ctr"/>
        <c:lblOffset val="100"/>
        <c:tickLblSkip val="3"/>
        <c:noMultiLvlLbl val="0"/>
      </c:catAx>
      <c:valAx>
        <c:axId val="668364624"/>
        <c:scaling>
          <c:orientation val="minMax"/>
          <c:max val="4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8366192"/>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467419042290422E-2"/>
          <c:y val="0.17660833333333334"/>
          <c:w val="0.8657183026584867"/>
          <c:h val="0.68940651833578448"/>
        </c:manualLayout>
      </c:layout>
      <c:lineChart>
        <c:grouping val="standard"/>
        <c:varyColors val="0"/>
        <c:ser>
          <c:idx val="4"/>
          <c:order val="0"/>
          <c:tx>
            <c:v>4</c:v>
          </c:tx>
          <c:spPr>
            <a:ln w="22225" cap="rnd">
              <a:solidFill>
                <a:schemeClr val="bg1">
                  <a:lumMod val="75000"/>
                </a:schemeClr>
              </a:solidFill>
              <a:prstDash val="solid"/>
              <a:round/>
            </a:ln>
            <a:effectLst/>
          </c:spPr>
          <c:marker>
            <c:symbol val="none"/>
          </c:marker>
          <c:val>
            <c:numRef>
              <c:f>Deprivation!$P$122:$Y$122</c:f>
              <c:numCache>
                <c:formatCode>0.0</c:formatCode>
                <c:ptCount val="10"/>
                <c:pt idx="0">
                  <c:v>7.1992076781166601</c:v>
                </c:pt>
                <c:pt idx="1">
                  <c:v>13.154865748729501</c:v>
                </c:pt>
                <c:pt idx="2">
                  <c:v>6.8855576901865101</c:v>
                </c:pt>
                <c:pt idx="3">
                  <c:v>10.9220681739436</c:v>
                </c:pt>
                <c:pt idx="4">
                  <c:v>12.741884980701499</c:v>
                </c:pt>
                <c:pt idx="5">
                  <c:v>6.60402821934386</c:v>
                </c:pt>
                <c:pt idx="6">
                  <c:v>7.9527013153643802</c:v>
                </c:pt>
                <c:pt idx="7">
                  <c:v>4.6041006591166402</c:v>
                </c:pt>
                <c:pt idx="8">
                  <c:v>12.5640601634059</c:v>
                </c:pt>
                <c:pt idx="9">
                  <c:v>11.4108332755892</c:v>
                </c:pt>
              </c:numCache>
            </c:numRef>
          </c:val>
          <c:smooth val="0"/>
        </c:ser>
        <c:ser>
          <c:idx val="2"/>
          <c:order val="1"/>
          <c:tx>
            <c:v>3</c:v>
          </c:tx>
          <c:spPr>
            <a:ln w="22225" cap="rnd">
              <a:solidFill>
                <a:schemeClr val="accent1">
                  <a:lumMod val="60000"/>
                  <a:lumOff val="40000"/>
                </a:schemeClr>
              </a:solidFill>
              <a:round/>
            </a:ln>
            <a:effectLst/>
          </c:spPr>
          <c:marker>
            <c:symbol val="none"/>
          </c:marker>
          <c:val>
            <c:numRef>
              <c:f>Deprivation!$P$121:$Y$121</c:f>
              <c:numCache>
                <c:formatCode>0.0</c:formatCode>
                <c:ptCount val="10"/>
                <c:pt idx="0">
                  <c:v>8.1719220241008195</c:v>
                </c:pt>
                <c:pt idx="1">
                  <c:v>6.1920360643504297</c:v>
                </c:pt>
                <c:pt idx="2">
                  <c:v>10.419338263835201</c:v>
                </c:pt>
                <c:pt idx="3">
                  <c:v>7.6258764907202803</c:v>
                </c:pt>
                <c:pt idx="4">
                  <c:v>12.031282125541701</c:v>
                </c:pt>
                <c:pt idx="5">
                  <c:v>10.853505567093</c:v>
                </c:pt>
                <c:pt idx="6">
                  <c:v>12.853786246412399</c:v>
                </c:pt>
                <c:pt idx="7">
                  <c:v>18.580178916540699</c:v>
                </c:pt>
                <c:pt idx="8">
                  <c:v>8.9425133850629308</c:v>
                </c:pt>
                <c:pt idx="9">
                  <c:v>7.9069198940264203</c:v>
                </c:pt>
              </c:numCache>
            </c:numRef>
          </c:val>
          <c:smooth val="0"/>
        </c:ser>
        <c:ser>
          <c:idx val="0"/>
          <c:order val="2"/>
          <c:tx>
            <c:v>2</c:v>
          </c:tx>
          <c:spPr>
            <a:ln w="22225" cap="rnd">
              <a:solidFill>
                <a:srgbClr val="4BACC6"/>
              </a:solidFill>
              <a:prstDash val="solid"/>
              <a:round/>
            </a:ln>
            <a:effectLst/>
          </c:spPr>
          <c:marker>
            <c:symbol val="none"/>
          </c:marker>
          <c:val>
            <c:numRef>
              <c:f>Deprivation!$P$120:$Y$120</c:f>
              <c:numCache>
                <c:formatCode>0.0</c:formatCode>
                <c:ptCount val="10"/>
                <c:pt idx="0">
                  <c:v>13.2762762397857</c:v>
                </c:pt>
                <c:pt idx="1">
                  <c:v>9.2347855074547596</c:v>
                </c:pt>
                <c:pt idx="2">
                  <c:v>10.879457234614501</c:v>
                </c:pt>
                <c:pt idx="3">
                  <c:v>7.9607469030300404</c:v>
                </c:pt>
                <c:pt idx="4">
                  <c:v>9.3563239638140008</c:v>
                </c:pt>
                <c:pt idx="5">
                  <c:v>6.6094495499466497</c:v>
                </c:pt>
                <c:pt idx="6">
                  <c:v>11.119693883237501</c:v>
                </c:pt>
                <c:pt idx="7">
                  <c:v>8.4105504861635794</c:v>
                </c:pt>
                <c:pt idx="8">
                  <c:v>5.1494834144112698</c:v>
                </c:pt>
                <c:pt idx="9">
                  <c:v>8.5119967639644702</c:v>
                </c:pt>
              </c:numCache>
            </c:numRef>
          </c:val>
          <c:smooth val="0"/>
        </c:ser>
        <c:ser>
          <c:idx val="1"/>
          <c:order val="3"/>
          <c:tx>
            <c:strRef>
              <c:f>Deprivation!$N$119</c:f>
              <c:strCache>
                <c:ptCount val="1"/>
                <c:pt idx="0">
                  <c:v>1</c:v>
                </c:pt>
              </c:strCache>
            </c:strRef>
          </c:tx>
          <c:spPr>
            <a:ln w="22225" cap="rnd">
              <a:solidFill>
                <a:schemeClr val="accent1"/>
              </a:solidFill>
              <a:prstDash val="solid"/>
              <a:round/>
            </a:ln>
            <a:effectLst/>
          </c:spPr>
          <c:marker>
            <c:symbol val="none"/>
          </c:marker>
          <c:cat>
            <c:numRef>
              <c:f>Deprivation!$P$75:$Y$75</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Deprivation!$P$119:$Y$119</c:f>
              <c:numCache>
                <c:formatCode>0.0</c:formatCode>
                <c:ptCount val="10"/>
                <c:pt idx="0">
                  <c:v>9.1592642759985594</c:v>
                </c:pt>
                <c:pt idx="1">
                  <c:v>8.9156128849945198</c:v>
                </c:pt>
                <c:pt idx="2">
                  <c:v>7.7832339926645204</c:v>
                </c:pt>
                <c:pt idx="3">
                  <c:v>12.3359667452475</c:v>
                </c:pt>
                <c:pt idx="4">
                  <c:v>9.4553636332856392</c:v>
                </c:pt>
                <c:pt idx="5">
                  <c:v>5.8427897892515697</c:v>
                </c:pt>
                <c:pt idx="6">
                  <c:v>4.0076916080608296</c:v>
                </c:pt>
                <c:pt idx="7">
                  <c:v>6.9351193276698302</c:v>
                </c:pt>
                <c:pt idx="8">
                  <c:v>7.4094708277048502</c:v>
                </c:pt>
                <c:pt idx="9">
                  <c:v>12.85592725844</c:v>
                </c:pt>
              </c:numCache>
            </c:numRef>
          </c:val>
          <c:smooth val="0"/>
        </c:ser>
        <c:dLbls>
          <c:showLegendKey val="0"/>
          <c:showVal val="0"/>
          <c:showCatName val="0"/>
          <c:showSerName val="0"/>
          <c:showPercent val="0"/>
          <c:showBubbleSize val="0"/>
        </c:dLbls>
        <c:smooth val="0"/>
        <c:axId val="668363056"/>
        <c:axId val="668365408"/>
      </c:lineChart>
      <c:catAx>
        <c:axId val="6683630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8365408"/>
        <c:crosses val="autoZero"/>
        <c:auto val="1"/>
        <c:lblAlgn val="ctr"/>
        <c:lblOffset val="100"/>
        <c:tickLblSkip val="3"/>
        <c:noMultiLvlLbl val="0"/>
      </c:catAx>
      <c:valAx>
        <c:axId val="668365408"/>
        <c:scaling>
          <c:orientation val="minMax"/>
          <c:max val="4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8363056"/>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NZ" sz="1000" b="1">
                <a:solidFill>
                  <a:sysClr val="windowText" lastClr="000000"/>
                </a:solidFill>
              </a:rPr>
              <a:t>Total population</a:t>
            </a:r>
          </a:p>
        </c:rich>
      </c:tx>
      <c:overlay val="0"/>
      <c:spPr>
        <a:noFill/>
        <a:ln>
          <a:noFill/>
        </a:ln>
        <a:effectLst/>
      </c:spPr>
      <c:txPr>
        <a:bodyPr rot="0" spcFirstLastPara="1" vertOverflow="ellipsis" vert="horz" wrap="square" anchor="ctr" anchorCtr="1"/>
        <a:lstStyle/>
        <a:p>
          <a:pPr>
            <a:defRPr sz="10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2467419042290422E-2"/>
          <c:y val="0.17660833333333334"/>
          <c:w val="0.8657183026584867"/>
          <c:h val="0.68940651833578448"/>
        </c:manualLayout>
      </c:layout>
      <c:lineChart>
        <c:grouping val="standard"/>
        <c:varyColors val="0"/>
        <c:ser>
          <c:idx val="3"/>
          <c:order val="0"/>
          <c:tx>
            <c:strRef>
              <c:f>Deprivation!$N$36</c:f>
              <c:strCache>
                <c:ptCount val="1"/>
                <c:pt idx="0">
                  <c:v>5</c:v>
                </c:pt>
              </c:strCache>
            </c:strRef>
          </c:tx>
          <c:spPr>
            <a:ln w="22225" cap="rnd">
              <a:solidFill>
                <a:schemeClr val="bg1">
                  <a:lumMod val="50000"/>
                </a:schemeClr>
              </a:solidFill>
              <a:round/>
            </a:ln>
            <a:effectLst/>
          </c:spPr>
          <c:marker>
            <c:symbol val="none"/>
          </c:marker>
          <c:cat>
            <c:numRef>
              <c:f>Deprivation!$P$9:$Y$9</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Deprivation!$P$36:$Y$36</c:f>
              <c:numCache>
                <c:formatCode>0.0</c:formatCode>
                <c:ptCount val="10"/>
                <c:pt idx="0">
                  <c:v>18.165153052613999</c:v>
                </c:pt>
                <c:pt idx="1">
                  <c:v>14.712819146531</c:v>
                </c:pt>
                <c:pt idx="2">
                  <c:v>14.0640790028423</c:v>
                </c:pt>
                <c:pt idx="3">
                  <c:v>15.354556077231001</c:v>
                </c:pt>
                <c:pt idx="4">
                  <c:v>14.8468642902606</c:v>
                </c:pt>
                <c:pt idx="5">
                  <c:v>15.957499301362001</c:v>
                </c:pt>
                <c:pt idx="6">
                  <c:v>15.5911311839955</c:v>
                </c:pt>
                <c:pt idx="7">
                  <c:v>15.6036784873721</c:v>
                </c:pt>
                <c:pt idx="8">
                  <c:v>15.887486723761301</c:v>
                </c:pt>
                <c:pt idx="9">
                  <c:v>15.3999588320555</c:v>
                </c:pt>
              </c:numCache>
            </c:numRef>
          </c:val>
          <c:smooth val="0"/>
        </c:ser>
        <c:ser>
          <c:idx val="4"/>
          <c:order val="1"/>
          <c:tx>
            <c:v>4</c:v>
          </c:tx>
          <c:spPr>
            <a:ln w="22225" cap="rnd">
              <a:solidFill>
                <a:schemeClr val="bg1">
                  <a:lumMod val="75000"/>
                </a:schemeClr>
              </a:solidFill>
              <a:prstDash val="solid"/>
              <a:round/>
            </a:ln>
            <a:effectLst/>
          </c:spPr>
          <c:marker>
            <c:symbol val="none"/>
          </c:marker>
          <c:val>
            <c:numRef>
              <c:f>Deprivation!$P$35:$Y$35</c:f>
              <c:numCache>
                <c:formatCode>0.0</c:formatCode>
                <c:ptCount val="10"/>
                <c:pt idx="0">
                  <c:v>11.6604236929648</c:v>
                </c:pt>
                <c:pt idx="1">
                  <c:v>12.225496208264399</c:v>
                </c:pt>
                <c:pt idx="2">
                  <c:v>11.6112566860872</c:v>
                </c:pt>
                <c:pt idx="3">
                  <c:v>14.455050464133199</c:v>
                </c:pt>
                <c:pt idx="4">
                  <c:v>12.4646116325319</c:v>
                </c:pt>
                <c:pt idx="5">
                  <c:v>10.0472677723016</c:v>
                </c:pt>
                <c:pt idx="6">
                  <c:v>15.5604979085784</c:v>
                </c:pt>
                <c:pt idx="7">
                  <c:v>11.2169143637633</c:v>
                </c:pt>
                <c:pt idx="8">
                  <c:v>12.702250943943399</c:v>
                </c:pt>
                <c:pt idx="9">
                  <c:v>12.6359015080068</c:v>
                </c:pt>
              </c:numCache>
            </c:numRef>
          </c:val>
          <c:smooth val="0"/>
        </c:ser>
        <c:ser>
          <c:idx val="2"/>
          <c:order val="2"/>
          <c:tx>
            <c:v>3</c:v>
          </c:tx>
          <c:spPr>
            <a:ln w="22225" cap="rnd">
              <a:solidFill>
                <a:schemeClr val="accent1">
                  <a:lumMod val="60000"/>
                  <a:lumOff val="40000"/>
                </a:schemeClr>
              </a:solidFill>
              <a:round/>
            </a:ln>
            <a:effectLst/>
          </c:spPr>
          <c:marker>
            <c:symbol val="none"/>
          </c:marker>
          <c:val>
            <c:numRef>
              <c:f>Deprivation!$P$34:$Y$34</c:f>
              <c:numCache>
                <c:formatCode>0.0</c:formatCode>
                <c:ptCount val="10"/>
                <c:pt idx="0">
                  <c:v>10.927855897608399</c:v>
                </c:pt>
                <c:pt idx="1">
                  <c:v>12.2118090894897</c:v>
                </c:pt>
                <c:pt idx="2">
                  <c:v>11.7800727004485</c:v>
                </c:pt>
                <c:pt idx="3">
                  <c:v>9.8737223189076193</c:v>
                </c:pt>
                <c:pt idx="4">
                  <c:v>10.834254585669999</c:v>
                </c:pt>
                <c:pt idx="5">
                  <c:v>11.2842380302409</c:v>
                </c:pt>
                <c:pt idx="6">
                  <c:v>13.2069258471706</c:v>
                </c:pt>
                <c:pt idx="7">
                  <c:v>10.0161311543428</c:v>
                </c:pt>
                <c:pt idx="8">
                  <c:v>10.115508598999501</c:v>
                </c:pt>
                <c:pt idx="9">
                  <c:v>9.2264696457870095</c:v>
                </c:pt>
              </c:numCache>
            </c:numRef>
          </c:val>
          <c:smooth val="0"/>
        </c:ser>
        <c:ser>
          <c:idx val="0"/>
          <c:order val="3"/>
          <c:tx>
            <c:v>2</c:v>
          </c:tx>
          <c:spPr>
            <a:ln w="22225" cap="rnd">
              <a:solidFill>
                <a:srgbClr val="4BACC6"/>
              </a:solidFill>
              <a:prstDash val="solid"/>
              <a:round/>
            </a:ln>
            <a:effectLst/>
          </c:spPr>
          <c:marker>
            <c:symbol val="none"/>
          </c:marker>
          <c:val>
            <c:numRef>
              <c:f>Deprivation!$P$33:$Y$33</c:f>
              <c:numCache>
                <c:formatCode>0.0</c:formatCode>
                <c:ptCount val="10"/>
                <c:pt idx="0">
                  <c:v>9.8647821715884607</c:v>
                </c:pt>
                <c:pt idx="1">
                  <c:v>7.8887909690839697</c:v>
                </c:pt>
                <c:pt idx="2">
                  <c:v>9.2358257009264193</c:v>
                </c:pt>
                <c:pt idx="3">
                  <c:v>9.5258859884151494</c:v>
                </c:pt>
                <c:pt idx="4">
                  <c:v>9.4076427688804802</c:v>
                </c:pt>
                <c:pt idx="5">
                  <c:v>8.6197586162676494</c:v>
                </c:pt>
                <c:pt idx="6">
                  <c:v>9.2460799535926093</c:v>
                </c:pt>
                <c:pt idx="7">
                  <c:v>8.3528893937719104</c:v>
                </c:pt>
                <c:pt idx="8">
                  <c:v>7.53145948142501</c:v>
                </c:pt>
                <c:pt idx="9">
                  <c:v>8.9755667648996305</c:v>
                </c:pt>
              </c:numCache>
            </c:numRef>
          </c:val>
          <c:smooth val="0"/>
        </c:ser>
        <c:ser>
          <c:idx val="1"/>
          <c:order val="4"/>
          <c:tx>
            <c:strRef>
              <c:f>Deprivation!$N$32</c:f>
              <c:strCache>
                <c:ptCount val="1"/>
                <c:pt idx="0">
                  <c:v>1</c:v>
                </c:pt>
              </c:strCache>
            </c:strRef>
          </c:tx>
          <c:spPr>
            <a:ln w="22225" cap="rnd">
              <a:solidFill>
                <a:schemeClr val="accent1"/>
              </a:solidFill>
              <a:prstDash val="solid"/>
              <a:round/>
            </a:ln>
            <a:effectLst/>
          </c:spPr>
          <c:marker>
            <c:symbol val="none"/>
          </c:marker>
          <c:cat>
            <c:numRef>
              <c:f>Deprivation!$P$9:$Y$9</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Deprivation!$P$32:$Y$32</c:f>
              <c:numCache>
                <c:formatCode>0.0</c:formatCode>
                <c:ptCount val="10"/>
                <c:pt idx="0">
                  <c:v>7.7829388850515304</c:v>
                </c:pt>
                <c:pt idx="1">
                  <c:v>7.8368796841505901</c:v>
                </c:pt>
                <c:pt idx="2">
                  <c:v>9.8455520002290502</c:v>
                </c:pt>
                <c:pt idx="3">
                  <c:v>7.9860259733649004</c:v>
                </c:pt>
                <c:pt idx="4">
                  <c:v>10.1349018099747</c:v>
                </c:pt>
                <c:pt idx="5">
                  <c:v>8.0826555842724197</c:v>
                </c:pt>
                <c:pt idx="6">
                  <c:v>5.8150688207643197</c:v>
                </c:pt>
                <c:pt idx="7">
                  <c:v>6.73253886110823</c:v>
                </c:pt>
                <c:pt idx="8">
                  <c:v>6.6139183761554001</c:v>
                </c:pt>
                <c:pt idx="9">
                  <c:v>8.0896312487476205</c:v>
                </c:pt>
              </c:numCache>
            </c:numRef>
          </c:val>
          <c:smooth val="0"/>
        </c:ser>
        <c:dLbls>
          <c:showLegendKey val="0"/>
          <c:showVal val="0"/>
          <c:showCatName val="0"/>
          <c:showSerName val="0"/>
          <c:showPercent val="0"/>
          <c:showBubbleSize val="0"/>
        </c:dLbls>
        <c:smooth val="0"/>
        <c:axId val="668361880"/>
        <c:axId val="668366976"/>
      </c:lineChart>
      <c:catAx>
        <c:axId val="6683618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8366976"/>
        <c:crosses val="autoZero"/>
        <c:auto val="1"/>
        <c:lblAlgn val="ctr"/>
        <c:lblOffset val="100"/>
        <c:noMultiLvlLbl val="0"/>
      </c:catAx>
      <c:valAx>
        <c:axId val="668366976"/>
        <c:scaling>
          <c:orientation val="minMax"/>
          <c:max val="3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8361880"/>
        <c:crosses val="autoZero"/>
        <c:crossBetween val="between"/>
        <c:majorUnit val="5"/>
      </c:valAx>
      <c:spPr>
        <a:noFill/>
        <a:ln>
          <a:noFill/>
        </a:ln>
        <a:effectLst/>
      </c:spPr>
    </c:plotArea>
    <c:legend>
      <c:legendPos val="r"/>
      <c:layout>
        <c:manualLayout>
          <c:xMode val="edge"/>
          <c:yMode val="edge"/>
          <c:x val="0.89392825494205863"/>
          <c:y val="1.0984110857110603E-2"/>
          <c:w val="0.10607174505794138"/>
          <c:h val="0.366792704211465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709740597146166E-2"/>
          <c:y val="0.1785464777611562"/>
          <c:w val="0.91286847744252042"/>
          <c:h val="0.71192646896149481"/>
        </c:manualLayout>
      </c:layout>
      <c:barChart>
        <c:barDir val="col"/>
        <c:grouping val="clustered"/>
        <c:varyColors val="0"/>
        <c:ser>
          <c:idx val="0"/>
          <c:order val="0"/>
          <c:tx>
            <c:strRef>
              <c:f>'Quick facts'!$T$82</c:f>
              <c:strCache>
                <c:ptCount val="1"/>
                <c:pt idx="0">
                  <c:v>Male</c:v>
                </c:pt>
              </c:strCache>
            </c:strRef>
          </c:tx>
          <c:spPr>
            <a:solidFill>
              <a:schemeClr val="bg1">
                <a:lumMod val="50000"/>
              </a:schemeClr>
            </a:solidFill>
            <a:ln>
              <a:noFill/>
            </a:ln>
            <a:effectLst/>
          </c:spPr>
          <c:invertIfNegative val="0"/>
          <c:errBars>
            <c:errBarType val="both"/>
            <c:errValType val="cust"/>
            <c:noEndCap val="0"/>
            <c:plus>
              <c:numRef>
                <c:f>'Quick facts'!$BJ$100:$BY$100</c:f>
                <c:numCache>
                  <c:formatCode>General</c:formatCode>
                  <c:ptCount val="16"/>
                  <c:pt idx="0">
                    <c:v>3.2</c:v>
                  </c:pt>
                  <c:pt idx="1">
                    <c:v>4.7</c:v>
                  </c:pt>
                  <c:pt idx="2">
                    <c:v>4.2</c:v>
                  </c:pt>
                  <c:pt idx="3">
                    <c:v>4.4000000000000004</c:v>
                  </c:pt>
                  <c:pt idx="4">
                    <c:v>4.4000000000000004</c:v>
                  </c:pt>
                  <c:pt idx="5">
                    <c:v>4.5999999999999996</c:v>
                  </c:pt>
                  <c:pt idx="6">
                    <c:v>3.9</c:v>
                  </c:pt>
                  <c:pt idx="7">
                    <c:v>4.4000000000000004</c:v>
                  </c:pt>
                  <c:pt idx="8">
                    <c:v>4.4000000000000004</c:v>
                  </c:pt>
                  <c:pt idx="9">
                    <c:v>4</c:v>
                  </c:pt>
                  <c:pt idx="10">
                    <c:v>4.5</c:v>
                  </c:pt>
                  <c:pt idx="11">
                    <c:v>3.9</c:v>
                  </c:pt>
                  <c:pt idx="12">
                    <c:v>3.8</c:v>
                  </c:pt>
                  <c:pt idx="13">
                    <c:v>6.7</c:v>
                  </c:pt>
                  <c:pt idx="14">
                    <c:v>7.5</c:v>
                  </c:pt>
                  <c:pt idx="15">
                    <c:v>6.5</c:v>
                  </c:pt>
                </c:numCache>
              </c:numRef>
            </c:plus>
            <c:minus>
              <c:numRef>
                <c:f>'Quick facts'!$BJ$100:$BY$100</c:f>
                <c:numCache>
                  <c:formatCode>General</c:formatCode>
                  <c:ptCount val="16"/>
                  <c:pt idx="0">
                    <c:v>3.2</c:v>
                  </c:pt>
                  <c:pt idx="1">
                    <c:v>4.7</c:v>
                  </c:pt>
                  <c:pt idx="2">
                    <c:v>4.2</c:v>
                  </c:pt>
                  <c:pt idx="3">
                    <c:v>4.4000000000000004</c:v>
                  </c:pt>
                  <c:pt idx="4">
                    <c:v>4.4000000000000004</c:v>
                  </c:pt>
                  <c:pt idx="5">
                    <c:v>4.5999999999999996</c:v>
                  </c:pt>
                  <c:pt idx="6">
                    <c:v>3.9</c:v>
                  </c:pt>
                  <c:pt idx="7">
                    <c:v>4.4000000000000004</c:v>
                  </c:pt>
                  <c:pt idx="8">
                    <c:v>4.4000000000000004</c:v>
                  </c:pt>
                  <c:pt idx="9">
                    <c:v>4</c:v>
                  </c:pt>
                  <c:pt idx="10">
                    <c:v>4.5</c:v>
                  </c:pt>
                  <c:pt idx="11">
                    <c:v>3.9</c:v>
                  </c:pt>
                  <c:pt idx="12">
                    <c:v>3.8</c:v>
                  </c:pt>
                  <c:pt idx="13">
                    <c:v>6.7</c:v>
                  </c:pt>
                  <c:pt idx="14">
                    <c:v>7.5</c:v>
                  </c:pt>
                  <c:pt idx="15">
                    <c:v>6.5</c:v>
                  </c:pt>
                </c:numCache>
              </c:numRef>
            </c:minus>
            <c:spPr>
              <a:noFill/>
              <a:ln w="9525" cap="flat" cmpd="sng" algn="ctr">
                <a:solidFill>
                  <a:schemeClr val="tx1">
                    <a:lumMod val="65000"/>
                    <a:lumOff val="35000"/>
                  </a:schemeClr>
                </a:solidFill>
                <a:round/>
              </a:ln>
              <a:effectLst/>
            </c:spPr>
          </c:errBars>
          <c:cat>
            <c:strRef>
              <c:f>'Quick facts'!$X$79:$AM$79</c:f>
              <c:strCache>
                <c:ptCount val="16"/>
                <c:pt idx="0">
                  <c:v>10–14</c:v>
                </c:pt>
                <c:pt idx="1">
                  <c:v>15–19</c:v>
                </c:pt>
                <c:pt idx="2">
                  <c:v>20–24</c:v>
                </c:pt>
                <c:pt idx="3">
                  <c:v>25–29</c:v>
                </c:pt>
                <c:pt idx="4">
                  <c:v>30–34</c:v>
                </c:pt>
                <c:pt idx="5">
                  <c:v>35–39</c:v>
                </c:pt>
                <c:pt idx="6">
                  <c:v>40–44</c:v>
                </c:pt>
                <c:pt idx="7">
                  <c:v>45–49</c:v>
                </c:pt>
                <c:pt idx="8">
                  <c:v>50–54</c:v>
                </c:pt>
                <c:pt idx="9">
                  <c:v>55–59</c:v>
                </c:pt>
                <c:pt idx="10">
                  <c:v>60–64</c:v>
                </c:pt>
                <c:pt idx="11">
                  <c:v>65–69</c:v>
                </c:pt>
                <c:pt idx="12">
                  <c:v>70–74</c:v>
                </c:pt>
                <c:pt idx="13">
                  <c:v>75–79</c:v>
                </c:pt>
                <c:pt idx="14">
                  <c:v>80–84</c:v>
                </c:pt>
                <c:pt idx="15">
                  <c:v>85+</c:v>
                </c:pt>
              </c:strCache>
            </c:strRef>
          </c:cat>
          <c:val>
            <c:numRef>
              <c:f>'Quick facts'!$X$106:$AM$106</c:f>
              <c:numCache>
                <c:formatCode>0.0</c:formatCode>
                <c:ptCount val="16"/>
                <c:pt idx="0">
                  <c:v>3.9946737683089202</c:v>
                </c:pt>
                <c:pt idx="1">
                  <c:v>19.5658819932742</c:v>
                </c:pt>
                <c:pt idx="2">
                  <c:v>21.050236103999499</c:v>
                </c:pt>
                <c:pt idx="3">
                  <c:v>26.883441080458301</c:v>
                </c:pt>
                <c:pt idx="4">
                  <c:v>23.778642455685301</c:v>
                </c:pt>
                <c:pt idx="5">
                  <c:v>25.1831501831502</c:v>
                </c:pt>
                <c:pt idx="6">
                  <c:v>19.0852702610592</c:v>
                </c:pt>
                <c:pt idx="7">
                  <c:v>25.2861325525685</c:v>
                </c:pt>
                <c:pt idx="8">
                  <c:v>24.047835694787501</c:v>
                </c:pt>
                <c:pt idx="9">
                  <c:v>19.353451365493498</c:v>
                </c:pt>
                <c:pt idx="10">
                  <c:v>18.074268813670699</c:v>
                </c:pt>
                <c:pt idx="11">
                  <c:v>11.78390137781</c:v>
                </c:pt>
                <c:pt idx="12">
                  <c:v>8.8116817724068497</c:v>
                </c:pt>
                <c:pt idx="13">
                  <c:v>23.152270703472801</c:v>
                </c:pt>
                <c:pt idx="14">
                  <c:v>24.219590958019399</c:v>
                </c:pt>
                <c:pt idx="15">
                  <c:v>20.270270270270299</c:v>
                </c:pt>
              </c:numCache>
            </c:numRef>
          </c:val>
        </c:ser>
        <c:ser>
          <c:idx val="1"/>
          <c:order val="1"/>
          <c:tx>
            <c:strRef>
              <c:f>'Quick facts'!$T$83</c:f>
              <c:strCache>
                <c:ptCount val="1"/>
                <c:pt idx="0">
                  <c:v>Female</c:v>
                </c:pt>
              </c:strCache>
            </c:strRef>
          </c:tx>
          <c:spPr>
            <a:solidFill>
              <a:schemeClr val="accent1"/>
            </a:solidFill>
            <a:ln>
              <a:noFill/>
            </a:ln>
            <a:effectLst/>
          </c:spPr>
          <c:invertIfNegative val="0"/>
          <c:errBars>
            <c:errBarType val="both"/>
            <c:errValType val="cust"/>
            <c:noEndCap val="0"/>
            <c:plus>
              <c:numRef>
                <c:f>'Quick facts'!$BJ$102:$BU$102</c:f>
                <c:numCache>
                  <c:formatCode>General</c:formatCode>
                  <c:ptCount val="12"/>
                  <c:pt idx="0">
                    <c:v>0</c:v>
                  </c:pt>
                  <c:pt idx="1">
                    <c:v>6.4</c:v>
                  </c:pt>
                  <c:pt idx="2">
                    <c:v>4.9000000000000004</c:v>
                  </c:pt>
                  <c:pt idx="3">
                    <c:v>3.5</c:v>
                  </c:pt>
                  <c:pt idx="4">
                    <c:v>4</c:v>
                  </c:pt>
                  <c:pt idx="5">
                    <c:v>4.0999999999999996</c:v>
                  </c:pt>
                  <c:pt idx="6">
                    <c:v>3.6</c:v>
                  </c:pt>
                  <c:pt idx="7">
                    <c:v>4.2</c:v>
                  </c:pt>
                  <c:pt idx="8">
                    <c:v>4.5999999999999996</c:v>
                  </c:pt>
                  <c:pt idx="9">
                    <c:v>3.5</c:v>
                  </c:pt>
                  <c:pt idx="10">
                    <c:v>5.0999999999999996</c:v>
                  </c:pt>
                  <c:pt idx="11">
                    <c:v>4.5</c:v>
                  </c:pt>
                </c:numCache>
              </c:numRef>
            </c:plus>
            <c:minus>
              <c:numRef>
                <c:f>'Quick facts'!$BJ$102:$BU$102</c:f>
                <c:numCache>
                  <c:formatCode>General</c:formatCode>
                  <c:ptCount val="12"/>
                  <c:pt idx="0">
                    <c:v>0</c:v>
                  </c:pt>
                  <c:pt idx="1">
                    <c:v>6.4</c:v>
                  </c:pt>
                  <c:pt idx="2">
                    <c:v>4.9000000000000004</c:v>
                  </c:pt>
                  <c:pt idx="3">
                    <c:v>3.5</c:v>
                  </c:pt>
                  <c:pt idx="4">
                    <c:v>4</c:v>
                  </c:pt>
                  <c:pt idx="5">
                    <c:v>4.0999999999999996</c:v>
                  </c:pt>
                  <c:pt idx="6">
                    <c:v>3.6</c:v>
                  </c:pt>
                  <c:pt idx="7">
                    <c:v>4.2</c:v>
                  </c:pt>
                  <c:pt idx="8">
                    <c:v>4.5999999999999996</c:v>
                  </c:pt>
                  <c:pt idx="9">
                    <c:v>3.5</c:v>
                  </c:pt>
                  <c:pt idx="10">
                    <c:v>5.0999999999999996</c:v>
                  </c:pt>
                  <c:pt idx="11">
                    <c:v>4.5</c:v>
                  </c:pt>
                </c:numCache>
              </c:numRef>
            </c:minus>
            <c:spPr>
              <a:noFill/>
              <a:ln w="9525" cap="flat" cmpd="sng" algn="ctr">
                <a:solidFill>
                  <a:schemeClr val="tx1">
                    <a:lumMod val="65000"/>
                    <a:lumOff val="35000"/>
                  </a:schemeClr>
                </a:solidFill>
                <a:round/>
              </a:ln>
              <a:effectLst/>
            </c:spPr>
          </c:errBars>
          <c:cat>
            <c:strRef>
              <c:f>'Quick facts'!$X$79:$AM$79</c:f>
              <c:strCache>
                <c:ptCount val="16"/>
                <c:pt idx="0">
                  <c:v>10–14</c:v>
                </c:pt>
                <c:pt idx="1">
                  <c:v>15–19</c:v>
                </c:pt>
                <c:pt idx="2">
                  <c:v>20–24</c:v>
                </c:pt>
                <c:pt idx="3">
                  <c:v>25–29</c:v>
                </c:pt>
                <c:pt idx="4">
                  <c:v>30–34</c:v>
                </c:pt>
                <c:pt idx="5">
                  <c:v>35–39</c:v>
                </c:pt>
                <c:pt idx="6">
                  <c:v>40–44</c:v>
                </c:pt>
                <c:pt idx="7">
                  <c:v>45–49</c:v>
                </c:pt>
                <c:pt idx="8">
                  <c:v>50–54</c:v>
                </c:pt>
                <c:pt idx="9">
                  <c:v>55–59</c:v>
                </c:pt>
                <c:pt idx="10">
                  <c:v>60–64</c:v>
                </c:pt>
                <c:pt idx="11">
                  <c:v>65–69</c:v>
                </c:pt>
                <c:pt idx="12">
                  <c:v>70–74</c:v>
                </c:pt>
                <c:pt idx="13">
                  <c:v>75–79</c:v>
                </c:pt>
                <c:pt idx="14">
                  <c:v>80–84</c:v>
                </c:pt>
                <c:pt idx="15">
                  <c:v>85+</c:v>
                </c:pt>
              </c:strCache>
            </c:strRef>
          </c:cat>
          <c:val>
            <c:numRef>
              <c:f>'Quick facts'!$X$107:$AM$107</c:f>
              <c:numCache>
                <c:formatCode>0.0</c:formatCode>
                <c:ptCount val="16"/>
                <c:pt idx="0">
                  <c:v>0</c:v>
                </c:pt>
                <c:pt idx="1">
                  <c:v>16.283462515469299</c:v>
                </c:pt>
                <c:pt idx="2">
                  <c:v>10.384215991692599</c:v>
                </c:pt>
                <c:pt idx="3">
                  <c:v>5.0787201625190503</c:v>
                </c:pt>
                <c:pt idx="4">
                  <c:v>6.0528616584840904</c:v>
                </c:pt>
                <c:pt idx="5">
                  <c:v>6.2888687023967602</c:v>
                </c:pt>
                <c:pt idx="6">
                  <c:v>5.5517858244401896</c:v>
                </c:pt>
                <c:pt idx="7">
                  <c:v>7.3461891643709798</c:v>
                </c:pt>
                <c:pt idx="8">
                  <c:v>9.1091273456002906</c:v>
                </c:pt>
                <c:pt idx="9">
                  <c:v>4.7319678226188104</c:v>
                </c:pt>
                <c:pt idx="10">
                  <c:v>8.5523246773441208</c:v>
                </c:pt>
                <c:pt idx="11">
                  <c:v>6.0579835569017702</c:v>
                </c:pt>
                <c:pt idx="12">
                  <c:v>0</c:v>
                </c:pt>
                <c:pt idx="13">
                  <c:v>0</c:v>
                </c:pt>
                <c:pt idx="14">
                  <c:v>0</c:v>
                </c:pt>
                <c:pt idx="15">
                  <c:v>0</c:v>
                </c:pt>
              </c:numCache>
            </c:numRef>
          </c:val>
        </c:ser>
        <c:dLbls>
          <c:showLegendKey val="0"/>
          <c:showVal val="0"/>
          <c:showCatName val="0"/>
          <c:showSerName val="0"/>
          <c:showPercent val="0"/>
          <c:showBubbleSize val="0"/>
        </c:dLbls>
        <c:gapWidth val="76"/>
        <c:overlap val="-13"/>
        <c:axId val="799498928"/>
        <c:axId val="799498144"/>
      </c:barChart>
      <c:catAx>
        <c:axId val="79949892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9498144"/>
        <c:crosses val="autoZero"/>
        <c:auto val="1"/>
        <c:lblAlgn val="ctr"/>
        <c:lblOffset val="100"/>
        <c:noMultiLvlLbl val="0"/>
      </c:catAx>
      <c:valAx>
        <c:axId val="799498144"/>
        <c:scaling>
          <c:orientation val="minMax"/>
          <c:max val="7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9498928"/>
        <c:crosses val="autoZero"/>
        <c:crossBetween val="between"/>
      </c:valAx>
      <c:spPr>
        <a:noFill/>
        <a:ln>
          <a:noFill/>
        </a:ln>
        <a:effectLst/>
      </c:spPr>
    </c:plotArea>
    <c:legend>
      <c:legendPos val="b"/>
      <c:layout>
        <c:manualLayout>
          <c:xMode val="edge"/>
          <c:yMode val="edge"/>
          <c:x val="0.80278206585014666"/>
          <c:y val="3.9800434428455059E-2"/>
          <c:w val="0.18632740319314067"/>
          <c:h val="9.921944444444445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1000" b="1"/>
              <a:t>Females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2467419042290422E-2"/>
          <c:y val="0.17660833333333334"/>
          <c:w val="0.8657183026584867"/>
          <c:h val="0.68940651833578448"/>
        </c:manualLayout>
      </c:layout>
      <c:lineChart>
        <c:grouping val="standard"/>
        <c:varyColors val="0"/>
        <c:ser>
          <c:idx val="3"/>
          <c:order val="0"/>
          <c:tx>
            <c:v>5</c:v>
          </c:tx>
          <c:spPr>
            <a:ln w="22225" cap="rnd">
              <a:solidFill>
                <a:schemeClr val="bg1">
                  <a:lumMod val="50000"/>
                </a:schemeClr>
              </a:solidFill>
              <a:round/>
            </a:ln>
            <a:effectLst/>
          </c:spPr>
          <c:marker>
            <c:symbol val="none"/>
          </c:marker>
          <c:val>
            <c:numRef>
              <c:f>Deprivation!$P$48:$Y$48</c:f>
              <c:numCache>
                <c:formatCode>0.0</c:formatCode>
                <c:ptCount val="10"/>
                <c:pt idx="0">
                  <c:v>8.3867177720886303</c:v>
                </c:pt>
                <c:pt idx="1">
                  <c:v>6.78604023432323</c:v>
                </c:pt>
                <c:pt idx="2">
                  <c:v>6.8810283175385996</c:v>
                </c:pt>
                <c:pt idx="3">
                  <c:v>6.5983231739770396</c:v>
                </c:pt>
                <c:pt idx="4">
                  <c:v>8.3546213274244803</c:v>
                </c:pt>
                <c:pt idx="5">
                  <c:v>9.9898574049395492</c:v>
                </c:pt>
                <c:pt idx="6">
                  <c:v>9.4963410912357702</c:v>
                </c:pt>
                <c:pt idx="7">
                  <c:v>10.227777888353501</c:v>
                </c:pt>
                <c:pt idx="8">
                  <c:v>8.3627623467666599</c:v>
                </c:pt>
                <c:pt idx="9">
                  <c:v>8.7248394367418296</c:v>
                </c:pt>
              </c:numCache>
            </c:numRef>
          </c:val>
          <c:smooth val="0"/>
        </c:ser>
        <c:ser>
          <c:idx val="4"/>
          <c:order val="1"/>
          <c:tx>
            <c:v>4</c:v>
          </c:tx>
          <c:spPr>
            <a:ln w="22225" cap="rnd">
              <a:solidFill>
                <a:schemeClr val="bg1">
                  <a:lumMod val="75000"/>
                </a:schemeClr>
              </a:solidFill>
              <a:prstDash val="solid"/>
              <a:round/>
            </a:ln>
            <a:effectLst/>
          </c:spPr>
          <c:marker>
            <c:symbol val="none"/>
          </c:marker>
          <c:val>
            <c:numRef>
              <c:f>Deprivation!$P$47:$Y$47</c:f>
              <c:numCache>
                <c:formatCode>0.0</c:formatCode>
                <c:ptCount val="10"/>
                <c:pt idx="0">
                  <c:v>5.3830777309068196</c:v>
                </c:pt>
                <c:pt idx="1">
                  <c:v>4.9567640127175396</c:v>
                </c:pt>
                <c:pt idx="2">
                  <c:v>4.8262497491326304</c:v>
                </c:pt>
                <c:pt idx="3">
                  <c:v>7.3510824533927499</c:v>
                </c:pt>
                <c:pt idx="4">
                  <c:v>5.6067155020755699</c:v>
                </c:pt>
                <c:pt idx="5">
                  <c:v>5.1852837425382301</c:v>
                </c:pt>
                <c:pt idx="6">
                  <c:v>8.9298192148046898</c:v>
                </c:pt>
                <c:pt idx="7">
                  <c:v>5.5573244121361203</c:v>
                </c:pt>
                <c:pt idx="8">
                  <c:v>6.1098861266219604</c:v>
                </c:pt>
                <c:pt idx="9">
                  <c:v>6.56171162535788</c:v>
                </c:pt>
              </c:numCache>
            </c:numRef>
          </c:val>
          <c:smooth val="0"/>
        </c:ser>
        <c:ser>
          <c:idx val="2"/>
          <c:order val="2"/>
          <c:tx>
            <c:v>3</c:v>
          </c:tx>
          <c:spPr>
            <a:ln w="22225" cap="rnd">
              <a:solidFill>
                <a:schemeClr val="accent1">
                  <a:lumMod val="60000"/>
                  <a:lumOff val="40000"/>
                </a:schemeClr>
              </a:solidFill>
              <a:round/>
            </a:ln>
            <a:effectLst/>
          </c:spPr>
          <c:marker>
            <c:symbol val="none"/>
          </c:marker>
          <c:val>
            <c:numRef>
              <c:f>Deprivation!$P$46:$Y$46</c:f>
              <c:numCache>
                <c:formatCode>0.0</c:formatCode>
                <c:ptCount val="10"/>
                <c:pt idx="0">
                  <c:v>5.4993855608744502</c:v>
                </c:pt>
                <c:pt idx="1">
                  <c:v>5.7446892212915204</c:v>
                </c:pt>
                <c:pt idx="2">
                  <c:v>7.5691748656037197</c:v>
                </c:pt>
                <c:pt idx="3">
                  <c:v>5.2206184166965404</c:v>
                </c:pt>
                <c:pt idx="4">
                  <c:v>5.2396119815643303</c:v>
                </c:pt>
                <c:pt idx="5">
                  <c:v>3.8279008266893402</c:v>
                </c:pt>
                <c:pt idx="6">
                  <c:v>4.4674700999259302</c:v>
                </c:pt>
                <c:pt idx="7">
                  <c:v>5.5756498222800701</c:v>
                </c:pt>
                <c:pt idx="8">
                  <c:v>4.9801442476464199</c:v>
                </c:pt>
                <c:pt idx="9">
                  <c:v>5.6703552086804097</c:v>
                </c:pt>
              </c:numCache>
            </c:numRef>
          </c:val>
          <c:smooth val="0"/>
        </c:ser>
        <c:ser>
          <c:idx val="0"/>
          <c:order val="3"/>
          <c:tx>
            <c:v>2</c:v>
          </c:tx>
          <c:spPr>
            <a:ln w="22225" cap="rnd">
              <a:solidFill>
                <a:srgbClr val="4BACC6"/>
              </a:solidFill>
              <a:prstDash val="solid"/>
              <a:round/>
            </a:ln>
            <a:effectLst/>
          </c:spPr>
          <c:marker>
            <c:symbol val="none"/>
          </c:marker>
          <c:cat>
            <c:numRef>
              <c:f>Deprivation!$P$9:$Y$9</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Deprivation!$P$45:$Y$45</c:f>
              <c:numCache>
                <c:formatCode>0.0</c:formatCode>
                <c:ptCount val="10"/>
                <c:pt idx="0">
                  <c:v>5.3220540822637998</c:v>
                </c:pt>
                <c:pt idx="1">
                  <c:v>4.3903552637485497</c:v>
                </c:pt>
                <c:pt idx="2">
                  <c:v>4.92960345088603</c:v>
                </c:pt>
                <c:pt idx="3">
                  <c:v>3.6586615219409002</c:v>
                </c:pt>
                <c:pt idx="4">
                  <c:v>6.4808380547622102</c:v>
                </c:pt>
                <c:pt idx="5">
                  <c:v>2.9406434228190901</c:v>
                </c:pt>
                <c:pt idx="6">
                  <c:v>5.1035643666233099</c:v>
                </c:pt>
                <c:pt idx="7">
                  <c:v>5.2973793210445397</c:v>
                </c:pt>
                <c:pt idx="8">
                  <c:v>4.3764290323286197</c:v>
                </c:pt>
                <c:pt idx="9">
                  <c:v>4.5337462187208599</c:v>
                </c:pt>
              </c:numCache>
            </c:numRef>
          </c:val>
          <c:smooth val="0"/>
        </c:ser>
        <c:ser>
          <c:idx val="1"/>
          <c:order val="4"/>
          <c:tx>
            <c:v>1</c:v>
          </c:tx>
          <c:spPr>
            <a:ln w="22225" cap="rnd">
              <a:solidFill>
                <a:schemeClr val="accent1"/>
              </a:solidFill>
              <a:prstDash val="solid"/>
              <a:round/>
            </a:ln>
            <a:effectLst/>
          </c:spPr>
          <c:marker>
            <c:symbol val="none"/>
          </c:marker>
          <c:val>
            <c:numRef>
              <c:f>Deprivation!$P$44:$Y$44</c:f>
              <c:numCache>
                <c:formatCode>0.0</c:formatCode>
                <c:ptCount val="10"/>
                <c:pt idx="0">
                  <c:v>3.91928161789447</c:v>
                </c:pt>
                <c:pt idx="1">
                  <c:v>3.21939072200857</c:v>
                </c:pt>
                <c:pt idx="2">
                  <c:v>4.8919643634299597</c:v>
                </c:pt>
                <c:pt idx="3">
                  <c:v>2.38907362919592</c:v>
                </c:pt>
                <c:pt idx="4">
                  <c:v>6.2730726130140999</c:v>
                </c:pt>
                <c:pt idx="5">
                  <c:v>3.1724695276464998</c:v>
                </c:pt>
                <c:pt idx="6">
                  <c:v>1.6745010318739699</c:v>
                </c:pt>
                <c:pt idx="7">
                  <c:v>3.4168305432326198</c:v>
                </c:pt>
                <c:pt idx="8">
                  <c:v>2.7543322496102798</c:v>
                </c:pt>
                <c:pt idx="9">
                  <c:v>4.0757342154773699</c:v>
                </c:pt>
              </c:numCache>
            </c:numRef>
          </c:val>
          <c:smooth val="0"/>
        </c:ser>
        <c:dLbls>
          <c:showLegendKey val="0"/>
          <c:showVal val="0"/>
          <c:showCatName val="0"/>
          <c:showSerName val="0"/>
          <c:showPercent val="0"/>
          <c:showBubbleSize val="0"/>
        </c:dLbls>
        <c:smooth val="0"/>
        <c:axId val="668367368"/>
        <c:axId val="668367760"/>
      </c:lineChart>
      <c:catAx>
        <c:axId val="66836736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8367760"/>
        <c:crosses val="autoZero"/>
        <c:auto val="1"/>
        <c:lblAlgn val="ctr"/>
        <c:lblOffset val="100"/>
        <c:noMultiLvlLbl val="0"/>
      </c:catAx>
      <c:valAx>
        <c:axId val="668367760"/>
        <c:scaling>
          <c:orientation val="minMax"/>
          <c:max val="3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8367368"/>
        <c:crosses val="autoZero"/>
        <c:crossBetween val="between"/>
        <c:majorUnit val="5"/>
      </c:valAx>
      <c:spPr>
        <a:noFill/>
        <a:ln>
          <a:noFill/>
        </a:ln>
        <a:effectLst/>
      </c:spPr>
    </c:plotArea>
    <c:legend>
      <c:legendPos val="r"/>
      <c:layout>
        <c:manualLayout>
          <c:xMode val="edge"/>
          <c:yMode val="edge"/>
          <c:x val="0.89392825494205863"/>
          <c:y val="1.0984110857110603E-2"/>
          <c:w val="0.10607174505794138"/>
          <c:h val="0.366792704211465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b="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NZ" sz="1000" b="1">
                <a:solidFill>
                  <a:sysClr val="windowText" lastClr="000000"/>
                </a:solidFill>
              </a:rPr>
              <a:t>Total population, all ages</a:t>
            </a:r>
          </a:p>
        </c:rich>
      </c:tx>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1473448109864805E-2"/>
          <c:y val="0.14657637737239726"/>
          <c:w val="0.898046379614586"/>
          <c:h val="0.71632854247282096"/>
        </c:manualLayout>
      </c:layout>
      <c:lineChart>
        <c:grouping val="standard"/>
        <c:varyColors val="0"/>
        <c:ser>
          <c:idx val="0"/>
          <c:order val="0"/>
          <c:tx>
            <c:strRef>
              <c:f>Methods!$BM$23</c:f>
              <c:strCache>
                <c:ptCount val="1"/>
                <c:pt idx="0">
                  <c:v>Hanging, strangulation and suffocation</c:v>
                </c:pt>
              </c:strCache>
            </c:strRef>
          </c:tx>
          <c:spPr>
            <a:ln w="22225" cap="rnd">
              <a:solidFill>
                <a:schemeClr val="tx1"/>
              </a:solidFill>
              <a:round/>
            </a:ln>
            <a:effectLst/>
          </c:spPr>
          <c:marker>
            <c:symbol val="none"/>
          </c:marker>
          <c:cat>
            <c:numRef>
              <c:f>Methods!$T$13:$AM$13</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Methods!$BO$23:$CH$23</c:f>
              <c:numCache>
                <c:formatCode>General</c:formatCode>
                <c:ptCount val="20"/>
                <c:pt idx="0">
                  <c:v>42.6</c:v>
                </c:pt>
                <c:pt idx="1">
                  <c:v>41.3</c:v>
                </c:pt>
                <c:pt idx="2">
                  <c:v>43.2</c:v>
                </c:pt>
                <c:pt idx="3">
                  <c:v>46.8</c:v>
                </c:pt>
                <c:pt idx="4">
                  <c:v>46.8</c:v>
                </c:pt>
                <c:pt idx="5">
                  <c:v>46.3</c:v>
                </c:pt>
                <c:pt idx="6">
                  <c:v>47.2</c:v>
                </c:pt>
                <c:pt idx="7">
                  <c:v>47.9</c:v>
                </c:pt>
                <c:pt idx="8">
                  <c:v>54.7</c:v>
                </c:pt>
                <c:pt idx="9">
                  <c:v>49.7</c:v>
                </c:pt>
                <c:pt idx="10">
                  <c:v>54.6</c:v>
                </c:pt>
                <c:pt idx="11">
                  <c:v>56.7</c:v>
                </c:pt>
                <c:pt idx="12">
                  <c:v>56</c:v>
                </c:pt>
                <c:pt idx="13">
                  <c:v>59</c:v>
                </c:pt>
                <c:pt idx="14">
                  <c:v>58.6</c:v>
                </c:pt>
                <c:pt idx="15">
                  <c:v>61.1</c:v>
                </c:pt>
                <c:pt idx="16">
                  <c:v>62.4</c:v>
                </c:pt>
                <c:pt idx="17">
                  <c:v>57.2</c:v>
                </c:pt>
                <c:pt idx="18">
                  <c:v>60.9</c:v>
                </c:pt>
                <c:pt idx="19">
                  <c:v>62.5</c:v>
                </c:pt>
              </c:numCache>
            </c:numRef>
          </c:val>
          <c:smooth val="0"/>
        </c:ser>
        <c:ser>
          <c:idx val="5"/>
          <c:order val="1"/>
          <c:tx>
            <c:strRef>
              <c:f>Methods!$BM$24</c:f>
              <c:strCache>
                <c:ptCount val="1"/>
                <c:pt idx="0">
                  <c:v>Poisoning by gases and vapours</c:v>
                </c:pt>
              </c:strCache>
            </c:strRef>
          </c:tx>
          <c:spPr>
            <a:ln w="22225" cap="rnd">
              <a:solidFill>
                <a:schemeClr val="bg1">
                  <a:lumMod val="50000"/>
                </a:schemeClr>
              </a:solidFill>
              <a:round/>
            </a:ln>
            <a:effectLst/>
          </c:spPr>
          <c:marker>
            <c:symbol val="none"/>
          </c:marker>
          <c:cat>
            <c:numRef>
              <c:f>Methods!$T$13:$AM$13</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Methods!$BO$24:$CH$24</c:f>
              <c:numCache>
                <c:formatCode>General</c:formatCode>
                <c:ptCount val="20"/>
                <c:pt idx="0">
                  <c:v>29.1</c:v>
                </c:pt>
                <c:pt idx="1">
                  <c:v>27.9</c:v>
                </c:pt>
                <c:pt idx="2">
                  <c:v>23.1</c:v>
                </c:pt>
                <c:pt idx="3">
                  <c:v>22.6</c:v>
                </c:pt>
                <c:pt idx="4">
                  <c:v>24.6</c:v>
                </c:pt>
                <c:pt idx="5">
                  <c:v>21.9</c:v>
                </c:pt>
                <c:pt idx="6">
                  <c:v>21.1</c:v>
                </c:pt>
                <c:pt idx="7">
                  <c:v>19.899999999999999</c:v>
                </c:pt>
                <c:pt idx="8">
                  <c:v>19.2</c:v>
                </c:pt>
                <c:pt idx="9">
                  <c:v>21.4</c:v>
                </c:pt>
                <c:pt idx="10">
                  <c:v>16.600000000000001</c:v>
                </c:pt>
                <c:pt idx="11">
                  <c:v>14.4</c:v>
                </c:pt>
                <c:pt idx="12">
                  <c:v>14.5</c:v>
                </c:pt>
                <c:pt idx="13">
                  <c:v>9.8000000000000007</c:v>
                </c:pt>
                <c:pt idx="14">
                  <c:v>11.4</c:v>
                </c:pt>
                <c:pt idx="15">
                  <c:v>9.6999999999999993</c:v>
                </c:pt>
                <c:pt idx="16">
                  <c:v>7.8</c:v>
                </c:pt>
                <c:pt idx="17">
                  <c:v>8.8000000000000007</c:v>
                </c:pt>
                <c:pt idx="18">
                  <c:v>8.1</c:v>
                </c:pt>
                <c:pt idx="19">
                  <c:v>8.8000000000000007</c:v>
                </c:pt>
              </c:numCache>
            </c:numRef>
          </c:val>
          <c:smooth val="0"/>
        </c:ser>
        <c:ser>
          <c:idx val="6"/>
          <c:order val="2"/>
          <c:tx>
            <c:strRef>
              <c:f>Methods!$BM$25</c:f>
              <c:strCache>
                <c:ptCount val="1"/>
                <c:pt idx="0">
                  <c:v>Poisoning by solids and liquids</c:v>
                </c:pt>
              </c:strCache>
            </c:strRef>
          </c:tx>
          <c:spPr>
            <a:ln w="22225" cap="rnd">
              <a:solidFill>
                <a:srgbClr val="4BACC6"/>
              </a:solidFill>
              <a:round/>
            </a:ln>
            <a:effectLst/>
          </c:spPr>
          <c:marker>
            <c:symbol val="none"/>
          </c:marker>
          <c:cat>
            <c:numRef>
              <c:f>Methods!$T$13:$AM$13</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Methods!$BO$25:$CH$25</c:f>
              <c:numCache>
                <c:formatCode>General</c:formatCode>
                <c:ptCount val="20"/>
                <c:pt idx="0">
                  <c:v>10.9</c:v>
                </c:pt>
                <c:pt idx="1">
                  <c:v>10.5</c:v>
                </c:pt>
                <c:pt idx="2">
                  <c:v>11.1</c:v>
                </c:pt>
                <c:pt idx="3">
                  <c:v>10.1</c:v>
                </c:pt>
                <c:pt idx="4">
                  <c:v>7.8</c:v>
                </c:pt>
                <c:pt idx="5">
                  <c:v>10.6</c:v>
                </c:pt>
                <c:pt idx="6">
                  <c:v>10</c:v>
                </c:pt>
                <c:pt idx="7">
                  <c:v>11.1</c:v>
                </c:pt>
                <c:pt idx="8">
                  <c:v>9.3000000000000007</c:v>
                </c:pt>
                <c:pt idx="9">
                  <c:v>9.9</c:v>
                </c:pt>
                <c:pt idx="10">
                  <c:v>9.4</c:v>
                </c:pt>
                <c:pt idx="11">
                  <c:v>9.6</c:v>
                </c:pt>
                <c:pt idx="12">
                  <c:v>10.6</c:v>
                </c:pt>
                <c:pt idx="13">
                  <c:v>11.5</c:v>
                </c:pt>
                <c:pt idx="14">
                  <c:v>12.5</c:v>
                </c:pt>
                <c:pt idx="15">
                  <c:v>11.3</c:v>
                </c:pt>
                <c:pt idx="16">
                  <c:v>11.6</c:v>
                </c:pt>
                <c:pt idx="17">
                  <c:v>13.4</c:v>
                </c:pt>
                <c:pt idx="18">
                  <c:v>12.6</c:v>
                </c:pt>
                <c:pt idx="19">
                  <c:v>9.3000000000000007</c:v>
                </c:pt>
              </c:numCache>
            </c:numRef>
          </c:val>
          <c:smooth val="0"/>
        </c:ser>
        <c:ser>
          <c:idx val="1"/>
          <c:order val="3"/>
          <c:tx>
            <c:strRef>
              <c:f>Methods!$BM$26</c:f>
              <c:strCache>
                <c:ptCount val="1"/>
                <c:pt idx="0">
                  <c:v>Firearms and explosives</c:v>
                </c:pt>
              </c:strCache>
            </c:strRef>
          </c:tx>
          <c:spPr>
            <a:ln w="22225" cap="rnd">
              <a:solidFill>
                <a:srgbClr val="A7D6E3"/>
              </a:solidFill>
              <a:round/>
            </a:ln>
            <a:effectLst/>
          </c:spPr>
          <c:marker>
            <c:symbol val="none"/>
          </c:marker>
          <c:val>
            <c:numRef>
              <c:f>Methods!$BO$26:$CH$26</c:f>
              <c:numCache>
                <c:formatCode>General</c:formatCode>
                <c:ptCount val="20"/>
                <c:pt idx="0">
                  <c:v>8.6999999999999993</c:v>
                </c:pt>
                <c:pt idx="1">
                  <c:v>10</c:v>
                </c:pt>
                <c:pt idx="2">
                  <c:v>12.4</c:v>
                </c:pt>
                <c:pt idx="3">
                  <c:v>9.1</c:v>
                </c:pt>
                <c:pt idx="4">
                  <c:v>8.1</c:v>
                </c:pt>
                <c:pt idx="5">
                  <c:v>10</c:v>
                </c:pt>
                <c:pt idx="6">
                  <c:v>10.4</c:v>
                </c:pt>
                <c:pt idx="7">
                  <c:v>8</c:v>
                </c:pt>
                <c:pt idx="8">
                  <c:v>7.9</c:v>
                </c:pt>
                <c:pt idx="9">
                  <c:v>8.5</c:v>
                </c:pt>
                <c:pt idx="10">
                  <c:v>9.1999999999999993</c:v>
                </c:pt>
                <c:pt idx="11">
                  <c:v>9.6</c:v>
                </c:pt>
                <c:pt idx="12">
                  <c:v>8.1</c:v>
                </c:pt>
                <c:pt idx="13">
                  <c:v>10.4</c:v>
                </c:pt>
                <c:pt idx="14">
                  <c:v>7.9</c:v>
                </c:pt>
                <c:pt idx="15">
                  <c:v>7.3</c:v>
                </c:pt>
                <c:pt idx="16">
                  <c:v>8.5</c:v>
                </c:pt>
                <c:pt idx="17">
                  <c:v>9.3000000000000007</c:v>
                </c:pt>
                <c:pt idx="18">
                  <c:v>8.1</c:v>
                </c:pt>
                <c:pt idx="19">
                  <c:v>7.8</c:v>
                </c:pt>
              </c:numCache>
            </c:numRef>
          </c:val>
          <c:smooth val="0"/>
        </c:ser>
        <c:ser>
          <c:idx val="8"/>
          <c:order val="4"/>
          <c:tx>
            <c:strRef>
              <c:f>Methods!$BM$27</c:f>
              <c:strCache>
                <c:ptCount val="1"/>
                <c:pt idx="0">
                  <c:v>Jumping from a high place</c:v>
                </c:pt>
              </c:strCache>
            </c:strRef>
          </c:tx>
          <c:spPr>
            <a:ln w="22225" cap="rnd">
              <a:solidFill>
                <a:schemeClr val="tx1"/>
              </a:solidFill>
              <a:prstDash val="sysDash"/>
              <a:round/>
            </a:ln>
            <a:effectLst/>
          </c:spPr>
          <c:marker>
            <c:symbol val="none"/>
          </c:marker>
          <c:cat>
            <c:numRef>
              <c:f>Methods!$T$13:$AM$13</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Methods!$BO$27:$CH$27</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9"/>
          <c:order val="5"/>
          <c:tx>
            <c:strRef>
              <c:f>Methods!$BM$28</c:f>
              <c:strCache>
                <c:ptCount val="1"/>
                <c:pt idx="0">
                  <c:v>Submersion (drowning)</c:v>
                </c:pt>
              </c:strCache>
            </c:strRef>
          </c:tx>
          <c:spPr>
            <a:ln w="22225" cap="rnd">
              <a:solidFill>
                <a:srgbClr val="2B8CBE"/>
              </a:solidFill>
              <a:prstDash val="sysDash"/>
              <a:round/>
            </a:ln>
            <a:effectLst/>
          </c:spPr>
          <c:marker>
            <c:symbol val="none"/>
          </c:marker>
          <c:cat>
            <c:numRef>
              <c:f>Methods!$T$13:$AM$13</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Methods!$BO$28:$CH$28</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10"/>
          <c:order val="6"/>
          <c:tx>
            <c:strRef>
              <c:f>Methods!$BM$29</c:f>
              <c:strCache>
                <c:ptCount val="1"/>
                <c:pt idx="0">
                  <c:v>Sharp object</c:v>
                </c:pt>
              </c:strCache>
            </c:strRef>
          </c:tx>
          <c:spPr>
            <a:ln w="22225" cap="rnd">
              <a:solidFill>
                <a:schemeClr val="bg1">
                  <a:lumMod val="50000"/>
                </a:schemeClr>
              </a:solidFill>
              <a:prstDash val="sysDash"/>
              <a:round/>
            </a:ln>
            <a:effectLst/>
          </c:spPr>
          <c:marker>
            <c:symbol val="none"/>
          </c:marker>
          <c:cat>
            <c:numRef>
              <c:f>Methods!$T$13:$AM$13</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Methods!$BO$29:$CH$29</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11"/>
          <c:order val="7"/>
          <c:tx>
            <c:strRef>
              <c:f>Methods!$BM$30</c:f>
              <c:strCache>
                <c:ptCount val="1"/>
                <c:pt idx="0">
                  <c:v>Other</c:v>
                </c:pt>
              </c:strCache>
            </c:strRef>
          </c:tx>
          <c:spPr>
            <a:ln w="22225" cap="rnd">
              <a:solidFill>
                <a:srgbClr val="A7D6E3"/>
              </a:solidFill>
              <a:prstDash val="sysDash"/>
              <a:round/>
            </a:ln>
            <a:effectLst/>
          </c:spPr>
          <c:marker>
            <c:symbol val="none"/>
          </c:marker>
          <c:cat>
            <c:numRef>
              <c:f>Methods!$T$13:$AM$13</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Methods!$BO$30:$CH$30</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dLbls>
          <c:showLegendKey val="0"/>
          <c:showVal val="0"/>
          <c:showCatName val="0"/>
          <c:showSerName val="0"/>
          <c:showPercent val="0"/>
          <c:showBubbleSize val="0"/>
        </c:dLbls>
        <c:smooth val="0"/>
        <c:axId val="668360704"/>
        <c:axId val="668361488"/>
      </c:lineChart>
      <c:catAx>
        <c:axId val="6683607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8361488"/>
        <c:crosses val="autoZero"/>
        <c:auto val="1"/>
        <c:lblAlgn val="ctr"/>
        <c:lblOffset val="100"/>
        <c:tickLblSkip val="3"/>
        <c:noMultiLvlLbl val="0"/>
      </c:catAx>
      <c:valAx>
        <c:axId val="668361488"/>
        <c:scaling>
          <c:orientation val="minMax"/>
          <c:max val="8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8360704"/>
        <c:crossesAt val="1"/>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86385459533609"/>
          <c:y val="0.16859186105908394"/>
          <c:w val="0.82182990397805211"/>
          <c:h val="0.69431295760258815"/>
        </c:manualLayout>
      </c:layout>
      <c:lineChart>
        <c:grouping val="standard"/>
        <c:varyColors val="0"/>
        <c:ser>
          <c:idx val="0"/>
          <c:order val="0"/>
          <c:tx>
            <c:strRef>
              <c:f>Methods!$BM$32</c:f>
              <c:strCache>
                <c:ptCount val="1"/>
                <c:pt idx="0">
                  <c:v>Hanging, strangulation and suffocation</c:v>
                </c:pt>
              </c:strCache>
            </c:strRef>
          </c:tx>
          <c:spPr>
            <a:ln w="22225" cap="rnd">
              <a:solidFill>
                <a:schemeClr val="tx1"/>
              </a:solidFill>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Methods!$BO$32:$CH$32</c:f>
              <c:numCache>
                <c:formatCode>General</c:formatCode>
                <c:ptCount val="20"/>
                <c:pt idx="0">
                  <c:v>67.599999999999994</c:v>
                </c:pt>
                <c:pt idx="1">
                  <c:v>47.8</c:v>
                </c:pt>
                <c:pt idx="2">
                  <c:v>50.5</c:v>
                </c:pt>
                <c:pt idx="3">
                  <c:v>65.099999999999994</c:v>
                </c:pt>
                <c:pt idx="4">
                  <c:v>65.400000000000006</c:v>
                </c:pt>
                <c:pt idx="5">
                  <c:v>66.7</c:v>
                </c:pt>
                <c:pt idx="6">
                  <c:v>63.6</c:v>
                </c:pt>
                <c:pt idx="7">
                  <c:v>74.599999999999994</c:v>
                </c:pt>
                <c:pt idx="8">
                  <c:v>72.3</c:v>
                </c:pt>
                <c:pt idx="9">
                  <c:v>71.400000000000006</c:v>
                </c:pt>
                <c:pt idx="10">
                  <c:v>73.7</c:v>
                </c:pt>
                <c:pt idx="11">
                  <c:v>81.7</c:v>
                </c:pt>
                <c:pt idx="12">
                  <c:v>69.900000000000006</c:v>
                </c:pt>
                <c:pt idx="13">
                  <c:v>78.900000000000006</c:v>
                </c:pt>
                <c:pt idx="14">
                  <c:v>79.2</c:v>
                </c:pt>
                <c:pt idx="15">
                  <c:v>77.099999999999994</c:v>
                </c:pt>
                <c:pt idx="16">
                  <c:v>83.2</c:v>
                </c:pt>
                <c:pt idx="17">
                  <c:v>83.8</c:v>
                </c:pt>
                <c:pt idx="18">
                  <c:v>88.2</c:v>
                </c:pt>
                <c:pt idx="19">
                  <c:v>82.6</c:v>
                </c:pt>
              </c:numCache>
            </c:numRef>
          </c:val>
          <c:smooth val="0"/>
        </c:ser>
        <c:ser>
          <c:idx val="5"/>
          <c:order val="1"/>
          <c:tx>
            <c:strRef>
              <c:f>Methods!$BM$33</c:f>
              <c:strCache>
                <c:ptCount val="1"/>
                <c:pt idx="0">
                  <c:v>Poisoning by gases and vapours</c:v>
                </c:pt>
              </c:strCache>
            </c:strRef>
          </c:tx>
          <c:spPr>
            <a:ln w="22225" cap="rnd">
              <a:solidFill>
                <a:schemeClr val="bg1">
                  <a:lumMod val="50000"/>
                </a:schemeClr>
              </a:solidFill>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Methods!$BO$33:$CH$33</c:f>
              <c:numCache>
                <c:formatCode>General</c:formatCode>
                <c:ptCount val="20"/>
                <c:pt idx="0">
                  <c:v>14.3</c:v>
                </c:pt>
                <c:pt idx="1">
                  <c:v>31</c:v>
                </c:pt>
                <c:pt idx="2">
                  <c:v>21.9</c:v>
                </c:pt>
                <c:pt idx="3">
                  <c:v>13.3</c:v>
                </c:pt>
                <c:pt idx="4">
                  <c:v>17.3</c:v>
                </c:pt>
                <c:pt idx="5">
                  <c:v>14.9</c:v>
                </c:pt>
                <c:pt idx="6">
                  <c:v>12.1</c:v>
                </c:pt>
                <c:pt idx="7">
                  <c:v>11.9</c:v>
                </c:pt>
                <c:pt idx="8">
                  <c:v>16.899999999999999</c:v>
                </c:pt>
                <c:pt idx="9">
                  <c:v>10.7</c:v>
                </c:pt>
                <c:pt idx="10">
                  <c:v>10.5</c:v>
                </c:pt>
                <c:pt idx="11">
                  <c:v>5.6</c:v>
                </c:pt>
                <c:pt idx="12">
                  <c:v>15.7</c:v>
                </c:pt>
                <c:pt idx="13">
                  <c:v>4.2</c:v>
                </c:pt>
                <c:pt idx="14">
                  <c:v>2.6</c:v>
                </c:pt>
                <c:pt idx="15">
                  <c:v>6.2</c:v>
                </c:pt>
                <c:pt idx="16">
                  <c:v>1.9</c:v>
                </c:pt>
                <c:pt idx="17">
                  <c:v>4.0999999999999996</c:v>
                </c:pt>
                <c:pt idx="18">
                  <c:v>2.9</c:v>
                </c:pt>
                <c:pt idx="19">
                  <c:v>4.3</c:v>
                </c:pt>
              </c:numCache>
            </c:numRef>
          </c:val>
          <c:smooth val="0"/>
        </c:ser>
        <c:ser>
          <c:idx val="6"/>
          <c:order val="2"/>
          <c:tx>
            <c:strRef>
              <c:f>Methods!$BM$34</c:f>
              <c:strCache>
                <c:ptCount val="1"/>
                <c:pt idx="0">
                  <c:v>Poisoning by solids and liquids</c:v>
                </c:pt>
              </c:strCache>
            </c:strRef>
          </c:tx>
          <c:spPr>
            <a:ln w="22225" cap="rnd">
              <a:solidFill>
                <a:srgbClr val="4BACC6"/>
              </a:solidFill>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Methods!$BO$34:$CH$34</c:f>
              <c:numCache>
                <c:formatCode>General</c:formatCode>
                <c:ptCount val="20"/>
                <c:pt idx="0">
                  <c:v>5.7</c:v>
                </c:pt>
                <c:pt idx="1">
                  <c:v>5.3</c:v>
                </c:pt>
                <c:pt idx="2">
                  <c:v>2.9</c:v>
                </c:pt>
                <c:pt idx="3">
                  <c:v>3.6</c:v>
                </c:pt>
                <c:pt idx="4">
                  <c:v>#N/A</c:v>
                </c:pt>
                <c:pt idx="5">
                  <c:v>#N/A</c:v>
                </c:pt>
                <c:pt idx="6">
                  <c:v>3</c:v>
                </c:pt>
                <c:pt idx="7">
                  <c:v>#N/A</c:v>
                </c:pt>
                <c:pt idx="8">
                  <c:v>3.6</c:v>
                </c:pt>
                <c:pt idx="9">
                  <c:v>1.2</c:v>
                </c:pt>
                <c:pt idx="10">
                  <c:v>1.1000000000000001</c:v>
                </c:pt>
                <c:pt idx="11">
                  <c:v>#N/A</c:v>
                </c:pt>
                <c:pt idx="12">
                  <c:v>1.2</c:v>
                </c:pt>
                <c:pt idx="13">
                  <c:v>2.1</c:v>
                </c:pt>
                <c:pt idx="14">
                  <c:v>2.6</c:v>
                </c:pt>
                <c:pt idx="15">
                  <c:v>4.2</c:v>
                </c:pt>
                <c:pt idx="16">
                  <c:v>2.8</c:v>
                </c:pt>
                <c:pt idx="17">
                  <c:v>1.4</c:v>
                </c:pt>
                <c:pt idx="18">
                  <c:v>#N/A</c:v>
                </c:pt>
                <c:pt idx="19">
                  <c:v>1.4</c:v>
                </c:pt>
              </c:numCache>
            </c:numRef>
          </c:val>
          <c:smooth val="0"/>
        </c:ser>
        <c:ser>
          <c:idx val="1"/>
          <c:order val="3"/>
          <c:tx>
            <c:strRef>
              <c:f>Methods!$BM$35</c:f>
              <c:strCache>
                <c:ptCount val="1"/>
                <c:pt idx="0">
                  <c:v>Firearms and explosives</c:v>
                </c:pt>
              </c:strCache>
            </c:strRef>
          </c:tx>
          <c:spPr>
            <a:ln w="22225" cap="rnd">
              <a:solidFill>
                <a:srgbClr val="A7D6E3"/>
              </a:solidFill>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Methods!$BO$35:$CH$35</c:f>
              <c:numCache>
                <c:formatCode>General</c:formatCode>
                <c:ptCount val="20"/>
                <c:pt idx="0">
                  <c:v>7.6</c:v>
                </c:pt>
                <c:pt idx="1">
                  <c:v>10.6</c:v>
                </c:pt>
                <c:pt idx="2">
                  <c:v>14.3</c:v>
                </c:pt>
                <c:pt idx="3">
                  <c:v>3.6</c:v>
                </c:pt>
                <c:pt idx="4">
                  <c:v>3.7</c:v>
                </c:pt>
                <c:pt idx="5">
                  <c:v>5.7</c:v>
                </c:pt>
                <c:pt idx="6">
                  <c:v>7.6</c:v>
                </c:pt>
                <c:pt idx="7">
                  <c:v>3</c:v>
                </c:pt>
                <c:pt idx="8">
                  <c:v>2.4</c:v>
                </c:pt>
                <c:pt idx="9">
                  <c:v>10.7</c:v>
                </c:pt>
                <c:pt idx="10">
                  <c:v>5.3</c:v>
                </c:pt>
                <c:pt idx="11">
                  <c:v>5.6</c:v>
                </c:pt>
                <c:pt idx="12">
                  <c:v>6</c:v>
                </c:pt>
                <c:pt idx="13">
                  <c:v>9.5</c:v>
                </c:pt>
                <c:pt idx="14">
                  <c:v>5.2</c:v>
                </c:pt>
                <c:pt idx="15">
                  <c:v>4.2</c:v>
                </c:pt>
                <c:pt idx="16">
                  <c:v>8.4</c:v>
                </c:pt>
                <c:pt idx="17">
                  <c:v>6.8</c:v>
                </c:pt>
                <c:pt idx="18">
                  <c:v>2.9</c:v>
                </c:pt>
                <c:pt idx="19">
                  <c:v>2.9</c:v>
                </c:pt>
              </c:numCache>
            </c:numRef>
          </c:val>
          <c:smooth val="0"/>
        </c:ser>
        <c:ser>
          <c:idx val="8"/>
          <c:order val="4"/>
          <c:tx>
            <c:strRef>
              <c:f>Methods!$BM$36</c:f>
              <c:strCache>
                <c:ptCount val="1"/>
                <c:pt idx="0">
                  <c:v>Jumping from a high place</c:v>
                </c:pt>
              </c:strCache>
            </c:strRef>
          </c:tx>
          <c:spPr>
            <a:ln w="22225" cap="rnd">
              <a:solidFill>
                <a:schemeClr val="tx1"/>
              </a:solidFill>
              <a:prstDash val="sysDash"/>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Methods!$BO$36:$CH$36</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9"/>
          <c:order val="5"/>
          <c:tx>
            <c:strRef>
              <c:f>Methods!$BM$37</c:f>
              <c:strCache>
                <c:ptCount val="1"/>
                <c:pt idx="0">
                  <c:v>Submersion (drowning)</c:v>
                </c:pt>
              </c:strCache>
            </c:strRef>
          </c:tx>
          <c:spPr>
            <a:ln w="22225" cap="rnd">
              <a:solidFill>
                <a:srgbClr val="2B8CBE"/>
              </a:solidFill>
              <a:prstDash val="sysDash"/>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Methods!$BO$37:$CH$37</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10"/>
          <c:order val="6"/>
          <c:tx>
            <c:strRef>
              <c:f>Methods!$BM$38</c:f>
              <c:strCache>
                <c:ptCount val="1"/>
                <c:pt idx="0">
                  <c:v>Sharp object</c:v>
                </c:pt>
              </c:strCache>
            </c:strRef>
          </c:tx>
          <c:spPr>
            <a:ln w="22225" cap="rnd">
              <a:solidFill>
                <a:schemeClr val="bg1">
                  <a:lumMod val="50000"/>
                </a:schemeClr>
              </a:solidFill>
              <a:prstDash val="sysDash"/>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Methods!$BO$38:$CH$38</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11"/>
          <c:order val="7"/>
          <c:tx>
            <c:strRef>
              <c:f>Methods!$BM$39</c:f>
              <c:strCache>
                <c:ptCount val="1"/>
                <c:pt idx="0">
                  <c:v>Other</c:v>
                </c:pt>
              </c:strCache>
            </c:strRef>
          </c:tx>
          <c:spPr>
            <a:ln w="22225" cap="rnd">
              <a:solidFill>
                <a:srgbClr val="A7D6E3"/>
              </a:solidFill>
              <a:prstDash val="sysDash"/>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Methods!$BO$39:$CH$39</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dLbls>
          <c:showLegendKey val="0"/>
          <c:showVal val="0"/>
          <c:showCatName val="0"/>
          <c:showSerName val="0"/>
          <c:showPercent val="0"/>
          <c:showBubbleSize val="0"/>
        </c:dLbls>
        <c:smooth val="0"/>
        <c:axId val="679683024"/>
        <c:axId val="679681456"/>
      </c:lineChart>
      <c:catAx>
        <c:axId val="67968302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9681456"/>
        <c:crosses val="autoZero"/>
        <c:auto val="1"/>
        <c:lblAlgn val="ctr"/>
        <c:lblOffset val="100"/>
        <c:tickLblSkip val="3"/>
        <c:noMultiLvlLbl val="0"/>
      </c:catAx>
      <c:valAx>
        <c:axId val="679681456"/>
        <c:scaling>
          <c:orientation val="minMax"/>
          <c:max val="10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9683024"/>
        <c:crossesAt val="1"/>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86385459533609"/>
          <c:y val="0.17579998864861798"/>
          <c:w val="0.82182990397805211"/>
          <c:h val="0.68710483001305411"/>
        </c:manualLayout>
      </c:layout>
      <c:lineChart>
        <c:grouping val="standard"/>
        <c:varyColors val="0"/>
        <c:ser>
          <c:idx val="0"/>
          <c:order val="0"/>
          <c:tx>
            <c:strRef>
              <c:f>Methods!$BM$41</c:f>
              <c:strCache>
                <c:ptCount val="1"/>
                <c:pt idx="0">
                  <c:v>Hanging, strangulation and suffocation</c:v>
                </c:pt>
              </c:strCache>
            </c:strRef>
          </c:tx>
          <c:spPr>
            <a:ln w="22225" cap="rnd">
              <a:solidFill>
                <a:schemeClr val="tx1"/>
              </a:solidFill>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Methods!$BO$41:$CH$41</c:f>
              <c:numCache>
                <c:formatCode>General</c:formatCode>
                <c:ptCount val="20"/>
                <c:pt idx="0">
                  <c:v>40.4</c:v>
                </c:pt>
                <c:pt idx="1">
                  <c:v>41.8</c:v>
                </c:pt>
                <c:pt idx="2">
                  <c:v>45.6</c:v>
                </c:pt>
                <c:pt idx="3">
                  <c:v>42.8</c:v>
                </c:pt>
                <c:pt idx="4">
                  <c:v>50.3</c:v>
                </c:pt>
                <c:pt idx="5">
                  <c:v>47.6</c:v>
                </c:pt>
                <c:pt idx="6">
                  <c:v>49.4</c:v>
                </c:pt>
                <c:pt idx="7">
                  <c:v>51.5</c:v>
                </c:pt>
                <c:pt idx="8">
                  <c:v>62.7</c:v>
                </c:pt>
                <c:pt idx="9">
                  <c:v>48.4</c:v>
                </c:pt>
                <c:pt idx="10">
                  <c:v>57.1</c:v>
                </c:pt>
                <c:pt idx="11">
                  <c:v>65.5</c:v>
                </c:pt>
                <c:pt idx="12">
                  <c:v>60.9</c:v>
                </c:pt>
                <c:pt idx="13">
                  <c:v>62.1</c:v>
                </c:pt>
                <c:pt idx="14">
                  <c:v>64.400000000000006</c:v>
                </c:pt>
                <c:pt idx="15">
                  <c:v>66.2</c:v>
                </c:pt>
                <c:pt idx="16">
                  <c:v>62.9</c:v>
                </c:pt>
                <c:pt idx="17">
                  <c:v>69.3</c:v>
                </c:pt>
                <c:pt idx="18">
                  <c:v>70.900000000000006</c:v>
                </c:pt>
                <c:pt idx="19">
                  <c:v>72.099999999999994</c:v>
                </c:pt>
              </c:numCache>
            </c:numRef>
          </c:val>
          <c:smooth val="0"/>
        </c:ser>
        <c:ser>
          <c:idx val="5"/>
          <c:order val="1"/>
          <c:tx>
            <c:strRef>
              <c:f>Methods!$BM$42</c:f>
              <c:strCache>
                <c:ptCount val="1"/>
                <c:pt idx="0">
                  <c:v>Poisoning by gases and vapours</c:v>
                </c:pt>
              </c:strCache>
            </c:strRef>
          </c:tx>
          <c:spPr>
            <a:ln w="22225" cap="rnd">
              <a:solidFill>
                <a:schemeClr val="bg1">
                  <a:lumMod val="50000"/>
                </a:schemeClr>
              </a:solidFill>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Methods!$BO$42:$CH$42</c:f>
              <c:numCache>
                <c:formatCode>General</c:formatCode>
                <c:ptCount val="20"/>
                <c:pt idx="0">
                  <c:v>36.200000000000003</c:v>
                </c:pt>
                <c:pt idx="1">
                  <c:v>31.8</c:v>
                </c:pt>
                <c:pt idx="2">
                  <c:v>25.1</c:v>
                </c:pt>
                <c:pt idx="3">
                  <c:v>31.7</c:v>
                </c:pt>
                <c:pt idx="4">
                  <c:v>23.4</c:v>
                </c:pt>
                <c:pt idx="5">
                  <c:v>23.8</c:v>
                </c:pt>
                <c:pt idx="6">
                  <c:v>24.7</c:v>
                </c:pt>
                <c:pt idx="7">
                  <c:v>21.5</c:v>
                </c:pt>
                <c:pt idx="8">
                  <c:v>19.899999999999999</c:v>
                </c:pt>
                <c:pt idx="9">
                  <c:v>28.6</c:v>
                </c:pt>
                <c:pt idx="10">
                  <c:v>16.3</c:v>
                </c:pt>
                <c:pt idx="11">
                  <c:v>13.9</c:v>
                </c:pt>
                <c:pt idx="12">
                  <c:v>19.5</c:v>
                </c:pt>
                <c:pt idx="13">
                  <c:v>12.1</c:v>
                </c:pt>
                <c:pt idx="14">
                  <c:v>14.4</c:v>
                </c:pt>
                <c:pt idx="15">
                  <c:v>13.8</c:v>
                </c:pt>
                <c:pt idx="16">
                  <c:v>11.2</c:v>
                </c:pt>
                <c:pt idx="17">
                  <c:v>11.4</c:v>
                </c:pt>
                <c:pt idx="18">
                  <c:v>10.6</c:v>
                </c:pt>
                <c:pt idx="19">
                  <c:v>11.8</c:v>
                </c:pt>
              </c:numCache>
            </c:numRef>
          </c:val>
          <c:smooth val="0"/>
        </c:ser>
        <c:ser>
          <c:idx val="6"/>
          <c:order val="2"/>
          <c:tx>
            <c:strRef>
              <c:f>Methods!$BM$43</c:f>
              <c:strCache>
                <c:ptCount val="1"/>
                <c:pt idx="0">
                  <c:v>Poisoning by solids and liquids</c:v>
                </c:pt>
              </c:strCache>
            </c:strRef>
          </c:tx>
          <c:spPr>
            <a:ln w="22225" cap="rnd">
              <a:solidFill>
                <a:srgbClr val="4BACC6"/>
              </a:solidFill>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Methods!$BO$43:$CH$43</c:f>
              <c:numCache>
                <c:formatCode>General</c:formatCode>
                <c:ptCount val="20"/>
                <c:pt idx="0">
                  <c:v>4.8</c:v>
                </c:pt>
                <c:pt idx="1">
                  <c:v>6</c:v>
                </c:pt>
                <c:pt idx="2">
                  <c:v>8.1999999999999993</c:v>
                </c:pt>
                <c:pt idx="3">
                  <c:v>5</c:v>
                </c:pt>
                <c:pt idx="4">
                  <c:v>5.8</c:v>
                </c:pt>
                <c:pt idx="5">
                  <c:v>7.4</c:v>
                </c:pt>
                <c:pt idx="6">
                  <c:v>7.2</c:v>
                </c:pt>
                <c:pt idx="7">
                  <c:v>8.6</c:v>
                </c:pt>
                <c:pt idx="8">
                  <c:v>6.2</c:v>
                </c:pt>
                <c:pt idx="9">
                  <c:v>6.2</c:v>
                </c:pt>
                <c:pt idx="10">
                  <c:v>6.1</c:v>
                </c:pt>
                <c:pt idx="11">
                  <c:v>2.4</c:v>
                </c:pt>
                <c:pt idx="12">
                  <c:v>4.5</c:v>
                </c:pt>
                <c:pt idx="13">
                  <c:v>8.3000000000000007</c:v>
                </c:pt>
                <c:pt idx="14">
                  <c:v>6.8</c:v>
                </c:pt>
                <c:pt idx="15">
                  <c:v>9.1999999999999993</c:v>
                </c:pt>
                <c:pt idx="16">
                  <c:v>6.3</c:v>
                </c:pt>
                <c:pt idx="17">
                  <c:v>7</c:v>
                </c:pt>
                <c:pt idx="18">
                  <c:v>5</c:v>
                </c:pt>
                <c:pt idx="19">
                  <c:v>1.5</c:v>
                </c:pt>
              </c:numCache>
            </c:numRef>
          </c:val>
          <c:smooth val="0"/>
        </c:ser>
        <c:ser>
          <c:idx val="1"/>
          <c:order val="3"/>
          <c:tx>
            <c:strRef>
              <c:f>Methods!$BM$44</c:f>
              <c:strCache>
                <c:ptCount val="1"/>
                <c:pt idx="0">
                  <c:v>Firearms and explosives</c:v>
                </c:pt>
              </c:strCache>
            </c:strRef>
          </c:tx>
          <c:spPr>
            <a:ln w="22225" cap="rnd">
              <a:solidFill>
                <a:srgbClr val="A7D6E3"/>
              </a:solidFill>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Methods!$BO$44:$CH$44</c:f>
              <c:numCache>
                <c:formatCode>General</c:formatCode>
                <c:ptCount val="20"/>
                <c:pt idx="0">
                  <c:v>10.6</c:v>
                </c:pt>
                <c:pt idx="1">
                  <c:v>10.4</c:v>
                </c:pt>
                <c:pt idx="2">
                  <c:v>11.3</c:v>
                </c:pt>
                <c:pt idx="3">
                  <c:v>11.1</c:v>
                </c:pt>
                <c:pt idx="4">
                  <c:v>10.5</c:v>
                </c:pt>
                <c:pt idx="5">
                  <c:v>15.3</c:v>
                </c:pt>
                <c:pt idx="6">
                  <c:v>10.199999999999999</c:v>
                </c:pt>
                <c:pt idx="7">
                  <c:v>6.7</c:v>
                </c:pt>
                <c:pt idx="8">
                  <c:v>5.6</c:v>
                </c:pt>
                <c:pt idx="9">
                  <c:v>8.1</c:v>
                </c:pt>
                <c:pt idx="10">
                  <c:v>9.5</c:v>
                </c:pt>
                <c:pt idx="11">
                  <c:v>10.3</c:v>
                </c:pt>
                <c:pt idx="12">
                  <c:v>5.3</c:v>
                </c:pt>
                <c:pt idx="13">
                  <c:v>9.8000000000000007</c:v>
                </c:pt>
                <c:pt idx="14">
                  <c:v>8.9</c:v>
                </c:pt>
                <c:pt idx="15">
                  <c:v>3.1</c:v>
                </c:pt>
                <c:pt idx="16">
                  <c:v>7</c:v>
                </c:pt>
                <c:pt idx="17">
                  <c:v>5.3</c:v>
                </c:pt>
                <c:pt idx="18">
                  <c:v>5</c:v>
                </c:pt>
                <c:pt idx="19">
                  <c:v>5.9</c:v>
                </c:pt>
              </c:numCache>
            </c:numRef>
          </c:val>
          <c:smooth val="0"/>
        </c:ser>
        <c:ser>
          <c:idx val="8"/>
          <c:order val="4"/>
          <c:tx>
            <c:strRef>
              <c:f>Methods!$BM$45</c:f>
              <c:strCache>
                <c:ptCount val="1"/>
                <c:pt idx="0">
                  <c:v>Jumping from a high place</c:v>
                </c:pt>
              </c:strCache>
            </c:strRef>
          </c:tx>
          <c:spPr>
            <a:ln w="22225" cap="rnd">
              <a:solidFill>
                <a:schemeClr val="tx1"/>
              </a:solidFill>
              <a:prstDash val="sysDash"/>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Methods!$BO$45:$CH$45</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9"/>
          <c:order val="5"/>
          <c:tx>
            <c:strRef>
              <c:f>Methods!$BM$46</c:f>
              <c:strCache>
                <c:ptCount val="1"/>
                <c:pt idx="0">
                  <c:v>Submersion (drowning)</c:v>
                </c:pt>
              </c:strCache>
            </c:strRef>
          </c:tx>
          <c:spPr>
            <a:ln w="22225" cap="rnd">
              <a:solidFill>
                <a:srgbClr val="2B8CBE"/>
              </a:solidFill>
              <a:prstDash val="sysDash"/>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Methods!$BO$46:$CH$46</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10"/>
          <c:order val="6"/>
          <c:tx>
            <c:strRef>
              <c:f>Methods!$BM$47</c:f>
              <c:strCache>
                <c:ptCount val="1"/>
                <c:pt idx="0">
                  <c:v>Sharp object</c:v>
                </c:pt>
              </c:strCache>
            </c:strRef>
          </c:tx>
          <c:spPr>
            <a:ln w="22225" cap="rnd">
              <a:solidFill>
                <a:schemeClr val="bg1">
                  <a:lumMod val="50000"/>
                </a:schemeClr>
              </a:solidFill>
              <a:prstDash val="sysDash"/>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Methods!$BO$47:$CH$47</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11"/>
          <c:order val="7"/>
          <c:tx>
            <c:strRef>
              <c:f>Methods!$BM$48</c:f>
              <c:strCache>
                <c:ptCount val="1"/>
                <c:pt idx="0">
                  <c:v>Other</c:v>
                </c:pt>
              </c:strCache>
            </c:strRef>
          </c:tx>
          <c:spPr>
            <a:ln w="22225" cap="rnd">
              <a:solidFill>
                <a:srgbClr val="A7D6E3"/>
              </a:solidFill>
              <a:prstDash val="sysDash"/>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Methods!$BO$48:$CH$48</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dLbls>
          <c:showLegendKey val="0"/>
          <c:showVal val="0"/>
          <c:showCatName val="0"/>
          <c:showSerName val="0"/>
          <c:showPercent val="0"/>
          <c:showBubbleSize val="0"/>
        </c:dLbls>
        <c:smooth val="0"/>
        <c:axId val="679680672"/>
        <c:axId val="679679888"/>
      </c:lineChart>
      <c:catAx>
        <c:axId val="67968067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9679888"/>
        <c:crosses val="autoZero"/>
        <c:auto val="1"/>
        <c:lblAlgn val="ctr"/>
        <c:lblOffset val="100"/>
        <c:tickLblSkip val="3"/>
        <c:noMultiLvlLbl val="0"/>
      </c:catAx>
      <c:valAx>
        <c:axId val="679679888"/>
        <c:scaling>
          <c:orientation val="minMax"/>
          <c:max val="10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9680672"/>
        <c:crossesAt val="1"/>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86385459533609"/>
          <c:y val="0.17579998864861798"/>
          <c:w val="0.82182990397805211"/>
          <c:h val="0.68710483001305411"/>
        </c:manualLayout>
      </c:layout>
      <c:lineChart>
        <c:grouping val="standard"/>
        <c:varyColors val="0"/>
        <c:ser>
          <c:idx val="0"/>
          <c:order val="0"/>
          <c:tx>
            <c:strRef>
              <c:f>Methods!$BM$50</c:f>
              <c:strCache>
                <c:ptCount val="1"/>
                <c:pt idx="0">
                  <c:v>Hanging, strangulation and suffocation</c:v>
                </c:pt>
              </c:strCache>
            </c:strRef>
          </c:tx>
          <c:spPr>
            <a:ln w="22225" cap="rnd">
              <a:solidFill>
                <a:schemeClr val="tx1"/>
              </a:solidFill>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Methods!$BO$50:$CH$50</c:f>
              <c:numCache>
                <c:formatCode>General</c:formatCode>
                <c:ptCount val="20"/>
                <c:pt idx="0">
                  <c:v>31.2</c:v>
                </c:pt>
                <c:pt idx="1">
                  <c:v>38.200000000000003</c:v>
                </c:pt>
                <c:pt idx="2">
                  <c:v>27.8</c:v>
                </c:pt>
                <c:pt idx="3">
                  <c:v>41</c:v>
                </c:pt>
                <c:pt idx="4">
                  <c:v>36.200000000000003</c:v>
                </c:pt>
                <c:pt idx="5">
                  <c:v>32.299999999999997</c:v>
                </c:pt>
                <c:pt idx="6">
                  <c:v>42</c:v>
                </c:pt>
                <c:pt idx="7">
                  <c:v>36</c:v>
                </c:pt>
                <c:pt idx="8">
                  <c:v>36.4</c:v>
                </c:pt>
                <c:pt idx="9">
                  <c:v>38.1</c:v>
                </c:pt>
                <c:pt idx="10">
                  <c:v>40</c:v>
                </c:pt>
                <c:pt idx="11">
                  <c:v>49</c:v>
                </c:pt>
                <c:pt idx="12">
                  <c:v>48.8</c:v>
                </c:pt>
                <c:pt idx="13">
                  <c:v>50.8</c:v>
                </c:pt>
                <c:pt idx="14">
                  <c:v>50</c:v>
                </c:pt>
                <c:pt idx="15">
                  <c:v>52.1</c:v>
                </c:pt>
                <c:pt idx="16">
                  <c:v>52.4</c:v>
                </c:pt>
                <c:pt idx="17">
                  <c:v>40</c:v>
                </c:pt>
                <c:pt idx="18">
                  <c:v>47.9</c:v>
                </c:pt>
                <c:pt idx="19">
                  <c:v>55.6</c:v>
                </c:pt>
              </c:numCache>
            </c:numRef>
          </c:val>
          <c:smooth val="0"/>
        </c:ser>
        <c:ser>
          <c:idx val="5"/>
          <c:order val="1"/>
          <c:tx>
            <c:strRef>
              <c:f>Methods!$BM$51</c:f>
              <c:strCache>
                <c:ptCount val="1"/>
                <c:pt idx="0">
                  <c:v>Poisoning by gases and vapours</c:v>
                </c:pt>
              </c:strCache>
            </c:strRef>
          </c:tx>
          <c:spPr>
            <a:ln w="22225" cap="rnd">
              <a:solidFill>
                <a:schemeClr val="bg1">
                  <a:lumMod val="50000"/>
                </a:schemeClr>
              </a:solidFill>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Methods!$BO$51:$CH$51</c:f>
              <c:numCache>
                <c:formatCode>General</c:formatCode>
                <c:ptCount val="20"/>
                <c:pt idx="0">
                  <c:v>40</c:v>
                </c:pt>
                <c:pt idx="1">
                  <c:v>25</c:v>
                </c:pt>
                <c:pt idx="2">
                  <c:v>21.1</c:v>
                </c:pt>
                <c:pt idx="3">
                  <c:v>21.7</c:v>
                </c:pt>
                <c:pt idx="4">
                  <c:v>35</c:v>
                </c:pt>
                <c:pt idx="5">
                  <c:v>27.7</c:v>
                </c:pt>
                <c:pt idx="6">
                  <c:v>25</c:v>
                </c:pt>
                <c:pt idx="7">
                  <c:v>23</c:v>
                </c:pt>
                <c:pt idx="8">
                  <c:v>28.4</c:v>
                </c:pt>
                <c:pt idx="9">
                  <c:v>24.8</c:v>
                </c:pt>
                <c:pt idx="10">
                  <c:v>21.8</c:v>
                </c:pt>
                <c:pt idx="11">
                  <c:v>18.600000000000001</c:v>
                </c:pt>
                <c:pt idx="12">
                  <c:v>14.4</c:v>
                </c:pt>
                <c:pt idx="13">
                  <c:v>12.5</c:v>
                </c:pt>
                <c:pt idx="14">
                  <c:v>16.100000000000001</c:v>
                </c:pt>
                <c:pt idx="15">
                  <c:v>15.4</c:v>
                </c:pt>
                <c:pt idx="16">
                  <c:v>13.3</c:v>
                </c:pt>
                <c:pt idx="17">
                  <c:v>15.4</c:v>
                </c:pt>
                <c:pt idx="18">
                  <c:v>8.4</c:v>
                </c:pt>
                <c:pt idx="19">
                  <c:v>14.5</c:v>
                </c:pt>
              </c:numCache>
            </c:numRef>
          </c:val>
          <c:smooth val="0"/>
        </c:ser>
        <c:ser>
          <c:idx val="6"/>
          <c:order val="2"/>
          <c:tx>
            <c:strRef>
              <c:f>Methods!$BM$52</c:f>
              <c:strCache>
                <c:ptCount val="1"/>
                <c:pt idx="0">
                  <c:v>Poisoning by solids and liquids</c:v>
                </c:pt>
              </c:strCache>
            </c:strRef>
          </c:tx>
          <c:spPr>
            <a:ln w="22225" cap="rnd">
              <a:solidFill>
                <a:srgbClr val="4BACC6"/>
              </a:solidFill>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Methods!$BO$52:$CH$52</c:f>
              <c:numCache>
                <c:formatCode>General</c:formatCode>
                <c:ptCount val="20"/>
                <c:pt idx="0">
                  <c:v>7.5</c:v>
                </c:pt>
                <c:pt idx="1">
                  <c:v>5.3</c:v>
                </c:pt>
                <c:pt idx="2">
                  <c:v>10</c:v>
                </c:pt>
                <c:pt idx="3">
                  <c:v>10.8</c:v>
                </c:pt>
                <c:pt idx="4">
                  <c:v>7.5</c:v>
                </c:pt>
                <c:pt idx="5">
                  <c:v>12.3</c:v>
                </c:pt>
                <c:pt idx="6">
                  <c:v>4.5</c:v>
                </c:pt>
                <c:pt idx="7">
                  <c:v>13</c:v>
                </c:pt>
                <c:pt idx="8">
                  <c:v>6.8</c:v>
                </c:pt>
                <c:pt idx="9">
                  <c:v>14.3</c:v>
                </c:pt>
                <c:pt idx="10">
                  <c:v>11.8</c:v>
                </c:pt>
                <c:pt idx="11">
                  <c:v>10.8</c:v>
                </c:pt>
                <c:pt idx="12">
                  <c:v>7.2</c:v>
                </c:pt>
                <c:pt idx="13">
                  <c:v>9.1999999999999993</c:v>
                </c:pt>
                <c:pt idx="14">
                  <c:v>10.199999999999999</c:v>
                </c:pt>
                <c:pt idx="15">
                  <c:v>8.5</c:v>
                </c:pt>
                <c:pt idx="16">
                  <c:v>9.5</c:v>
                </c:pt>
                <c:pt idx="17">
                  <c:v>12.3</c:v>
                </c:pt>
                <c:pt idx="18">
                  <c:v>12.6</c:v>
                </c:pt>
                <c:pt idx="19">
                  <c:v>6.5</c:v>
                </c:pt>
              </c:numCache>
            </c:numRef>
          </c:val>
          <c:smooth val="0"/>
        </c:ser>
        <c:ser>
          <c:idx val="1"/>
          <c:order val="3"/>
          <c:tx>
            <c:strRef>
              <c:f>Methods!$BM$53</c:f>
              <c:strCache>
                <c:ptCount val="1"/>
                <c:pt idx="0">
                  <c:v>Firearms and explosives</c:v>
                </c:pt>
              </c:strCache>
            </c:strRef>
          </c:tx>
          <c:spPr>
            <a:ln w="22225" cap="rnd">
              <a:solidFill>
                <a:srgbClr val="A7D6E3"/>
              </a:solidFill>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Methods!$BO$53:$CH$53</c:f>
              <c:numCache>
                <c:formatCode>General</c:formatCode>
                <c:ptCount val="20"/>
                <c:pt idx="0">
                  <c:v>11.2</c:v>
                </c:pt>
                <c:pt idx="1">
                  <c:v>18.399999999999999</c:v>
                </c:pt>
                <c:pt idx="2">
                  <c:v>30</c:v>
                </c:pt>
                <c:pt idx="3">
                  <c:v>15.7</c:v>
                </c:pt>
                <c:pt idx="4">
                  <c:v>8.8000000000000007</c:v>
                </c:pt>
                <c:pt idx="5">
                  <c:v>20</c:v>
                </c:pt>
                <c:pt idx="6">
                  <c:v>19.3</c:v>
                </c:pt>
                <c:pt idx="7">
                  <c:v>15</c:v>
                </c:pt>
                <c:pt idx="8">
                  <c:v>18.2</c:v>
                </c:pt>
                <c:pt idx="9">
                  <c:v>13.3</c:v>
                </c:pt>
                <c:pt idx="10">
                  <c:v>16.399999999999999</c:v>
                </c:pt>
                <c:pt idx="11">
                  <c:v>8.8000000000000007</c:v>
                </c:pt>
                <c:pt idx="12">
                  <c:v>13.6</c:v>
                </c:pt>
                <c:pt idx="13">
                  <c:v>19.2</c:v>
                </c:pt>
                <c:pt idx="14">
                  <c:v>11</c:v>
                </c:pt>
                <c:pt idx="15">
                  <c:v>16.2</c:v>
                </c:pt>
                <c:pt idx="16">
                  <c:v>15.2</c:v>
                </c:pt>
                <c:pt idx="17">
                  <c:v>15.4</c:v>
                </c:pt>
                <c:pt idx="18">
                  <c:v>15.1</c:v>
                </c:pt>
                <c:pt idx="19">
                  <c:v>10.5</c:v>
                </c:pt>
              </c:numCache>
            </c:numRef>
          </c:val>
          <c:smooth val="0"/>
        </c:ser>
        <c:ser>
          <c:idx val="8"/>
          <c:order val="4"/>
          <c:tx>
            <c:strRef>
              <c:f>Methods!$BM$54</c:f>
              <c:strCache>
                <c:ptCount val="1"/>
                <c:pt idx="0">
                  <c:v>Jumping from a high place</c:v>
                </c:pt>
              </c:strCache>
            </c:strRef>
          </c:tx>
          <c:spPr>
            <a:ln w="22225" cap="rnd">
              <a:solidFill>
                <a:schemeClr val="tx1"/>
              </a:solidFill>
              <a:prstDash val="sysDash"/>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Methods!$BO$54:$CH$54</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9"/>
          <c:order val="5"/>
          <c:tx>
            <c:strRef>
              <c:f>Methods!$BM$55</c:f>
              <c:strCache>
                <c:ptCount val="1"/>
                <c:pt idx="0">
                  <c:v>Submersion (drowning)</c:v>
                </c:pt>
              </c:strCache>
            </c:strRef>
          </c:tx>
          <c:spPr>
            <a:ln w="22225" cap="rnd">
              <a:solidFill>
                <a:srgbClr val="2B8CBE"/>
              </a:solidFill>
              <a:prstDash val="sysDash"/>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Methods!$BO$55:$CH$55</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10"/>
          <c:order val="6"/>
          <c:tx>
            <c:strRef>
              <c:f>Methods!$BM$56</c:f>
              <c:strCache>
                <c:ptCount val="1"/>
                <c:pt idx="0">
                  <c:v>Sharp object</c:v>
                </c:pt>
              </c:strCache>
            </c:strRef>
          </c:tx>
          <c:spPr>
            <a:ln w="22225" cap="rnd">
              <a:solidFill>
                <a:schemeClr val="bg1">
                  <a:lumMod val="50000"/>
                </a:schemeClr>
              </a:solidFill>
              <a:prstDash val="sysDash"/>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Methods!$BO$56:$CH$56</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11"/>
          <c:order val="7"/>
          <c:tx>
            <c:strRef>
              <c:f>Methods!$BM$57</c:f>
              <c:strCache>
                <c:ptCount val="1"/>
                <c:pt idx="0">
                  <c:v>Other</c:v>
                </c:pt>
              </c:strCache>
            </c:strRef>
          </c:tx>
          <c:spPr>
            <a:ln w="22225" cap="rnd">
              <a:solidFill>
                <a:srgbClr val="A7D6E3"/>
              </a:solidFill>
              <a:prstDash val="sysDash"/>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Methods!$BO$57:$CH$57</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dLbls>
          <c:showLegendKey val="0"/>
          <c:showVal val="0"/>
          <c:showCatName val="0"/>
          <c:showSerName val="0"/>
          <c:showPercent val="0"/>
          <c:showBubbleSize val="0"/>
        </c:dLbls>
        <c:smooth val="0"/>
        <c:axId val="679680280"/>
        <c:axId val="679681064"/>
      </c:lineChart>
      <c:catAx>
        <c:axId val="679680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9681064"/>
        <c:crosses val="autoZero"/>
        <c:auto val="1"/>
        <c:lblAlgn val="ctr"/>
        <c:lblOffset val="100"/>
        <c:tickLblSkip val="3"/>
        <c:noMultiLvlLbl val="0"/>
      </c:catAx>
      <c:valAx>
        <c:axId val="679681064"/>
        <c:scaling>
          <c:orientation val="minMax"/>
          <c:max val="10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9680280"/>
        <c:crossesAt val="1"/>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86385459533609"/>
          <c:y val="0.17579998864861798"/>
          <c:w val="0.82182990397805211"/>
          <c:h val="0.68710483001305411"/>
        </c:manualLayout>
      </c:layout>
      <c:lineChart>
        <c:grouping val="standard"/>
        <c:varyColors val="0"/>
        <c:ser>
          <c:idx val="0"/>
          <c:order val="0"/>
          <c:tx>
            <c:strRef>
              <c:f>Methods!$BM$59</c:f>
              <c:strCache>
                <c:ptCount val="1"/>
                <c:pt idx="0">
                  <c:v>Hanging, strangulation and suffocation</c:v>
                </c:pt>
              </c:strCache>
            </c:strRef>
          </c:tx>
          <c:spPr>
            <a:ln w="22225" cap="rnd">
              <a:solidFill>
                <a:schemeClr val="tx1"/>
              </a:solidFill>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Methods!$BO$59:$CH$59</c:f>
              <c:numCache>
                <c:formatCode>General</c:formatCode>
                <c:ptCount val="20"/>
                <c:pt idx="0">
                  <c:v>28.3</c:v>
                </c:pt>
                <c:pt idx="1">
                  <c:v>28.3</c:v>
                </c:pt>
                <c:pt idx="2">
                  <c:v>29.2</c:v>
                </c:pt>
                <c:pt idx="3">
                  <c:v>36.1</c:v>
                </c:pt>
                <c:pt idx="4">
                  <c:v>39</c:v>
                </c:pt>
                <c:pt idx="5">
                  <c:v>29.2</c:v>
                </c:pt>
                <c:pt idx="6">
                  <c:v>27.8</c:v>
                </c:pt>
                <c:pt idx="7">
                  <c:v>30.4</c:v>
                </c:pt>
                <c:pt idx="8">
                  <c:v>34.799999999999997</c:v>
                </c:pt>
                <c:pt idx="9">
                  <c:v>43.8</c:v>
                </c:pt>
                <c:pt idx="10">
                  <c:v>36.4</c:v>
                </c:pt>
                <c:pt idx="11">
                  <c:v>31</c:v>
                </c:pt>
                <c:pt idx="12">
                  <c:v>22.2</c:v>
                </c:pt>
                <c:pt idx="13">
                  <c:v>36.6</c:v>
                </c:pt>
                <c:pt idx="14">
                  <c:v>37.200000000000003</c:v>
                </c:pt>
                <c:pt idx="15">
                  <c:v>29</c:v>
                </c:pt>
                <c:pt idx="16">
                  <c:v>39.5</c:v>
                </c:pt>
                <c:pt idx="17">
                  <c:v>39.6</c:v>
                </c:pt>
                <c:pt idx="18">
                  <c:v>44.9</c:v>
                </c:pt>
                <c:pt idx="19">
                  <c:v>29.2</c:v>
                </c:pt>
              </c:numCache>
            </c:numRef>
          </c:val>
          <c:smooth val="0"/>
        </c:ser>
        <c:ser>
          <c:idx val="5"/>
          <c:order val="1"/>
          <c:tx>
            <c:strRef>
              <c:f>Methods!$BM$60</c:f>
              <c:strCache>
                <c:ptCount val="1"/>
                <c:pt idx="0">
                  <c:v>Poisoning by gases and vapours</c:v>
                </c:pt>
              </c:strCache>
            </c:strRef>
          </c:tx>
          <c:spPr>
            <a:ln w="22225" cap="rnd">
              <a:solidFill>
                <a:schemeClr val="bg1">
                  <a:lumMod val="50000"/>
                </a:schemeClr>
              </a:solidFill>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Methods!$BO$60:$CH$60</c:f>
              <c:numCache>
                <c:formatCode>General</c:formatCode>
                <c:ptCount val="20"/>
                <c:pt idx="0">
                  <c:v>20.8</c:v>
                </c:pt>
                <c:pt idx="1">
                  <c:v>34.799999999999997</c:v>
                </c:pt>
                <c:pt idx="2">
                  <c:v>41.7</c:v>
                </c:pt>
                <c:pt idx="3">
                  <c:v>25</c:v>
                </c:pt>
                <c:pt idx="4">
                  <c:v>17.100000000000001</c:v>
                </c:pt>
                <c:pt idx="5">
                  <c:v>29.2</c:v>
                </c:pt>
                <c:pt idx="6">
                  <c:v>19.399999999999999</c:v>
                </c:pt>
                <c:pt idx="7">
                  <c:v>19.600000000000001</c:v>
                </c:pt>
                <c:pt idx="8">
                  <c:v>21.7</c:v>
                </c:pt>
                <c:pt idx="9">
                  <c:v>21.9</c:v>
                </c:pt>
                <c:pt idx="10">
                  <c:v>27.3</c:v>
                </c:pt>
                <c:pt idx="11">
                  <c:v>14.3</c:v>
                </c:pt>
                <c:pt idx="12">
                  <c:v>22.2</c:v>
                </c:pt>
                <c:pt idx="13">
                  <c:v>9.8000000000000007</c:v>
                </c:pt>
                <c:pt idx="14">
                  <c:v>20.9</c:v>
                </c:pt>
                <c:pt idx="15">
                  <c:v>3.2</c:v>
                </c:pt>
                <c:pt idx="16">
                  <c:v>11.6</c:v>
                </c:pt>
                <c:pt idx="17">
                  <c:v>6.2</c:v>
                </c:pt>
                <c:pt idx="18">
                  <c:v>10.199999999999999</c:v>
                </c:pt>
                <c:pt idx="19">
                  <c:v>2.1</c:v>
                </c:pt>
              </c:numCache>
            </c:numRef>
          </c:val>
          <c:smooth val="0"/>
        </c:ser>
        <c:ser>
          <c:idx val="6"/>
          <c:order val="2"/>
          <c:tx>
            <c:strRef>
              <c:f>Methods!$BM$61</c:f>
              <c:strCache>
                <c:ptCount val="1"/>
                <c:pt idx="0">
                  <c:v>Poisoning by solids and liquids</c:v>
                </c:pt>
              </c:strCache>
            </c:strRef>
          </c:tx>
          <c:spPr>
            <a:ln w="22225" cap="rnd">
              <a:solidFill>
                <a:srgbClr val="4BACC6"/>
              </a:solidFill>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Methods!$BO$61:$CH$61</c:f>
              <c:numCache>
                <c:formatCode>General</c:formatCode>
                <c:ptCount val="20"/>
                <c:pt idx="0">
                  <c:v>17</c:v>
                </c:pt>
                <c:pt idx="1">
                  <c:v>8.6999999999999993</c:v>
                </c:pt>
                <c:pt idx="2">
                  <c:v>6.2</c:v>
                </c:pt>
                <c:pt idx="3">
                  <c:v>2.8</c:v>
                </c:pt>
                <c:pt idx="4">
                  <c:v>9.8000000000000007</c:v>
                </c:pt>
                <c:pt idx="5">
                  <c:v>14.6</c:v>
                </c:pt>
                <c:pt idx="6">
                  <c:v>16.7</c:v>
                </c:pt>
                <c:pt idx="7">
                  <c:v>10.9</c:v>
                </c:pt>
                <c:pt idx="8">
                  <c:v>6.5</c:v>
                </c:pt>
                <c:pt idx="9">
                  <c:v>3.1</c:v>
                </c:pt>
                <c:pt idx="10">
                  <c:v>3</c:v>
                </c:pt>
                <c:pt idx="11">
                  <c:v>11.9</c:v>
                </c:pt>
                <c:pt idx="12">
                  <c:v>13.9</c:v>
                </c:pt>
                <c:pt idx="13">
                  <c:v>19.5</c:v>
                </c:pt>
                <c:pt idx="14">
                  <c:v>9.3000000000000007</c:v>
                </c:pt>
                <c:pt idx="15">
                  <c:v>16.100000000000001</c:v>
                </c:pt>
                <c:pt idx="16">
                  <c:v>14</c:v>
                </c:pt>
                <c:pt idx="17">
                  <c:v>12.5</c:v>
                </c:pt>
                <c:pt idx="18">
                  <c:v>16.3</c:v>
                </c:pt>
                <c:pt idx="19">
                  <c:v>10.4</c:v>
                </c:pt>
              </c:numCache>
            </c:numRef>
          </c:val>
          <c:smooth val="0"/>
        </c:ser>
        <c:ser>
          <c:idx val="1"/>
          <c:order val="3"/>
          <c:tx>
            <c:strRef>
              <c:f>Methods!$BM$62</c:f>
              <c:strCache>
                <c:ptCount val="1"/>
                <c:pt idx="0">
                  <c:v>Firearms and explosives</c:v>
                </c:pt>
              </c:strCache>
            </c:strRef>
          </c:tx>
          <c:spPr>
            <a:ln w="22225" cap="rnd">
              <a:solidFill>
                <a:srgbClr val="A7D6E3"/>
              </a:solidFill>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Methods!$BO$62:$CH$62</c:f>
              <c:numCache>
                <c:formatCode>General</c:formatCode>
                <c:ptCount val="20"/>
                <c:pt idx="0">
                  <c:v>17</c:v>
                </c:pt>
                <c:pt idx="1">
                  <c:v>10.9</c:v>
                </c:pt>
                <c:pt idx="2">
                  <c:v>14.6</c:v>
                </c:pt>
                <c:pt idx="3">
                  <c:v>19.399999999999999</c:v>
                </c:pt>
                <c:pt idx="4">
                  <c:v>17.100000000000001</c:v>
                </c:pt>
                <c:pt idx="5">
                  <c:v>6.2</c:v>
                </c:pt>
                <c:pt idx="6">
                  <c:v>19.399999999999999</c:v>
                </c:pt>
                <c:pt idx="7">
                  <c:v>21.7</c:v>
                </c:pt>
                <c:pt idx="8">
                  <c:v>17.399999999999999</c:v>
                </c:pt>
                <c:pt idx="9">
                  <c:v>18.8</c:v>
                </c:pt>
                <c:pt idx="10">
                  <c:v>15.2</c:v>
                </c:pt>
                <c:pt idx="11">
                  <c:v>33.299999999999997</c:v>
                </c:pt>
                <c:pt idx="12">
                  <c:v>30.6</c:v>
                </c:pt>
                <c:pt idx="13">
                  <c:v>17.100000000000001</c:v>
                </c:pt>
                <c:pt idx="14">
                  <c:v>23.3</c:v>
                </c:pt>
                <c:pt idx="15">
                  <c:v>22.6</c:v>
                </c:pt>
                <c:pt idx="16">
                  <c:v>18.600000000000001</c:v>
                </c:pt>
                <c:pt idx="17">
                  <c:v>31.2</c:v>
                </c:pt>
                <c:pt idx="18">
                  <c:v>22.4</c:v>
                </c:pt>
                <c:pt idx="19">
                  <c:v>31.2</c:v>
                </c:pt>
              </c:numCache>
            </c:numRef>
          </c:val>
          <c:smooth val="0"/>
        </c:ser>
        <c:ser>
          <c:idx val="8"/>
          <c:order val="4"/>
          <c:tx>
            <c:strRef>
              <c:f>Methods!$BM$63</c:f>
              <c:strCache>
                <c:ptCount val="1"/>
                <c:pt idx="0">
                  <c:v>Jumping from a high place</c:v>
                </c:pt>
              </c:strCache>
            </c:strRef>
          </c:tx>
          <c:spPr>
            <a:ln w="22225" cap="rnd">
              <a:solidFill>
                <a:schemeClr val="tx1"/>
              </a:solidFill>
              <a:prstDash val="sysDash"/>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Methods!$BO$63:$CH$63</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9"/>
          <c:order val="5"/>
          <c:tx>
            <c:strRef>
              <c:f>Methods!$BM$64</c:f>
              <c:strCache>
                <c:ptCount val="1"/>
                <c:pt idx="0">
                  <c:v>Submersion (drowning)</c:v>
                </c:pt>
              </c:strCache>
            </c:strRef>
          </c:tx>
          <c:spPr>
            <a:ln w="22225" cap="rnd">
              <a:solidFill>
                <a:srgbClr val="2B8CBE"/>
              </a:solidFill>
              <a:prstDash val="sysDash"/>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Methods!$BO$64:$CH$64</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10"/>
          <c:order val="6"/>
          <c:tx>
            <c:strRef>
              <c:f>Methods!$BM$65</c:f>
              <c:strCache>
                <c:ptCount val="1"/>
                <c:pt idx="0">
                  <c:v>Sharp object</c:v>
                </c:pt>
              </c:strCache>
            </c:strRef>
          </c:tx>
          <c:spPr>
            <a:ln w="22225" cap="rnd">
              <a:solidFill>
                <a:schemeClr val="bg1">
                  <a:lumMod val="50000"/>
                </a:schemeClr>
              </a:solidFill>
              <a:prstDash val="sysDash"/>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Methods!$BO$65:$CH$65</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11"/>
          <c:order val="7"/>
          <c:tx>
            <c:strRef>
              <c:f>Methods!$BM$66</c:f>
              <c:strCache>
                <c:ptCount val="1"/>
                <c:pt idx="0">
                  <c:v>Other</c:v>
                </c:pt>
              </c:strCache>
            </c:strRef>
          </c:tx>
          <c:spPr>
            <a:ln w="22225" cap="rnd">
              <a:solidFill>
                <a:srgbClr val="A7D6E3"/>
              </a:solidFill>
              <a:prstDash val="sysDash"/>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Methods!$BO$66:$CH$66</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dLbls>
          <c:showLegendKey val="0"/>
          <c:showVal val="0"/>
          <c:showCatName val="0"/>
          <c:showSerName val="0"/>
          <c:showPercent val="0"/>
          <c:showBubbleSize val="0"/>
        </c:dLbls>
        <c:smooth val="0"/>
        <c:axId val="772862696"/>
        <c:axId val="772859168"/>
      </c:lineChart>
      <c:catAx>
        <c:axId val="7728626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2859168"/>
        <c:crosses val="autoZero"/>
        <c:auto val="1"/>
        <c:lblAlgn val="ctr"/>
        <c:lblOffset val="100"/>
        <c:tickLblSkip val="3"/>
        <c:noMultiLvlLbl val="0"/>
      </c:catAx>
      <c:valAx>
        <c:axId val="772859168"/>
        <c:scaling>
          <c:orientation val="minMax"/>
          <c:max val="10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2862696"/>
        <c:crossesAt val="1"/>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86385459533609"/>
          <c:y val="0.17579998864861798"/>
          <c:w val="0.82182990397805211"/>
          <c:h val="0.68710483001305411"/>
        </c:manualLayout>
      </c:layout>
      <c:lineChart>
        <c:grouping val="standard"/>
        <c:varyColors val="0"/>
        <c:ser>
          <c:idx val="0"/>
          <c:order val="0"/>
          <c:tx>
            <c:strRef>
              <c:f>Methods!$BM$68</c:f>
              <c:strCache>
                <c:ptCount val="1"/>
                <c:pt idx="0">
                  <c:v>Hanging, strangulation and suffocation</c:v>
                </c:pt>
              </c:strCache>
            </c:strRef>
          </c:tx>
          <c:spPr>
            <a:ln w="22225" cap="rnd">
              <a:solidFill>
                <a:schemeClr val="tx1"/>
              </a:solidFill>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Methods!$BO$68:$CH$68</c:f>
              <c:numCache>
                <c:formatCode>General</c:formatCode>
                <c:ptCount val="20"/>
                <c:pt idx="0">
                  <c:v>44.7</c:v>
                </c:pt>
                <c:pt idx="1">
                  <c:v>79.3</c:v>
                </c:pt>
                <c:pt idx="2">
                  <c:v>60</c:v>
                </c:pt>
                <c:pt idx="3">
                  <c:v>75.7</c:v>
                </c:pt>
                <c:pt idx="4">
                  <c:v>46.7</c:v>
                </c:pt>
                <c:pt idx="5">
                  <c:v>52.2</c:v>
                </c:pt>
                <c:pt idx="6">
                  <c:v>63.3</c:v>
                </c:pt>
                <c:pt idx="7">
                  <c:v>61.3</c:v>
                </c:pt>
                <c:pt idx="8">
                  <c:v>87.1</c:v>
                </c:pt>
                <c:pt idx="9">
                  <c:v>76</c:v>
                </c:pt>
                <c:pt idx="10">
                  <c:v>79.2</c:v>
                </c:pt>
                <c:pt idx="11">
                  <c:v>78.3</c:v>
                </c:pt>
                <c:pt idx="12">
                  <c:v>76.3</c:v>
                </c:pt>
                <c:pt idx="13">
                  <c:v>95.2</c:v>
                </c:pt>
                <c:pt idx="14">
                  <c:v>76.5</c:v>
                </c:pt>
                <c:pt idx="15">
                  <c:v>91.2</c:v>
                </c:pt>
                <c:pt idx="16">
                  <c:v>95.1</c:v>
                </c:pt>
                <c:pt idx="17">
                  <c:v>78.900000000000006</c:v>
                </c:pt>
                <c:pt idx="18">
                  <c:v>81.8</c:v>
                </c:pt>
                <c:pt idx="19">
                  <c:v>81</c:v>
                </c:pt>
              </c:numCache>
            </c:numRef>
          </c:val>
          <c:smooth val="0"/>
        </c:ser>
        <c:ser>
          <c:idx val="5"/>
          <c:order val="1"/>
          <c:tx>
            <c:strRef>
              <c:f>Methods!$BM$69</c:f>
              <c:strCache>
                <c:ptCount val="1"/>
                <c:pt idx="0">
                  <c:v>Poisoning by gases and vapours</c:v>
                </c:pt>
              </c:strCache>
            </c:strRef>
          </c:tx>
          <c:spPr>
            <a:ln w="22225" cap="rnd">
              <a:solidFill>
                <a:schemeClr val="bg1">
                  <a:lumMod val="50000"/>
                </a:schemeClr>
              </a:solidFill>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Methods!$BO$69:$CH$69</c:f>
              <c:numCache>
                <c:formatCode>General</c:formatCode>
                <c:ptCount val="20"/>
                <c:pt idx="0">
                  <c:v>28.9</c:v>
                </c:pt>
                <c:pt idx="1">
                  <c:v>3.4</c:v>
                </c:pt>
                <c:pt idx="2">
                  <c:v>5.7</c:v>
                </c:pt>
                <c:pt idx="3">
                  <c:v>10.8</c:v>
                </c:pt>
                <c:pt idx="4">
                  <c:v>26.7</c:v>
                </c:pt>
                <c:pt idx="5">
                  <c:v>8.6999999999999993</c:v>
                </c:pt>
                <c:pt idx="6">
                  <c:v>16.7</c:v>
                </c:pt>
                <c:pt idx="7">
                  <c:v>16.100000000000001</c:v>
                </c:pt>
                <c:pt idx="8">
                  <c:v>6.5</c:v>
                </c:pt>
                <c:pt idx="9">
                  <c:v>4</c:v>
                </c:pt>
                <c:pt idx="10">
                  <c:v>8.3000000000000007</c:v>
                </c:pt>
                <c:pt idx="11">
                  <c:v>8.6999999999999993</c:v>
                </c:pt>
                <c:pt idx="12">
                  <c:v>2.6</c:v>
                </c:pt>
                <c:pt idx="13">
                  <c:v>0</c:v>
                </c:pt>
                <c:pt idx="14">
                  <c:v>5.9</c:v>
                </c:pt>
                <c:pt idx="15">
                  <c:v>0</c:v>
                </c:pt>
                <c:pt idx="16">
                  <c:v>0</c:v>
                </c:pt>
                <c:pt idx="17">
                  <c:v>0</c:v>
                </c:pt>
                <c:pt idx="18">
                  <c:v>4.5</c:v>
                </c:pt>
                <c:pt idx="19">
                  <c:v>0</c:v>
                </c:pt>
              </c:numCache>
            </c:numRef>
          </c:val>
          <c:smooth val="0"/>
        </c:ser>
        <c:ser>
          <c:idx val="6"/>
          <c:order val="2"/>
          <c:tx>
            <c:strRef>
              <c:f>Methods!$BM$70</c:f>
              <c:strCache>
                <c:ptCount val="1"/>
                <c:pt idx="0">
                  <c:v>Poisoning by solids and liquids</c:v>
                </c:pt>
              </c:strCache>
            </c:strRef>
          </c:tx>
          <c:spPr>
            <a:ln w="22225" cap="rnd">
              <a:solidFill>
                <a:srgbClr val="4BACC6"/>
              </a:solidFill>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Methods!$BO$70:$CH$70</c:f>
              <c:numCache>
                <c:formatCode>General</c:formatCode>
                <c:ptCount val="20"/>
                <c:pt idx="0">
                  <c:v>21.1</c:v>
                </c:pt>
                <c:pt idx="1">
                  <c:v>10.3</c:v>
                </c:pt>
                <c:pt idx="2">
                  <c:v>28.6</c:v>
                </c:pt>
                <c:pt idx="3">
                  <c:v>8.1</c:v>
                </c:pt>
                <c:pt idx="4">
                  <c:v>13.3</c:v>
                </c:pt>
                <c:pt idx="5">
                  <c:v>21.7</c:v>
                </c:pt>
                <c:pt idx="6">
                  <c:v>10</c:v>
                </c:pt>
                <c:pt idx="7">
                  <c:v>9.6999999999999993</c:v>
                </c:pt>
                <c:pt idx="8">
                  <c:v>6.5</c:v>
                </c:pt>
                <c:pt idx="9">
                  <c:v>8</c:v>
                </c:pt>
                <c:pt idx="10">
                  <c:v>8.3000000000000007</c:v>
                </c:pt>
                <c:pt idx="11">
                  <c:v>8.6999999999999993</c:v>
                </c:pt>
                <c:pt idx="12">
                  <c:v>10.5</c:v>
                </c:pt>
                <c:pt idx="13">
                  <c:v>0</c:v>
                </c:pt>
                <c:pt idx="14">
                  <c:v>8.8000000000000007</c:v>
                </c:pt>
                <c:pt idx="15">
                  <c:v>5.9</c:v>
                </c:pt>
                <c:pt idx="16">
                  <c:v>0</c:v>
                </c:pt>
                <c:pt idx="17">
                  <c:v>10.5</c:v>
                </c:pt>
                <c:pt idx="18">
                  <c:v>4.5</c:v>
                </c:pt>
                <c:pt idx="19">
                  <c:v>9.5</c:v>
                </c:pt>
              </c:numCache>
            </c:numRef>
          </c:val>
          <c:smooth val="0"/>
        </c:ser>
        <c:ser>
          <c:idx val="1"/>
          <c:order val="3"/>
          <c:tx>
            <c:strRef>
              <c:f>Methods!$BM$71</c:f>
              <c:strCache>
                <c:ptCount val="1"/>
                <c:pt idx="0">
                  <c:v>Firearms and explosives</c:v>
                </c:pt>
              </c:strCache>
            </c:strRef>
          </c:tx>
          <c:spPr>
            <a:ln w="22225" cap="rnd">
              <a:solidFill>
                <a:srgbClr val="A7D6E3"/>
              </a:solidFill>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Methods!$BO$71:$CH$71</c:f>
              <c:numCache>
                <c:formatCode>General</c:formatCode>
                <c:ptCount val="20"/>
                <c:pt idx="0">
                  <c:v>0</c:v>
                </c:pt>
                <c:pt idx="1">
                  <c:v>3.4</c:v>
                </c:pt>
                <c:pt idx="2">
                  <c:v>0</c:v>
                </c:pt>
                <c:pt idx="3">
                  <c:v>2.7</c:v>
                </c:pt>
                <c:pt idx="4">
                  <c:v>0</c:v>
                </c:pt>
                <c:pt idx="5">
                  <c:v>0</c:v>
                </c:pt>
                <c:pt idx="6">
                  <c:v>3.3</c:v>
                </c:pt>
                <c:pt idx="7">
                  <c:v>3.2</c:v>
                </c:pt>
                <c:pt idx="8">
                  <c:v>0</c:v>
                </c:pt>
                <c:pt idx="9">
                  <c:v>4</c:v>
                </c:pt>
                <c:pt idx="10">
                  <c:v>4.2</c:v>
                </c:pt>
                <c:pt idx="11">
                  <c:v>0</c:v>
                </c:pt>
                <c:pt idx="12">
                  <c:v>2.6</c:v>
                </c:pt>
                <c:pt idx="13">
                  <c:v>0</c:v>
                </c:pt>
                <c:pt idx="14">
                  <c:v>2.9</c:v>
                </c:pt>
                <c:pt idx="15">
                  <c:v>0</c:v>
                </c:pt>
                <c:pt idx="16">
                  <c:v>0</c:v>
                </c:pt>
                <c:pt idx="17">
                  <c:v>2.6</c:v>
                </c:pt>
                <c:pt idx="18">
                  <c:v>0</c:v>
                </c:pt>
                <c:pt idx="19">
                  <c:v>2.4</c:v>
                </c:pt>
              </c:numCache>
            </c:numRef>
          </c:val>
          <c:smooth val="0"/>
        </c:ser>
        <c:ser>
          <c:idx val="8"/>
          <c:order val="4"/>
          <c:tx>
            <c:strRef>
              <c:f>Methods!$BM$72</c:f>
              <c:strCache>
                <c:ptCount val="1"/>
                <c:pt idx="0">
                  <c:v>Jumping from a high place</c:v>
                </c:pt>
              </c:strCache>
            </c:strRef>
          </c:tx>
          <c:spPr>
            <a:ln w="22225" cap="rnd">
              <a:solidFill>
                <a:schemeClr val="tx1"/>
              </a:solidFill>
              <a:prstDash val="sysDash"/>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Methods!$BO$72:$CH$72</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9"/>
          <c:order val="5"/>
          <c:tx>
            <c:strRef>
              <c:f>Methods!$BM$73</c:f>
              <c:strCache>
                <c:ptCount val="1"/>
                <c:pt idx="0">
                  <c:v>Submersion (drowning)</c:v>
                </c:pt>
              </c:strCache>
            </c:strRef>
          </c:tx>
          <c:spPr>
            <a:ln w="22225" cap="rnd">
              <a:solidFill>
                <a:srgbClr val="2B8CBE"/>
              </a:solidFill>
              <a:prstDash val="sysDash"/>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Methods!$BO$73:$CH$73</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10"/>
          <c:order val="6"/>
          <c:tx>
            <c:strRef>
              <c:f>Methods!$BM$74</c:f>
              <c:strCache>
                <c:ptCount val="1"/>
                <c:pt idx="0">
                  <c:v>Sharp object</c:v>
                </c:pt>
              </c:strCache>
            </c:strRef>
          </c:tx>
          <c:spPr>
            <a:ln w="22225" cap="rnd">
              <a:solidFill>
                <a:schemeClr val="bg1">
                  <a:lumMod val="50000"/>
                </a:schemeClr>
              </a:solidFill>
              <a:prstDash val="sysDash"/>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Methods!$BO$74:$CH$74</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11"/>
          <c:order val="7"/>
          <c:tx>
            <c:strRef>
              <c:f>Methods!$BM$75</c:f>
              <c:strCache>
                <c:ptCount val="1"/>
                <c:pt idx="0">
                  <c:v>Other</c:v>
                </c:pt>
              </c:strCache>
            </c:strRef>
          </c:tx>
          <c:spPr>
            <a:ln w="22225" cap="rnd">
              <a:solidFill>
                <a:srgbClr val="A7D6E3"/>
              </a:solidFill>
              <a:prstDash val="sysDash"/>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Methods!$BO$75:$CH$75</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dLbls>
          <c:showLegendKey val="0"/>
          <c:showVal val="0"/>
          <c:showCatName val="0"/>
          <c:showSerName val="0"/>
          <c:showPercent val="0"/>
          <c:showBubbleSize val="0"/>
        </c:dLbls>
        <c:smooth val="0"/>
        <c:axId val="772858384"/>
        <c:axId val="772863088"/>
      </c:lineChart>
      <c:catAx>
        <c:axId val="77285838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2863088"/>
        <c:crosses val="autoZero"/>
        <c:auto val="1"/>
        <c:lblAlgn val="ctr"/>
        <c:lblOffset val="100"/>
        <c:tickLblSkip val="3"/>
        <c:noMultiLvlLbl val="0"/>
      </c:catAx>
      <c:valAx>
        <c:axId val="772863088"/>
        <c:scaling>
          <c:orientation val="minMax"/>
          <c:max val="10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2858384"/>
        <c:crossesAt val="1"/>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86385459533609"/>
          <c:y val="0.17579998864861798"/>
          <c:w val="0.82182990397805211"/>
          <c:h val="0.68710483001305411"/>
        </c:manualLayout>
      </c:layout>
      <c:lineChart>
        <c:grouping val="standard"/>
        <c:varyColors val="0"/>
        <c:ser>
          <c:idx val="0"/>
          <c:order val="0"/>
          <c:tx>
            <c:strRef>
              <c:f>Methods!$BM$77</c:f>
              <c:strCache>
                <c:ptCount val="1"/>
                <c:pt idx="0">
                  <c:v>Hanging, strangulation and suffocation</c:v>
                </c:pt>
              </c:strCache>
            </c:strRef>
          </c:tx>
          <c:spPr>
            <a:ln w="22225" cap="rnd">
              <a:solidFill>
                <a:schemeClr val="tx1"/>
              </a:solidFill>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Methods!$BO$77:$CH$77</c:f>
              <c:numCache>
                <c:formatCode>General</c:formatCode>
                <c:ptCount val="20"/>
                <c:pt idx="0">
                  <c:v>32.4</c:v>
                </c:pt>
                <c:pt idx="1">
                  <c:v>23.6</c:v>
                </c:pt>
                <c:pt idx="2">
                  <c:v>59.3</c:v>
                </c:pt>
                <c:pt idx="3">
                  <c:v>32.700000000000003</c:v>
                </c:pt>
                <c:pt idx="4">
                  <c:v>34.200000000000003</c:v>
                </c:pt>
                <c:pt idx="5">
                  <c:v>40</c:v>
                </c:pt>
                <c:pt idx="6">
                  <c:v>34</c:v>
                </c:pt>
                <c:pt idx="7">
                  <c:v>42.6</c:v>
                </c:pt>
                <c:pt idx="8">
                  <c:v>37.5</c:v>
                </c:pt>
                <c:pt idx="9">
                  <c:v>46.6</c:v>
                </c:pt>
                <c:pt idx="10">
                  <c:v>51.7</c:v>
                </c:pt>
                <c:pt idx="11">
                  <c:v>35.4</c:v>
                </c:pt>
                <c:pt idx="12">
                  <c:v>59.2</c:v>
                </c:pt>
                <c:pt idx="13">
                  <c:v>43.9</c:v>
                </c:pt>
                <c:pt idx="14">
                  <c:v>52.8</c:v>
                </c:pt>
                <c:pt idx="15">
                  <c:v>60.6</c:v>
                </c:pt>
                <c:pt idx="16">
                  <c:v>48.8</c:v>
                </c:pt>
                <c:pt idx="17">
                  <c:v>63.8</c:v>
                </c:pt>
                <c:pt idx="18">
                  <c:v>75.5</c:v>
                </c:pt>
                <c:pt idx="19">
                  <c:v>71.400000000000006</c:v>
                </c:pt>
              </c:numCache>
            </c:numRef>
          </c:val>
          <c:smooth val="0"/>
        </c:ser>
        <c:ser>
          <c:idx val="5"/>
          <c:order val="1"/>
          <c:tx>
            <c:strRef>
              <c:f>Methods!$BM$78</c:f>
              <c:strCache>
                <c:ptCount val="1"/>
                <c:pt idx="0">
                  <c:v>Poisoning by gases and vapours</c:v>
                </c:pt>
              </c:strCache>
            </c:strRef>
          </c:tx>
          <c:spPr>
            <a:ln w="22225" cap="rnd">
              <a:solidFill>
                <a:schemeClr val="bg1">
                  <a:lumMod val="50000"/>
                </a:schemeClr>
              </a:solidFill>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Methods!$BO$78:$CH$78</c:f>
              <c:numCache>
                <c:formatCode>General</c:formatCode>
                <c:ptCount val="20"/>
                <c:pt idx="0">
                  <c:v>32.4</c:v>
                </c:pt>
                <c:pt idx="1">
                  <c:v>32.700000000000003</c:v>
                </c:pt>
                <c:pt idx="2">
                  <c:v>14.8</c:v>
                </c:pt>
                <c:pt idx="3">
                  <c:v>25.5</c:v>
                </c:pt>
                <c:pt idx="4">
                  <c:v>23.7</c:v>
                </c:pt>
                <c:pt idx="5">
                  <c:v>24</c:v>
                </c:pt>
                <c:pt idx="6">
                  <c:v>25.5</c:v>
                </c:pt>
                <c:pt idx="7">
                  <c:v>24.1</c:v>
                </c:pt>
                <c:pt idx="8">
                  <c:v>22.5</c:v>
                </c:pt>
                <c:pt idx="9">
                  <c:v>19</c:v>
                </c:pt>
                <c:pt idx="10">
                  <c:v>15</c:v>
                </c:pt>
                <c:pt idx="11">
                  <c:v>20.8</c:v>
                </c:pt>
                <c:pt idx="12">
                  <c:v>12.2</c:v>
                </c:pt>
                <c:pt idx="13">
                  <c:v>14.6</c:v>
                </c:pt>
                <c:pt idx="14">
                  <c:v>9.4</c:v>
                </c:pt>
                <c:pt idx="15">
                  <c:v>9.1</c:v>
                </c:pt>
                <c:pt idx="16">
                  <c:v>7</c:v>
                </c:pt>
                <c:pt idx="17">
                  <c:v>6.4</c:v>
                </c:pt>
                <c:pt idx="18">
                  <c:v>0</c:v>
                </c:pt>
                <c:pt idx="19">
                  <c:v>0</c:v>
                </c:pt>
              </c:numCache>
            </c:numRef>
          </c:val>
          <c:smooth val="0"/>
        </c:ser>
        <c:ser>
          <c:idx val="6"/>
          <c:order val="2"/>
          <c:tx>
            <c:strRef>
              <c:f>Methods!$BM$79</c:f>
              <c:strCache>
                <c:ptCount val="1"/>
                <c:pt idx="0">
                  <c:v>Poisoning by solids and liquids</c:v>
                </c:pt>
              </c:strCache>
            </c:strRef>
          </c:tx>
          <c:spPr>
            <a:ln w="22225" cap="rnd">
              <a:solidFill>
                <a:srgbClr val="4BACC6"/>
              </a:solidFill>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Methods!$BO$79:$CH$79</c:f>
              <c:numCache>
                <c:formatCode>General</c:formatCode>
                <c:ptCount val="20"/>
                <c:pt idx="0">
                  <c:v>26.5</c:v>
                </c:pt>
                <c:pt idx="1">
                  <c:v>27.3</c:v>
                </c:pt>
                <c:pt idx="2">
                  <c:v>14.8</c:v>
                </c:pt>
                <c:pt idx="3">
                  <c:v>25.5</c:v>
                </c:pt>
                <c:pt idx="4">
                  <c:v>26.3</c:v>
                </c:pt>
                <c:pt idx="5">
                  <c:v>18</c:v>
                </c:pt>
                <c:pt idx="6">
                  <c:v>21.3</c:v>
                </c:pt>
                <c:pt idx="7">
                  <c:v>20.399999999999999</c:v>
                </c:pt>
                <c:pt idx="8">
                  <c:v>22.5</c:v>
                </c:pt>
                <c:pt idx="9">
                  <c:v>20.7</c:v>
                </c:pt>
                <c:pt idx="10">
                  <c:v>20</c:v>
                </c:pt>
                <c:pt idx="11">
                  <c:v>27.1</c:v>
                </c:pt>
                <c:pt idx="12">
                  <c:v>22.4</c:v>
                </c:pt>
                <c:pt idx="13">
                  <c:v>24.4</c:v>
                </c:pt>
                <c:pt idx="14">
                  <c:v>26.4</c:v>
                </c:pt>
                <c:pt idx="15">
                  <c:v>12.1</c:v>
                </c:pt>
                <c:pt idx="16">
                  <c:v>30.2</c:v>
                </c:pt>
                <c:pt idx="17">
                  <c:v>19.100000000000001</c:v>
                </c:pt>
                <c:pt idx="18">
                  <c:v>18.399999999999999</c:v>
                </c:pt>
                <c:pt idx="19">
                  <c:v>22.9</c:v>
                </c:pt>
              </c:numCache>
            </c:numRef>
          </c:val>
          <c:smooth val="0"/>
        </c:ser>
        <c:ser>
          <c:idx val="1"/>
          <c:order val="3"/>
          <c:tx>
            <c:strRef>
              <c:f>Methods!$BM$80</c:f>
              <c:strCache>
                <c:ptCount val="1"/>
                <c:pt idx="0">
                  <c:v>Firearms and explosives</c:v>
                </c:pt>
              </c:strCache>
            </c:strRef>
          </c:tx>
          <c:spPr>
            <a:ln w="22225" cap="rnd">
              <a:solidFill>
                <a:srgbClr val="A7D6E3"/>
              </a:solidFill>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Methods!$BO$80:$CH$80</c:f>
              <c:numCache>
                <c:formatCode>General</c:formatCode>
                <c:ptCount val="20"/>
                <c:pt idx="0">
                  <c:v>2.9</c:v>
                </c:pt>
                <c:pt idx="1">
                  <c:v>3.6</c:v>
                </c:pt>
                <c:pt idx="2">
                  <c:v>0</c:v>
                </c:pt>
                <c:pt idx="3">
                  <c:v>3.6</c:v>
                </c:pt>
                <c:pt idx="4">
                  <c:v>2.6</c:v>
                </c:pt>
                <c:pt idx="5">
                  <c:v>2</c:v>
                </c:pt>
                <c:pt idx="6">
                  <c:v>4.3</c:v>
                </c:pt>
                <c:pt idx="7">
                  <c:v>0</c:v>
                </c:pt>
                <c:pt idx="8">
                  <c:v>2.5</c:v>
                </c:pt>
                <c:pt idx="9">
                  <c:v>0</c:v>
                </c:pt>
                <c:pt idx="10">
                  <c:v>3.3</c:v>
                </c:pt>
                <c:pt idx="11">
                  <c:v>6.2</c:v>
                </c:pt>
                <c:pt idx="12">
                  <c:v>2</c:v>
                </c:pt>
                <c:pt idx="13">
                  <c:v>0</c:v>
                </c:pt>
                <c:pt idx="14">
                  <c:v>1.9</c:v>
                </c:pt>
                <c:pt idx="15">
                  <c:v>0</c:v>
                </c:pt>
                <c:pt idx="16">
                  <c:v>2.2999999999999998</c:v>
                </c:pt>
                <c:pt idx="17">
                  <c:v>0</c:v>
                </c:pt>
                <c:pt idx="18">
                  <c:v>2</c:v>
                </c:pt>
                <c:pt idx="19">
                  <c:v>2.9</c:v>
                </c:pt>
              </c:numCache>
            </c:numRef>
          </c:val>
          <c:smooth val="0"/>
        </c:ser>
        <c:ser>
          <c:idx val="8"/>
          <c:order val="4"/>
          <c:tx>
            <c:strRef>
              <c:f>Methods!$BM$81</c:f>
              <c:strCache>
                <c:ptCount val="1"/>
                <c:pt idx="0">
                  <c:v>Jumping from a high place</c:v>
                </c:pt>
              </c:strCache>
            </c:strRef>
          </c:tx>
          <c:spPr>
            <a:ln w="22225" cap="rnd">
              <a:solidFill>
                <a:schemeClr val="tx1"/>
              </a:solidFill>
              <a:prstDash val="sysDash"/>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Methods!$BO$81:$CH$81</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9"/>
          <c:order val="5"/>
          <c:tx>
            <c:strRef>
              <c:f>Methods!$BM$82</c:f>
              <c:strCache>
                <c:ptCount val="1"/>
                <c:pt idx="0">
                  <c:v>Submersion (drowning)</c:v>
                </c:pt>
              </c:strCache>
            </c:strRef>
          </c:tx>
          <c:spPr>
            <a:ln w="22225" cap="rnd">
              <a:solidFill>
                <a:srgbClr val="2B8CBE"/>
              </a:solidFill>
              <a:prstDash val="sysDash"/>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Methods!$BO$82:$CH$82</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10"/>
          <c:order val="6"/>
          <c:tx>
            <c:strRef>
              <c:f>Methods!$BM$83</c:f>
              <c:strCache>
                <c:ptCount val="1"/>
                <c:pt idx="0">
                  <c:v>Sharp object</c:v>
                </c:pt>
              </c:strCache>
            </c:strRef>
          </c:tx>
          <c:spPr>
            <a:ln w="22225" cap="rnd">
              <a:solidFill>
                <a:schemeClr val="bg1">
                  <a:lumMod val="50000"/>
                </a:schemeClr>
              </a:solidFill>
              <a:prstDash val="sysDash"/>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Methods!$BO$83:$CH$83</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11"/>
          <c:order val="7"/>
          <c:tx>
            <c:strRef>
              <c:f>Methods!$BM$84</c:f>
              <c:strCache>
                <c:ptCount val="1"/>
                <c:pt idx="0">
                  <c:v>Other</c:v>
                </c:pt>
              </c:strCache>
            </c:strRef>
          </c:tx>
          <c:spPr>
            <a:ln w="22225" cap="rnd">
              <a:solidFill>
                <a:srgbClr val="A7D6E3"/>
              </a:solidFill>
              <a:prstDash val="sysDash"/>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Methods!$BO$84:$CH$84</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dLbls>
          <c:showLegendKey val="0"/>
          <c:showVal val="0"/>
          <c:showCatName val="0"/>
          <c:showSerName val="0"/>
          <c:showPercent val="0"/>
          <c:showBubbleSize val="0"/>
        </c:dLbls>
        <c:smooth val="0"/>
        <c:axId val="772857600"/>
        <c:axId val="772858776"/>
      </c:lineChart>
      <c:catAx>
        <c:axId val="7728576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2858776"/>
        <c:crosses val="autoZero"/>
        <c:auto val="1"/>
        <c:lblAlgn val="ctr"/>
        <c:lblOffset val="100"/>
        <c:tickLblSkip val="3"/>
        <c:noMultiLvlLbl val="0"/>
      </c:catAx>
      <c:valAx>
        <c:axId val="772858776"/>
        <c:scaling>
          <c:orientation val="minMax"/>
          <c:max val="10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2857600"/>
        <c:crossesAt val="1"/>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86385459533609"/>
          <c:y val="0.17579998864861798"/>
          <c:w val="0.82182990397805211"/>
          <c:h val="0.68710483001305411"/>
        </c:manualLayout>
      </c:layout>
      <c:lineChart>
        <c:grouping val="standard"/>
        <c:varyColors val="0"/>
        <c:ser>
          <c:idx val="0"/>
          <c:order val="0"/>
          <c:tx>
            <c:strRef>
              <c:f>Methods!$BM$86</c:f>
              <c:strCache>
                <c:ptCount val="1"/>
                <c:pt idx="0">
                  <c:v>Hanging, strangulation and suffocation</c:v>
                </c:pt>
              </c:strCache>
            </c:strRef>
          </c:tx>
          <c:spPr>
            <a:ln w="22225" cap="rnd">
              <a:solidFill>
                <a:schemeClr val="tx1"/>
              </a:solidFill>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Methods!$BO$86:$CH$86</c:f>
              <c:numCache>
                <c:formatCode>General</c:formatCode>
                <c:ptCount val="20"/>
                <c:pt idx="0">
                  <c:v>22.7</c:v>
                </c:pt>
                <c:pt idx="1">
                  <c:v>34.6</c:v>
                </c:pt>
                <c:pt idx="2">
                  <c:v>4.2</c:v>
                </c:pt>
                <c:pt idx="3">
                  <c:v>28.6</c:v>
                </c:pt>
                <c:pt idx="4">
                  <c:v>30.4</c:v>
                </c:pt>
                <c:pt idx="5">
                  <c:v>40.700000000000003</c:v>
                </c:pt>
                <c:pt idx="6">
                  <c:v>52</c:v>
                </c:pt>
                <c:pt idx="7">
                  <c:v>20</c:v>
                </c:pt>
                <c:pt idx="8">
                  <c:v>43.3</c:v>
                </c:pt>
                <c:pt idx="9">
                  <c:v>45.2</c:v>
                </c:pt>
                <c:pt idx="10">
                  <c:v>38.700000000000003</c:v>
                </c:pt>
                <c:pt idx="11">
                  <c:v>32.5</c:v>
                </c:pt>
                <c:pt idx="12">
                  <c:v>47.1</c:v>
                </c:pt>
                <c:pt idx="13">
                  <c:v>51.3</c:v>
                </c:pt>
                <c:pt idx="14">
                  <c:v>39.5</c:v>
                </c:pt>
                <c:pt idx="15">
                  <c:v>27.3</c:v>
                </c:pt>
                <c:pt idx="16">
                  <c:v>40.5</c:v>
                </c:pt>
                <c:pt idx="17">
                  <c:v>35.799999999999997</c:v>
                </c:pt>
                <c:pt idx="18">
                  <c:v>24.4</c:v>
                </c:pt>
                <c:pt idx="19">
                  <c:v>35.6</c:v>
                </c:pt>
              </c:numCache>
            </c:numRef>
          </c:val>
          <c:smooth val="0"/>
        </c:ser>
        <c:ser>
          <c:idx val="5"/>
          <c:order val="1"/>
          <c:tx>
            <c:strRef>
              <c:f>Methods!$BM$87</c:f>
              <c:strCache>
                <c:ptCount val="1"/>
                <c:pt idx="0">
                  <c:v>Poisoning by gases and vapours</c:v>
                </c:pt>
              </c:strCache>
            </c:strRef>
          </c:tx>
          <c:spPr>
            <a:ln w="22225" cap="rnd">
              <a:solidFill>
                <a:schemeClr val="bg1">
                  <a:lumMod val="50000"/>
                </a:schemeClr>
              </a:solidFill>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Methods!$BO$87:$CH$87</c:f>
              <c:numCache>
                <c:formatCode>General</c:formatCode>
                <c:ptCount val="20"/>
                <c:pt idx="0">
                  <c:v>31.8</c:v>
                </c:pt>
                <c:pt idx="1">
                  <c:v>15.4</c:v>
                </c:pt>
                <c:pt idx="2">
                  <c:v>29.2</c:v>
                </c:pt>
                <c:pt idx="3">
                  <c:v>9.5</c:v>
                </c:pt>
                <c:pt idx="4">
                  <c:v>43.5</c:v>
                </c:pt>
                <c:pt idx="5">
                  <c:v>22.2</c:v>
                </c:pt>
                <c:pt idx="6">
                  <c:v>8</c:v>
                </c:pt>
                <c:pt idx="7">
                  <c:v>22.9</c:v>
                </c:pt>
                <c:pt idx="8">
                  <c:v>6.7</c:v>
                </c:pt>
                <c:pt idx="9">
                  <c:v>22.6</c:v>
                </c:pt>
                <c:pt idx="10">
                  <c:v>19.399999999999999</c:v>
                </c:pt>
                <c:pt idx="11">
                  <c:v>17.5</c:v>
                </c:pt>
                <c:pt idx="12">
                  <c:v>8.8000000000000007</c:v>
                </c:pt>
                <c:pt idx="13">
                  <c:v>2.6</c:v>
                </c:pt>
                <c:pt idx="14">
                  <c:v>4.7</c:v>
                </c:pt>
                <c:pt idx="15">
                  <c:v>6.1</c:v>
                </c:pt>
                <c:pt idx="16">
                  <c:v>4.8</c:v>
                </c:pt>
                <c:pt idx="17">
                  <c:v>5.7</c:v>
                </c:pt>
                <c:pt idx="18">
                  <c:v>17.8</c:v>
                </c:pt>
                <c:pt idx="19">
                  <c:v>13.3</c:v>
                </c:pt>
              </c:numCache>
            </c:numRef>
          </c:val>
          <c:smooth val="0"/>
        </c:ser>
        <c:ser>
          <c:idx val="6"/>
          <c:order val="2"/>
          <c:tx>
            <c:strRef>
              <c:f>Methods!$BM$88</c:f>
              <c:strCache>
                <c:ptCount val="1"/>
                <c:pt idx="0">
                  <c:v>Poisoning by solids and liquids</c:v>
                </c:pt>
              </c:strCache>
            </c:strRef>
          </c:tx>
          <c:spPr>
            <a:ln w="22225" cap="rnd">
              <a:solidFill>
                <a:srgbClr val="4BACC6"/>
              </a:solidFill>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Methods!$BO$88:$CH$88</c:f>
              <c:numCache>
                <c:formatCode>General</c:formatCode>
                <c:ptCount val="20"/>
                <c:pt idx="0">
                  <c:v>27.3</c:v>
                </c:pt>
                <c:pt idx="1">
                  <c:v>38.5</c:v>
                </c:pt>
                <c:pt idx="2">
                  <c:v>45.8</c:v>
                </c:pt>
                <c:pt idx="3">
                  <c:v>42.9</c:v>
                </c:pt>
                <c:pt idx="4">
                  <c:v>4.3</c:v>
                </c:pt>
                <c:pt idx="5">
                  <c:v>18.5</c:v>
                </c:pt>
                <c:pt idx="6">
                  <c:v>28</c:v>
                </c:pt>
                <c:pt idx="7">
                  <c:v>25.7</c:v>
                </c:pt>
                <c:pt idx="8">
                  <c:v>26.7</c:v>
                </c:pt>
                <c:pt idx="9">
                  <c:v>19.399999999999999</c:v>
                </c:pt>
                <c:pt idx="10">
                  <c:v>25.8</c:v>
                </c:pt>
                <c:pt idx="11">
                  <c:v>30</c:v>
                </c:pt>
                <c:pt idx="12">
                  <c:v>32.4</c:v>
                </c:pt>
                <c:pt idx="13">
                  <c:v>30.8</c:v>
                </c:pt>
                <c:pt idx="14">
                  <c:v>37.200000000000003</c:v>
                </c:pt>
                <c:pt idx="15">
                  <c:v>39.4</c:v>
                </c:pt>
                <c:pt idx="16">
                  <c:v>40.5</c:v>
                </c:pt>
                <c:pt idx="17">
                  <c:v>35.799999999999997</c:v>
                </c:pt>
                <c:pt idx="18">
                  <c:v>37.799999999999997</c:v>
                </c:pt>
                <c:pt idx="19">
                  <c:v>33.299999999999997</c:v>
                </c:pt>
              </c:numCache>
            </c:numRef>
          </c:val>
          <c:smooth val="0"/>
        </c:ser>
        <c:ser>
          <c:idx val="1"/>
          <c:order val="3"/>
          <c:tx>
            <c:strRef>
              <c:f>Methods!$BM$89</c:f>
              <c:strCache>
                <c:ptCount val="1"/>
                <c:pt idx="0">
                  <c:v>Firearms and explosives</c:v>
                </c:pt>
              </c:strCache>
            </c:strRef>
          </c:tx>
          <c:spPr>
            <a:ln w="22225" cap="rnd">
              <a:solidFill>
                <a:srgbClr val="A7D6E3"/>
              </a:solidFill>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Methods!$BO$89:$CH$89</c:f>
              <c:numCache>
                <c:formatCode>General</c:formatCode>
                <c:ptCount val="20"/>
                <c:pt idx="0">
                  <c:v>0</c:v>
                </c:pt>
                <c:pt idx="1">
                  <c:v>0</c:v>
                </c:pt>
                <c:pt idx="2">
                  <c:v>4.2</c:v>
                </c:pt>
                <c:pt idx="3">
                  <c:v>0</c:v>
                </c:pt>
                <c:pt idx="4">
                  <c:v>4.3</c:v>
                </c:pt>
                <c:pt idx="5">
                  <c:v>0</c:v>
                </c:pt>
                <c:pt idx="6">
                  <c:v>0</c:v>
                </c:pt>
                <c:pt idx="7">
                  <c:v>2.9</c:v>
                </c:pt>
                <c:pt idx="8">
                  <c:v>3.3</c:v>
                </c:pt>
                <c:pt idx="9">
                  <c:v>0</c:v>
                </c:pt>
                <c:pt idx="10">
                  <c:v>9.6999999999999993</c:v>
                </c:pt>
                <c:pt idx="11">
                  <c:v>2.5</c:v>
                </c:pt>
                <c:pt idx="12">
                  <c:v>0</c:v>
                </c:pt>
                <c:pt idx="13">
                  <c:v>0</c:v>
                </c:pt>
                <c:pt idx="14">
                  <c:v>0</c:v>
                </c:pt>
                <c:pt idx="15">
                  <c:v>6.1</c:v>
                </c:pt>
                <c:pt idx="16">
                  <c:v>2.4</c:v>
                </c:pt>
                <c:pt idx="17">
                  <c:v>1.9</c:v>
                </c:pt>
                <c:pt idx="18">
                  <c:v>2.2000000000000002</c:v>
                </c:pt>
                <c:pt idx="19">
                  <c:v>2.2000000000000002</c:v>
                </c:pt>
              </c:numCache>
            </c:numRef>
          </c:val>
          <c:smooth val="0"/>
        </c:ser>
        <c:ser>
          <c:idx val="8"/>
          <c:order val="4"/>
          <c:tx>
            <c:strRef>
              <c:f>Methods!$BM$90</c:f>
              <c:strCache>
                <c:ptCount val="1"/>
                <c:pt idx="0">
                  <c:v>Jumping from a high place</c:v>
                </c:pt>
              </c:strCache>
            </c:strRef>
          </c:tx>
          <c:spPr>
            <a:ln w="22225" cap="rnd">
              <a:solidFill>
                <a:schemeClr val="tx1"/>
              </a:solidFill>
              <a:prstDash val="sysDash"/>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Methods!$BO$90:$CH$90</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9"/>
          <c:order val="5"/>
          <c:tx>
            <c:strRef>
              <c:f>Methods!$BM$91</c:f>
              <c:strCache>
                <c:ptCount val="1"/>
                <c:pt idx="0">
                  <c:v>Submersion (drowning)</c:v>
                </c:pt>
              </c:strCache>
            </c:strRef>
          </c:tx>
          <c:spPr>
            <a:ln w="22225" cap="rnd">
              <a:solidFill>
                <a:srgbClr val="2B8CBE"/>
              </a:solidFill>
              <a:prstDash val="sysDash"/>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Methods!$BO$91:$CH$91</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10"/>
          <c:order val="6"/>
          <c:tx>
            <c:strRef>
              <c:f>Methods!$BM$92</c:f>
              <c:strCache>
                <c:ptCount val="1"/>
                <c:pt idx="0">
                  <c:v>Sharp object</c:v>
                </c:pt>
              </c:strCache>
            </c:strRef>
          </c:tx>
          <c:spPr>
            <a:ln w="22225" cap="rnd">
              <a:solidFill>
                <a:schemeClr val="bg1">
                  <a:lumMod val="50000"/>
                </a:schemeClr>
              </a:solidFill>
              <a:prstDash val="sysDash"/>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Methods!$BO$92:$CH$92</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11"/>
          <c:order val="7"/>
          <c:tx>
            <c:strRef>
              <c:f>Methods!$BM$93</c:f>
              <c:strCache>
                <c:ptCount val="1"/>
                <c:pt idx="0">
                  <c:v>Other</c:v>
                </c:pt>
              </c:strCache>
            </c:strRef>
          </c:tx>
          <c:spPr>
            <a:ln w="22225" cap="rnd">
              <a:solidFill>
                <a:srgbClr val="A7D6E3"/>
              </a:solidFill>
              <a:prstDash val="sysDash"/>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Methods!$BO$93:$CH$93</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dLbls>
          <c:showLegendKey val="0"/>
          <c:showVal val="0"/>
          <c:showCatName val="0"/>
          <c:showSerName val="0"/>
          <c:showPercent val="0"/>
          <c:showBubbleSize val="0"/>
        </c:dLbls>
        <c:smooth val="0"/>
        <c:axId val="772861128"/>
        <c:axId val="772862304"/>
      </c:lineChart>
      <c:catAx>
        <c:axId val="77286112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2862304"/>
        <c:crosses val="autoZero"/>
        <c:auto val="1"/>
        <c:lblAlgn val="ctr"/>
        <c:lblOffset val="100"/>
        <c:tickLblSkip val="3"/>
        <c:noMultiLvlLbl val="0"/>
      </c:catAx>
      <c:valAx>
        <c:axId val="772862304"/>
        <c:scaling>
          <c:orientation val="minMax"/>
          <c:max val="10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2861128"/>
        <c:crossesAt val="1"/>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86385459533609"/>
          <c:y val="0.17579998864861798"/>
          <c:w val="0.82182990397805211"/>
          <c:h val="0.68710483001305411"/>
        </c:manualLayout>
      </c:layout>
      <c:lineChart>
        <c:grouping val="standard"/>
        <c:varyColors val="0"/>
        <c:ser>
          <c:idx val="0"/>
          <c:order val="0"/>
          <c:tx>
            <c:strRef>
              <c:f>Methods!$BM$95</c:f>
              <c:strCache>
                <c:ptCount val="1"/>
                <c:pt idx="0">
                  <c:v>Hanging, strangulation and suffocation</c:v>
                </c:pt>
              </c:strCache>
            </c:strRef>
          </c:tx>
          <c:spPr>
            <a:ln w="22225" cap="rnd">
              <a:solidFill>
                <a:schemeClr val="tx1"/>
              </a:solidFill>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Methods!$BO$95:$CH$95</c:f>
              <c:numCache>
                <c:formatCode>General</c:formatCode>
                <c:ptCount val="20"/>
                <c:pt idx="0">
                  <c:v>30.8</c:v>
                </c:pt>
                <c:pt idx="1">
                  <c:v>12.5</c:v>
                </c:pt>
                <c:pt idx="2">
                  <c:v>25</c:v>
                </c:pt>
                <c:pt idx="3">
                  <c:v>37.5</c:v>
                </c:pt>
                <c:pt idx="4">
                  <c:v>16.7</c:v>
                </c:pt>
                <c:pt idx="5">
                  <c:v>43.8</c:v>
                </c:pt>
                <c:pt idx="6">
                  <c:v>25</c:v>
                </c:pt>
                <c:pt idx="7">
                  <c:v>57.1</c:v>
                </c:pt>
                <c:pt idx="8">
                  <c:v>22.2</c:v>
                </c:pt>
                <c:pt idx="9">
                  <c:v>6.2</c:v>
                </c:pt>
                <c:pt idx="10">
                  <c:v>44.4</c:v>
                </c:pt>
                <c:pt idx="11">
                  <c:v>62.5</c:v>
                </c:pt>
                <c:pt idx="12">
                  <c:v>20</c:v>
                </c:pt>
                <c:pt idx="13">
                  <c:v>30.8</c:v>
                </c:pt>
                <c:pt idx="14">
                  <c:v>42.9</c:v>
                </c:pt>
                <c:pt idx="15">
                  <c:v>42.9</c:v>
                </c:pt>
                <c:pt idx="16">
                  <c:v>42.9</c:v>
                </c:pt>
                <c:pt idx="17">
                  <c:v>25</c:v>
                </c:pt>
                <c:pt idx="18">
                  <c:v>18.2</c:v>
                </c:pt>
                <c:pt idx="19">
                  <c:v>31.2</c:v>
                </c:pt>
              </c:numCache>
            </c:numRef>
          </c:val>
          <c:smooth val="0"/>
        </c:ser>
        <c:ser>
          <c:idx val="5"/>
          <c:order val="1"/>
          <c:tx>
            <c:strRef>
              <c:f>Methods!$BM$96</c:f>
              <c:strCache>
                <c:ptCount val="1"/>
                <c:pt idx="0">
                  <c:v>Poisoning by gases and vapours</c:v>
                </c:pt>
              </c:strCache>
            </c:strRef>
          </c:tx>
          <c:spPr>
            <a:ln w="22225" cap="rnd">
              <a:solidFill>
                <a:schemeClr val="bg1">
                  <a:lumMod val="50000"/>
                </a:schemeClr>
              </a:solidFill>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Methods!$BO$96:$CH$96</c:f>
              <c:numCache>
                <c:formatCode>General</c:formatCode>
                <c:ptCount val="20"/>
                <c:pt idx="0">
                  <c:v>15.4</c:v>
                </c:pt>
                <c:pt idx="1">
                  <c:v>0</c:v>
                </c:pt>
                <c:pt idx="2">
                  <c:v>37.5</c:v>
                </c:pt>
                <c:pt idx="3">
                  <c:v>12.5</c:v>
                </c:pt>
                <c:pt idx="4">
                  <c:v>16.7</c:v>
                </c:pt>
                <c:pt idx="5">
                  <c:v>0</c:v>
                </c:pt>
                <c:pt idx="6">
                  <c:v>16.7</c:v>
                </c:pt>
                <c:pt idx="7">
                  <c:v>14.3</c:v>
                </c:pt>
                <c:pt idx="8">
                  <c:v>11.1</c:v>
                </c:pt>
                <c:pt idx="9">
                  <c:v>18.8</c:v>
                </c:pt>
                <c:pt idx="10">
                  <c:v>16.7</c:v>
                </c:pt>
                <c:pt idx="11">
                  <c:v>12.5</c:v>
                </c:pt>
                <c:pt idx="12">
                  <c:v>0</c:v>
                </c:pt>
                <c:pt idx="13">
                  <c:v>30.8</c:v>
                </c:pt>
                <c:pt idx="14">
                  <c:v>7.1</c:v>
                </c:pt>
                <c:pt idx="15">
                  <c:v>0</c:v>
                </c:pt>
                <c:pt idx="16">
                  <c:v>7.1</c:v>
                </c:pt>
                <c:pt idx="17">
                  <c:v>0</c:v>
                </c:pt>
                <c:pt idx="18">
                  <c:v>0</c:v>
                </c:pt>
                <c:pt idx="19">
                  <c:v>12.5</c:v>
                </c:pt>
              </c:numCache>
            </c:numRef>
          </c:val>
          <c:smooth val="0"/>
        </c:ser>
        <c:ser>
          <c:idx val="6"/>
          <c:order val="2"/>
          <c:tx>
            <c:strRef>
              <c:f>Methods!$BM$97</c:f>
              <c:strCache>
                <c:ptCount val="1"/>
                <c:pt idx="0">
                  <c:v>Poisoning by solids and liquids</c:v>
                </c:pt>
              </c:strCache>
            </c:strRef>
          </c:tx>
          <c:spPr>
            <a:ln w="22225" cap="rnd">
              <a:solidFill>
                <a:srgbClr val="4BACC6"/>
              </a:solidFill>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Methods!$BO$97:$CH$97</c:f>
              <c:numCache>
                <c:formatCode>General</c:formatCode>
                <c:ptCount val="20"/>
                <c:pt idx="0">
                  <c:v>38.5</c:v>
                </c:pt>
                <c:pt idx="1">
                  <c:v>50</c:v>
                </c:pt>
                <c:pt idx="2">
                  <c:v>18.8</c:v>
                </c:pt>
                <c:pt idx="3">
                  <c:v>25</c:v>
                </c:pt>
                <c:pt idx="4">
                  <c:v>50</c:v>
                </c:pt>
                <c:pt idx="5">
                  <c:v>37.5</c:v>
                </c:pt>
                <c:pt idx="6">
                  <c:v>25</c:v>
                </c:pt>
                <c:pt idx="7">
                  <c:v>14.3</c:v>
                </c:pt>
                <c:pt idx="8">
                  <c:v>55.6</c:v>
                </c:pt>
                <c:pt idx="9">
                  <c:v>25</c:v>
                </c:pt>
                <c:pt idx="10">
                  <c:v>16.7</c:v>
                </c:pt>
                <c:pt idx="11">
                  <c:v>12.5</c:v>
                </c:pt>
                <c:pt idx="12">
                  <c:v>53.3</c:v>
                </c:pt>
                <c:pt idx="13">
                  <c:v>30.8</c:v>
                </c:pt>
                <c:pt idx="14">
                  <c:v>42.9</c:v>
                </c:pt>
                <c:pt idx="15">
                  <c:v>42.9</c:v>
                </c:pt>
                <c:pt idx="16">
                  <c:v>35.700000000000003</c:v>
                </c:pt>
                <c:pt idx="17">
                  <c:v>75</c:v>
                </c:pt>
                <c:pt idx="18">
                  <c:v>63.6</c:v>
                </c:pt>
                <c:pt idx="19">
                  <c:v>37.5</c:v>
                </c:pt>
              </c:numCache>
            </c:numRef>
          </c:val>
          <c:smooth val="0"/>
        </c:ser>
        <c:ser>
          <c:idx val="1"/>
          <c:order val="3"/>
          <c:tx>
            <c:strRef>
              <c:f>Methods!$BM$98</c:f>
              <c:strCache>
                <c:ptCount val="1"/>
                <c:pt idx="0">
                  <c:v>Firearms and explosives</c:v>
                </c:pt>
              </c:strCache>
            </c:strRef>
          </c:tx>
          <c:spPr>
            <a:ln w="22225" cap="rnd">
              <a:solidFill>
                <a:srgbClr val="A7D6E3"/>
              </a:solidFill>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Methods!$BO$98:$CH$98</c:f>
              <c:numCache>
                <c:formatCode>General</c:formatCode>
                <c:ptCount val="20"/>
                <c:pt idx="0">
                  <c:v>0</c:v>
                </c:pt>
                <c:pt idx="1">
                  <c:v>0</c:v>
                </c:pt>
                <c:pt idx="2">
                  <c:v>0</c:v>
                </c:pt>
                <c:pt idx="3">
                  <c:v>6.2</c:v>
                </c:pt>
                <c:pt idx="4">
                  <c:v>0</c:v>
                </c:pt>
                <c:pt idx="5">
                  <c:v>0</c:v>
                </c:pt>
                <c:pt idx="6">
                  <c:v>0</c:v>
                </c:pt>
                <c:pt idx="7">
                  <c:v>9.5</c:v>
                </c:pt>
                <c:pt idx="8">
                  <c:v>0</c:v>
                </c:pt>
                <c:pt idx="9">
                  <c:v>6.2</c:v>
                </c:pt>
                <c:pt idx="10">
                  <c:v>0</c:v>
                </c:pt>
                <c:pt idx="11">
                  <c:v>0</c:v>
                </c:pt>
                <c:pt idx="12">
                  <c:v>0</c:v>
                </c:pt>
                <c:pt idx="13">
                  <c:v>0</c:v>
                </c:pt>
                <c:pt idx="14">
                  <c:v>0</c:v>
                </c:pt>
                <c:pt idx="15">
                  <c:v>0</c:v>
                </c:pt>
                <c:pt idx="16">
                  <c:v>0</c:v>
                </c:pt>
                <c:pt idx="17">
                  <c:v>0</c:v>
                </c:pt>
                <c:pt idx="18">
                  <c:v>0</c:v>
                </c:pt>
                <c:pt idx="19">
                  <c:v>0</c:v>
                </c:pt>
              </c:numCache>
            </c:numRef>
          </c:val>
          <c:smooth val="0"/>
        </c:ser>
        <c:ser>
          <c:idx val="8"/>
          <c:order val="4"/>
          <c:tx>
            <c:strRef>
              <c:f>Methods!$BM$99</c:f>
              <c:strCache>
                <c:ptCount val="1"/>
                <c:pt idx="0">
                  <c:v>Jumping from a high place</c:v>
                </c:pt>
              </c:strCache>
            </c:strRef>
          </c:tx>
          <c:spPr>
            <a:ln w="22225" cap="rnd">
              <a:solidFill>
                <a:schemeClr val="tx1"/>
              </a:solidFill>
              <a:prstDash val="sysDash"/>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Methods!$BO$99:$CH$99</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9"/>
          <c:order val="5"/>
          <c:tx>
            <c:strRef>
              <c:f>Methods!$BM$100</c:f>
              <c:strCache>
                <c:ptCount val="1"/>
                <c:pt idx="0">
                  <c:v>Submersion (drowning)</c:v>
                </c:pt>
              </c:strCache>
            </c:strRef>
          </c:tx>
          <c:spPr>
            <a:ln w="22225" cap="rnd">
              <a:solidFill>
                <a:srgbClr val="2B8CBE"/>
              </a:solidFill>
              <a:prstDash val="sysDash"/>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Methods!$BO$100:$CH$100</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10"/>
          <c:order val="6"/>
          <c:tx>
            <c:strRef>
              <c:f>Methods!$BM$101</c:f>
              <c:strCache>
                <c:ptCount val="1"/>
                <c:pt idx="0">
                  <c:v>Sharp object</c:v>
                </c:pt>
              </c:strCache>
            </c:strRef>
          </c:tx>
          <c:spPr>
            <a:ln w="22225" cap="rnd">
              <a:solidFill>
                <a:schemeClr val="bg1">
                  <a:lumMod val="50000"/>
                </a:schemeClr>
              </a:solidFill>
              <a:prstDash val="sysDash"/>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Methods!$BO$101:$CH$101</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11"/>
          <c:order val="7"/>
          <c:tx>
            <c:strRef>
              <c:f>Methods!$BM$102</c:f>
              <c:strCache>
                <c:ptCount val="1"/>
                <c:pt idx="0">
                  <c:v>Other</c:v>
                </c:pt>
              </c:strCache>
            </c:strRef>
          </c:tx>
          <c:spPr>
            <a:ln w="22225" cap="rnd">
              <a:solidFill>
                <a:srgbClr val="A7D6E3"/>
              </a:solidFill>
              <a:prstDash val="sysDash"/>
              <a:round/>
            </a:ln>
            <a:effectLst/>
          </c:spPr>
          <c:marker>
            <c:symbol val="none"/>
          </c:marker>
          <c:cat>
            <c:numRef>
              <c:f>Methods!$BO$22:$CH$22</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Methods!$BO$102:$CH$102</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dLbls>
          <c:showLegendKey val="0"/>
          <c:showVal val="0"/>
          <c:showCatName val="0"/>
          <c:showSerName val="0"/>
          <c:showPercent val="0"/>
          <c:showBubbleSize val="0"/>
        </c:dLbls>
        <c:smooth val="0"/>
        <c:axId val="769924448"/>
        <c:axId val="769919352"/>
      </c:lineChart>
      <c:catAx>
        <c:axId val="7699244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9919352"/>
        <c:crosses val="autoZero"/>
        <c:auto val="1"/>
        <c:lblAlgn val="ctr"/>
        <c:lblOffset val="100"/>
        <c:tickLblSkip val="3"/>
        <c:noMultiLvlLbl val="0"/>
      </c:catAx>
      <c:valAx>
        <c:axId val="769919352"/>
        <c:scaling>
          <c:orientation val="minMax"/>
          <c:max val="10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9924448"/>
        <c:crossesAt val="1"/>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54107202849661"/>
          <c:y val="0.17034979718444285"/>
          <c:w val="0.85982915265565274"/>
          <c:h val="0.68359102839417796"/>
        </c:manualLayout>
      </c:layout>
      <c:lineChart>
        <c:grouping val="standard"/>
        <c:varyColors val="0"/>
        <c:ser>
          <c:idx val="0"/>
          <c:order val="0"/>
          <c:tx>
            <c:strRef>
              <c:f>'Quick facts'!$T$38</c:f>
              <c:strCache>
                <c:ptCount val="1"/>
                <c:pt idx="0">
                  <c:v>Male</c:v>
                </c:pt>
              </c:strCache>
            </c:strRef>
          </c:tx>
          <c:spPr>
            <a:ln w="22225" cap="rnd">
              <a:solidFill>
                <a:schemeClr val="bg1">
                  <a:lumMod val="50000"/>
                </a:schemeClr>
              </a:solidFill>
              <a:round/>
            </a:ln>
            <a:effectLst/>
          </c:spPr>
          <c:marker>
            <c:symbol val="none"/>
          </c:marker>
          <c:cat>
            <c:numRef>
              <c:f>'Quick facts'!$X$31:$AQ$31</c:f>
              <c:numCache>
                <c:formatCode>0</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'Quick facts'!$X$38:$AQ$38</c:f>
              <c:numCache>
                <c:formatCode>0.0</c:formatCode>
                <c:ptCount val="20"/>
                <c:pt idx="0">
                  <c:v>22.945293453419598</c:v>
                </c:pt>
                <c:pt idx="1">
                  <c:v>23.553351547621599</c:v>
                </c:pt>
                <c:pt idx="2">
                  <c:v>23.645478379784802</c:v>
                </c:pt>
                <c:pt idx="3">
                  <c:v>20.3315431402172</c:v>
                </c:pt>
                <c:pt idx="4">
                  <c:v>19.947436156558702</c:v>
                </c:pt>
                <c:pt idx="5">
                  <c:v>20.356398349177098</c:v>
                </c:pt>
                <c:pt idx="6">
                  <c:v>18.167720892576899</c:v>
                </c:pt>
                <c:pt idx="7">
                  <c:v>18.574084657112099</c:v>
                </c:pt>
                <c:pt idx="8">
                  <c:v>18.725315817265901</c:v>
                </c:pt>
                <c:pt idx="9">
                  <c:v>18.722380905625801</c:v>
                </c:pt>
                <c:pt idx="10">
                  <c:v>18.521171460464299</c:v>
                </c:pt>
                <c:pt idx="11">
                  <c:v>17.981880281474702</c:v>
                </c:pt>
                <c:pt idx="12">
                  <c:v>17.700121249097698</c:v>
                </c:pt>
                <c:pt idx="13">
                  <c:v>18.249471294450601</c:v>
                </c:pt>
                <c:pt idx="14">
                  <c:v>17.638688314312301</c:v>
                </c:pt>
                <c:pt idx="15">
                  <c:v>17.402217133944198</c:v>
                </c:pt>
                <c:pt idx="16">
                  <c:v>18.616289554563799</c:v>
                </c:pt>
                <c:pt idx="17">
                  <c:v>15.948704143969101</c:v>
                </c:pt>
                <c:pt idx="18">
                  <c:v>16.462028222989101</c:v>
                </c:pt>
                <c:pt idx="19">
                  <c:v>16.341274903858402</c:v>
                </c:pt>
              </c:numCache>
            </c:numRef>
          </c:val>
          <c:smooth val="0"/>
        </c:ser>
        <c:ser>
          <c:idx val="1"/>
          <c:order val="1"/>
          <c:tx>
            <c:strRef>
              <c:f>'Quick facts'!$T$39</c:f>
              <c:strCache>
                <c:ptCount val="1"/>
                <c:pt idx="0">
                  <c:v>Female</c:v>
                </c:pt>
              </c:strCache>
            </c:strRef>
          </c:tx>
          <c:spPr>
            <a:ln w="22225" cap="rnd">
              <a:solidFill>
                <a:schemeClr val="accent1"/>
              </a:solidFill>
              <a:round/>
            </a:ln>
            <a:effectLst/>
          </c:spPr>
          <c:marker>
            <c:symbol val="none"/>
          </c:marker>
          <c:cat>
            <c:numRef>
              <c:f>'Quick facts'!$X$31:$AQ$31</c:f>
              <c:numCache>
                <c:formatCode>0</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'Quick facts'!$X$39:$AQ$39</c:f>
              <c:numCache>
                <c:formatCode>0.0</c:formatCode>
                <c:ptCount val="20"/>
                <c:pt idx="0">
                  <c:v>5.8886653384406102</c:v>
                </c:pt>
                <c:pt idx="1">
                  <c:v>6.2967087648044799</c:v>
                </c:pt>
                <c:pt idx="2">
                  <c:v>6.7999900162587199</c:v>
                </c:pt>
                <c:pt idx="3">
                  <c:v>6.7167156494892</c:v>
                </c:pt>
                <c:pt idx="4">
                  <c:v>4.1665204234231998</c:v>
                </c:pt>
                <c:pt idx="5">
                  <c:v>5.8286706673737303</c:v>
                </c:pt>
                <c:pt idx="6">
                  <c:v>5.6012768971608997</c:v>
                </c:pt>
                <c:pt idx="7">
                  <c:v>6.6355676799870498</c:v>
                </c:pt>
                <c:pt idx="8">
                  <c:v>5.3216551470799702</c:v>
                </c:pt>
                <c:pt idx="9">
                  <c:v>5.9861646575977696</c:v>
                </c:pt>
                <c:pt idx="10">
                  <c:v>6.2050827070238999</c:v>
                </c:pt>
                <c:pt idx="11">
                  <c:v>5.16144825407138</c:v>
                </c:pt>
                <c:pt idx="12">
                  <c:v>6.26512973729122</c:v>
                </c:pt>
                <c:pt idx="13">
                  <c:v>5.08858477285475</c:v>
                </c:pt>
                <c:pt idx="14">
                  <c:v>6.5442717734968303</c:v>
                </c:pt>
                <c:pt idx="15">
                  <c:v>5.1499552709199499</c:v>
                </c:pt>
                <c:pt idx="16">
                  <c:v>6.37288192291782</c:v>
                </c:pt>
                <c:pt idx="17">
                  <c:v>6.4674511523826501</c:v>
                </c:pt>
                <c:pt idx="18">
                  <c:v>5.4320300052619803</c:v>
                </c:pt>
                <c:pt idx="19">
                  <c:v>5.9998856620394596</c:v>
                </c:pt>
              </c:numCache>
            </c:numRef>
          </c:val>
          <c:smooth val="0"/>
        </c:ser>
        <c:dLbls>
          <c:showLegendKey val="0"/>
          <c:showVal val="0"/>
          <c:showCatName val="0"/>
          <c:showSerName val="0"/>
          <c:showPercent val="0"/>
          <c:showBubbleSize val="0"/>
        </c:dLbls>
        <c:smooth val="0"/>
        <c:axId val="777966048"/>
        <c:axId val="777968008"/>
      </c:lineChart>
      <c:catAx>
        <c:axId val="777966048"/>
        <c:scaling>
          <c:orientation val="minMax"/>
        </c:scaling>
        <c:delete val="0"/>
        <c:axPos val="b"/>
        <c:numFmt formatCode="0"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7968008"/>
        <c:crosses val="autoZero"/>
        <c:auto val="1"/>
        <c:lblAlgn val="ctr"/>
        <c:lblOffset val="100"/>
        <c:tickLblSkip val="2"/>
        <c:noMultiLvlLbl val="0"/>
      </c:catAx>
      <c:valAx>
        <c:axId val="777968008"/>
        <c:scaling>
          <c:orientation val="minMax"/>
          <c:max val="5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7966048"/>
        <c:crosses val="autoZero"/>
        <c:crossBetween val="between"/>
        <c:majorUnit val="10"/>
      </c:valAx>
      <c:spPr>
        <a:noFill/>
        <a:ln>
          <a:noFill/>
        </a:ln>
        <a:effectLst/>
      </c:spPr>
    </c:plotArea>
    <c:legend>
      <c:legendPos val="t"/>
      <c:layout>
        <c:manualLayout>
          <c:xMode val="edge"/>
          <c:yMode val="edge"/>
          <c:x val="0.74889922246293694"/>
          <c:y val="2.8691557096032848E-2"/>
          <c:w val="0.24659496280953064"/>
          <c:h val="0.1673148883912446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Northland </a:t>
            </a:r>
          </a:p>
        </c:rich>
      </c:tx>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v>DHB rate</c:v>
          </c:tx>
          <c:spPr>
            <a:solidFill>
              <a:srgbClr val="4BACC6"/>
            </a:solidFill>
            <a:ln>
              <a:noFill/>
            </a:ln>
            <a:effectLst/>
          </c:spPr>
          <c:invertIfNegative val="0"/>
          <c:errBars>
            <c:errBarType val="both"/>
            <c:errValType val="cust"/>
            <c:noEndCap val="0"/>
            <c:plus>
              <c:numRef>
                <c:f>'DHB region'!$BB$32:$BD$32</c:f>
                <c:numCache>
                  <c:formatCode>General</c:formatCode>
                  <c:ptCount val="3"/>
                  <c:pt idx="0">
                    <c:v>3.5</c:v>
                  </c:pt>
                  <c:pt idx="1">
                    <c:v>3.6</c:v>
                  </c:pt>
                  <c:pt idx="2">
                    <c:v>3.5</c:v>
                  </c:pt>
                </c:numCache>
              </c:numRef>
            </c:plus>
            <c:minus>
              <c:numRef>
                <c:f>'DHB region'!$BB$32:$BD$32</c:f>
                <c:numCache>
                  <c:formatCode>General</c:formatCode>
                  <c:ptCount val="3"/>
                  <c:pt idx="0">
                    <c:v>3.5</c:v>
                  </c:pt>
                  <c:pt idx="1">
                    <c:v>3.6</c:v>
                  </c:pt>
                  <c:pt idx="2">
                    <c:v>3.5</c:v>
                  </c:pt>
                </c:numCache>
              </c:numRef>
            </c:minus>
            <c:spPr>
              <a:noFill/>
              <a:ln w="9525" cap="flat" cmpd="sng" algn="ctr">
                <a:solidFill>
                  <a:schemeClr val="tx1">
                    <a:lumMod val="65000"/>
                    <a:lumOff val="35000"/>
                  </a:schemeClr>
                </a:solidFill>
                <a:round/>
              </a:ln>
              <a:effectLst/>
            </c:spPr>
          </c:errBars>
          <c:cat>
            <c:strRef>
              <c:f>'DHB region'!$Z$12:$AB$12</c:f>
              <c:strCache>
                <c:ptCount val="3"/>
                <c:pt idx="0">
                  <c:v>2001-05</c:v>
                </c:pt>
                <c:pt idx="1">
                  <c:v>2006-10</c:v>
                </c:pt>
                <c:pt idx="2">
                  <c:v>2011-15</c:v>
                </c:pt>
              </c:strCache>
            </c:strRef>
          </c:cat>
          <c:val>
            <c:numRef>
              <c:f>'DHB region'!$Z$38:$AB$38</c:f>
              <c:numCache>
                <c:formatCode>0.0</c:formatCode>
                <c:ptCount val="3"/>
                <c:pt idx="0">
                  <c:v>14.919518129217</c:v>
                </c:pt>
                <c:pt idx="1">
                  <c:v>14.054859137952</c:v>
                </c:pt>
                <c:pt idx="2">
                  <c:v>14.2876236280438</c:v>
                </c:pt>
              </c:numCache>
            </c:numRef>
          </c:val>
        </c:ser>
        <c:dLbls>
          <c:showLegendKey val="0"/>
          <c:showVal val="0"/>
          <c:showCatName val="0"/>
          <c:showSerName val="0"/>
          <c:showPercent val="0"/>
          <c:showBubbleSize val="0"/>
        </c:dLbls>
        <c:gapWidth val="40"/>
        <c:axId val="769918960"/>
        <c:axId val="769921312"/>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dPt>
          <c:val>
            <c:numRef>
              <c:f>'DHB region'!$Z$37:$AB$37</c:f>
              <c:numCache>
                <c:formatCode>0.0</c:formatCode>
                <c:ptCount val="3"/>
                <c:pt idx="0">
                  <c:v>12.20108133911698</c:v>
                </c:pt>
                <c:pt idx="1">
                  <c:v>11.755657480827461</c:v>
                </c:pt>
                <c:pt idx="2">
                  <c:v>11.261699848804099</c:v>
                </c:pt>
              </c:numCache>
            </c:numRef>
          </c:val>
          <c:smooth val="0"/>
        </c:ser>
        <c:dLbls>
          <c:showLegendKey val="0"/>
          <c:showVal val="0"/>
          <c:showCatName val="0"/>
          <c:showSerName val="0"/>
          <c:showPercent val="0"/>
          <c:showBubbleSize val="0"/>
        </c:dLbls>
        <c:marker val="1"/>
        <c:smooth val="0"/>
        <c:axId val="769929152"/>
        <c:axId val="769922880"/>
      </c:lineChart>
      <c:catAx>
        <c:axId val="76991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9921312"/>
        <c:crosses val="autoZero"/>
        <c:auto val="1"/>
        <c:lblAlgn val="ctr"/>
        <c:lblOffset val="100"/>
        <c:noMultiLvlLbl val="0"/>
      </c:catAx>
      <c:valAx>
        <c:axId val="769921312"/>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9918960"/>
        <c:crosses val="autoZero"/>
        <c:crossBetween val="between"/>
      </c:valAx>
      <c:valAx>
        <c:axId val="769922880"/>
        <c:scaling>
          <c:orientation val="minMax"/>
          <c:max val="20"/>
        </c:scaling>
        <c:delete val="1"/>
        <c:axPos val="r"/>
        <c:numFmt formatCode="0.0" sourceLinked="1"/>
        <c:majorTickMark val="out"/>
        <c:minorTickMark val="none"/>
        <c:tickLblPos val="nextTo"/>
        <c:crossAx val="769929152"/>
        <c:crosses val="max"/>
        <c:crossBetween val="between"/>
      </c:valAx>
      <c:catAx>
        <c:axId val="769929152"/>
        <c:scaling>
          <c:orientation val="minMax"/>
        </c:scaling>
        <c:delete val="1"/>
        <c:axPos val="b"/>
        <c:majorTickMark val="out"/>
        <c:minorTickMark val="none"/>
        <c:tickLblPos val="nextTo"/>
        <c:crossAx val="769922880"/>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Waitemata</a:t>
            </a:r>
          </a:p>
        </c:rich>
      </c:tx>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region'!$X$39</c:f>
              <c:strCache>
                <c:ptCount val="1"/>
                <c:pt idx="0">
                  <c:v>Waitemata</c:v>
                </c:pt>
              </c:strCache>
            </c:strRef>
          </c:tx>
          <c:spPr>
            <a:solidFill>
              <a:srgbClr val="4BACC6"/>
            </a:solidFill>
            <a:ln>
              <a:noFill/>
            </a:ln>
            <a:effectLst/>
          </c:spPr>
          <c:invertIfNegative val="0"/>
          <c:errBars>
            <c:errBarType val="both"/>
            <c:errValType val="cust"/>
            <c:noEndCap val="0"/>
            <c:plus>
              <c:numRef>
                <c:f>'DHB region'!$BB$33:$BD$33</c:f>
                <c:numCache>
                  <c:formatCode>General</c:formatCode>
                  <c:ptCount val="3"/>
                  <c:pt idx="0">
                    <c:v>1.4</c:v>
                  </c:pt>
                  <c:pt idx="1">
                    <c:v>1.5</c:v>
                  </c:pt>
                  <c:pt idx="2">
                    <c:v>1.4</c:v>
                  </c:pt>
                </c:numCache>
              </c:numRef>
            </c:plus>
            <c:minus>
              <c:numRef>
                <c:f>'DHB region'!$BB$33:$BD$33</c:f>
                <c:numCache>
                  <c:formatCode>General</c:formatCode>
                  <c:ptCount val="3"/>
                  <c:pt idx="0">
                    <c:v>1.4</c:v>
                  </c:pt>
                  <c:pt idx="1">
                    <c:v>1.5</c:v>
                  </c:pt>
                  <c:pt idx="2">
                    <c:v>1.4</c:v>
                  </c:pt>
                </c:numCache>
              </c:numRef>
            </c:minus>
            <c:spPr>
              <a:noFill/>
              <a:ln w="9525" cap="flat" cmpd="sng" algn="ctr">
                <a:solidFill>
                  <a:schemeClr val="tx1">
                    <a:lumMod val="65000"/>
                    <a:lumOff val="35000"/>
                  </a:schemeClr>
                </a:solidFill>
                <a:round/>
              </a:ln>
              <a:effectLst/>
            </c:spPr>
          </c:errBars>
          <c:cat>
            <c:strRef>
              <c:f>'DHB region'!$Z$12:$AB$12</c:f>
              <c:strCache>
                <c:ptCount val="3"/>
                <c:pt idx="0">
                  <c:v>2001-05</c:v>
                </c:pt>
                <c:pt idx="1">
                  <c:v>2006-10</c:v>
                </c:pt>
                <c:pt idx="2">
                  <c:v>2011-15</c:v>
                </c:pt>
              </c:strCache>
            </c:strRef>
          </c:cat>
          <c:val>
            <c:numRef>
              <c:f>'DHB region'!$Z$39:$AB$39</c:f>
              <c:numCache>
                <c:formatCode>0.0</c:formatCode>
                <c:ptCount val="3"/>
                <c:pt idx="0">
                  <c:v>10.5977861910792</c:v>
                </c:pt>
                <c:pt idx="1">
                  <c:v>9.4574954369590092</c:v>
                </c:pt>
                <c:pt idx="2">
                  <c:v>8.9332387238291204</c:v>
                </c:pt>
              </c:numCache>
            </c:numRef>
          </c:val>
        </c:ser>
        <c:dLbls>
          <c:showLegendKey val="0"/>
          <c:showVal val="0"/>
          <c:showCatName val="0"/>
          <c:showSerName val="0"/>
          <c:showPercent val="0"/>
          <c:showBubbleSize val="0"/>
        </c:dLbls>
        <c:gapWidth val="40"/>
        <c:axId val="769920136"/>
        <c:axId val="769918176"/>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dPt>
          <c:val>
            <c:numRef>
              <c:f>'DHB region'!$Z$37:$AB$37</c:f>
              <c:numCache>
                <c:formatCode>0.0</c:formatCode>
                <c:ptCount val="3"/>
                <c:pt idx="0">
                  <c:v>12.20108133911698</c:v>
                </c:pt>
                <c:pt idx="1">
                  <c:v>11.755657480827461</c:v>
                </c:pt>
                <c:pt idx="2">
                  <c:v>11.261699848804099</c:v>
                </c:pt>
              </c:numCache>
            </c:numRef>
          </c:val>
          <c:smooth val="0"/>
        </c:ser>
        <c:dLbls>
          <c:showLegendKey val="0"/>
          <c:showVal val="0"/>
          <c:showCatName val="0"/>
          <c:showSerName val="0"/>
          <c:showPercent val="0"/>
          <c:showBubbleSize val="0"/>
        </c:dLbls>
        <c:marker val="1"/>
        <c:smooth val="0"/>
        <c:axId val="769928760"/>
        <c:axId val="769923664"/>
      </c:lineChart>
      <c:catAx>
        <c:axId val="769920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9918176"/>
        <c:crosses val="autoZero"/>
        <c:auto val="1"/>
        <c:lblAlgn val="ctr"/>
        <c:lblOffset val="100"/>
        <c:noMultiLvlLbl val="0"/>
      </c:catAx>
      <c:valAx>
        <c:axId val="769918176"/>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9920136"/>
        <c:crosses val="autoZero"/>
        <c:crossBetween val="between"/>
      </c:valAx>
      <c:valAx>
        <c:axId val="769923664"/>
        <c:scaling>
          <c:orientation val="minMax"/>
          <c:max val="20"/>
        </c:scaling>
        <c:delete val="1"/>
        <c:axPos val="r"/>
        <c:numFmt formatCode="0.0" sourceLinked="1"/>
        <c:majorTickMark val="out"/>
        <c:minorTickMark val="none"/>
        <c:tickLblPos val="nextTo"/>
        <c:crossAx val="769928760"/>
        <c:crosses val="max"/>
        <c:crossBetween val="between"/>
      </c:valAx>
      <c:catAx>
        <c:axId val="769928760"/>
        <c:scaling>
          <c:orientation val="minMax"/>
        </c:scaling>
        <c:delete val="1"/>
        <c:axPos val="b"/>
        <c:majorTickMark val="out"/>
        <c:minorTickMark val="none"/>
        <c:tickLblPos val="nextTo"/>
        <c:crossAx val="769923664"/>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Auckland</a:t>
            </a:r>
          </a:p>
        </c:rich>
      </c:tx>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v>DHB rate</c:v>
          </c:tx>
          <c:spPr>
            <a:solidFill>
              <a:srgbClr val="4BACC6"/>
            </a:solidFill>
            <a:ln>
              <a:noFill/>
            </a:ln>
            <a:effectLst/>
          </c:spPr>
          <c:invertIfNegative val="0"/>
          <c:errBars>
            <c:errBarType val="both"/>
            <c:errValType val="cust"/>
            <c:noEndCap val="0"/>
            <c:plus>
              <c:numRef>
                <c:f>'DHB region'!$BB$34:$BD$34</c:f>
                <c:numCache>
                  <c:formatCode>General</c:formatCode>
                  <c:ptCount val="3"/>
                  <c:pt idx="0">
                    <c:v>1.4</c:v>
                  </c:pt>
                  <c:pt idx="1">
                    <c:v>1.6</c:v>
                  </c:pt>
                  <c:pt idx="2">
                    <c:v>1.4</c:v>
                  </c:pt>
                </c:numCache>
              </c:numRef>
            </c:plus>
            <c:minus>
              <c:numRef>
                <c:f>'DHB region'!$BB$34:$BD$34</c:f>
                <c:numCache>
                  <c:formatCode>General</c:formatCode>
                  <c:ptCount val="3"/>
                  <c:pt idx="0">
                    <c:v>1.4</c:v>
                  </c:pt>
                  <c:pt idx="1">
                    <c:v>1.6</c:v>
                  </c:pt>
                  <c:pt idx="2">
                    <c:v>1.4</c:v>
                  </c:pt>
                </c:numCache>
              </c:numRef>
            </c:minus>
            <c:spPr>
              <a:noFill/>
              <a:ln w="9525" cap="flat" cmpd="sng" algn="ctr">
                <a:solidFill>
                  <a:schemeClr val="tx1">
                    <a:lumMod val="65000"/>
                    <a:lumOff val="35000"/>
                  </a:schemeClr>
                </a:solidFill>
                <a:round/>
              </a:ln>
              <a:effectLst/>
            </c:spPr>
          </c:errBars>
          <c:cat>
            <c:strRef>
              <c:f>'DHB region'!$Z$12:$AB$12</c:f>
              <c:strCache>
                <c:ptCount val="3"/>
                <c:pt idx="0">
                  <c:v>2001-05</c:v>
                </c:pt>
                <c:pt idx="1">
                  <c:v>2006-10</c:v>
                </c:pt>
                <c:pt idx="2">
                  <c:v>2011-15</c:v>
                </c:pt>
              </c:strCache>
            </c:strRef>
          </c:cat>
          <c:val>
            <c:numRef>
              <c:f>'DHB region'!$Z$40:$AB$40</c:f>
              <c:numCache>
                <c:formatCode>0.0</c:formatCode>
                <c:ptCount val="3"/>
                <c:pt idx="0">
                  <c:v>8.6779080704235891</c:v>
                </c:pt>
                <c:pt idx="1">
                  <c:v>9.6919797098898304</c:v>
                </c:pt>
                <c:pt idx="2">
                  <c:v>7.9373581538264499</c:v>
                </c:pt>
              </c:numCache>
            </c:numRef>
          </c:val>
        </c:ser>
        <c:dLbls>
          <c:showLegendKey val="0"/>
          <c:showVal val="0"/>
          <c:showCatName val="0"/>
          <c:showSerName val="0"/>
          <c:showPercent val="0"/>
          <c:showBubbleSize val="0"/>
        </c:dLbls>
        <c:gapWidth val="40"/>
        <c:axId val="769927976"/>
        <c:axId val="769922488"/>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dPt>
          <c:val>
            <c:numRef>
              <c:f>'DHB region'!$Z$37:$AB$37</c:f>
              <c:numCache>
                <c:formatCode>0.0</c:formatCode>
                <c:ptCount val="3"/>
                <c:pt idx="0">
                  <c:v>12.20108133911698</c:v>
                </c:pt>
                <c:pt idx="1">
                  <c:v>11.755657480827461</c:v>
                </c:pt>
                <c:pt idx="2">
                  <c:v>11.261699848804099</c:v>
                </c:pt>
              </c:numCache>
            </c:numRef>
          </c:val>
          <c:smooth val="0"/>
        </c:ser>
        <c:dLbls>
          <c:showLegendKey val="0"/>
          <c:showVal val="0"/>
          <c:showCatName val="0"/>
          <c:showSerName val="0"/>
          <c:showPercent val="0"/>
          <c:showBubbleSize val="0"/>
        </c:dLbls>
        <c:marker val="1"/>
        <c:smooth val="0"/>
        <c:axId val="769925624"/>
        <c:axId val="769925232"/>
      </c:lineChart>
      <c:catAx>
        <c:axId val="769927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9922488"/>
        <c:crosses val="autoZero"/>
        <c:auto val="1"/>
        <c:lblAlgn val="ctr"/>
        <c:lblOffset val="100"/>
        <c:noMultiLvlLbl val="0"/>
      </c:catAx>
      <c:valAx>
        <c:axId val="769922488"/>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9927976"/>
        <c:crosses val="autoZero"/>
        <c:crossBetween val="between"/>
      </c:valAx>
      <c:valAx>
        <c:axId val="769925232"/>
        <c:scaling>
          <c:orientation val="minMax"/>
          <c:max val="20"/>
        </c:scaling>
        <c:delete val="1"/>
        <c:axPos val="r"/>
        <c:numFmt formatCode="0.0" sourceLinked="1"/>
        <c:majorTickMark val="out"/>
        <c:minorTickMark val="none"/>
        <c:tickLblPos val="nextTo"/>
        <c:crossAx val="769925624"/>
        <c:crosses val="max"/>
        <c:crossBetween val="between"/>
      </c:valAx>
      <c:catAx>
        <c:axId val="769925624"/>
        <c:scaling>
          <c:orientation val="minMax"/>
        </c:scaling>
        <c:delete val="1"/>
        <c:axPos val="b"/>
        <c:majorTickMark val="out"/>
        <c:minorTickMark val="none"/>
        <c:tickLblPos val="nextTo"/>
        <c:crossAx val="76992523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Counties Manukau</a:t>
            </a:r>
          </a:p>
        </c:rich>
      </c:tx>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region'!$X$41</c:f>
              <c:strCache>
                <c:ptCount val="1"/>
                <c:pt idx="0">
                  <c:v>Counties Manukau</c:v>
                </c:pt>
              </c:strCache>
            </c:strRef>
          </c:tx>
          <c:spPr>
            <a:solidFill>
              <a:srgbClr val="4BACC6"/>
            </a:solidFill>
            <a:ln>
              <a:noFill/>
            </a:ln>
            <a:effectLst/>
          </c:spPr>
          <c:invertIfNegative val="0"/>
          <c:errBars>
            <c:errBarType val="both"/>
            <c:errValType val="cust"/>
            <c:noEndCap val="0"/>
            <c:plus>
              <c:numRef>
                <c:f>'DHB region'!$BB$35:$BD$35</c:f>
                <c:numCache>
                  <c:formatCode>General</c:formatCode>
                  <c:ptCount val="3"/>
                  <c:pt idx="0">
                    <c:v>1.6</c:v>
                  </c:pt>
                  <c:pt idx="1">
                    <c:v>1.8</c:v>
                  </c:pt>
                  <c:pt idx="2">
                    <c:v>1.6</c:v>
                  </c:pt>
                </c:numCache>
              </c:numRef>
            </c:plus>
            <c:minus>
              <c:numRef>
                <c:f>'DHB region'!$BB$35:$BD$35</c:f>
                <c:numCache>
                  <c:formatCode>General</c:formatCode>
                  <c:ptCount val="3"/>
                  <c:pt idx="0">
                    <c:v>1.6</c:v>
                  </c:pt>
                  <c:pt idx="1">
                    <c:v>1.8</c:v>
                  </c:pt>
                  <c:pt idx="2">
                    <c:v>1.6</c:v>
                  </c:pt>
                </c:numCache>
              </c:numRef>
            </c:minus>
            <c:spPr>
              <a:noFill/>
              <a:ln w="9525" cap="flat" cmpd="sng" algn="ctr">
                <a:solidFill>
                  <a:schemeClr val="tx1">
                    <a:lumMod val="65000"/>
                    <a:lumOff val="35000"/>
                  </a:schemeClr>
                </a:solidFill>
                <a:round/>
              </a:ln>
              <a:effectLst/>
            </c:spPr>
          </c:errBars>
          <c:cat>
            <c:strRef>
              <c:f>'DHB region'!$Z$12:$AB$12</c:f>
              <c:strCache>
                <c:ptCount val="3"/>
                <c:pt idx="0">
                  <c:v>2001-05</c:v>
                </c:pt>
                <c:pt idx="1">
                  <c:v>2006-10</c:v>
                </c:pt>
                <c:pt idx="2">
                  <c:v>2011-15</c:v>
                </c:pt>
              </c:strCache>
            </c:strRef>
          </c:cat>
          <c:val>
            <c:numRef>
              <c:f>'DHB region'!$Z$41:$AB$41</c:f>
              <c:numCache>
                <c:formatCode>0.0</c:formatCode>
                <c:ptCount val="3"/>
                <c:pt idx="0">
                  <c:v>11.919217101744399</c:v>
                </c:pt>
                <c:pt idx="1">
                  <c:v>10.6580805597601</c:v>
                </c:pt>
                <c:pt idx="2">
                  <c:v>9.8984574915243098</c:v>
                </c:pt>
              </c:numCache>
            </c:numRef>
          </c:val>
        </c:ser>
        <c:dLbls>
          <c:showLegendKey val="0"/>
          <c:showVal val="0"/>
          <c:showCatName val="0"/>
          <c:showSerName val="0"/>
          <c:showPercent val="0"/>
          <c:showBubbleSize val="0"/>
        </c:dLbls>
        <c:gapWidth val="40"/>
        <c:axId val="769920920"/>
        <c:axId val="769924056"/>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dPt>
          <c:val>
            <c:numRef>
              <c:f>'DHB region'!$Z$37:$AB$37</c:f>
              <c:numCache>
                <c:formatCode>0.0</c:formatCode>
                <c:ptCount val="3"/>
                <c:pt idx="0">
                  <c:v>12.20108133911698</c:v>
                </c:pt>
                <c:pt idx="1">
                  <c:v>11.755657480827461</c:v>
                </c:pt>
                <c:pt idx="2">
                  <c:v>11.261699848804099</c:v>
                </c:pt>
              </c:numCache>
            </c:numRef>
          </c:val>
          <c:smooth val="0"/>
        </c:ser>
        <c:dLbls>
          <c:showLegendKey val="0"/>
          <c:showVal val="0"/>
          <c:showCatName val="0"/>
          <c:showSerName val="0"/>
          <c:showPercent val="0"/>
          <c:showBubbleSize val="0"/>
        </c:dLbls>
        <c:marker val="1"/>
        <c:smooth val="0"/>
        <c:axId val="769917392"/>
        <c:axId val="769917000"/>
      </c:lineChart>
      <c:catAx>
        <c:axId val="769920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9924056"/>
        <c:crosses val="autoZero"/>
        <c:auto val="1"/>
        <c:lblAlgn val="ctr"/>
        <c:lblOffset val="100"/>
        <c:noMultiLvlLbl val="0"/>
      </c:catAx>
      <c:valAx>
        <c:axId val="769924056"/>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9920920"/>
        <c:crosses val="autoZero"/>
        <c:crossBetween val="between"/>
      </c:valAx>
      <c:valAx>
        <c:axId val="769917000"/>
        <c:scaling>
          <c:orientation val="minMax"/>
          <c:max val="20"/>
        </c:scaling>
        <c:delete val="1"/>
        <c:axPos val="r"/>
        <c:numFmt formatCode="0.0" sourceLinked="1"/>
        <c:majorTickMark val="out"/>
        <c:minorTickMark val="none"/>
        <c:tickLblPos val="nextTo"/>
        <c:crossAx val="769917392"/>
        <c:crosses val="max"/>
        <c:crossBetween val="between"/>
      </c:valAx>
      <c:catAx>
        <c:axId val="769917392"/>
        <c:scaling>
          <c:orientation val="minMax"/>
        </c:scaling>
        <c:delete val="1"/>
        <c:axPos val="b"/>
        <c:majorTickMark val="out"/>
        <c:minorTickMark val="none"/>
        <c:tickLblPos val="nextTo"/>
        <c:crossAx val="769917000"/>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Waikato</a:t>
            </a:r>
          </a:p>
        </c:rich>
      </c:tx>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2679779733415675"/>
          <c:y val="0.22334163068326138"/>
          <c:w val="0.81568586279656219"/>
          <c:h val="0.58370061806790285"/>
        </c:manualLayout>
      </c:layout>
      <c:barChart>
        <c:barDir val="col"/>
        <c:grouping val="clustered"/>
        <c:varyColors val="0"/>
        <c:ser>
          <c:idx val="0"/>
          <c:order val="0"/>
          <c:tx>
            <c:strRef>
              <c:f>'DHB region'!$X$42</c:f>
              <c:strCache>
                <c:ptCount val="1"/>
                <c:pt idx="0">
                  <c:v>Waikato</c:v>
                </c:pt>
              </c:strCache>
            </c:strRef>
          </c:tx>
          <c:spPr>
            <a:solidFill>
              <a:srgbClr val="4BACC6"/>
            </a:solidFill>
            <a:ln>
              <a:noFill/>
            </a:ln>
            <a:effectLst/>
          </c:spPr>
          <c:invertIfNegative val="0"/>
          <c:errBars>
            <c:errBarType val="both"/>
            <c:errValType val="cust"/>
            <c:noEndCap val="0"/>
            <c:plus>
              <c:numRef>
                <c:f>'DHB region'!$BB$36:$BD$36</c:f>
                <c:numCache>
                  <c:formatCode>General</c:formatCode>
                  <c:ptCount val="3"/>
                  <c:pt idx="0">
                    <c:v>2</c:v>
                  </c:pt>
                  <c:pt idx="1">
                    <c:v>2</c:v>
                  </c:pt>
                  <c:pt idx="2">
                    <c:v>2</c:v>
                  </c:pt>
                </c:numCache>
              </c:numRef>
            </c:plus>
            <c:minus>
              <c:numRef>
                <c:f>'DHB region'!$BB$36:$BD$36</c:f>
                <c:numCache>
                  <c:formatCode>General</c:formatCode>
                  <c:ptCount val="3"/>
                  <c:pt idx="0">
                    <c:v>2</c:v>
                  </c:pt>
                  <c:pt idx="1">
                    <c:v>2</c:v>
                  </c:pt>
                  <c:pt idx="2">
                    <c:v>2</c:v>
                  </c:pt>
                </c:numCache>
              </c:numRef>
            </c:minus>
            <c:spPr>
              <a:noFill/>
              <a:ln w="9525" cap="flat" cmpd="sng" algn="ctr">
                <a:solidFill>
                  <a:schemeClr val="tx1">
                    <a:lumMod val="65000"/>
                    <a:lumOff val="35000"/>
                  </a:schemeClr>
                </a:solidFill>
                <a:round/>
              </a:ln>
              <a:effectLst/>
            </c:spPr>
          </c:errBars>
          <c:cat>
            <c:strRef>
              <c:f>'DHB region'!$Z$12:$AB$12</c:f>
              <c:strCache>
                <c:ptCount val="3"/>
                <c:pt idx="0">
                  <c:v>2001-05</c:v>
                </c:pt>
                <c:pt idx="1">
                  <c:v>2006-10</c:v>
                </c:pt>
                <c:pt idx="2">
                  <c:v>2011-15</c:v>
                </c:pt>
              </c:strCache>
            </c:strRef>
          </c:cat>
          <c:val>
            <c:numRef>
              <c:f>'DHB region'!$Z$42:$AB$42</c:f>
              <c:numCache>
                <c:formatCode>0.0</c:formatCode>
                <c:ptCount val="3"/>
                <c:pt idx="0">
                  <c:v>11.684579819861</c:v>
                </c:pt>
                <c:pt idx="1">
                  <c:v>11.455784133177801</c:v>
                </c:pt>
                <c:pt idx="2">
                  <c:v>11.316584285972899</c:v>
                </c:pt>
              </c:numCache>
            </c:numRef>
          </c:val>
          <c:extLst/>
        </c:ser>
        <c:dLbls>
          <c:showLegendKey val="0"/>
          <c:showVal val="0"/>
          <c:showCatName val="0"/>
          <c:showSerName val="0"/>
          <c:showPercent val="0"/>
          <c:showBubbleSize val="0"/>
        </c:dLbls>
        <c:gapWidth val="40"/>
        <c:axId val="769926408"/>
        <c:axId val="769922096"/>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dPt>
          <c:val>
            <c:numRef>
              <c:f>'DHB region'!$Z$37:$AB$37</c:f>
              <c:numCache>
                <c:formatCode>0.0</c:formatCode>
                <c:ptCount val="3"/>
                <c:pt idx="0">
                  <c:v>12.20108133911698</c:v>
                </c:pt>
                <c:pt idx="1">
                  <c:v>11.755657480827461</c:v>
                </c:pt>
                <c:pt idx="2">
                  <c:v>11.261699848804099</c:v>
                </c:pt>
              </c:numCache>
            </c:numRef>
          </c:val>
          <c:smooth val="0"/>
        </c:ser>
        <c:dLbls>
          <c:showLegendKey val="0"/>
          <c:showVal val="0"/>
          <c:showCatName val="0"/>
          <c:showSerName val="0"/>
          <c:showPercent val="0"/>
          <c:showBubbleSize val="0"/>
        </c:dLbls>
        <c:marker val="1"/>
        <c:smooth val="0"/>
        <c:axId val="769921704"/>
        <c:axId val="769923272"/>
      </c:lineChart>
      <c:catAx>
        <c:axId val="76992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9922096"/>
        <c:crosses val="autoZero"/>
        <c:auto val="1"/>
        <c:lblAlgn val="ctr"/>
        <c:lblOffset val="100"/>
        <c:noMultiLvlLbl val="0"/>
      </c:catAx>
      <c:valAx>
        <c:axId val="769922096"/>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9926408"/>
        <c:crosses val="autoZero"/>
        <c:crossBetween val="between"/>
      </c:valAx>
      <c:valAx>
        <c:axId val="769923272"/>
        <c:scaling>
          <c:orientation val="minMax"/>
          <c:max val="20"/>
        </c:scaling>
        <c:delete val="1"/>
        <c:axPos val="r"/>
        <c:numFmt formatCode="0.0" sourceLinked="1"/>
        <c:majorTickMark val="out"/>
        <c:minorTickMark val="none"/>
        <c:tickLblPos val="nextTo"/>
        <c:crossAx val="769921704"/>
        <c:crosses val="max"/>
        <c:crossBetween val="between"/>
      </c:valAx>
      <c:catAx>
        <c:axId val="769921704"/>
        <c:scaling>
          <c:orientation val="minMax"/>
        </c:scaling>
        <c:delete val="1"/>
        <c:axPos val="b"/>
        <c:majorTickMark val="out"/>
        <c:minorTickMark val="none"/>
        <c:tickLblPos val="nextTo"/>
        <c:crossAx val="76992327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Lakes</a:t>
            </a:r>
          </a:p>
        </c:rich>
      </c:tx>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region'!$X$43</c:f>
              <c:strCache>
                <c:ptCount val="1"/>
                <c:pt idx="0">
                  <c:v>Lakes</c:v>
                </c:pt>
              </c:strCache>
            </c:strRef>
          </c:tx>
          <c:spPr>
            <a:solidFill>
              <a:srgbClr val="4BACC6"/>
            </a:solidFill>
            <a:ln>
              <a:noFill/>
            </a:ln>
            <a:effectLst/>
          </c:spPr>
          <c:invertIfNegative val="0"/>
          <c:errBars>
            <c:errBarType val="both"/>
            <c:errValType val="cust"/>
            <c:noEndCap val="0"/>
            <c:plus>
              <c:numRef>
                <c:f>'DHB region'!$BB$37:$BD$37</c:f>
                <c:numCache>
                  <c:formatCode>General</c:formatCode>
                  <c:ptCount val="3"/>
                  <c:pt idx="0">
                    <c:v>4.7</c:v>
                  </c:pt>
                  <c:pt idx="1">
                    <c:v>4.5999999999999996</c:v>
                  </c:pt>
                  <c:pt idx="2">
                    <c:v>4.7</c:v>
                  </c:pt>
                </c:numCache>
              </c:numRef>
            </c:plus>
            <c:minus>
              <c:numRef>
                <c:f>'DHB region'!$BB$37:$BD$37</c:f>
                <c:numCache>
                  <c:formatCode>General</c:formatCode>
                  <c:ptCount val="3"/>
                  <c:pt idx="0">
                    <c:v>4.7</c:v>
                  </c:pt>
                  <c:pt idx="1">
                    <c:v>4.5999999999999996</c:v>
                  </c:pt>
                  <c:pt idx="2">
                    <c:v>4.7</c:v>
                  </c:pt>
                </c:numCache>
              </c:numRef>
            </c:minus>
            <c:spPr>
              <a:noFill/>
              <a:ln w="9525" cap="flat" cmpd="sng" algn="ctr">
                <a:solidFill>
                  <a:schemeClr val="tx1">
                    <a:lumMod val="65000"/>
                    <a:lumOff val="35000"/>
                  </a:schemeClr>
                </a:solidFill>
                <a:round/>
              </a:ln>
              <a:effectLst/>
            </c:spPr>
          </c:errBars>
          <c:cat>
            <c:strRef>
              <c:f>'DHB region'!$Z$12:$AB$12</c:f>
              <c:strCache>
                <c:ptCount val="3"/>
                <c:pt idx="0">
                  <c:v>2001-05</c:v>
                </c:pt>
                <c:pt idx="1">
                  <c:v>2006-10</c:v>
                </c:pt>
                <c:pt idx="2">
                  <c:v>2011-15</c:v>
                </c:pt>
              </c:strCache>
            </c:strRef>
          </c:cat>
          <c:val>
            <c:numRef>
              <c:f>'DHB region'!$Z$43:$AB$43</c:f>
              <c:numCache>
                <c:formatCode>0.0</c:formatCode>
                <c:ptCount val="3"/>
                <c:pt idx="0">
                  <c:v>12.9299567407505</c:v>
                </c:pt>
                <c:pt idx="1">
                  <c:v>16.081283397660499</c:v>
                </c:pt>
                <c:pt idx="2">
                  <c:v>15.9890693926951</c:v>
                </c:pt>
              </c:numCache>
            </c:numRef>
          </c:val>
        </c:ser>
        <c:dLbls>
          <c:showLegendKey val="0"/>
          <c:showVal val="0"/>
          <c:showCatName val="0"/>
          <c:showSerName val="0"/>
          <c:showPercent val="0"/>
          <c:showBubbleSize val="0"/>
        </c:dLbls>
        <c:gapWidth val="40"/>
        <c:axId val="769918568"/>
        <c:axId val="769932288"/>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dPt>
          <c:cat>
            <c:strRef>
              <c:f>'DHB region'!$Z$12:$AB$12</c:f>
              <c:strCache>
                <c:ptCount val="3"/>
                <c:pt idx="0">
                  <c:v>2001-05</c:v>
                </c:pt>
                <c:pt idx="1">
                  <c:v>2006-10</c:v>
                </c:pt>
                <c:pt idx="2">
                  <c:v>2011-15</c:v>
                </c:pt>
              </c:strCache>
            </c:strRef>
          </c:cat>
          <c:val>
            <c:numRef>
              <c:f>'DHB region'!$Z$37:$AB$37</c:f>
              <c:numCache>
                <c:formatCode>0.0</c:formatCode>
                <c:ptCount val="3"/>
                <c:pt idx="0">
                  <c:v>12.20108133911698</c:v>
                </c:pt>
                <c:pt idx="1">
                  <c:v>11.755657480827461</c:v>
                </c:pt>
                <c:pt idx="2">
                  <c:v>11.261699848804099</c:v>
                </c:pt>
              </c:numCache>
            </c:numRef>
          </c:val>
          <c:smooth val="0"/>
        </c:ser>
        <c:dLbls>
          <c:showLegendKey val="0"/>
          <c:showVal val="0"/>
          <c:showCatName val="0"/>
          <c:showSerName val="0"/>
          <c:showPercent val="0"/>
          <c:showBubbleSize val="0"/>
        </c:dLbls>
        <c:marker val="1"/>
        <c:smooth val="0"/>
        <c:axId val="769932680"/>
        <c:axId val="769931112"/>
      </c:lineChart>
      <c:catAx>
        <c:axId val="769918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9932288"/>
        <c:crosses val="autoZero"/>
        <c:auto val="1"/>
        <c:lblAlgn val="ctr"/>
        <c:lblOffset val="100"/>
        <c:noMultiLvlLbl val="0"/>
      </c:catAx>
      <c:valAx>
        <c:axId val="769932288"/>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9918568"/>
        <c:crosses val="autoZero"/>
        <c:crossBetween val="between"/>
      </c:valAx>
      <c:valAx>
        <c:axId val="769931112"/>
        <c:scaling>
          <c:orientation val="minMax"/>
          <c:max val="20"/>
        </c:scaling>
        <c:delete val="1"/>
        <c:axPos val="r"/>
        <c:numFmt formatCode="0.0" sourceLinked="1"/>
        <c:majorTickMark val="out"/>
        <c:minorTickMark val="none"/>
        <c:tickLblPos val="nextTo"/>
        <c:crossAx val="769932680"/>
        <c:crosses val="max"/>
        <c:crossBetween val="between"/>
      </c:valAx>
      <c:catAx>
        <c:axId val="769932680"/>
        <c:scaling>
          <c:orientation val="minMax"/>
        </c:scaling>
        <c:delete val="1"/>
        <c:axPos val="b"/>
        <c:numFmt formatCode="General" sourceLinked="1"/>
        <c:majorTickMark val="out"/>
        <c:minorTickMark val="none"/>
        <c:tickLblPos val="nextTo"/>
        <c:crossAx val="76993111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Bay of Plenty</a:t>
            </a:r>
          </a:p>
        </c:rich>
      </c:tx>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region'!$X$44</c:f>
              <c:strCache>
                <c:ptCount val="1"/>
                <c:pt idx="0">
                  <c:v>Bay of Plenty</c:v>
                </c:pt>
              </c:strCache>
            </c:strRef>
          </c:tx>
          <c:spPr>
            <a:solidFill>
              <a:srgbClr val="4BACC6"/>
            </a:solidFill>
            <a:ln>
              <a:noFill/>
            </a:ln>
            <a:effectLst/>
          </c:spPr>
          <c:invertIfNegative val="0"/>
          <c:errBars>
            <c:errBarType val="both"/>
            <c:errValType val="cust"/>
            <c:noEndCap val="0"/>
            <c:plus>
              <c:numRef>
                <c:f>'DHB region'!$BB$38:$BD$38</c:f>
                <c:numCache>
                  <c:formatCode>General</c:formatCode>
                  <c:ptCount val="3"/>
                  <c:pt idx="0">
                    <c:v>3.2</c:v>
                  </c:pt>
                  <c:pt idx="1">
                    <c:v>3.1</c:v>
                  </c:pt>
                  <c:pt idx="2">
                    <c:v>3.2</c:v>
                  </c:pt>
                </c:numCache>
              </c:numRef>
            </c:plus>
            <c:minus>
              <c:numRef>
                <c:f>'DHB region'!$BB$38:$BD$38</c:f>
                <c:numCache>
                  <c:formatCode>General</c:formatCode>
                  <c:ptCount val="3"/>
                  <c:pt idx="0">
                    <c:v>3.2</c:v>
                  </c:pt>
                  <c:pt idx="1">
                    <c:v>3.1</c:v>
                  </c:pt>
                  <c:pt idx="2">
                    <c:v>3.2</c:v>
                  </c:pt>
                </c:numCache>
              </c:numRef>
            </c:minus>
            <c:spPr>
              <a:noFill/>
              <a:ln w="9525" cap="flat" cmpd="sng" algn="ctr">
                <a:solidFill>
                  <a:schemeClr val="tx1">
                    <a:lumMod val="65000"/>
                    <a:lumOff val="35000"/>
                  </a:schemeClr>
                </a:solidFill>
                <a:round/>
              </a:ln>
              <a:effectLst/>
            </c:spPr>
          </c:errBars>
          <c:cat>
            <c:strRef>
              <c:f>'DHB region'!$Z$12:$AB$12</c:f>
              <c:strCache>
                <c:ptCount val="3"/>
                <c:pt idx="0">
                  <c:v>2001-05</c:v>
                </c:pt>
                <c:pt idx="1">
                  <c:v>2006-10</c:v>
                </c:pt>
                <c:pt idx="2">
                  <c:v>2011-15</c:v>
                </c:pt>
              </c:strCache>
            </c:strRef>
          </c:cat>
          <c:val>
            <c:numRef>
              <c:f>'DHB region'!$Z$44:$AB$44</c:f>
              <c:numCache>
                <c:formatCode>0.0</c:formatCode>
                <c:ptCount val="3"/>
                <c:pt idx="0">
                  <c:v>15.257062981689501</c:v>
                </c:pt>
                <c:pt idx="1">
                  <c:v>14.7321710179669</c:v>
                </c:pt>
                <c:pt idx="2">
                  <c:v>15.575709253312001</c:v>
                </c:pt>
              </c:numCache>
            </c:numRef>
          </c:val>
        </c:ser>
        <c:dLbls>
          <c:showLegendKey val="0"/>
          <c:showVal val="0"/>
          <c:showCatName val="0"/>
          <c:showSerName val="0"/>
          <c:showPercent val="0"/>
          <c:showBubbleSize val="0"/>
        </c:dLbls>
        <c:gapWidth val="40"/>
        <c:axId val="769931896"/>
        <c:axId val="769929544"/>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dPt>
          <c:cat>
            <c:strRef>
              <c:f>'DHB region'!$Z$12:$AB$12</c:f>
              <c:strCache>
                <c:ptCount val="3"/>
                <c:pt idx="0">
                  <c:v>2001-05</c:v>
                </c:pt>
                <c:pt idx="1">
                  <c:v>2006-10</c:v>
                </c:pt>
                <c:pt idx="2">
                  <c:v>2011-15</c:v>
                </c:pt>
              </c:strCache>
            </c:strRef>
          </c:cat>
          <c:val>
            <c:numRef>
              <c:f>'DHB region'!$Z$37:$AB$37</c:f>
              <c:numCache>
                <c:formatCode>0.0</c:formatCode>
                <c:ptCount val="3"/>
                <c:pt idx="0">
                  <c:v>12.20108133911698</c:v>
                </c:pt>
                <c:pt idx="1">
                  <c:v>11.755657480827461</c:v>
                </c:pt>
                <c:pt idx="2">
                  <c:v>11.261699848804099</c:v>
                </c:pt>
              </c:numCache>
            </c:numRef>
          </c:val>
          <c:smooth val="0"/>
        </c:ser>
        <c:dLbls>
          <c:showLegendKey val="0"/>
          <c:showVal val="0"/>
          <c:showCatName val="0"/>
          <c:showSerName val="0"/>
          <c:showPercent val="0"/>
          <c:showBubbleSize val="0"/>
        </c:dLbls>
        <c:marker val="1"/>
        <c:smooth val="0"/>
        <c:axId val="769930328"/>
        <c:axId val="769929936"/>
      </c:lineChart>
      <c:catAx>
        <c:axId val="769931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9929544"/>
        <c:crosses val="autoZero"/>
        <c:auto val="1"/>
        <c:lblAlgn val="ctr"/>
        <c:lblOffset val="100"/>
        <c:noMultiLvlLbl val="0"/>
      </c:catAx>
      <c:valAx>
        <c:axId val="769929544"/>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9931896"/>
        <c:crosses val="autoZero"/>
        <c:crossBetween val="between"/>
      </c:valAx>
      <c:valAx>
        <c:axId val="769929936"/>
        <c:scaling>
          <c:orientation val="minMax"/>
          <c:max val="20"/>
        </c:scaling>
        <c:delete val="1"/>
        <c:axPos val="r"/>
        <c:numFmt formatCode="0.0" sourceLinked="1"/>
        <c:majorTickMark val="out"/>
        <c:minorTickMark val="none"/>
        <c:tickLblPos val="nextTo"/>
        <c:crossAx val="769930328"/>
        <c:crosses val="max"/>
        <c:crossBetween val="between"/>
      </c:valAx>
      <c:catAx>
        <c:axId val="769930328"/>
        <c:scaling>
          <c:orientation val="minMax"/>
        </c:scaling>
        <c:delete val="1"/>
        <c:axPos val="b"/>
        <c:numFmt formatCode="General" sourceLinked="1"/>
        <c:majorTickMark val="out"/>
        <c:minorTickMark val="none"/>
        <c:tickLblPos val="nextTo"/>
        <c:crossAx val="76992993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Tairāwhiti</a:t>
            </a:r>
          </a:p>
        </c:rich>
      </c:tx>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region'!$X$45</c:f>
              <c:strCache>
                <c:ptCount val="1"/>
                <c:pt idx="0">
                  <c:v>Tairāwhiti</c:v>
                </c:pt>
              </c:strCache>
            </c:strRef>
          </c:tx>
          <c:spPr>
            <a:solidFill>
              <a:srgbClr val="4BACC6"/>
            </a:solidFill>
            <a:ln>
              <a:noFill/>
            </a:ln>
            <a:effectLst/>
          </c:spPr>
          <c:invertIfNegative val="0"/>
          <c:errBars>
            <c:errBarType val="both"/>
            <c:errValType val="cust"/>
            <c:noEndCap val="0"/>
            <c:plus>
              <c:numRef>
                <c:f>'DHB region'!$BB$39:$BD$39</c:f>
                <c:numCache>
                  <c:formatCode>General</c:formatCode>
                  <c:ptCount val="3"/>
                  <c:pt idx="0">
                    <c:v>6.2</c:v>
                  </c:pt>
                  <c:pt idx="1">
                    <c:v>8</c:v>
                  </c:pt>
                  <c:pt idx="2">
                    <c:v>6.2</c:v>
                  </c:pt>
                </c:numCache>
              </c:numRef>
            </c:plus>
            <c:minus>
              <c:numRef>
                <c:f>'DHB region'!$BB$39:$BD$39</c:f>
                <c:numCache>
                  <c:formatCode>General</c:formatCode>
                  <c:ptCount val="3"/>
                  <c:pt idx="0">
                    <c:v>6.2</c:v>
                  </c:pt>
                  <c:pt idx="1">
                    <c:v>8</c:v>
                  </c:pt>
                  <c:pt idx="2">
                    <c:v>6.2</c:v>
                  </c:pt>
                </c:numCache>
              </c:numRef>
            </c:minus>
            <c:spPr>
              <a:noFill/>
              <a:ln w="9525" cap="flat" cmpd="sng" algn="ctr">
                <a:solidFill>
                  <a:schemeClr val="tx1">
                    <a:lumMod val="65000"/>
                    <a:lumOff val="35000"/>
                  </a:schemeClr>
                </a:solidFill>
                <a:round/>
              </a:ln>
              <a:effectLst/>
            </c:spPr>
          </c:errBars>
          <c:cat>
            <c:strRef>
              <c:f>'DHB region'!$Z$12:$AB$12</c:f>
              <c:strCache>
                <c:ptCount val="3"/>
                <c:pt idx="0">
                  <c:v>2001-05</c:v>
                </c:pt>
                <c:pt idx="1">
                  <c:v>2006-10</c:v>
                </c:pt>
                <c:pt idx="2">
                  <c:v>2011-15</c:v>
                </c:pt>
              </c:strCache>
            </c:strRef>
          </c:cat>
          <c:val>
            <c:numRef>
              <c:f>'DHB region'!$Z$45:$AB$45</c:f>
              <c:numCache>
                <c:formatCode>0.0</c:formatCode>
                <c:ptCount val="3"/>
                <c:pt idx="0">
                  <c:v>15.269486939145301</c:v>
                </c:pt>
                <c:pt idx="1">
                  <c:v>20.612199823155699</c:v>
                </c:pt>
                <c:pt idx="2">
                  <c:v>13.428229240830699</c:v>
                </c:pt>
              </c:numCache>
            </c:numRef>
          </c:val>
        </c:ser>
        <c:dLbls>
          <c:showLegendKey val="0"/>
          <c:showVal val="0"/>
          <c:showCatName val="0"/>
          <c:showSerName val="0"/>
          <c:showPercent val="0"/>
          <c:showBubbleSize val="0"/>
        </c:dLbls>
        <c:gapWidth val="40"/>
        <c:axId val="797720640"/>
        <c:axId val="797727696"/>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dPt>
          <c:cat>
            <c:strRef>
              <c:f>'DHB region'!$Z$12:$AB$12</c:f>
              <c:strCache>
                <c:ptCount val="3"/>
                <c:pt idx="0">
                  <c:v>2001-05</c:v>
                </c:pt>
                <c:pt idx="1">
                  <c:v>2006-10</c:v>
                </c:pt>
                <c:pt idx="2">
                  <c:v>2011-15</c:v>
                </c:pt>
              </c:strCache>
            </c:strRef>
          </c:cat>
          <c:val>
            <c:numRef>
              <c:f>'DHB region'!$Z$37:$AB$37</c:f>
              <c:numCache>
                <c:formatCode>0.0</c:formatCode>
                <c:ptCount val="3"/>
                <c:pt idx="0">
                  <c:v>12.20108133911698</c:v>
                </c:pt>
                <c:pt idx="1">
                  <c:v>11.755657480827461</c:v>
                </c:pt>
                <c:pt idx="2">
                  <c:v>11.261699848804099</c:v>
                </c:pt>
              </c:numCache>
            </c:numRef>
          </c:val>
          <c:smooth val="0"/>
        </c:ser>
        <c:dLbls>
          <c:showLegendKey val="0"/>
          <c:showVal val="0"/>
          <c:showCatName val="0"/>
          <c:showSerName val="0"/>
          <c:showPercent val="0"/>
          <c:showBubbleSize val="0"/>
        </c:dLbls>
        <c:marker val="1"/>
        <c:smooth val="0"/>
        <c:axId val="797722992"/>
        <c:axId val="797721032"/>
      </c:lineChart>
      <c:catAx>
        <c:axId val="79772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7727696"/>
        <c:crosses val="autoZero"/>
        <c:auto val="1"/>
        <c:lblAlgn val="ctr"/>
        <c:lblOffset val="100"/>
        <c:noMultiLvlLbl val="0"/>
      </c:catAx>
      <c:valAx>
        <c:axId val="797727696"/>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7720640"/>
        <c:crosses val="autoZero"/>
        <c:crossBetween val="between"/>
      </c:valAx>
      <c:valAx>
        <c:axId val="797721032"/>
        <c:scaling>
          <c:orientation val="minMax"/>
          <c:max val="20"/>
        </c:scaling>
        <c:delete val="1"/>
        <c:axPos val="r"/>
        <c:numFmt formatCode="0.0" sourceLinked="1"/>
        <c:majorTickMark val="out"/>
        <c:minorTickMark val="none"/>
        <c:tickLblPos val="nextTo"/>
        <c:crossAx val="797722992"/>
        <c:crosses val="max"/>
        <c:crossBetween val="between"/>
      </c:valAx>
      <c:catAx>
        <c:axId val="797722992"/>
        <c:scaling>
          <c:orientation val="minMax"/>
        </c:scaling>
        <c:delete val="1"/>
        <c:axPos val="b"/>
        <c:numFmt formatCode="General" sourceLinked="1"/>
        <c:majorTickMark val="out"/>
        <c:minorTickMark val="none"/>
        <c:tickLblPos val="nextTo"/>
        <c:crossAx val="79772103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Hawke's Bay</a:t>
            </a:r>
          </a:p>
        </c:rich>
      </c:tx>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region'!$X$46</c:f>
              <c:strCache>
                <c:ptCount val="1"/>
                <c:pt idx="0">
                  <c:v>Hawke's Bay</c:v>
                </c:pt>
              </c:strCache>
            </c:strRef>
          </c:tx>
          <c:spPr>
            <a:solidFill>
              <a:srgbClr val="4BACC6"/>
            </a:solidFill>
            <a:ln>
              <a:noFill/>
            </a:ln>
            <a:effectLst/>
          </c:spPr>
          <c:invertIfNegative val="0"/>
          <c:errBars>
            <c:errBarType val="both"/>
            <c:errValType val="cust"/>
            <c:noEndCap val="0"/>
            <c:plus>
              <c:numRef>
                <c:f>'DHB region'!$BB$40:$BD$40</c:f>
                <c:numCache>
                  <c:formatCode>General</c:formatCode>
                  <c:ptCount val="3"/>
                  <c:pt idx="0">
                    <c:v>3.7</c:v>
                  </c:pt>
                  <c:pt idx="1">
                    <c:v>3.6</c:v>
                  </c:pt>
                  <c:pt idx="2">
                    <c:v>3.7</c:v>
                  </c:pt>
                </c:numCache>
              </c:numRef>
            </c:plus>
            <c:minus>
              <c:numRef>
                <c:f>'DHB region'!$BB$40:$BD$40</c:f>
                <c:numCache>
                  <c:formatCode>General</c:formatCode>
                  <c:ptCount val="3"/>
                  <c:pt idx="0">
                    <c:v>3.7</c:v>
                  </c:pt>
                  <c:pt idx="1">
                    <c:v>3.6</c:v>
                  </c:pt>
                  <c:pt idx="2">
                    <c:v>3.7</c:v>
                  </c:pt>
                </c:numCache>
              </c:numRef>
            </c:minus>
            <c:spPr>
              <a:noFill/>
              <a:ln w="9525" cap="flat" cmpd="sng" algn="ctr">
                <a:solidFill>
                  <a:schemeClr val="tx1">
                    <a:lumMod val="65000"/>
                    <a:lumOff val="35000"/>
                  </a:schemeClr>
                </a:solidFill>
                <a:round/>
              </a:ln>
              <a:effectLst/>
            </c:spPr>
          </c:errBars>
          <c:cat>
            <c:strRef>
              <c:f>'DHB region'!$Z$12:$AB$12</c:f>
              <c:strCache>
                <c:ptCount val="3"/>
                <c:pt idx="0">
                  <c:v>2001-05</c:v>
                </c:pt>
                <c:pt idx="1">
                  <c:v>2006-10</c:v>
                </c:pt>
                <c:pt idx="2">
                  <c:v>2011-15</c:v>
                </c:pt>
              </c:strCache>
            </c:strRef>
          </c:cat>
          <c:val>
            <c:numRef>
              <c:f>'DHB region'!$Z$46:$AB$46</c:f>
              <c:numCache>
                <c:formatCode>0.0</c:formatCode>
                <c:ptCount val="3"/>
                <c:pt idx="0">
                  <c:v>17.732863754023001</c:v>
                </c:pt>
                <c:pt idx="1">
                  <c:v>14.6467337452899</c:v>
                </c:pt>
                <c:pt idx="2">
                  <c:v>15.239495621398101</c:v>
                </c:pt>
              </c:numCache>
            </c:numRef>
          </c:val>
        </c:ser>
        <c:dLbls>
          <c:showLegendKey val="0"/>
          <c:showVal val="0"/>
          <c:showCatName val="0"/>
          <c:showSerName val="0"/>
          <c:showPercent val="0"/>
          <c:showBubbleSize val="0"/>
        </c:dLbls>
        <c:gapWidth val="40"/>
        <c:axId val="797723384"/>
        <c:axId val="797722208"/>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dPt>
          <c:cat>
            <c:strRef>
              <c:f>'DHB region'!$Z$12:$AB$12</c:f>
              <c:strCache>
                <c:ptCount val="3"/>
                <c:pt idx="0">
                  <c:v>2001-05</c:v>
                </c:pt>
                <c:pt idx="1">
                  <c:v>2006-10</c:v>
                </c:pt>
                <c:pt idx="2">
                  <c:v>2011-15</c:v>
                </c:pt>
              </c:strCache>
            </c:strRef>
          </c:cat>
          <c:val>
            <c:numRef>
              <c:f>'DHB region'!$Z$37:$AB$37</c:f>
              <c:numCache>
                <c:formatCode>0.0</c:formatCode>
                <c:ptCount val="3"/>
                <c:pt idx="0">
                  <c:v>12.20108133911698</c:v>
                </c:pt>
                <c:pt idx="1">
                  <c:v>11.755657480827461</c:v>
                </c:pt>
                <c:pt idx="2">
                  <c:v>11.261699848804099</c:v>
                </c:pt>
              </c:numCache>
            </c:numRef>
          </c:val>
          <c:smooth val="0"/>
        </c:ser>
        <c:dLbls>
          <c:showLegendKey val="0"/>
          <c:showVal val="0"/>
          <c:showCatName val="0"/>
          <c:showSerName val="0"/>
          <c:showPercent val="0"/>
          <c:showBubbleSize val="0"/>
        </c:dLbls>
        <c:marker val="1"/>
        <c:smooth val="0"/>
        <c:axId val="797726128"/>
        <c:axId val="797732792"/>
      </c:lineChart>
      <c:catAx>
        <c:axId val="797723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7722208"/>
        <c:crosses val="autoZero"/>
        <c:auto val="1"/>
        <c:lblAlgn val="ctr"/>
        <c:lblOffset val="100"/>
        <c:noMultiLvlLbl val="0"/>
      </c:catAx>
      <c:valAx>
        <c:axId val="797722208"/>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7723384"/>
        <c:crosses val="autoZero"/>
        <c:crossBetween val="between"/>
      </c:valAx>
      <c:valAx>
        <c:axId val="797732792"/>
        <c:scaling>
          <c:orientation val="minMax"/>
          <c:max val="20"/>
        </c:scaling>
        <c:delete val="1"/>
        <c:axPos val="r"/>
        <c:numFmt formatCode="0.0" sourceLinked="1"/>
        <c:majorTickMark val="out"/>
        <c:minorTickMark val="none"/>
        <c:tickLblPos val="nextTo"/>
        <c:crossAx val="797726128"/>
        <c:crosses val="max"/>
        <c:crossBetween val="between"/>
      </c:valAx>
      <c:catAx>
        <c:axId val="797726128"/>
        <c:scaling>
          <c:orientation val="minMax"/>
        </c:scaling>
        <c:delete val="1"/>
        <c:axPos val="b"/>
        <c:numFmt formatCode="General" sourceLinked="1"/>
        <c:majorTickMark val="out"/>
        <c:minorTickMark val="none"/>
        <c:tickLblPos val="nextTo"/>
        <c:crossAx val="79773279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Taranaki</a:t>
            </a:r>
          </a:p>
        </c:rich>
      </c:tx>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region'!$X$47</c:f>
              <c:strCache>
                <c:ptCount val="1"/>
                <c:pt idx="0">
                  <c:v>Taranaki</c:v>
                </c:pt>
              </c:strCache>
            </c:strRef>
          </c:tx>
          <c:spPr>
            <a:solidFill>
              <a:srgbClr val="4BACC6"/>
            </a:solidFill>
            <a:ln>
              <a:noFill/>
            </a:ln>
            <a:effectLst/>
          </c:spPr>
          <c:invertIfNegative val="0"/>
          <c:errBars>
            <c:errBarType val="both"/>
            <c:errValType val="cust"/>
            <c:noEndCap val="0"/>
            <c:plus>
              <c:numRef>
                <c:f>'DHB region'!$BB$41:$BD$41</c:f>
                <c:numCache>
                  <c:formatCode>General</c:formatCode>
                  <c:ptCount val="3"/>
                  <c:pt idx="0">
                    <c:v>3.8</c:v>
                  </c:pt>
                  <c:pt idx="1">
                    <c:v>4.0999999999999996</c:v>
                  </c:pt>
                  <c:pt idx="2">
                    <c:v>3.8</c:v>
                  </c:pt>
                </c:numCache>
              </c:numRef>
            </c:plus>
            <c:minus>
              <c:numRef>
                <c:f>'DHB region'!$BB$41:$BD$41</c:f>
                <c:numCache>
                  <c:formatCode>General</c:formatCode>
                  <c:ptCount val="3"/>
                  <c:pt idx="0">
                    <c:v>3.8</c:v>
                  </c:pt>
                  <c:pt idx="1">
                    <c:v>4.0999999999999996</c:v>
                  </c:pt>
                  <c:pt idx="2">
                    <c:v>3.8</c:v>
                  </c:pt>
                </c:numCache>
              </c:numRef>
            </c:minus>
            <c:spPr>
              <a:noFill/>
              <a:ln w="9525" cap="flat" cmpd="sng" algn="ctr">
                <a:solidFill>
                  <a:schemeClr val="tx1">
                    <a:lumMod val="65000"/>
                    <a:lumOff val="35000"/>
                  </a:schemeClr>
                </a:solidFill>
                <a:round/>
              </a:ln>
              <a:effectLst/>
            </c:spPr>
          </c:errBars>
          <c:cat>
            <c:strRef>
              <c:f>'DHB region'!$Z$12:$AB$12</c:f>
              <c:strCache>
                <c:ptCount val="3"/>
                <c:pt idx="0">
                  <c:v>2001-05</c:v>
                </c:pt>
                <c:pt idx="1">
                  <c:v>2006-10</c:v>
                </c:pt>
                <c:pt idx="2">
                  <c:v>2011-15</c:v>
                </c:pt>
              </c:strCache>
            </c:strRef>
          </c:cat>
          <c:val>
            <c:numRef>
              <c:f>'DHB region'!$Z$47:$AB$47</c:f>
              <c:numCache>
                <c:formatCode>0.0</c:formatCode>
                <c:ptCount val="3"/>
                <c:pt idx="0">
                  <c:v>12.5794777612091</c:v>
                </c:pt>
                <c:pt idx="1">
                  <c:v>13.548407113792599</c:v>
                </c:pt>
                <c:pt idx="2">
                  <c:v>12.5045795067994</c:v>
                </c:pt>
              </c:numCache>
            </c:numRef>
          </c:val>
        </c:ser>
        <c:dLbls>
          <c:showLegendKey val="0"/>
          <c:showVal val="0"/>
          <c:showCatName val="0"/>
          <c:showSerName val="0"/>
          <c:showPercent val="0"/>
          <c:showBubbleSize val="0"/>
        </c:dLbls>
        <c:gapWidth val="40"/>
        <c:axId val="797727304"/>
        <c:axId val="797726520"/>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dPt>
          <c:cat>
            <c:strRef>
              <c:f>'DHB region'!$Z$12:$AB$12</c:f>
              <c:strCache>
                <c:ptCount val="3"/>
                <c:pt idx="0">
                  <c:v>2001-05</c:v>
                </c:pt>
                <c:pt idx="1">
                  <c:v>2006-10</c:v>
                </c:pt>
                <c:pt idx="2">
                  <c:v>2011-15</c:v>
                </c:pt>
              </c:strCache>
            </c:strRef>
          </c:cat>
          <c:val>
            <c:numRef>
              <c:f>'DHB region'!$Z$37:$AB$37</c:f>
              <c:numCache>
                <c:formatCode>0.0</c:formatCode>
                <c:ptCount val="3"/>
                <c:pt idx="0">
                  <c:v>12.20108133911698</c:v>
                </c:pt>
                <c:pt idx="1">
                  <c:v>11.755657480827461</c:v>
                </c:pt>
                <c:pt idx="2">
                  <c:v>11.261699848804099</c:v>
                </c:pt>
              </c:numCache>
            </c:numRef>
          </c:val>
          <c:smooth val="0"/>
        </c:ser>
        <c:dLbls>
          <c:showLegendKey val="0"/>
          <c:showVal val="0"/>
          <c:showCatName val="0"/>
          <c:showSerName val="0"/>
          <c:showPercent val="0"/>
          <c:showBubbleSize val="0"/>
        </c:dLbls>
        <c:marker val="1"/>
        <c:smooth val="0"/>
        <c:axId val="797730832"/>
        <c:axId val="797723776"/>
      </c:lineChart>
      <c:catAx>
        <c:axId val="79772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7726520"/>
        <c:crosses val="autoZero"/>
        <c:auto val="1"/>
        <c:lblAlgn val="ctr"/>
        <c:lblOffset val="100"/>
        <c:noMultiLvlLbl val="0"/>
      </c:catAx>
      <c:valAx>
        <c:axId val="797726520"/>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7727304"/>
        <c:crosses val="autoZero"/>
        <c:crossBetween val="between"/>
      </c:valAx>
      <c:valAx>
        <c:axId val="797723776"/>
        <c:scaling>
          <c:orientation val="minMax"/>
          <c:max val="20"/>
        </c:scaling>
        <c:delete val="1"/>
        <c:axPos val="r"/>
        <c:numFmt formatCode="0.0" sourceLinked="1"/>
        <c:majorTickMark val="out"/>
        <c:minorTickMark val="none"/>
        <c:tickLblPos val="nextTo"/>
        <c:crossAx val="797730832"/>
        <c:crosses val="max"/>
        <c:crossBetween val="between"/>
      </c:valAx>
      <c:catAx>
        <c:axId val="797730832"/>
        <c:scaling>
          <c:orientation val="minMax"/>
        </c:scaling>
        <c:delete val="1"/>
        <c:axPos val="b"/>
        <c:numFmt formatCode="General" sourceLinked="1"/>
        <c:majorTickMark val="out"/>
        <c:minorTickMark val="none"/>
        <c:tickLblPos val="nextTo"/>
        <c:crossAx val="79772377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324510306105846E-2"/>
          <c:y val="0.13065746458409008"/>
          <c:w val="0.88993626141171234"/>
          <c:h val="0.70526552851434798"/>
        </c:manualLayout>
      </c:layout>
      <c:lineChart>
        <c:grouping val="standard"/>
        <c:varyColors val="0"/>
        <c:ser>
          <c:idx val="0"/>
          <c:order val="0"/>
          <c:tx>
            <c:v>Māori male</c:v>
          </c:tx>
          <c:spPr>
            <a:ln w="22225" cap="rnd">
              <a:solidFill>
                <a:schemeClr val="bg1">
                  <a:lumMod val="50000"/>
                </a:schemeClr>
              </a:solidFill>
              <a:round/>
            </a:ln>
            <a:effectLst/>
          </c:spPr>
          <c:marker>
            <c:symbol val="none"/>
          </c:marker>
          <c:cat>
            <c:numRef>
              <c:f>'Quick facts'!$X$51:$AQ$51</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'Quick facts'!$X$56:$AQ$56</c:f>
              <c:numCache>
                <c:formatCode>0.0</c:formatCode>
                <c:ptCount val="20"/>
                <c:pt idx="0">
                  <c:v>28.6634614636843</c:v>
                </c:pt>
                <c:pt idx="1">
                  <c:v>30.622870852715899</c:v>
                </c:pt>
                <c:pt idx="2">
                  <c:v>34.656914608583101</c:v>
                </c:pt>
                <c:pt idx="3">
                  <c:v>21.453377474962299</c:v>
                </c:pt>
                <c:pt idx="4">
                  <c:v>27.198711801126699</c:v>
                </c:pt>
                <c:pt idx="5">
                  <c:v>22.0828947481947</c:v>
                </c:pt>
                <c:pt idx="6">
                  <c:v>21.881613181334401</c:v>
                </c:pt>
                <c:pt idx="7">
                  <c:v>23.229010507537701</c:v>
                </c:pt>
                <c:pt idx="8">
                  <c:v>30.210797391523901</c:v>
                </c:pt>
                <c:pt idx="9">
                  <c:v>27.973177382021099</c:v>
                </c:pt>
                <c:pt idx="10">
                  <c:v>25.8876809253644</c:v>
                </c:pt>
                <c:pt idx="11">
                  <c:v>25.915091779548401</c:v>
                </c:pt>
                <c:pt idx="12">
                  <c:v>19.8732690696398</c:v>
                </c:pt>
                <c:pt idx="13">
                  <c:v>19.4811396989931</c:v>
                </c:pt>
                <c:pt idx="14">
                  <c:v>23.689392361421</c:v>
                </c:pt>
                <c:pt idx="15">
                  <c:v>26.239623561034499</c:v>
                </c:pt>
                <c:pt idx="16">
                  <c:v>25.657974492525501</c:v>
                </c:pt>
                <c:pt idx="17">
                  <c:v>21.474445318173501</c:v>
                </c:pt>
                <c:pt idx="18">
                  <c:v>22.382934863323399</c:v>
                </c:pt>
                <c:pt idx="19">
                  <c:v>25.316443855804899</c:v>
                </c:pt>
              </c:numCache>
            </c:numRef>
          </c:val>
          <c:smooth val="0"/>
        </c:ser>
        <c:ser>
          <c:idx val="2"/>
          <c:order val="1"/>
          <c:tx>
            <c:v>Non-Māori male</c:v>
          </c:tx>
          <c:spPr>
            <a:ln w="22225" cap="rnd">
              <a:solidFill>
                <a:schemeClr val="bg1">
                  <a:lumMod val="75000"/>
                </a:schemeClr>
              </a:solidFill>
              <a:prstDash val="solid"/>
              <a:round/>
            </a:ln>
            <a:effectLst/>
          </c:spPr>
          <c:marker>
            <c:symbol val="none"/>
          </c:marker>
          <c:cat>
            <c:numRef>
              <c:f>'Quick facts'!$X$51:$AQ$51</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'Quick facts'!$X$67:$AQ$67</c:f>
              <c:numCache>
                <c:formatCode>0.0</c:formatCode>
                <c:ptCount val="20"/>
                <c:pt idx="0">
                  <c:v>21.479905755824099</c:v>
                </c:pt>
                <c:pt idx="1">
                  <c:v>21.882813084323601</c:v>
                </c:pt>
                <c:pt idx="2">
                  <c:v>21.517130626241698</c:v>
                </c:pt>
                <c:pt idx="3">
                  <c:v>19.529367053720598</c:v>
                </c:pt>
                <c:pt idx="4">
                  <c:v>18.542595685537702</c:v>
                </c:pt>
                <c:pt idx="5">
                  <c:v>19.754574256070502</c:v>
                </c:pt>
                <c:pt idx="6">
                  <c:v>17.053757227886599</c:v>
                </c:pt>
                <c:pt idx="7">
                  <c:v>17.1757108224569</c:v>
                </c:pt>
                <c:pt idx="8">
                  <c:v>16.521659709264298</c:v>
                </c:pt>
                <c:pt idx="9">
                  <c:v>16.809710006140801</c:v>
                </c:pt>
                <c:pt idx="10">
                  <c:v>16.923735957565398</c:v>
                </c:pt>
                <c:pt idx="11">
                  <c:v>16.348296242666599</c:v>
                </c:pt>
                <c:pt idx="12">
                  <c:v>17.136851166956198</c:v>
                </c:pt>
                <c:pt idx="13">
                  <c:v>17.704891753148601</c:v>
                </c:pt>
                <c:pt idx="14">
                  <c:v>16.134328558354198</c:v>
                </c:pt>
                <c:pt idx="15">
                  <c:v>15.374728749309</c:v>
                </c:pt>
                <c:pt idx="16">
                  <c:v>16.829965457080299</c:v>
                </c:pt>
                <c:pt idx="17">
                  <c:v>14.441701119553899</c:v>
                </c:pt>
                <c:pt idx="18">
                  <c:v>15.149508074973401</c:v>
                </c:pt>
                <c:pt idx="19">
                  <c:v>14.6757131829523</c:v>
                </c:pt>
              </c:numCache>
            </c:numRef>
          </c:val>
          <c:smooth val="0"/>
        </c:ser>
        <c:ser>
          <c:idx val="1"/>
          <c:order val="2"/>
          <c:tx>
            <c:v>Māori female</c:v>
          </c:tx>
          <c:spPr>
            <a:ln w="22225" cap="rnd">
              <a:solidFill>
                <a:schemeClr val="accent1"/>
              </a:solidFill>
              <a:prstDash val="solid"/>
              <a:round/>
            </a:ln>
            <a:effectLst/>
          </c:spPr>
          <c:marker>
            <c:symbol val="none"/>
          </c:marker>
          <c:cat>
            <c:numRef>
              <c:f>'Quick facts'!$X$51:$AQ$51</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'Quick facts'!$X$59:$AQ$59</c:f>
              <c:numCache>
                <c:formatCode>0.0</c:formatCode>
                <c:ptCount val="20"/>
                <c:pt idx="0">
                  <c:v>9.0066061781584406</c:v>
                </c:pt>
                <c:pt idx="1">
                  <c:v>9.7792096693832598</c:v>
                </c:pt>
                <c:pt idx="2">
                  <c:v>8.5337610468083493</c:v>
                </c:pt>
                <c:pt idx="3">
                  <c:v>6.5325578987774104</c:v>
                </c:pt>
                <c:pt idx="4">
                  <c:v>3.9576666859530998</c:v>
                </c:pt>
                <c:pt idx="5">
                  <c:v>6.6998382352426704</c:v>
                </c:pt>
                <c:pt idx="6">
                  <c:v>6.4896231886298903</c:v>
                </c:pt>
                <c:pt idx="7">
                  <c:v>6.4102244752664204</c:v>
                </c:pt>
                <c:pt idx="8">
                  <c:v>8.6787187808636208</c:v>
                </c:pt>
                <c:pt idx="9">
                  <c:v>8.7267571514896503</c:v>
                </c:pt>
                <c:pt idx="10">
                  <c:v>10.6723123955334</c:v>
                </c:pt>
                <c:pt idx="11">
                  <c:v>7.2545885050603403</c:v>
                </c:pt>
                <c:pt idx="12">
                  <c:v>8.8796426541518301</c:v>
                </c:pt>
                <c:pt idx="13">
                  <c:v>7.3206868063360204</c:v>
                </c:pt>
                <c:pt idx="14">
                  <c:v>8.74468389486562</c:v>
                </c:pt>
                <c:pt idx="15">
                  <c:v>9.3323745071337907</c:v>
                </c:pt>
                <c:pt idx="16">
                  <c:v>10.376266848783301</c:v>
                </c:pt>
                <c:pt idx="17">
                  <c:v>11.129535195000299</c:v>
                </c:pt>
                <c:pt idx="18">
                  <c:v>7.4271825890909202</c:v>
                </c:pt>
                <c:pt idx="19">
                  <c:v>11.481074678715</c:v>
                </c:pt>
              </c:numCache>
            </c:numRef>
          </c:val>
          <c:smooth val="0"/>
        </c:ser>
        <c:ser>
          <c:idx val="3"/>
          <c:order val="3"/>
          <c:tx>
            <c:v>Non-Māori female</c:v>
          </c:tx>
          <c:spPr>
            <a:ln w="22225" cap="rnd">
              <a:solidFill>
                <a:schemeClr val="accent1">
                  <a:lumMod val="40000"/>
                  <a:lumOff val="60000"/>
                </a:schemeClr>
              </a:solidFill>
              <a:prstDash val="solid"/>
              <a:round/>
            </a:ln>
            <a:effectLst/>
          </c:spPr>
          <c:marker>
            <c:symbol val="none"/>
          </c:marker>
          <c:cat>
            <c:numRef>
              <c:f>'Quick facts'!$X$51:$AQ$51</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'Quick facts'!$X$70:$AQ$70</c:f>
              <c:numCache>
                <c:formatCode>0.0</c:formatCode>
                <c:ptCount val="20"/>
                <c:pt idx="0">
                  <c:v>5.2986962640135697</c:v>
                </c:pt>
                <c:pt idx="1">
                  <c:v>5.6892468332060497</c:v>
                </c:pt>
                <c:pt idx="2">
                  <c:v>6.1878498162513402</c:v>
                </c:pt>
                <c:pt idx="3">
                  <c:v>6.4624543900880198</c:v>
                </c:pt>
                <c:pt idx="4">
                  <c:v>4.1381655103116204</c:v>
                </c:pt>
                <c:pt idx="5">
                  <c:v>5.3611446727339196</c:v>
                </c:pt>
                <c:pt idx="6">
                  <c:v>5.26343516708328</c:v>
                </c:pt>
                <c:pt idx="7">
                  <c:v>6.4039999122093398</c:v>
                </c:pt>
                <c:pt idx="8">
                  <c:v>4.5051607691466504</c:v>
                </c:pt>
                <c:pt idx="9">
                  <c:v>5.2590011370533496</c:v>
                </c:pt>
                <c:pt idx="10">
                  <c:v>5.2009651380039701</c:v>
                </c:pt>
                <c:pt idx="11">
                  <c:v>4.6012421251756503</c:v>
                </c:pt>
                <c:pt idx="12">
                  <c:v>5.4589151940525902</c:v>
                </c:pt>
                <c:pt idx="13">
                  <c:v>4.4437437379171101</c:v>
                </c:pt>
                <c:pt idx="14">
                  <c:v>5.9134650848101904</c:v>
                </c:pt>
                <c:pt idx="15">
                  <c:v>4.0833090975863904</c:v>
                </c:pt>
                <c:pt idx="16">
                  <c:v>5.1528651892542001</c:v>
                </c:pt>
                <c:pt idx="17">
                  <c:v>5.2765407142672398</c:v>
                </c:pt>
                <c:pt idx="18">
                  <c:v>4.9008932000909704</c:v>
                </c:pt>
                <c:pt idx="19">
                  <c:v>4.6330361677979601</c:v>
                </c:pt>
              </c:numCache>
            </c:numRef>
          </c:val>
          <c:smooth val="0"/>
        </c:ser>
        <c:dLbls>
          <c:showLegendKey val="0"/>
          <c:showVal val="0"/>
          <c:showCatName val="0"/>
          <c:showSerName val="0"/>
          <c:showPercent val="0"/>
          <c:showBubbleSize val="0"/>
        </c:dLbls>
        <c:smooth val="0"/>
        <c:axId val="777966832"/>
        <c:axId val="777967224"/>
      </c:lineChart>
      <c:catAx>
        <c:axId val="77796683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7967224"/>
        <c:crosses val="autoZero"/>
        <c:auto val="1"/>
        <c:lblAlgn val="ctr"/>
        <c:lblOffset val="100"/>
        <c:tickLblSkip val="2"/>
        <c:noMultiLvlLbl val="0"/>
      </c:catAx>
      <c:valAx>
        <c:axId val="777967224"/>
        <c:scaling>
          <c:orientation val="minMax"/>
          <c:max val="5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7966832"/>
        <c:crosses val="autoZero"/>
        <c:crossBetween val="between"/>
        <c:majorUnit val="10"/>
      </c:valAx>
      <c:spPr>
        <a:noFill/>
        <a:ln>
          <a:noFill/>
        </a:ln>
        <a:effectLst/>
      </c:spPr>
    </c:plotArea>
    <c:legend>
      <c:legendPos val="t"/>
      <c:layout>
        <c:manualLayout>
          <c:xMode val="edge"/>
          <c:yMode val="edge"/>
          <c:x val="0.62561355923054607"/>
          <c:y val="1.8529773386123424E-2"/>
          <c:w val="0.3697319997162517"/>
          <c:h val="0.3609688167217439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MidCentral</a:t>
            </a:r>
          </a:p>
        </c:rich>
      </c:tx>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region'!$X$48</c:f>
              <c:strCache>
                <c:ptCount val="1"/>
                <c:pt idx="0">
                  <c:v>MidCentral</c:v>
                </c:pt>
              </c:strCache>
            </c:strRef>
          </c:tx>
          <c:spPr>
            <a:solidFill>
              <a:srgbClr val="4BACC6"/>
            </a:solidFill>
            <a:ln>
              <a:noFill/>
            </a:ln>
            <a:effectLst/>
          </c:spPr>
          <c:invertIfNegative val="0"/>
          <c:errBars>
            <c:errBarType val="both"/>
            <c:errValType val="cust"/>
            <c:noEndCap val="0"/>
            <c:plus>
              <c:numRef>
                <c:f>'DHB region'!$BB$42:$BD$42</c:f>
                <c:numCache>
                  <c:formatCode>General</c:formatCode>
                  <c:ptCount val="3"/>
                  <c:pt idx="0">
                    <c:v>3.5</c:v>
                  </c:pt>
                  <c:pt idx="1">
                    <c:v>3.4</c:v>
                  </c:pt>
                  <c:pt idx="2">
                    <c:v>3.5</c:v>
                  </c:pt>
                </c:numCache>
              </c:numRef>
            </c:plus>
            <c:minus>
              <c:numRef>
                <c:f>'DHB region'!$BB$42:$BD$42</c:f>
                <c:numCache>
                  <c:formatCode>General</c:formatCode>
                  <c:ptCount val="3"/>
                  <c:pt idx="0">
                    <c:v>3.5</c:v>
                  </c:pt>
                  <c:pt idx="1">
                    <c:v>3.4</c:v>
                  </c:pt>
                  <c:pt idx="2">
                    <c:v>3.5</c:v>
                  </c:pt>
                </c:numCache>
              </c:numRef>
            </c:minus>
            <c:spPr>
              <a:noFill/>
              <a:ln w="9525" cap="flat" cmpd="sng" algn="ctr">
                <a:solidFill>
                  <a:schemeClr val="tx1">
                    <a:lumMod val="65000"/>
                    <a:lumOff val="35000"/>
                  </a:schemeClr>
                </a:solidFill>
                <a:round/>
              </a:ln>
              <a:effectLst/>
            </c:spPr>
          </c:errBars>
          <c:cat>
            <c:strRef>
              <c:f>'DHB region'!$Z$12:$AB$12</c:f>
              <c:strCache>
                <c:ptCount val="3"/>
                <c:pt idx="0">
                  <c:v>2001-05</c:v>
                </c:pt>
                <c:pt idx="1">
                  <c:v>2006-10</c:v>
                </c:pt>
                <c:pt idx="2">
                  <c:v>2011-15</c:v>
                </c:pt>
              </c:strCache>
            </c:strRef>
          </c:cat>
          <c:val>
            <c:numRef>
              <c:f>'DHB region'!$Z$48:$AB$48</c:f>
              <c:numCache>
                <c:formatCode>0.0</c:formatCode>
                <c:ptCount val="3"/>
                <c:pt idx="0">
                  <c:v>15.2352311858623</c:v>
                </c:pt>
                <c:pt idx="1">
                  <c:v>14.3784077614648</c:v>
                </c:pt>
                <c:pt idx="2">
                  <c:v>16.282642574646701</c:v>
                </c:pt>
              </c:numCache>
            </c:numRef>
          </c:val>
        </c:ser>
        <c:dLbls>
          <c:showLegendKey val="0"/>
          <c:showVal val="0"/>
          <c:showCatName val="0"/>
          <c:showSerName val="0"/>
          <c:showPercent val="0"/>
          <c:showBubbleSize val="0"/>
        </c:dLbls>
        <c:gapWidth val="40"/>
        <c:axId val="797724168"/>
        <c:axId val="797724560"/>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dPt>
          <c:cat>
            <c:strRef>
              <c:f>'DHB region'!$Z$12:$AB$12</c:f>
              <c:strCache>
                <c:ptCount val="3"/>
                <c:pt idx="0">
                  <c:v>2001-05</c:v>
                </c:pt>
                <c:pt idx="1">
                  <c:v>2006-10</c:v>
                </c:pt>
                <c:pt idx="2">
                  <c:v>2011-15</c:v>
                </c:pt>
              </c:strCache>
            </c:strRef>
          </c:cat>
          <c:val>
            <c:numRef>
              <c:f>'DHB region'!$Z$37:$AB$37</c:f>
              <c:numCache>
                <c:formatCode>0.0</c:formatCode>
                <c:ptCount val="3"/>
                <c:pt idx="0">
                  <c:v>12.20108133911698</c:v>
                </c:pt>
                <c:pt idx="1">
                  <c:v>11.755657480827461</c:v>
                </c:pt>
                <c:pt idx="2">
                  <c:v>11.261699848804099</c:v>
                </c:pt>
              </c:numCache>
            </c:numRef>
          </c:val>
          <c:smooth val="0"/>
        </c:ser>
        <c:dLbls>
          <c:showLegendKey val="0"/>
          <c:showVal val="0"/>
          <c:showCatName val="0"/>
          <c:showSerName val="0"/>
          <c:showPercent val="0"/>
          <c:showBubbleSize val="0"/>
        </c:dLbls>
        <c:marker val="1"/>
        <c:smooth val="0"/>
        <c:axId val="797731224"/>
        <c:axId val="797721424"/>
      </c:lineChart>
      <c:catAx>
        <c:axId val="797724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7724560"/>
        <c:crosses val="autoZero"/>
        <c:auto val="1"/>
        <c:lblAlgn val="ctr"/>
        <c:lblOffset val="100"/>
        <c:noMultiLvlLbl val="0"/>
      </c:catAx>
      <c:valAx>
        <c:axId val="797724560"/>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7724168"/>
        <c:crosses val="autoZero"/>
        <c:crossBetween val="between"/>
      </c:valAx>
      <c:valAx>
        <c:axId val="797721424"/>
        <c:scaling>
          <c:orientation val="minMax"/>
          <c:max val="20"/>
        </c:scaling>
        <c:delete val="1"/>
        <c:axPos val="r"/>
        <c:numFmt formatCode="0.0" sourceLinked="1"/>
        <c:majorTickMark val="out"/>
        <c:minorTickMark val="none"/>
        <c:tickLblPos val="nextTo"/>
        <c:crossAx val="797731224"/>
        <c:crosses val="max"/>
        <c:crossBetween val="between"/>
      </c:valAx>
      <c:catAx>
        <c:axId val="797731224"/>
        <c:scaling>
          <c:orientation val="minMax"/>
        </c:scaling>
        <c:delete val="1"/>
        <c:axPos val="b"/>
        <c:numFmt formatCode="General" sourceLinked="1"/>
        <c:majorTickMark val="out"/>
        <c:minorTickMark val="none"/>
        <c:tickLblPos val="nextTo"/>
        <c:crossAx val="797721424"/>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Whanganui</a:t>
            </a:r>
          </a:p>
        </c:rich>
      </c:tx>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region'!$X$49</c:f>
              <c:strCache>
                <c:ptCount val="1"/>
                <c:pt idx="0">
                  <c:v>Whanganui</c:v>
                </c:pt>
              </c:strCache>
            </c:strRef>
          </c:tx>
          <c:spPr>
            <a:solidFill>
              <a:srgbClr val="4BACC6"/>
            </a:solidFill>
            <a:ln>
              <a:noFill/>
            </a:ln>
            <a:effectLst/>
          </c:spPr>
          <c:invertIfNegative val="0"/>
          <c:errBars>
            <c:errBarType val="both"/>
            <c:errValType val="cust"/>
            <c:noEndCap val="0"/>
            <c:plus>
              <c:numRef>
                <c:f>'DHB region'!$BB$43:$BD$43</c:f>
                <c:numCache>
                  <c:formatCode>General</c:formatCode>
                  <c:ptCount val="3"/>
                  <c:pt idx="0">
                    <c:v>5.5</c:v>
                  </c:pt>
                  <c:pt idx="1">
                    <c:v>6.1</c:v>
                  </c:pt>
                  <c:pt idx="2">
                    <c:v>5.5</c:v>
                  </c:pt>
                </c:numCache>
              </c:numRef>
            </c:plus>
            <c:minus>
              <c:numRef>
                <c:f>'DHB region'!$BB$43:$BD$43</c:f>
                <c:numCache>
                  <c:formatCode>General</c:formatCode>
                  <c:ptCount val="3"/>
                  <c:pt idx="0">
                    <c:v>5.5</c:v>
                  </c:pt>
                  <c:pt idx="1">
                    <c:v>6.1</c:v>
                  </c:pt>
                  <c:pt idx="2">
                    <c:v>5.5</c:v>
                  </c:pt>
                </c:numCache>
              </c:numRef>
            </c:minus>
            <c:spPr>
              <a:noFill/>
              <a:ln w="9525" cap="flat" cmpd="sng" algn="ctr">
                <a:solidFill>
                  <a:schemeClr val="tx1">
                    <a:lumMod val="65000"/>
                    <a:lumOff val="35000"/>
                  </a:schemeClr>
                </a:solidFill>
                <a:round/>
              </a:ln>
              <a:effectLst/>
            </c:spPr>
          </c:errBars>
          <c:cat>
            <c:strRef>
              <c:f>'DHB region'!$Z$12:$AB$12</c:f>
              <c:strCache>
                <c:ptCount val="3"/>
                <c:pt idx="0">
                  <c:v>2001-05</c:v>
                </c:pt>
                <c:pt idx="1">
                  <c:v>2006-10</c:v>
                </c:pt>
                <c:pt idx="2">
                  <c:v>2011-15</c:v>
                </c:pt>
              </c:strCache>
            </c:strRef>
          </c:cat>
          <c:val>
            <c:numRef>
              <c:f>'DHB region'!$Z$49:$AB$49</c:f>
              <c:numCache>
                <c:formatCode>0.0</c:formatCode>
                <c:ptCount val="3"/>
                <c:pt idx="0">
                  <c:v>16.724750057544099</c:v>
                </c:pt>
                <c:pt idx="1">
                  <c:v>17.021282945058999</c:v>
                </c:pt>
                <c:pt idx="2">
                  <c:v>13.137758294093</c:v>
                </c:pt>
              </c:numCache>
            </c:numRef>
          </c:val>
        </c:ser>
        <c:dLbls>
          <c:showLegendKey val="0"/>
          <c:showVal val="0"/>
          <c:showCatName val="0"/>
          <c:showSerName val="0"/>
          <c:showPercent val="0"/>
          <c:showBubbleSize val="0"/>
        </c:dLbls>
        <c:gapWidth val="40"/>
        <c:axId val="797724952"/>
        <c:axId val="797728872"/>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dPt>
          <c:cat>
            <c:strRef>
              <c:f>'DHB region'!$Z$12:$AB$12</c:f>
              <c:strCache>
                <c:ptCount val="3"/>
                <c:pt idx="0">
                  <c:v>2001-05</c:v>
                </c:pt>
                <c:pt idx="1">
                  <c:v>2006-10</c:v>
                </c:pt>
                <c:pt idx="2">
                  <c:v>2011-15</c:v>
                </c:pt>
              </c:strCache>
            </c:strRef>
          </c:cat>
          <c:val>
            <c:numRef>
              <c:f>'DHB region'!$Z$37:$AB$37</c:f>
              <c:numCache>
                <c:formatCode>0.0</c:formatCode>
                <c:ptCount val="3"/>
                <c:pt idx="0">
                  <c:v>12.20108133911698</c:v>
                </c:pt>
                <c:pt idx="1">
                  <c:v>11.755657480827461</c:v>
                </c:pt>
                <c:pt idx="2">
                  <c:v>11.261699848804099</c:v>
                </c:pt>
              </c:numCache>
            </c:numRef>
          </c:val>
          <c:smooth val="0"/>
        </c:ser>
        <c:dLbls>
          <c:showLegendKey val="0"/>
          <c:showVal val="0"/>
          <c:showCatName val="0"/>
          <c:showSerName val="0"/>
          <c:showPercent val="0"/>
          <c:showBubbleSize val="0"/>
        </c:dLbls>
        <c:marker val="1"/>
        <c:smooth val="0"/>
        <c:axId val="797732008"/>
        <c:axId val="797725736"/>
      </c:lineChart>
      <c:catAx>
        <c:axId val="797724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7728872"/>
        <c:crosses val="autoZero"/>
        <c:auto val="1"/>
        <c:lblAlgn val="ctr"/>
        <c:lblOffset val="100"/>
        <c:noMultiLvlLbl val="0"/>
      </c:catAx>
      <c:valAx>
        <c:axId val="797728872"/>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7724952"/>
        <c:crosses val="autoZero"/>
        <c:crossBetween val="between"/>
      </c:valAx>
      <c:valAx>
        <c:axId val="797725736"/>
        <c:scaling>
          <c:orientation val="minMax"/>
          <c:max val="20"/>
        </c:scaling>
        <c:delete val="1"/>
        <c:axPos val="r"/>
        <c:numFmt formatCode="0.0" sourceLinked="1"/>
        <c:majorTickMark val="out"/>
        <c:minorTickMark val="none"/>
        <c:tickLblPos val="nextTo"/>
        <c:crossAx val="797732008"/>
        <c:crosses val="max"/>
        <c:crossBetween val="between"/>
      </c:valAx>
      <c:catAx>
        <c:axId val="797732008"/>
        <c:scaling>
          <c:orientation val="minMax"/>
        </c:scaling>
        <c:delete val="1"/>
        <c:axPos val="b"/>
        <c:numFmt formatCode="General" sourceLinked="1"/>
        <c:majorTickMark val="out"/>
        <c:minorTickMark val="none"/>
        <c:tickLblPos val="nextTo"/>
        <c:crossAx val="79772573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Capital &amp; Coast</a:t>
            </a:r>
          </a:p>
        </c:rich>
      </c:tx>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region'!$X$50</c:f>
              <c:strCache>
                <c:ptCount val="1"/>
                <c:pt idx="0">
                  <c:v>Capital &amp; Coast</c:v>
                </c:pt>
              </c:strCache>
            </c:strRef>
          </c:tx>
          <c:spPr>
            <a:solidFill>
              <a:srgbClr val="4BACC6"/>
            </a:solidFill>
            <a:ln>
              <a:noFill/>
            </a:ln>
            <a:effectLst/>
          </c:spPr>
          <c:invertIfNegative val="0"/>
          <c:errBars>
            <c:errBarType val="both"/>
            <c:errValType val="cust"/>
            <c:noEndCap val="0"/>
            <c:plus>
              <c:numRef>
                <c:f>'DHB region'!$BB$44:$BD$44</c:f>
                <c:numCache>
                  <c:formatCode>General</c:formatCode>
                  <c:ptCount val="3"/>
                  <c:pt idx="0">
                    <c:v>1.8</c:v>
                  </c:pt>
                  <c:pt idx="1">
                    <c:v>1.9</c:v>
                  </c:pt>
                  <c:pt idx="2">
                    <c:v>1.8</c:v>
                  </c:pt>
                </c:numCache>
              </c:numRef>
            </c:plus>
            <c:minus>
              <c:numRef>
                <c:f>'DHB region'!$BB$44:$BD$44</c:f>
                <c:numCache>
                  <c:formatCode>General</c:formatCode>
                  <c:ptCount val="3"/>
                  <c:pt idx="0">
                    <c:v>1.8</c:v>
                  </c:pt>
                  <c:pt idx="1">
                    <c:v>1.9</c:v>
                  </c:pt>
                  <c:pt idx="2">
                    <c:v>1.8</c:v>
                  </c:pt>
                </c:numCache>
              </c:numRef>
            </c:minus>
            <c:spPr>
              <a:noFill/>
              <a:ln w="9525" cap="flat" cmpd="sng" algn="ctr">
                <a:solidFill>
                  <a:schemeClr val="tx1">
                    <a:lumMod val="65000"/>
                    <a:lumOff val="35000"/>
                  </a:schemeClr>
                </a:solidFill>
                <a:round/>
              </a:ln>
              <a:effectLst/>
            </c:spPr>
          </c:errBars>
          <c:cat>
            <c:strRef>
              <c:f>'DHB region'!$Z$12:$AB$12</c:f>
              <c:strCache>
                <c:ptCount val="3"/>
                <c:pt idx="0">
                  <c:v>2001-05</c:v>
                </c:pt>
                <c:pt idx="1">
                  <c:v>2006-10</c:v>
                </c:pt>
                <c:pt idx="2">
                  <c:v>2011-15</c:v>
                </c:pt>
              </c:strCache>
            </c:strRef>
          </c:cat>
          <c:val>
            <c:numRef>
              <c:f>'DHB region'!$Z$50:$AB$50</c:f>
              <c:numCache>
                <c:formatCode>0.0</c:formatCode>
                <c:ptCount val="3"/>
                <c:pt idx="0">
                  <c:v>10.2100708945399</c:v>
                </c:pt>
                <c:pt idx="1">
                  <c:v>8.0692533796053194</c:v>
                </c:pt>
                <c:pt idx="2">
                  <c:v>8.2147948931406898</c:v>
                </c:pt>
              </c:numCache>
            </c:numRef>
          </c:val>
        </c:ser>
        <c:dLbls>
          <c:showLegendKey val="0"/>
          <c:showVal val="0"/>
          <c:showCatName val="0"/>
          <c:showSerName val="0"/>
          <c:showPercent val="0"/>
          <c:showBubbleSize val="0"/>
        </c:dLbls>
        <c:gapWidth val="40"/>
        <c:axId val="797728088"/>
        <c:axId val="797721816"/>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dPt>
          <c:cat>
            <c:strRef>
              <c:f>'DHB region'!$Z$12:$AB$12</c:f>
              <c:strCache>
                <c:ptCount val="3"/>
                <c:pt idx="0">
                  <c:v>2001-05</c:v>
                </c:pt>
                <c:pt idx="1">
                  <c:v>2006-10</c:v>
                </c:pt>
                <c:pt idx="2">
                  <c:v>2011-15</c:v>
                </c:pt>
              </c:strCache>
            </c:strRef>
          </c:cat>
          <c:val>
            <c:numRef>
              <c:f>'DHB region'!$Z$37:$AB$37</c:f>
              <c:numCache>
                <c:formatCode>0.0</c:formatCode>
                <c:ptCount val="3"/>
                <c:pt idx="0">
                  <c:v>12.20108133911698</c:v>
                </c:pt>
                <c:pt idx="1">
                  <c:v>11.755657480827461</c:v>
                </c:pt>
                <c:pt idx="2">
                  <c:v>11.261699848804099</c:v>
                </c:pt>
              </c:numCache>
            </c:numRef>
          </c:val>
          <c:smooth val="0"/>
        </c:ser>
        <c:dLbls>
          <c:showLegendKey val="0"/>
          <c:showVal val="0"/>
          <c:showCatName val="0"/>
          <c:showSerName val="0"/>
          <c:showPercent val="0"/>
          <c:showBubbleSize val="0"/>
        </c:dLbls>
        <c:marker val="1"/>
        <c:smooth val="0"/>
        <c:axId val="797728480"/>
        <c:axId val="797722600"/>
      </c:lineChart>
      <c:catAx>
        <c:axId val="797728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7721816"/>
        <c:crosses val="autoZero"/>
        <c:auto val="1"/>
        <c:lblAlgn val="ctr"/>
        <c:lblOffset val="100"/>
        <c:noMultiLvlLbl val="0"/>
      </c:catAx>
      <c:valAx>
        <c:axId val="797721816"/>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7728088"/>
        <c:crosses val="autoZero"/>
        <c:crossBetween val="between"/>
      </c:valAx>
      <c:valAx>
        <c:axId val="797722600"/>
        <c:scaling>
          <c:orientation val="minMax"/>
          <c:max val="20"/>
        </c:scaling>
        <c:delete val="1"/>
        <c:axPos val="r"/>
        <c:numFmt formatCode="0.0" sourceLinked="1"/>
        <c:majorTickMark val="out"/>
        <c:minorTickMark val="none"/>
        <c:tickLblPos val="nextTo"/>
        <c:crossAx val="797728480"/>
        <c:crosses val="max"/>
        <c:crossBetween val="between"/>
      </c:valAx>
      <c:catAx>
        <c:axId val="797728480"/>
        <c:scaling>
          <c:orientation val="minMax"/>
        </c:scaling>
        <c:delete val="1"/>
        <c:axPos val="b"/>
        <c:numFmt formatCode="General" sourceLinked="1"/>
        <c:majorTickMark val="out"/>
        <c:minorTickMark val="none"/>
        <c:tickLblPos val="nextTo"/>
        <c:crossAx val="797722600"/>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Hutt Valley</a:t>
            </a:r>
          </a:p>
        </c:rich>
      </c:tx>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region'!$X$51</c:f>
              <c:strCache>
                <c:ptCount val="1"/>
                <c:pt idx="0">
                  <c:v>Hutt Valley</c:v>
                </c:pt>
              </c:strCache>
            </c:strRef>
          </c:tx>
          <c:spPr>
            <a:solidFill>
              <a:srgbClr val="4BACC6"/>
            </a:solidFill>
            <a:ln>
              <a:noFill/>
            </a:ln>
            <a:effectLst/>
          </c:spPr>
          <c:invertIfNegative val="0"/>
          <c:errBars>
            <c:errBarType val="both"/>
            <c:errValType val="cust"/>
            <c:noEndCap val="0"/>
            <c:plus>
              <c:numRef>
                <c:f>'DHB region'!$BB$45:$BD$45</c:f>
                <c:numCache>
                  <c:formatCode>General</c:formatCode>
                  <c:ptCount val="3"/>
                  <c:pt idx="0">
                    <c:v>3.3</c:v>
                  </c:pt>
                  <c:pt idx="1">
                    <c:v>3</c:v>
                  </c:pt>
                  <c:pt idx="2">
                    <c:v>3.3</c:v>
                  </c:pt>
                </c:numCache>
              </c:numRef>
            </c:plus>
            <c:minus>
              <c:numRef>
                <c:f>'DHB region'!$BB$45:$BD$45</c:f>
                <c:numCache>
                  <c:formatCode>General</c:formatCode>
                  <c:ptCount val="3"/>
                  <c:pt idx="0">
                    <c:v>3.3</c:v>
                  </c:pt>
                  <c:pt idx="1">
                    <c:v>3</c:v>
                  </c:pt>
                  <c:pt idx="2">
                    <c:v>3.3</c:v>
                  </c:pt>
                </c:numCache>
              </c:numRef>
            </c:minus>
            <c:spPr>
              <a:noFill/>
              <a:ln w="9525" cap="flat" cmpd="sng" algn="ctr">
                <a:solidFill>
                  <a:schemeClr val="tx1">
                    <a:lumMod val="65000"/>
                    <a:lumOff val="35000"/>
                  </a:schemeClr>
                </a:solidFill>
                <a:round/>
              </a:ln>
              <a:effectLst/>
            </c:spPr>
          </c:errBars>
          <c:cat>
            <c:strRef>
              <c:f>'DHB region'!$Z$12:$AB$12</c:f>
              <c:strCache>
                <c:ptCount val="3"/>
                <c:pt idx="0">
                  <c:v>2001-05</c:v>
                </c:pt>
                <c:pt idx="1">
                  <c:v>2006-10</c:v>
                </c:pt>
                <c:pt idx="2">
                  <c:v>2011-15</c:v>
                </c:pt>
              </c:strCache>
            </c:strRef>
          </c:cat>
          <c:val>
            <c:numRef>
              <c:f>'DHB region'!$Z$51:$AB$51</c:f>
              <c:numCache>
                <c:formatCode>0.0</c:formatCode>
                <c:ptCount val="3"/>
                <c:pt idx="0">
                  <c:v>10.0405019285545</c:v>
                </c:pt>
                <c:pt idx="1">
                  <c:v>9.8819040402574796</c:v>
                </c:pt>
                <c:pt idx="2">
                  <c:v>12.0035432286529</c:v>
                </c:pt>
              </c:numCache>
            </c:numRef>
          </c:val>
        </c:ser>
        <c:dLbls>
          <c:showLegendKey val="0"/>
          <c:showVal val="0"/>
          <c:showCatName val="0"/>
          <c:showSerName val="0"/>
          <c:showPercent val="0"/>
          <c:showBubbleSize val="0"/>
        </c:dLbls>
        <c:gapWidth val="40"/>
        <c:axId val="797729656"/>
        <c:axId val="797730048"/>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dPt>
          <c:cat>
            <c:strRef>
              <c:f>'DHB region'!$Z$12:$AB$12</c:f>
              <c:strCache>
                <c:ptCount val="3"/>
                <c:pt idx="0">
                  <c:v>2001-05</c:v>
                </c:pt>
                <c:pt idx="1">
                  <c:v>2006-10</c:v>
                </c:pt>
                <c:pt idx="2">
                  <c:v>2011-15</c:v>
                </c:pt>
              </c:strCache>
            </c:strRef>
          </c:cat>
          <c:val>
            <c:numRef>
              <c:f>'DHB region'!$Z$37:$AB$37</c:f>
              <c:numCache>
                <c:formatCode>0.0</c:formatCode>
                <c:ptCount val="3"/>
                <c:pt idx="0">
                  <c:v>12.20108133911698</c:v>
                </c:pt>
                <c:pt idx="1">
                  <c:v>11.755657480827461</c:v>
                </c:pt>
                <c:pt idx="2">
                  <c:v>11.261699848804099</c:v>
                </c:pt>
              </c:numCache>
            </c:numRef>
          </c:val>
          <c:smooth val="0"/>
        </c:ser>
        <c:dLbls>
          <c:showLegendKey val="0"/>
          <c:showVal val="0"/>
          <c:showCatName val="0"/>
          <c:showSerName val="0"/>
          <c:showPercent val="0"/>
          <c:showBubbleSize val="0"/>
        </c:dLbls>
        <c:marker val="1"/>
        <c:smooth val="0"/>
        <c:axId val="797733576"/>
        <c:axId val="797733184"/>
      </c:lineChart>
      <c:catAx>
        <c:axId val="797729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7730048"/>
        <c:crosses val="autoZero"/>
        <c:auto val="1"/>
        <c:lblAlgn val="ctr"/>
        <c:lblOffset val="100"/>
        <c:noMultiLvlLbl val="0"/>
      </c:catAx>
      <c:valAx>
        <c:axId val="797730048"/>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7729656"/>
        <c:crosses val="autoZero"/>
        <c:crossBetween val="between"/>
      </c:valAx>
      <c:valAx>
        <c:axId val="797733184"/>
        <c:scaling>
          <c:orientation val="minMax"/>
          <c:max val="20"/>
        </c:scaling>
        <c:delete val="1"/>
        <c:axPos val="r"/>
        <c:numFmt formatCode="0.0" sourceLinked="1"/>
        <c:majorTickMark val="out"/>
        <c:minorTickMark val="none"/>
        <c:tickLblPos val="nextTo"/>
        <c:crossAx val="797733576"/>
        <c:crosses val="max"/>
        <c:crossBetween val="between"/>
      </c:valAx>
      <c:catAx>
        <c:axId val="797733576"/>
        <c:scaling>
          <c:orientation val="minMax"/>
        </c:scaling>
        <c:delete val="1"/>
        <c:axPos val="b"/>
        <c:numFmt formatCode="General" sourceLinked="1"/>
        <c:majorTickMark val="out"/>
        <c:minorTickMark val="none"/>
        <c:tickLblPos val="nextTo"/>
        <c:crossAx val="797733184"/>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Wairarapa</a:t>
            </a:r>
          </a:p>
        </c:rich>
      </c:tx>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region'!$X$52</c:f>
              <c:strCache>
                <c:ptCount val="1"/>
                <c:pt idx="0">
                  <c:v>Wairarapa</c:v>
                </c:pt>
              </c:strCache>
            </c:strRef>
          </c:tx>
          <c:spPr>
            <a:solidFill>
              <a:srgbClr val="4BACC6"/>
            </a:solidFill>
            <a:ln>
              <a:noFill/>
            </a:ln>
            <a:effectLst/>
          </c:spPr>
          <c:invertIfNegative val="0"/>
          <c:errBars>
            <c:errBarType val="both"/>
            <c:errValType val="cust"/>
            <c:noEndCap val="0"/>
            <c:plus>
              <c:numRef>
                <c:f>'DHB region'!$BB$46:$BD$46</c:f>
                <c:numCache>
                  <c:formatCode>General</c:formatCode>
                  <c:ptCount val="3"/>
                  <c:pt idx="0">
                    <c:v>8</c:v>
                  </c:pt>
                  <c:pt idx="1">
                    <c:v>7.6</c:v>
                  </c:pt>
                  <c:pt idx="2">
                    <c:v>8</c:v>
                  </c:pt>
                </c:numCache>
              </c:numRef>
            </c:plus>
            <c:minus>
              <c:numRef>
                <c:f>'DHB region'!$BB$46:$BD$46</c:f>
                <c:numCache>
                  <c:formatCode>General</c:formatCode>
                  <c:ptCount val="3"/>
                  <c:pt idx="0">
                    <c:v>8</c:v>
                  </c:pt>
                  <c:pt idx="1">
                    <c:v>7.6</c:v>
                  </c:pt>
                  <c:pt idx="2">
                    <c:v>8</c:v>
                  </c:pt>
                </c:numCache>
              </c:numRef>
            </c:minus>
            <c:spPr>
              <a:noFill/>
              <a:ln w="9525" cap="flat" cmpd="sng" algn="ctr">
                <a:solidFill>
                  <a:schemeClr val="tx1">
                    <a:lumMod val="65000"/>
                    <a:lumOff val="35000"/>
                  </a:schemeClr>
                </a:solidFill>
                <a:round/>
              </a:ln>
              <a:effectLst/>
            </c:spPr>
          </c:errBars>
          <c:cat>
            <c:strRef>
              <c:f>'DHB region'!$Z$12:$AB$12</c:f>
              <c:strCache>
                <c:ptCount val="3"/>
                <c:pt idx="0">
                  <c:v>2001-05</c:v>
                </c:pt>
                <c:pt idx="1">
                  <c:v>2006-10</c:v>
                </c:pt>
                <c:pt idx="2">
                  <c:v>2011-15</c:v>
                </c:pt>
              </c:strCache>
            </c:strRef>
          </c:cat>
          <c:val>
            <c:numRef>
              <c:f>'DHB region'!$Z$52:$AB$52</c:f>
              <c:numCache>
                <c:formatCode>0.0</c:formatCode>
                <c:ptCount val="3"/>
                <c:pt idx="0">
                  <c:v>18.893739860702102</c:v>
                </c:pt>
                <c:pt idx="1">
                  <c:v>15.005777356008499</c:v>
                </c:pt>
                <c:pt idx="2">
                  <c:v>18.386070369359601</c:v>
                </c:pt>
              </c:numCache>
            </c:numRef>
          </c:val>
        </c:ser>
        <c:dLbls>
          <c:showLegendKey val="0"/>
          <c:showVal val="0"/>
          <c:showCatName val="0"/>
          <c:showSerName val="0"/>
          <c:showPercent val="0"/>
          <c:showBubbleSize val="0"/>
        </c:dLbls>
        <c:gapWidth val="40"/>
        <c:axId val="797734360"/>
        <c:axId val="797735536"/>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dPt>
          <c:cat>
            <c:strRef>
              <c:f>'DHB region'!$Z$12:$AB$12</c:f>
              <c:strCache>
                <c:ptCount val="3"/>
                <c:pt idx="0">
                  <c:v>2001-05</c:v>
                </c:pt>
                <c:pt idx="1">
                  <c:v>2006-10</c:v>
                </c:pt>
                <c:pt idx="2">
                  <c:v>2011-15</c:v>
                </c:pt>
              </c:strCache>
            </c:strRef>
          </c:cat>
          <c:val>
            <c:numRef>
              <c:f>'DHB region'!$Z$37:$AB$37</c:f>
              <c:numCache>
                <c:formatCode>0.0</c:formatCode>
                <c:ptCount val="3"/>
                <c:pt idx="0">
                  <c:v>12.20108133911698</c:v>
                </c:pt>
                <c:pt idx="1">
                  <c:v>11.755657480827461</c:v>
                </c:pt>
                <c:pt idx="2">
                  <c:v>11.261699848804099</c:v>
                </c:pt>
              </c:numCache>
            </c:numRef>
          </c:val>
          <c:smooth val="0"/>
        </c:ser>
        <c:dLbls>
          <c:showLegendKey val="0"/>
          <c:showVal val="0"/>
          <c:showCatName val="0"/>
          <c:showSerName val="0"/>
          <c:showPercent val="0"/>
          <c:showBubbleSize val="0"/>
        </c:dLbls>
        <c:marker val="1"/>
        <c:smooth val="0"/>
        <c:axId val="797734752"/>
        <c:axId val="797735928"/>
      </c:lineChart>
      <c:catAx>
        <c:axId val="797734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7735536"/>
        <c:crosses val="autoZero"/>
        <c:auto val="1"/>
        <c:lblAlgn val="ctr"/>
        <c:lblOffset val="100"/>
        <c:noMultiLvlLbl val="0"/>
      </c:catAx>
      <c:valAx>
        <c:axId val="797735536"/>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7734360"/>
        <c:crosses val="autoZero"/>
        <c:crossBetween val="between"/>
      </c:valAx>
      <c:valAx>
        <c:axId val="797735928"/>
        <c:scaling>
          <c:orientation val="minMax"/>
          <c:max val="20"/>
        </c:scaling>
        <c:delete val="1"/>
        <c:axPos val="r"/>
        <c:numFmt formatCode="0.0" sourceLinked="1"/>
        <c:majorTickMark val="out"/>
        <c:minorTickMark val="none"/>
        <c:tickLblPos val="nextTo"/>
        <c:crossAx val="797734752"/>
        <c:crosses val="max"/>
        <c:crossBetween val="between"/>
      </c:valAx>
      <c:catAx>
        <c:axId val="797734752"/>
        <c:scaling>
          <c:orientation val="minMax"/>
        </c:scaling>
        <c:delete val="1"/>
        <c:axPos val="b"/>
        <c:numFmt formatCode="General" sourceLinked="1"/>
        <c:majorTickMark val="out"/>
        <c:minorTickMark val="none"/>
        <c:tickLblPos val="nextTo"/>
        <c:crossAx val="79773592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Nelson Marlborough</a:t>
            </a:r>
          </a:p>
        </c:rich>
      </c:tx>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region'!$X$53</c:f>
              <c:strCache>
                <c:ptCount val="1"/>
                <c:pt idx="0">
                  <c:v>Nelson Marlborough</c:v>
                </c:pt>
              </c:strCache>
            </c:strRef>
          </c:tx>
          <c:spPr>
            <a:solidFill>
              <a:srgbClr val="4BACC6"/>
            </a:solidFill>
            <a:ln>
              <a:noFill/>
            </a:ln>
            <a:effectLst/>
          </c:spPr>
          <c:invertIfNegative val="0"/>
          <c:errBars>
            <c:errBarType val="both"/>
            <c:errValType val="cust"/>
            <c:noEndCap val="0"/>
            <c:plus>
              <c:numRef>
                <c:f>'DHB region'!$BB$47:$BD$47</c:f>
                <c:numCache>
                  <c:formatCode>General</c:formatCode>
                  <c:ptCount val="3"/>
                  <c:pt idx="0">
                    <c:v>3</c:v>
                  </c:pt>
                  <c:pt idx="1">
                    <c:v>3.5</c:v>
                  </c:pt>
                  <c:pt idx="2">
                    <c:v>3</c:v>
                  </c:pt>
                </c:numCache>
              </c:numRef>
            </c:plus>
            <c:minus>
              <c:numRef>
                <c:f>'DHB region'!$BB$47:$BD$47</c:f>
                <c:numCache>
                  <c:formatCode>General</c:formatCode>
                  <c:ptCount val="3"/>
                  <c:pt idx="0">
                    <c:v>3</c:v>
                  </c:pt>
                  <c:pt idx="1">
                    <c:v>3.5</c:v>
                  </c:pt>
                  <c:pt idx="2">
                    <c:v>3</c:v>
                  </c:pt>
                </c:numCache>
              </c:numRef>
            </c:minus>
            <c:spPr>
              <a:noFill/>
              <a:ln w="9525" cap="flat" cmpd="sng" algn="ctr">
                <a:solidFill>
                  <a:schemeClr val="tx1">
                    <a:lumMod val="65000"/>
                    <a:lumOff val="35000"/>
                  </a:schemeClr>
                </a:solidFill>
                <a:round/>
              </a:ln>
              <a:effectLst/>
            </c:spPr>
          </c:errBars>
          <c:cat>
            <c:strRef>
              <c:f>'DHB region'!$Z$12:$AB$12</c:f>
              <c:strCache>
                <c:ptCount val="3"/>
                <c:pt idx="0">
                  <c:v>2001-05</c:v>
                </c:pt>
                <c:pt idx="1">
                  <c:v>2006-10</c:v>
                </c:pt>
                <c:pt idx="2">
                  <c:v>2011-15</c:v>
                </c:pt>
              </c:strCache>
            </c:strRef>
          </c:cat>
          <c:val>
            <c:numRef>
              <c:f>'DHB region'!$Z$53:$AB$53</c:f>
              <c:numCache>
                <c:formatCode>0.0</c:formatCode>
                <c:ptCount val="3"/>
                <c:pt idx="0">
                  <c:v>12.857145446404401</c:v>
                </c:pt>
                <c:pt idx="1">
                  <c:v>12.504188151762699</c:v>
                </c:pt>
                <c:pt idx="2">
                  <c:v>10.42842654423</c:v>
                </c:pt>
              </c:numCache>
            </c:numRef>
          </c:val>
        </c:ser>
        <c:dLbls>
          <c:showLegendKey val="0"/>
          <c:showVal val="0"/>
          <c:showCatName val="0"/>
          <c:showSerName val="0"/>
          <c:showPercent val="0"/>
          <c:showBubbleSize val="0"/>
        </c:dLbls>
        <c:gapWidth val="40"/>
        <c:axId val="797736320"/>
        <c:axId val="603077216"/>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dPt>
          <c:cat>
            <c:strRef>
              <c:f>'DHB region'!$Z$12:$AB$12</c:f>
              <c:strCache>
                <c:ptCount val="3"/>
                <c:pt idx="0">
                  <c:v>2001-05</c:v>
                </c:pt>
                <c:pt idx="1">
                  <c:v>2006-10</c:v>
                </c:pt>
                <c:pt idx="2">
                  <c:v>2011-15</c:v>
                </c:pt>
              </c:strCache>
            </c:strRef>
          </c:cat>
          <c:val>
            <c:numRef>
              <c:f>'DHB region'!$Z$37:$AB$37</c:f>
              <c:numCache>
                <c:formatCode>0.0</c:formatCode>
                <c:ptCount val="3"/>
                <c:pt idx="0">
                  <c:v>12.20108133911698</c:v>
                </c:pt>
                <c:pt idx="1">
                  <c:v>11.755657480827461</c:v>
                </c:pt>
                <c:pt idx="2">
                  <c:v>11.261699848804099</c:v>
                </c:pt>
              </c:numCache>
            </c:numRef>
          </c:val>
          <c:smooth val="0"/>
        </c:ser>
        <c:dLbls>
          <c:showLegendKey val="0"/>
          <c:showVal val="0"/>
          <c:showCatName val="0"/>
          <c:showSerName val="0"/>
          <c:showPercent val="0"/>
          <c:showBubbleSize val="0"/>
        </c:dLbls>
        <c:marker val="1"/>
        <c:smooth val="0"/>
        <c:axId val="603072120"/>
        <c:axId val="603076040"/>
      </c:lineChart>
      <c:catAx>
        <c:axId val="797736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3077216"/>
        <c:crosses val="autoZero"/>
        <c:auto val="1"/>
        <c:lblAlgn val="ctr"/>
        <c:lblOffset val="100"/>
        <c:noMultiLvlLbl val="0"/>
      </c:catAx>
      <c:valAx>
        <c:axId val="603077216"/>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7736320"/>
        <c:crosses val="autoZero"/>
        <c:crossBetween val="between"/>
      </c:valAx>
      <c:valAx>
        <c:axId val="603076040"/>
        <c:scaling>
          <c:orientation val="minMax"/>
          <c:max val="20"/>
        </c:scaling>
        <c:delete val="1"/>
        <c:axPos val="r"/>
        <c:numFmt formatCode="0.0" sourceLinked="1"/>
        <c:majorTickMark val="out"/>
        <c:minorTickMark val="none"/>
        <c:tickLblPos val="nextTo"/>
        <c:crossAx val="603072120"/>
        <c:crosses val="max"/>
        <c:crossBetween val="between"/>
      </c:valAx>
      <c:catAx>
        <c:axId val="603072120"/>
        <c:scaling>
          <c:orientation val="minMax"/>
        </c:scaling>
        <c:delete val="1"/>
        <c:axPos val="b"/>
        <c:numFmt formatCode="General" sourceLinked="1"/>
        <c:majorTickMark val="out"/>
        <c:minorTickMark val="none"/>
        <c:tickLblPos val="nextTo"/>
        <c:crossAx val="603076040"/>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West Coast</a:t>
            </a:r>
          </a:p>
        </c:rich>
      </c:tx>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2636468078122434"/>
          <c:y val="0.14924254742547424"/>
          <c:w val="0.81631544395207611"/>
          <c:h val="0.66163414634146345"/>
        </c:manualLayout>
      </c:layout>
      <c:barChart>
        <c:barDir val="col"/>
        <c:grouping val="clustered"/>
        <c:varyColors val="0"/>
        <c:ser>
          <c:idx val="0"/>
          <c:order val="0"/>
          <c:tx>
            <c:strRef>
              <c:f>'DHB region'!$X$54</c:f>
              <c:strCache>
                <c:ptCount val="1"/>
                <c:pt idx="0">
                  <c:v>West Coast</c:v>
                </c:pt>
              </c:strCache>
            </c:strRef>
          </c:tx>
          <c:spPr>
            <a:solidFill>
              <a:srgbClr val="4BACC6"/>
            </a:solidFill>
            <a:ln>
              <a:noFill/>
            </a:ln>
            <a:effectLst/>
          </c:spPr>
          <c:invertIfNegative val="0"/>
          <c:errBars>
            <c:errBarType val="both"/>
            <c:errValType val="cust"/>
            <c:noEndCap val="0"/>
            <c:plus>
              <c:numRef>
                <c:f>'DHB region'!$BB$48:$BD$48</c:f>
                <c:numCache>
                  <c:formatCode>General</c:formatCode>
                  <c:ptCount val="3"/>
                  <c:pt idx="0">
                    <c:v>9.6</c:v>
                  </c:pt>
                  <c:pt idx="1">
                    <c:v>7.9</c:v>
                  </c:pt>
                  <c:pt idx="2">
                    <c:v>9.6</c:v>
                  </c:pt>
                </c:numCache>
              </c:numRef>
            </c:plus>
            <c:minus>
              <c:numRef>
                <c:f>'DHB region'!$BB$48:$BD$48</c:f>
                <c:numCache>
                  <c:formatCode>General</c:formatCode>
                  <c:ptCount val="3"/>
                  <c:pt idx="0">
                    <c:v>9.6</c:v>
                  </c:pt>
                  <c:pt idx="1">
                    <c:v>7.9</c:v>
                  </c:pt>
                  <c:pt idx="2">
                    <c:v>9.6</c:v>
                  </c:pt>
                </c:numCache>
              </c:numRef>
            </c:minus>
            <c:spPr>
              <a:noFill/>
              <a:ln w="9525" cap="flat" cmpd="sng" algn="ctr">
                <a:solidFill>
                  <a:schemeClr val="tx1">
                    <a:lumMod val="65000"/>
                    <a:lumOff val="35000"/>
                  </a:schemeClr>
                </a:solidFill>
                <a:round/>
              </a:ln>
              <a:effectLst/>
            </c:spPr>
          </c:errBars>
          <c:cat>
            <c:strRef>
              <c:f>'DHB region'!$Z$12:$AB$12</c:f>
              <c:strCache>
                <c:ptCount val="3"/>
                <c:pt idx="0">
                  <c:v>2001-05</c:v>
                </c:pt>
                <c:pt idx="1">
                  <c:v>2006-10</c:v>
                </c:pt>
                <c:pt idx="2">
                  <c:v>2011-15</c:v>
                </c:pt>
              </c:strCache>
            </c:strRef>
          </c:cat>
          <c:val>
            <c:numRef>
              <c:f>'DHB region'!$Z$54:$AB$54</c:f>
              <c:numCache>
                <c:formatCode>0.0</c:formatCode>
                <c:ptCount val="3"/>
                <c:pt idx="0">
                  <c:v>11.7883813845277</c:v>
                </c:pt>
                <c:pt idx="1">
                  <c:v>16.316205271064799</c:v>
                </c:pt>
                <c:pt idx="2">
                  <c:v>20.8354789012478</c:v>
                </c:pt>
              </c:numCache>
            </c:numRef>
          </c:val>
        </c:ser>
        <c:dLbls>
          <c:showLegendKey val="0"/>
          <c:showVal val="0"/>
          <c:showCatName val="0"/>
          <c:showSerName val="0"/>
          <c:showPercent val="0"/>
          <c:showBubbleSize val="0"/>
        </c:dLbls>
        <c:gapWidth val="40"/>
        <c:axId val="603070944"/>
        <c:axId val="603077608"/>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0"/>
            <c:marker>
              <c:symbol val="dash"/>
              <c:size val="13"/>
              <c:spPr>
                <a:solidFill>
                  <a:schemeClr val="tx1"/>
                </a:solidFill>
                <a:ln w="9525">
                  <a:noFill/>
                </a:ln>
                <a:effectLst/>
              </c:spPr>
            </c:marker>
            <c:bubble3D val="0"/>
          </c:dPt>
          <c:dPt>
            <c:idx val="2"/>
            <c:marker>
              <c:symbol val="dash"/>
              <c:size val="13"/>
              <c:spPr>
                <a:solidFill>
                  <a:schemeClr val="tx1"/>
                </a:solidFill>
                <a:ln w="9525">
                  <a:noFill/>
                </a:ln>
                <a:effectLst/>
              </c:spPr>
            </c:marker>
            <c:bubble3D val="0"/>
          </c:dPt>
          <c:cat>
            <c:strRef>
              <c:f>'DHB region'!$Z$12:$AB$12</c:f>
              <c:strCache>
                <c:ptCount val="3"/>
                <c:pt idx="0">
                  <c:v>2001-05</c:v>
                </c:pt>
                <c:pt idx="1">
                  <c:v>2006-10</c:v>
                </c:pt>
                <c:pt idx="2">
                  <c:v>2011-15</c:v>
                </c:pt>
              </c:strCache>
            </c:strRef>
          </c:cat>
          <c:val>
            <c:numRef>
              <c:f>'DHB region'!$Z$37:$AB$37</c:f>
              <c:numCache>
                <c:formatCode>0.0</c:formatCode>
                <c:ptCount val="3"/>
                <c:pt idx="0">
                  <c:v>12.20108133911698</c:v>
                </c:pt>
                <c:pt idx="1">
                  <c:v>11.755657480827461</c:v>
                </c:pt>
                <c:pt idx="2">
                  <c:v>11.261699848804099</c:v>
                </c:pt>
              </c:numCache>
            </c:numRef>
          </c:val>
          <c:smooth val="0"/>
        </c:ser>
        <c:dLbls>
          <c:showLegendKey val="0"/>
          <c:showVal val="0"/>
          <c:showCatName val="0"/>
          <c:showSerName val="0"/>
          <c:showPercent val="0"/>
          <c:showBubbleSize val="0"/>
        </c:dLbls>
        <c:marker val="1"/>
        <c:smooth val="0"/>
        <c:axId val="603070552"/>
        <c:axId val="603078000"/>
      </c:lineChart>
      <c:catAx>
        <c:axId val="603070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3077608"/>
        <c:crosses val="autoZero"/>
        <c:auto val="1"/>
        <c:lblAlgn val="ctr"/>
        <c:lblOffset val="100"/>
        <c:noMultiLvlLbl val="0"/>
      </c:catAx>
      <c:valAx>
        <c:axId val="603077608"/>
        <c:scaling>
          <c:orientation val="minMax"/>
          <c:max val="3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3070944"/>
        <c:crosses val="autoZero"/>
        <c:crossBetween val="between"/>
      </c:valAx>
      <c:valAx>
        <c:axId val="603078000"/>
        <c:scaling>
          <c:orientation val="minMax"/>
          <c:max val="20"/>
        </c:scaling>
        <c:delete val="1"/>
        <c:axPos val="r"/>
        <c:numFmt formatCode="0.0" sourceLinked="1"/>
        <c:majorTickMark val="out"/>
        <c:minorTickMark val="none"/>
        <c:tickLblPos val="nextTo"/>
        <c:crossAx val="603070552"/>
        <c:crosses val="max"/>
        <c:crossBetween val="between"/>
      </c:valAx>
      <c:catAx>
        <c:axId val="603070552"/>
        <c:scaling>
          <c:orientation val="minMax"/>
        </c:scaling>
        <c:delete val="1"/>
        <c:axPos val="b"/>
        <c:numFmt formatCode="General" sourceLinked="1"/>
        <c:majorTickMark val="out"/>
        <c:minorTickMark val="none"/>
        <c:tickLblPos val="nextTo"/>
        <c:crossAx val="603078000"/>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Canterbury</a:t>
            </a:r>
          </a:p>
        </c:rich>
      </c:tx>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region'!$X$55</c:f>
              <c:strCache>
                <c:ptCount val="1"/>
                <c:pt idx="0">
                  <c:v>Canterbury</c:v>
                </c:pt>
              </c:strCache>
            </c:strRef>
          </c:tx>
          <c:spPr>
            <a:solidFill>
              <a:srgbClr val="4BACC6"/>
            </a:solidFill>
            <a:ln>
              <a:noFill/>
            </a:ln>
            <a:effectLst/>
          </c:spPr>
          <c:invertIfNegative val="0"/>
          <c:errBars>
            <c:errBarType val="both"/>
            <c:errValType val="cust"/>
            <c:noEndCap val="0"/>
            <c:plus>
              <c:numRef>
                <c:f>'DHB region'!$BB$49:$BD$49</c:f>
                <c:numCache>
                  <c:formatCode>General</c:formatCode>
                  <c:ptCount val="3"/>
                  <c:pt idx="0">
                    <c:v>1.7</c:v>
                  </c:pt>
                  <c:pt idx="1">
                    <c:v>1.7</c:v>
                  </c:pt>
                  <c:pt idx="2">
                    <c:v>1.7</c:v>
                  </c:pt>
                </c:numCache>
              </c:numRef>
            </c:plus>
            <c:minus>
              <c:numRef>
                <c:f>'DHB region'!$BB$49:$BD$49</c:f>
                <c:numCache>
                  <c:formatCode>General</c:formatCode>
                  <c:ptCount val="3"/>
                  <c:pt idx="0">
                    <c:v>1.7</c:v>
                  </c:pt>
                  <c:pt idx="1">
                    <c:v>1.7</c:v>
                  </c:pt>
                  <c:pt idx="2">
                    <c:v>1.7</c:v>
                  </c:pt>
                </c:numCache>
              </c:numRef>
            </c:minus>
            <c:spPr>
              <a:noFill/>
              <a:ln w="9525" cap="flat" cmpd="sng" algn="ctr">
                <a:solidFill>
                  <a:schemeClr val="tx1">
                    <a:lumMod val="65000"/>
                    <a:lumOff val="35000"/>
                  </a:schemeClr>
                </a:solidFill>
                <a:round/>
              </a:ln>
              <a:effectLst/>
            </c:spPr>
          </c:errBars>
          <c:cat>
            <c:strRef>
              <c:f>'DHB region'!$Z$12:$AB$12</c:f>
              <c:strCache>
                <c:ptCount val="3"/>
                <c:pt idx="0">
                  <c:v>2001-05</c:v>
                </c:pt>
                <c:pt idx="1">
                  <c:v>2006-10</c:v>
                </c:pt>
                <c:pt idx="2">
                  <c:v>2011-15</c:v>
                </c:pt>
              </c:strCache>
            </c:strRef>
          </c:cat>
          <c:val>
            <c:numRef>
              <c:f>'DHB region'!$Z$55:$AB$55</c:f>
              <c:numCache>
                <c:formatCode>0.0</c:formatCode>
                <c:ptCount val="3"/>
                <c:pt idx="0">
                  <c:v>13.1906994158328</c:v>
                </c:pt>
                <c:pt idx="1">
                  <c:v>11.9051126890463</c:v>
                </c:pt>
                <c:pt idx="2">
                  <c:v>11.1715121811635</c:v>
                </c:pt>
              </c:numCache>
            </c:numRef>
          </c:val>
        </c:ser>
        <c:dLbls>
          <c:showLegendKey val="0"/>
          <c:showVal val="0"/>
          <c:showCatName val="0"/>
          <c:showSerName val="0"/>
          <c:showPercent val="0"/>
          <c:showBubbleSize val="0"/>
        </c:dLbls>
        <c:gapWidth val="40"/>
        <c:axId val="603074864"/>
        <c:axId val="603073688"/>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dPt>
          <c:cat>
            <c:strRef>
              <c:f>'DHB region'!$Z$12:$AB$12</c:f>
              <c:strCache>
                <c:ptCount val="3"/>
                <c:pt idx="0">
                  <c:v>2001-05</c:v>
                </c:pt>
                <c:pt idx="1">
                  <c:v>2006-10</c:v>
                </c:pt>
                <c:pt idx="2">
                  <c:v>2011-15</c:v>
                </c:pt>
              </c:strCache>
            </c:strRef>
          </c:cat>
          <c:val>
            <c:numRef>
              <c:f>'DHB region'!$Z$37:$AB$37</c:f>
              <c:numCache>
                <c:formatCode>0.0</c:formatCode>
                <c:ptCount val="3"/>
                <c:pt idx="0">
                  <c:v>12.20108133911698</c:v>
                </c:pt>
                <c:pt idx="1">
                  <c:v>11.755657480827461</c:v>
                </c:pt>
                <c:pt idx="2">
                  <c:v>11.261699848804099</c:v>
                </c:pt>
              </c:numCache>
            </c:numRef>
          </c:val>
          <c:smooth val="0"/>
        </c:ser>
        <c:dLbls>
          <c:showLegendKey val="0"/>
          <c:showVal val="0"/>
          <c:showCatName val="0"/>
          <c:showSerName val="0"/>
          <c:showPercent val="0"/>
          <c:showBubbleSize val="0"/>
        </c:dLbls>
        <c:marker val="1"/>
        <c:smooth val="0"/>
        <c:axId val="603071728"/>
        <c:axId val="603072904"/>
      </c:lineChart>
      <c:catAx>
        <c:axId val="60307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3073688"/>
        <c:crosses val="autoZero"/>
        <c:auto val="1"/>
        <c:lblAlgn val="ctr"/>
        <c:lblOffset val="100"/>
        <c:noMultiLvlLbl val="0"/>
      </c:catAx>
      <c:valAx>
        <c:axId val="603073688"/>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3074864"/>
        <c:crosses val="autoZero"/>
        <c:crossBetween val="between"/>
      </c:valAx>
      <c:valAx>
        <c:axId val="603072904"/>
        <c:scaling>
          <c:orientation val="minMax"/>
          <c:max val="20"/>
        </c:scaling>
        <c:delete val="1"/>
        <c:axPos val="r"/>
        <c:numFmt formatCode="0.0" sourceLinked="1"/>
        <c:majorTickMark val="out"/>
        <c:minorTickMark val="none"/>
        <c:tickLblPos val="nextTo"/>
        <c:crossAx val="603071728"/>
        <c:crosses val="max"/>
        <c:crossBetween val="between"/>
      </c:valAx>
      <c:catAx>
        <c:axId val="603071728"/>
        <c:scaling>
          <c:orientation val="minMax"/>
        </c:scaling>
        <c:delete val="1"/>
        <c:axPos val="b"/>
        <c:numFmt formatCode="General" sourceLinked="1"/>
        <c:majorTickMark val="out"/>
        <c:minorTickMark val="none"/>
        <c:tickLblPos val="nextTo"/>
        <c:crossAx val="603072904"/>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South Canterbury</a:t>
            </a:r>
          </a:p>
        </c:rich>
      </c:tx>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region'!$X$56</c:f>
              <c:strCache>
                <c:ptCount val="1"/>
                <c:pt idx="0">
                  <c:v>South Canterbury</c:v>
                </c:pt>
              </c:strCache>
            </c:strRef>
          </c:tx>
          <c:spPr>
            <a:solidFill>
              <a:srgbClr val="4BACC6"/>
            </a:solidFill>
            <a:ln>
              <a:noFill/>
            </a:ln>
            <a:effectLst/>
          </c:spPr>
          <c:invertIfNegative val="0"/>
          <c:errBars>
            <c:errBarType val="both"/>
            <c:errValType val="cust"/>
            <c:noEndCap val="0"/>
            <c:plus>
              <c:numRef>
                <c:f>'DHB region'!$BB$50:$BD$50</c:f>
                <c:numCache>
                  <c:formatCode>General</c:formatCode>
                  <c:ptCount val="3"/>
                  <c:pt idx="0">
                    <c:v>7.3</c:v>
                  </c:pt>
                  <c:pt idx="1">
                    <c:v>6.4</c:v>
                  </c:pt>
                  <c:pt idx="2">
                    <c:v>7.3</c:v>
                  </c:pt>
                </c:numCache>
              </c:numRef>
            </c:plus>
            <c:minus>
              <c:numRef>
                <c:f>'DHB region'!$BB$50:$BD$50</c:f>
                <c:numCache>
                  <c:formatCode>General</c:formatCode>
                  <c:ptCount val="3"/>
                  <c:pt idx="0">
                    <c:v>7.3</c:v>
                  </c:pt>
                  <c:pt idx="1">
                    <c:v>6.4</c:v>
                  </c:pt>
                  <c:pt idx="2">
                    <c:v>7.3</c:v>
                  </c:pt>
                </c:numCache>
              </c:numRef>
            </c:minus>
            <c:spPr>
              <a:noFill/>
              <a:ln w="9525" cap="flat" cmpd="sng" algn="ctr">
                <a:solidFill>
                  <a:schemeClr val="tx1">
                    <a:lumMod val="65000"/>
                    <a:lumOff val="35000"/>
                  </a:schemeClr>
                </a:solidFill>
                <a:round/>
              </a:ln>
              <a:effectLst/>
            </c:spPr>
          </c:errBars>
          <c:cat>
            <c:strRef>
              <c:f>'DHB region'!$Z$12:$AB$12</c:f>
              <c:strCache>
                <c:ptCount val="3"/>
                <c:pt idx="0">
                  <c:v>2001-05</c:v>
                </c:pt>
                <c:pt idx="1">
                  <c:v>2006-10</c:v>
                </c:pt>
                <c:pt idx="2">
                  <c:v>2011-15</c:v>
                </c:pt>
              </c:strCache>
            </c:strRef>
          </c:cat>
          <c:val>
            <c:numRef>
              <c:f>'DHB region'!$Z$56:$AB$56</c:f>
              <c:numCache>
                <c:formatCode>0.0</c:formatCode>
                <c:ptCount val="3"/>
                <c:pt idx="0">
                  <c:v>11.5882048799751</c:v>
                </c:pt>
                <c:pt idx="1">
                  <c:v>14.797650420019201</c:v>
                </c:pt>
                <c:pt idx="2">
                  <c:v>19.398903635367599</c:v>
                </c:pt>
              </c:numCache>
            </c:numRef>
          </c:val>
        </c:ser>
        <c:dLbls>
          <c:showLegendKey val="0"/>
          <c:showVal val="0"/>
          <c:showCatName val="0"/>
          <c:showSerName val="0"/>
          <c:showPercent val="0"/>
          <c:showBubbleSize val="0"/>
        </c:dLbls>
        <c:gapWidth val="40"/>
        <c:axId val="603073296"/>
        <c:axId val="603075256"/>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dPt>
          <c:cat>
            <c:strRef>
              <c:f>'DHB region'!$Z$12:$AB$12</c:f>
              <c:strCache>
                <c:ptCount val="3"/>
                <c:pt idx="0">
                  <c:v>2001-05</c:v>
                </c:pt>
                <c:pt idx="1">
                  <c:v>2006-10</c:v>
                </c:pt>
                <c:pt idx="2">
                  <c:v>2011-15</c:v>
                </c:pt>
              </c:strCache>
            </c:strRef>
          </c:cat>
          <c:val>
            <c:numRef>
              <c:f>'DHB region'!$Z$37:$AB$37</c:f>
              <c:numCache>
                <c:formatCode>0.0</c:formatCode>
                <c:ptCount val="3"/>
                <c:pt idx="0">
                  <c:v>12.20108133911698</c:v>
                </c:pt>
                <c:pt idx="1">
                  <c:v>11.755657480827461</c:v>
                </c:pt>
                <c:pt idx="2">
                  <c:v>11.261699848804099</c:v>
                </c:pt>
              </c:numCache>
            </c:numRef>
          </c:val>
          <c:smooth val="0"/>
        </c:ser>
        <c:dLbls>
          <c:showLegendKey val="0"/>
          <c:showVal val="0"/>
          <c:showCatName val="0"/>
          <c:showSerName val="0"/>
          <c:showPercent val="0"/>
          <c:showBubbleSize val="0"/>
        </c:dLbls>
        <c:marker val="1"/>
        <c:smooth val="0"/>
        <c:axId val="603074472"/>
        <c:axId val="603074080"/>
      </c:lineChart>
      <c:catAx>
        <c:axId val="603073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3075256"/>
        <c:crosses val="autoZero"/>
        <c:auto val="1"/>
        <c:lblAlgn val="ctr"/>
        <c:lblOffset val="100"/>
        <c:noMultiLvlLbl val="0"/>
      </c:catAx>
      <c:valAx>
        <c:axId val="603075256"/>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3073296"/>
        <c:crosses val="autoZero"/>
        <c:crossBetween val="between"/>
      </c:valAx>
      <c:valAx>
        <c:axId val="603074080"/>
        <c:scaling>
          <c:orientation val="minMax"/>
          <c:max val="20"/>
        </c:scaling>
        <c:delete val="1"/>
        <c:axPos val="r"/>
        <c:numFmt formatCode="0.0" sourceLinked="1"/>
        <c:majorTickMark val="out"/>
        <c:minorTickMark val="none"/>
        <c:tickLblPos val="nextTo"/>
        <c:crossAx val="603074472"/>
        <c:crosses val="max"/>
        <c:crossBetween val="between"/>
      </c:valAx>
      <c:catAx>
        <c:axId val="603074472"/>
        <c:scaling>
          <c:orientation val="minMax"/>
        </c:scaling>
        <c:delete val="1"/>
        <c:axPos val="b"/>
        <c:numFmt formatCode="General" sourceLinked="1"/>
        <c:majorTickMark val="out"/>
        <c:minorTickMark val="none"/>
        <c:tickLblPos val="nextTo"/>
        <c:crossAx val="603074080"/>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Southern</a:t>
            </a:r>
          </a:p>
        </c:rich>
      </c:tx>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region'!$X$57</c:f>
              <c:strCache>
                <c:ptCount val="1"/>
                <c:pt idx="0">
                  <c:v>Southern</c:v>
                </c:pt>
              </c:strCache>
            </c:strRef>
          </c:tx>
          <c:spPr>
            <a:solidFill>
              <a:srgbClr val="4BACC6"/>
            </a:solidFill>
            <a:ln>
              <a:noFill/>
            </a:ln>
            <a:effectLst/>
          </c:spPr>
          <c:invertIfNegative val="0"/>
          <c:errBars>
            <c:errBarType val="both"/>
            <c:errValType val="cust"/>
            <c:noEndCap val="0"/>
            <c:plus>
              <c:numRef>
                <c:f>'DHB region'!$BB$51:$BD$51</c:f>
                <c:numCache>
                  <c:formatCode>General</c:formatCode>
                  <c:ptCount val="3"/>
                  <c:pt idx="0">
                    <c:v>2.2999999999999998</c:v>
                  </c:pt>
                  <c:pt idx="1">
                    <c:v>2.5</c:v>
                  </c:pt>
                  <c:pt idx="2">
                    <c:v>2.2999999999999998</c:v>
                  </c:pt>
                </c:numCache>
              </c:numRef>
            </c:plus>
            <c:minus>
              <c:numRef>
                <c:f>'DHB region'!$BB$51:$BD$51</c:f>
                <c:numCache>
                  <c:formatCode>General</c:formatCode>
                  <c:ptCount val="3"/>
                  <c:pt idx="0">
                    <c:v>2.2999999999999998</c:v>
                  </c:pt>
                  <c:pt idx="1">
                    <c:v>2.5</c:v>
                  </c:pt>
                  <c:pt idx="2">
                    <c:v>2.2999999999999998</c:v>
                  </c:pt>
                </c:numCache>
              </c:numRef>
            </c:minus>
            <c:spPr>
              <a:noFill/>
              <a:ln w="9525" cap="flat" cmpd="sng" algn="ctr">
                <a:solidFill>
                  <a:schemeClr val="tx1">
                    <a:lumMod val="65000"/>
                    <a:lumOff val="35000"/>
                  </a:schemeClr>
                </a:solidFill>
                <a:round/>
              </a:ln>
              <a:effectLst/>
            </c:spPr>
          </c:errBars>
          <c:cat>
            <c:strRef>
              <c:f>'DHB region'!$Z$12:$AB$12</c:f>
              <c:strCache>
                <c:ptCount val="3"/>
                <c:pt idx="0">
                  <c:v>2001-05</c:v>
                </c:pt>
                <c:pt idx="1">
                  <c:v>2006-10</c:v>
                </c:pt>
                <c:pt idx="2">
                  <c:v>2011-15</c:v>
                </c:pt>
              </c:strCache>
            </c:strRef>
          </c:cat>
          <c:val>
            <c:numRef>
              <c:f>'DHB region'!$Z$57:$AB$57</c:f>
              <c:numCache>
                <c:formatCode>0.0</c:formatCode>
                <c:ptCount val="3"/>
                <c:pt idx="0">
                  <c:v>12.5191542438086</c:v>
                </c:pt>
                <c:pt idx="1">
                  <c:v>13.9592577379315</c:v>
                </c:pt>
                <c:pt idx="2">
                  <c:v>12.953506009582201</c:v>
                </c:pt>
              </c:numCache>
            </c:numRef>
          </c:val>
        </c:ser>
        <c:dLbls>
          <c:showLegendKey val="0"/>
          <c:showVal val="0"/>
          <c:showCatName val="0"/>
          <c:showSerName val="0"/>
          <c:showPercent val="0"/>
          <c:showBubbleSize val="0"/>
        </c:dLbls>
        <c:gapWidth val="40"/>
        <c:axId val="603076824"/>
        <c:axId val="773495608"/>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dPt>
          <c:cat>
            <c:strRef>
              <c:f>'DHB region'!$Z$12:$AB$12</c:f>
              <c:strCache>
                <c:ptCount val="3"/>
                <c:pt idx="0">
                  <c:v>2001-05</c:v>
                </c:pt>
                <c:pt idx="1">
                  <c:v>2006-10</c:v>
                </c:pt>
                <c:pt idx="2">
                  <c:v>2011-15</c:v>
                </c:pt>
              </c:strCache>
            </c:strRef>
          </c:cat>
          <c:val>
            <c:numRef>
              <c:f>'DHB region'!$Z$37:$AB$37</c:f>
              <c:numCache>
                <c:formatCode>0.0</c:formatCode>
                <c:ptCount val="3"/>
                <c:pt idx="0">
                  <c:v>12.20108133911698</c:v>
                </c:pt>
                <c:pt idx="1">
                  <c:v>11.755657480827461</c:v>
                </c:pt>
                <c:pt idx="2">
                  <c:v>11.261699848804099</c:v>
                </c:pt>
              </c:numCache>
            </c:numRef>
          </c:val>
          <c:smooth val="0"/>
        </c:ser>
        <c:dLbls>
          <c:showLegendKey val="0"/>
          <c:showVal val="0"/>
          <c:showCatName val="0"/>
          <c:showSerName val="0"/>
          <c:showPercent val="0"/>
          <c:showBubbleSize val="0"/>
        </c:dLbls>
        <c:marker val="1"/>
        <c:smooth val="0"/>
        <c:axId val="773485024"/>
        <c:axId val="773488944"/>
      </c:lineChart>
      <c:catAx>
        <c:axId val="603076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3495608"/>
        <c:crosses val="autoZero"/>
        <c:auto val="1"/>
        <c:lblAlgn val="ctr"/>
        <c:lblOffset val="100"/>
        <c:noMultiLvlLbl val="0"/>
      </c:catAx>
      <c:valAx>
        <c:axId val="773495608"/>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3076824"/>
        <c:crosses val="autoZero"/>
        <c:crossBetween val="between"/>
      </c:valAx>
      <c:valAx>
        <c:axId val="773488944"/>
        <c:scaling>
          <c:orientation val="minMax"/>
          <c:max val="20"/>
        </c:scaling>
        <c:delete val="1"/>
        <c:axPos val="r"/>
        <c:numFmt formatCode="0.0" sourceLinked="1"/>
        <c:majorTickMark val="out"/>
        <c:minorTickMark val="none"/>
        <c:tickLblPos val="nextTo"/>
        <c:crossAx val="773485024"/>
        <c:crosses val="max"/>
        <c:crossBetween val="between"/>
      </c:valAx>
      <c:catAx>
        <c:axId val="773485024"/>
        <c:scaling>
          <c:orientation val="minMax"/>
        </c:scaling>
        <c:delete val="1"/>
        <c:axPos val="b"/>
        <c:numFmt formatCode="General" sourceLinked="1"/>
        <c:majorTickMark val="out"/>
        <c:minorTickMark val="none"/>
        <c:tickLblPos val="nextTo"/>
        <c:crossAx val="773488944"/>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031207637506843E-2"/>
          <c:y val="0.16972010851584729"/>
          <c:w val="0.89153226039052813"/>
          <c:h val="0.73054401239492639"/>
        </c:manualLayout>
      </c:layout>
      <c:barChart>
        <c:barDir val="col"/>
        <c:grouping val="clustered"/>
        <c:varyColors val="0"/>
        <c:ser>
          <c:idx val="0"/>
          <c:order val="0"/>
          <c:tx>
            <c:v>Male</c:v>
          </c:tx>
          <c:spPr>
            <a:solidFill>
              <a:schemeClr val="bg1">
                <a:lumMod val="50000"/>
              </a:schemeClr>
            </a:solidFill>
            <a:ln>
              <a:noFill/>
            </a:ln>
            <a:effectLst/>
          </c:spPr>
          <c:invertIfNegative val="0"/>
          <c:cat>
            <c:strRef>
              <c:f>'Quick facts'!$T$128:$T$131</c:f>
              <c:strCache>
                <c:ptCount val="4"/>
                <c:pt idx="0">
                  <c:v>Māori</c:v>
                </c:pt>
                <c:pt idx="1">
                  <c:v>Pacific</c:v>
                </c:pt>
                <c:pt idx="2">
                  <c:v>Asian</c:v>
                </c:pt>
                <c:pt idx="3">
                  <c:v>Other</c:v>
                </c:pt>
              </c:strCache>
            </c:strRef>
          </c:cat>
          <c:val>
            <c:numRef>
              <c:f>'Quick facts'!$Y$128:$Y$131</c:f>
              <c:numCache>
                <c:formatCode>0.0</c:formatCode>
                <c:ptCount val="4"/>
                <c:pt idx="0">
                  <c:v>24.059501426314299</c:v>
                </c:pt>
                <c:pt idx="1">
                  <c:v>12.5975011470462</c:v>
                </c:pt>
                <c:pt idx="2">
                  <c:v>6.1339845000132698</c:v>
                </c:pt>
                <c:pt idx="3">
                  <c:v>17.313193556336898</c:v>
                </c:pt>
              </c:numCache>
            </c:numRef>
          </c:val>
        </c:ser>
        <c:ser>
          <c:idx val="1"/>
          <c:order val="1"/>
          <c:tx>
            <c:v>Female</c:v>
          </c:tx>
          <c:spPr>
            <a:solidFill>
              <a:schemeClr val="accent1"/>
            </a:solidFill>
            <a:ln>
              <a:noFill/>
            </a:ln>
            <a:effectLst/>
          </c:spPr>
          <c:invertIfNegative val="0"/>
          <c:cat>
            <c:strRef>
              <c:f>'Quick facts'!$T$128:$T$131</c:f>
              <c:strCache>
                <c:ptCount val="4"/>
                <c:pt idx="0">
                  <c:v>Māori</c:v>
                </c:pt>
                <c:pt idx="1">
                  <c:v>Pacific</c:v>
                </c:pt>
                <c:pt idx="2">
                  <c:v>Asian</c:v>
                </c:pt>
                <c:pt idx="3">
                  <c:v>Other</c:v>
                </c:pt>
              </c:strCache>
            </c:strRef>
          </c:cat>
          <c:val>
            <c:numRef>
              <c:f>'Quick facts'!$Z$128:$Z$131</c:f>
              <c:numCache>
                <c:formatCode>0.0</c:formatCode>
                <c:ptCount val="4"/>
                <c:pt idx="0">
                  <c:v>9.8967768313879692</c:v>
                </c:pt>
                <c:pt idx="1">
                  <c:v>4.5874906779750102</c:v>
                </c:pt>
                <c:pt idx="2">
                  <c:v>3.1105831097302099</c:v>
                </c:pt>
                <c:pt idx="3">
                  <c:v>5.2243694506756597</c:v>
                </c:pt>
              </c:numCache>
            </c:numRef>
          </c:val>
        </c:ser>
        <c:dLbls>
          <c:showLegendKey val="0"/>
          <c:showVal val="0"/>
          <c:showCatName val="0"/>
          <c:showSerName val="0"/>
          <c:showPercent val="0"/>
          <c:showBubbleSize val="0"/>
        </c:dLbls>
        <c:gapWidth val="100"/>
        <c:overlap val="-15"/>
        <c:axId val="777968400"/>
        <c:axId val="777968792"/>
      </c:barChart>
      <c:catAx>
        <c:axId val="777968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7968792"/>
        <c:crosses val="autoZero"/>
        <c:auto val="1"/>
        <c:lblAlgn val="ctr"/>
        <c:lblOffset val="100"/>
        <c:noMultiLvlLbl val="0"/>
      </c:catAx>
      <c:valAx>
        <c:axId val="777968792"/>
        <c:scaling>
          <c:orientation val="minMax"/>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7968400"/>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795084448994208"/>
          <c:y val="0.11979396473179692"/>
          <c:w val="0.73390916368822845"/>
          <c:h val="0.86490491171031803"/>
        </c:manualLayout>
      </c:layout>
      <c:barChart>
        <c:barDir val="bar"/>
        <c:grouping val="clustered"/>
        <c:varyColors val="0"/>
        <c:ser>
          <c:idx val="0"/>
          <c:order val="0"/>
          <c:tx>
            <c:v>DHB rate</c:v>
          </c:tx>
          <c:spPr>
            <a:solidFill>
              <a:schemeClr val="accent1"/>
            </a:solidFill>
            <a:ln>
              <a:noFill/>
            </a:ln>
            <a:effectLst/>
          </c:spPr>
          <c:invertIfNegative val="0"/>
          <c:errBars>
            <c:errBarType val="both"/>
            <c:errValType val="cust"/>
            <c:noEndCap val="0"/>
            <c:plus>
              <c:numRef>
                <c:f>'DHB region'!$BB$76:$BB$95</c:f>
                <c:numCache>
                  <c:formatCode>General</c:formatCode>
                  <c:ptCount val="20"/>
                  <c:pt idx="0">
                    <c:v>3.5</c:v>
                  </c:pt>
                  <c:pt idx="1">
                    <c:v>1.4</c:v>
                  </c:pt>
                  <c:pt idx="2">
                    <c:v>1.4</c:v>
                  </c:pt>
                  <c:pt idx="3">
                    <c:v>1.6</c:v>
                  </c:pt>
                  <c:pt idx="4">
                    <c:v>2</c:v>
                  </c:pt>
                  <c:pt idx="5">
                    <c:v>4.7</c:v>
                  </c:pt>
                  <c:pt idx="6">
                    <c:v>3.2</c:v>
                  </c:pt>
                  <c:pt idx="7">
                    <c:v>6.2</c:v>
                  </c:pt>
                  <c:pt idx="8">
                    <c:v>3.7</c:v>
                  </c:pt>
                  <c:pt idx="9">
                    <c:v>3.8</c:v>
                  </c:pt>
                  <c:pt idx="10">
                    <c:v>3.5</c:v>
                  </c:pt>
                  <c:pt idx="11">
                    <c:v>5.5</c:v>
                  </c:pt>
                  <c:pt idx="12">
                    <c:v>1.8</c:v>
                  </c:pt>
                  <c:pt idx="13">
                    <c:v>3.3</c:v>
                  </c:pt>
                  <c:pt idx="14">
                    <c:v>8</c:v>
                  </c:pt>
                  <c:pt idx="15">
                    <c:v>3</c:v>
                  </c:pt>
                  <c:pt idx="16">
                    <c:v>9.6</c:v>
                  </c:pt>
                  <c:pt idx="17">
                    <c:v>1.7</c:v>
                  </c:pt>
                  <c:pt idx="18">
                    <c:v>7.3</c:v>
                  </c:pt>
                  <c:pt idx="19">
                    <c:v>2.2999999999999998</c:v>
                  </c:pt>
                </c:numCache>
              </c:numRef>
            </c:plus>
            <c:minus>
              <c:numRef>
                <c:f>'DHB region'!$BB$76:$BB$95</c:f>
                <c:numCache>
                  <c:formatCode>General</c:formatCode>
                  <c:ptCount val="20"/>
                  <c:pt idx="0">
                    <c:v>3.5</c:v>
                  </c:pt>
                  <c:pt idx="1">
                    <c:v>1.4</c:v>
                  </c:pt>
                  <c:pt idx="2">
                    <c:v>1.4</c:v>
                  </c:pt>
                  <c:pt idx="3">
                    <c:v>1.6</c:v>
                  </c:pt>
                  <c:pt idx="4">
                    <c:v>2</c:v>
                  </c:pt>
                  <c:pt idx="5">
                    <c:v>4.7</c:v>
                  </c:pt>
                  <c:pt idx="6">
                    <c:v>3.2</c:v>
                  </c:pt>
                  <c:pt idx="7">
                    <c:v>6.2</c:v>
                  </c:pt>
                  <c:pt idx="8">
                    <c:v>3.7</c:v>
                  </c:pt>
                  <c:pt idx="9">
                    <c:v>3.8</c:v>
                  </c:pt>
                  <c:pt idx="10">
                    <c:v>3.5</c:v>
                  </c:pt>
                  <c:pt idx="11">
                    <c:v>5.5</c:v>
                  </c:pt>
                  <c:pt idx="12">
                    <c:v>1.8</c:v>
                  </c:pt>
                  <c:pt idx="13">
                    <c:v>3.3</c:v>
                  </c:pt>
                  <c:pt idx="14">
                    <c:v>8</c:v>
                  </c:pt>
                  <c:pt idx="15">
                    <c:v>3</c:v>
                  </c:pt>
                  <c:pt idx="16">
                    <c:v>9.6</c:v>
                  </c:pt>
                  <c:pt idx="17">
                    <c:v>1.7</c:v>
                  </c:pt>
                  <c:pt idx="18">
                    <c:v>7.3</c:v>
                  </c:pt>
                  <c:pt idx="19">
                    <c:v>2.2999999999999998</c:v>
                  </c:pt>
                </c:numCache>
              </c:numRef>
            </c:minus>
            <c:spPr>
              <a:noFill/>
              <a:ln w="9525" cap="flat" cmpd="sng" algn="ctr">
                <a:solidFill>
                  <a:schemeClr val="tx1">
                    <a:lumMod val="65000"/>
                    <a:lumOff val="35000"/>
                  </a:schemeClr>
                </a:solidFill>
                <a:round/>
              </a:ln>
              <a:effectLst/>
            </c:spPr>
          </c:errBars>
          <c:cat>
            <c:strRef>
              <c:f>'DHB region'!$X$76:$X$95</c:f>
              <c:strCache>
                <c:ptCount val="20"/>
                <c:pt idx="0">
                  <c:v>Northland</c:v>
                </c:pt>
                <c:pt idx="1">
                  <c:v>Waitemata</c:v>
                </c:pt>
                <c:pt idx="2">
                  <c:v>Auckland</c:v>
                </c:pt>
                <c:pt idx="3">
                  <c:v>Counties Manukau</c:v>
                </c:pt>
                <c:pt idx="4">
                  <c:v>Waikato</c:v>
                </c:pt>
                <c:pt idx="5">
                  <c:v>Lakes</c:v>
                </c:pt>
                <c:pt idx="6">
                  <c:v>Bay of Plenty</c:v>
                </c:pt>
                <c:pt idx="7">
                  <c:v>Tairāwhiti</c:v>
                </c:pt>
                <c:pt idx="8">
                  <c:v>Hawke's Bay</c:v>
                </c:pt>
                <c:pt idx="9">
                  <c:v>Taranaki</c:v>
                </c:pt>
                <c:pt idx="10">
                  <c:v>Mid Central</c:v>
                </c:pt>
                <c:pt idx="11">
                  <c:v>Whanganui</c:v>
                </c:pt>
                <c:pt idx="12">
                  <c:v>Capital &amp; Coast</c:v>
                </c:pt>
                <c:pt idx="13">
                  <c:v>Hutt Valley</c:v>
                </c:pt>
                <c:pt idx="14">
                  <c:v>Wairarapa</c:v>
                </c:pt>
                <c:pt idx="15">
                  <c:v>Nelson Marlborough</c:v>
                </c:pt>
                <c:pt idx="16">
                  <c:v>West Coast</c:v>
                </c:pt>
                <c:pt idx="17">
                  <c:v>Canterbury</c:v>
                </c:pt>
                <c:pt idx="18">
                  <c:v>South Canterbury</c:v>
                </c:pt>
                <c:pt idx="19">
                  <c:v>Southern</c:v>
                </c:pt>
              </c:strCache>
            </c:strRef>
          </c:cat>
          <c:val>
            <c:numRef>
              <c:f>'DHB region'!$AA$76:$AA$95</c:f>
              <c:numCache>
                <c:formatCode>0.0</c:formatCode>
                <c:ptCount val="20"/>
                <c:pt idx="0">
                  <c:v>14.2876236280438</c:v>
                </c:pt>
                <c:pt idx="1">
                  <c:v>8.9332387238291204</c:v>
                </c:pt>
                <c:pt idx="2">
                  <c:v>7.9373581538264499</c:v>
                </c:pt>
                <c:pt idx="3">
                  <c:v>9.8984574915243098</c:v>
                </c:pt>
                <c:pt idx="4">
                  <c:v>11.316584285972899</c:v>
                </c:pt>
                <c:pt idx="5">
                  <c:v>15.9890693926951</c:v>
                </c:pt>
                <c:pt idx="6">
                  <c:v>15.575709253312001</c:v>
                </c:pt>
                <c:pt idx="7">
                  <c:v>13.428229240830699</c:v>
                </c:pt>
                <c:pt idx="8">
                  <c:v>15.239495621398101</c:v>
                </c:pt>
                <c:pt idx="9">
                  <c:v>12.5045795067994</c:v>
                </c:pt>
                <c:pt idx="10">
                  <c:v>16.282642574646701</c:v>
                </c:pt>
                <c:pt idx="11">
                  <c:v>13.137758294093</c:v>
                </c:pt>
                <c:pt idx="12">
                  <c:v>8.2147948931406898</c:v>
                </c:pt>
                <c:pt idx="13">
                  <c:v>12.0035432286529</c:v>
                </c:pt>
                <c:pt idx="14">
                  <c:v>18.386070369359601</c:v>
                </c:pt>
                <c:pt idx="15">
                  <c:v>10.42842654423</c:v>
                </c:pt>
                <c:pt idx="16">
                  <c:v>20.8354789012478</c:v>
                </c:pt>
                <c:pt idx="17">
                  <c:v>11.1715121811635</c:v>
                </c:pt>
                <c:pt idx="18">
                  <c:v>19.398903635367599</c:v>
                </c:pt>
                <c:pt idx="19">
                  <c:v>12.953506009582201</c:v>
                </c:pt>
              </c:numCache>
            </c:numRef>
          </c:val>
        </c:ser>
        <c:dLbls>
          <c:showLegendKey val="0"/>
          <c:showVal val="0"/>
          <c:showCatName val="0"/>
          <c:showSerName val="0"/>
          <c:showPercent val="0"/>
          <c:showBubbleSize val="0"/>
        </c:dLbls>
        <c:gapWidth val="75"/>
        <c:overlap val="-27"/>
        <c:axId val="773492080"/>
        <c:axId val="773495216"/>
      </c:barChart>
      <c:scatterChart>
        <c:scatterStyle val="lineMarker"/>
        <c:varyColors val="0"/>
        <c:ser>
          <c:idx val="1"/>
          <c:order val="1"/>
          <c:tx>
            <c:v>National rate</c:v>
          </c:tx>
          <c:spPr>
            <a:ln w="22225" cap="rnd">
              <a:solidFill>
                <a:schemeClr val="tx1">
                  <a:lumMod val="65000"/>
                  <a:lumOff val="35000"/>
                </a:schemeClr>
              </a:solidFill>
              <a:prstDash val="sysDash"/>
              <a:round/>
            </a:ln>
            <a:effectLst/>
          </c:spPr>
          <c:marker>
            <c:symbol val="none"/>
          </c:marker>
          <c:xVal>
            <c:numRef>
              <c:f>'DHB region'!$BC$104:$BC$105</c:f>
              <c:numCache>
                <c:formatCode>General</c:formatCode>
                <c:ptCount val="2"/>
                <c:pt idx="0">
                  <c:v>11.3</c:v>
                </c:pt>
                <c:pt idx="1">
                  <c:v>11.3</c:v>
                </c:pt>
              </c:numCache>
            </c:numRef>
          </c:xVal>
          <c:yVal>
            <c:numRef>
              <c:f>'DHB region'!$BB$104:$BB$105</c:f>
              <c:numCache>
                <c:formatCode>General</c:formatCode>
                <c:ptCount val="2"/>
                <c:pt idx="0">
                  <c:v>0</c:v>
                </c:pt>
                <c:pt idx="1">
                  <c:v>1</c:v>
                </c:pt>
              </c:numCache>
            </c:numRef>
          </c:yVal>
          <c:smooth val="0"/>
        </c:ser>
        <c:dLbls>
          <c:showLegendKey val="0"/>
          <c:showVal val="0"/>
          <c:showCatName val="0"/>
          <c:showSerName val="0"/>
          <c:showPercent val="0"/>
          <c:showBubbleSize val="0"/>
        </c:dLbls>
        <c:axId val="773496000"/>
        <c:axId val="773485808"/>
      </c:scatterChart>
      <c:catAx>
        <c:axId val="7734920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3495216"/>
        <c:crossesAt val="0"/>
        <c:auto val="1"/>
        <c:lblAlgn val="ctr"/>
        <c:lblOffset val="100"/>
        <c:noMultiLvlLbl val="0"/>
      </c:catAx>
      <c:valAx>
        <c:axId val="773495216"/>
        <c:scaling>
          <c:orientation val="minMax"/>
          <c:max val="35"/>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t"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773492080"/>
        <c:crosses val="autoZero"/>
        <c:crossBetween val="between"/>
      </c:valAx>
      <c:valAx>
        <c:axId val="773485808"/>
        <c:scaling>
          <c:orientation val="minMax"/>
          <c:max val="1"/>
        </c:scaling>
        <c:delete val="1"/>
        <c:axPos val="r"/>
        <c:numFmt formatCode="General" sourceLinked="1"/>
        <c:majorTickMark val="out"/>
        <c:minorTickMark val="none"/>
        <c:tickLblPos val="nextTo"/>
        <c:crossAx val="773496000"/>
        <c:crosses val="max"/>
        <c:crossBetween val="midCat"/>
      </c:valAx>
      <c:valAx>
        <c:axId val="773496000"/>
        <c:scaling>
          <c:orientation val="minMax"/>
        </c:scaling>
        <c:delete val="1"/>
        <c:axPos val="b"/>
        <c:numFmt formatCode="General" sourceLinked="1"/>
        <c:majorTickMark val="out"/>
        <c:minorTickMark val="none"/>
        <c:tickLblPos val="nextTo"/>
        <c:crossAx val="773485808"/>
        <c:crosses val="autoZero"/>
        <c:crossBetween val="midCat"/>
      </c:valAx>
      <c:spPr>
        <a:noFill/>
        <a:ln>
          <a:noFill/>
        </a:ln>
        <a:effectLst/>
      </c:spPr>
    </c:plotArea>
    <c:legend>
      <c:legendPos val="t"/>
      <c:layout>
        <c:manualLayout>
          <c:xMode val="edge"/>
          <c:yMode val="edge"/>
          <c:x val="0.75445095916280747"/>
          <c:y val="0.13360913669575086"/>
          <c:w val="0.19899846976100899"/>
          <c:h val="0.109512662268567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1000" b="1"/>
              <a:t>Total population</a:t>
            </a:r>
          </a:p>
        </c:rich>
      </c:tx>
      <c:layout/>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5324445830409814E-2"/>
          <c:y val="0.16227555555555556"/>
          <c:w val="0.89563264987916114"/>
          <c:h val="0.71792111111111112"/>
        </c:manualLayout>
      </c:layout>
      <c:lineChart>
        <c:grouping val="standard"/>
        <c:varyColors val="0"/>
        <c:ser>
          <c:idx val="0"/>
          <c:order val="0"/>
          <c:tx>
            <c:v>Rural</c:v>
          </c:tx>
          <c:spPr>
            <a:ln w="22225" cap="rnd">
              <a:solidFill>
                <a:schemeClr val="bg1">
                  <a:lumMod val="50000"/>
                </a:schemeClr>
              </a:solidFill>
              <a:round/>
            </a:ln>
            <a:effectLst/>
          </c:spPr>
          <c:marker>
            <c:symbol val="none"/>
          </c:marker>
          <c:cat>
            <c:numRef>
              <c:f>'Urban Rural'!$T$13:$AC$13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'Urban Rural'!$T$25:$AC$25</c:f>
              <c:numCache>
                <c:formatCode>0.0</c:formatCode>
                <c:ptCount val="10"/>
                <c:pt idx="0">
                  <c:v>16.104700562699598</c:v>
                </c:pt>
                <c:pt idx="1">
                  <c:v>14.242406423759199</c:v>
                </c:pt>
                <c:pt idx="2">
                  <c:v>15.9554257560563</c:v>
                </c:pt>
                <c:pt idx="3">
                  <c:v>12.661821293405801</c:v>
                </c:pt>
                <c:pt idx="4">
                  <c:v>16.001422327261199</c:v>
                </c:pt>
                <c:pt idx="5">
                  <c:v>13.0281155961354</c:v>
                </c:pt>
                <c:pt idx="6">
                  <c:v>13.8861187454839</c:v>
                </c:pt>
                <c:pt idx="7">
                  <c:v>12.778557565856</c:v>
                </c:pt>
                <c:pt idx="8">
                  <c:v>10.6709764977776</c:v>
                </c:pt>
                <c:pt idx="9">
                  <c:v>13.3916304390118</c:v>
                </c:pt>
              </c:numCache>
            </c:numRef>
          </c:val>
          <c:smooth val="0"/>
        </c:ser>
        <c:ser>
          <c:idx val="1"/>
          <c:order val="1"/>
          <c:tx>
            <c:v>Urban</c:v>
          </c:tx>
          <c:spPr>
            <a:ln w="22225" cap="rnd">
              <a:solidFill>
                <a:schemeClr val="accent1"/>
              </a:solidFill>
              <a:round/>
            </a:ln>
            <a:effectLst/>
          </c:spPr>
          <c:marker>
            <c:symbol val="none"/>
          </c:marker>
          <c:cat>
            <c:numRef>
              <c:f>'Urban Rural'!$T$13:$AC$13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'Urban Rural'!$T$29:$AC$29</c:f>
              <c:numCache>
                <c:formatCode>0.0</c:formatCode>
                <c:ptCount val="10"/>
                <c:pt idx="0">
                  <c:v>11.6470905503125</c:v>
                </c:pt>
                <c:pt idx="1">
                  <c:v>11.0358390108014</c:v>
                </c:pt>
                <c:pt idx="2">
                  <c:v>11.1776130287529</c:v>
                </c:pt>
                <c:pt idx="3">
                  <c:v>11.3576105512283</c:v>
                </c:pt>
                <c:pt idx="4">
                  <c:v>11.2105392394219</c:v>
                </c:pt>
                <c:pt idx="5">
                  <c:v>10.795139141412101</c:v>
                </c:pt>
                <c:pt idx="6">
                  <c:v>12.011479006506899</c:v>
                </c:pt>
                <c:pt idx="7">
                  <c:v>10.8218115430035</c:v>
                </c:pt>
                <c:pt idx="8">
                  <c:v>10.661562054914199</c:v>
                </c:pt>
                <c:pt idx="9">
                  <c:v>10.6722962982372</c:v>
                </c:pt>
              </c:numCache>
            </c:numRef>
          </c:val>
          <c:smooth val="0"/>
        </c:ser>
        <c:dLbls>
          <c:showLegendKey val="0"/>
          <c:showVal val="0"/>
          <c:showCatName val="0"/>
          <c:showSerName val="0"/>
          <c:showPercent val="0"/>
          <c:showBubbleSize val="0"/>
        </c:dLbls>
        <c:smooth val="0"/>
        <c:axId val="773496392"/>
        <c:axId val="773492472"/>
      </c:lineChart>
      <c:catAx>
        <c:axId val="77349639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3492472"/>
        <c:crosses val="autoZero"/>
        <c:auto val="1"/>
        <c:lblAlgn val="ctr"/>
        <c:lblOffset val="100"/>
        <c:tickLblSkip val="1"/>
        <c:noMultiLvlLbl val="0"/>
      </c:catAx>
      <c:valAx>
        <c:axId val="773492472"/>
        <c:scaling>
          <c:orientation val="minMax"/>
          <c:max val="4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3496392"/>
        <c:crosses val="autoZero"/>
        <c:crossBetween val="between"/>
        <c:majorUnit val="10"/>
      </c:valAx>
      <c:spPr>
        <a:noFill/>
        <a:ln>
          <a:noFill/>
        </a:ln>
        <a:effectLst/>
      </c:spPr>
    </c:plotArea>
    <c:legend>
      <c:legendPos val="r"/>
      <c:layout>
        <c:manualLayout>
          <c:xMode val="edge"/>
          <c:yMode val="edge"/>
          <c:x val="0.83716026908677288"/>
          <c:y val="3.5532039976484429E-2"/>
          <c:w val="0.16283973091322718"/>
          <c:h val="0.220514881806871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1000" b="1"/>
              <a:t>Males</a:t>
            </a:r>
            <a:endParaRPr lang="en-NZ" b="1"/>
          </a:p>
        </c:rich>
      </c:tx>
      <c:layout/>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5324445830409814E-2"/>
          <c:y val="0.16227555555555556"/>
          <c:w val="0.89563264987916114"/>
          <c:h val="0.71792111111111112"/>
        </c:manualLayout>
      </c:layout>
      <c:lineChart>
        <c:grouping val="standard"/>
        <c:varyColors val="0"/>
        <c:ser>
          <c:idx val="0"/>
          <c:order val="0"/>
          <c:tx>
            <c:v>Rural male</c:v>
          </c:tx>
          <c:spPr>
            <a:ln w="22225" cap="rnd">
              <a:solidFill>
                <a:schemeClr val="bg1">
                  <a:lumMod val="50000"/>
                </a:schemeClr>
              </a:solidFill>
              <a:round/>
            </a:ln>
            <a:effectLst/>
          </c:spPr>
          <c:marker>
            <c:symbol val="none"/>
          </c:marker>
          <c:cat>
            <c:numRef>
              <c:f>'Urban Rural'!$T$13:$AC$13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'Urban Rural'!$T$26:$AC$26</c:f>
              <c:numCache>
                <c:formatCode>0.0</c:formatCode>
                <c:ptCount val="10"/>
                <c:pt idx="0">
                  <c:v>26.870836571005299</c:v>
                </c:pt>
                <c:pt idx="1">
                  <c:v>22.669213241315301</c:v>
                </c:pt>
                <c:pt idx="2">
                  <c:v>26.472899772027301</c:v>
                </c:pt>
                <c:pt idx="3">
                  <c:v>21.088183746651701</c:v>
                </c:pt>
                <c:pt idx="4">
                  <c:v>26.602020536097399</c:v>
                </c:pt>
                <c:pt idx="5">
                  <c:v>22.2250104700599</c:v>
                </c:pt>
                <c:pt idx="6">
                  <c:v>19.651402276074499</c:v>
                </c:pt>
                <c:pt idx="7">
                  <c:v>16.7790221650707</c:v>
                </c:pt>
                <c:pt idx="8">
                  <c:v>15.5568380484409</c:v>
                </c:pt>
                <c:pt idx="9">
                  <c:v>19.339055884921901</c:v>
                </c:pt>
              </c:numCache>
            </c:numRef>
          </c:val>
          <c:smooth val="0"/>
        </c:ser>
        <c:ser>
          <c:idx val="1"/>
          <c:order val="1"/>
          <c:tx>
            <c:v>Urban male</c:v>
          </c:tx>
          <c:spPr>
            <a:ln w="22225" cap="rnd">
              <a:solidFill>
                <a:schemeClr val="accent1"/>
              </a:solidFill>
              <a:round/>
            </a:ln>
            <a:effectLst/>
          </c:spPr>
          <c:marker>
            <c:symbol val="none"/>
          </c:marker>
          <c:cat>
            <c:numRef>
              <c:f>'Urban Rural'!$T$13:$AC$13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'Urban Rural'!$T$30:$AC$30</c:f>
              <c:numCache>
                <c:formatCode>0.0</c:formatCode>
                <c:ptCount val="10"/>
                <c:pt idx="0">
                  <c:v>17.2562238642364</c:v>
                </c:pt>
                <c:pt idx="1">
                  <c:v>17.326727470575801</c:v>
                </c:pt>
                <c:pt idx="2">
                  <c:v>16.357413650779002</c:v>
                </c:pt>
                <c:pt idx="3">
                  <c:v>17.784069062315101</c:v>
                </c:pt>
                <c:pt idx="4">
                  <c:v>16.018934411449798</c:v>
                </c:pt>
                <c:pt idx="5">
                  <c:v>16.642211286059698</c:v>
                </c:pt>
                <c:pt idx="6">
                  <c:v>18.321223631494401</c:v>
                </c:pt>
                <c:pt idx="7">
                  <c:v>15.803822535594</c:v>
                </c:pt>
                <c:pt idx="8">
                  <c:v>16.446662424916799</c:v>
                </c:pt>
                <c:pt idx="9">
                  <c:v>15.8729723584044</c:v>
                </c:pt>
              </c:numCache>
            </c:numRef>
          </c:val>
          <c:smooth val="0"/>
        </c:ser>
        <c:dLbls>
          <c:showLegendKey val="0"/>
          <c:showVal val="0"/>
          <c:showCatName val="0"/>
          <c:showSerName val="0"/>
          <c:showPercent val="0"/>
          <c:showBubbleSize val="0"/>
        </c:dLbls>
        <c:smooth val="0"/>
        <c:axId val="773494040"/>
        <c:axId val="773496784"/>
      </c:lineChart>
      <c:catAx>
        <c:axId val="7734940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3496784"/>
        <c:crosses val="autoZero"/>
        <c:auto val="1"/>
        <c:lblAlgn val="ctr"/>
        <c:lblOffset val="100"/>
        <c:tickLblSkip val="1"/>
        <c:noMultiLvlLbl val="0"/>
      </c:catAx>
      <c:valAx>
        <c:axId val="773496784"/>
        <c:scaling>
          <c:orientation val="minMax"/>
          <c:max val="4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3494040"/>
        <c:crosses val="autoZero"/>
        <c:crossBetween val="between"/>
        <c:majorUnit val="10"/>
      </c:valAx>
      <c:spPr>
        <a:noFill/>
        <a:ln>
          <a:noFill/>
        </a:ln>
        <a:effectLst/>
      </c:spPr>
    </c:plotArea>
    <c:legend>
      <c:legendPos val="r"/>
      <c:layout>
        <c:manualLayout>
          <c:xMode val="edge"/>
          <c:yMode val="edge"/>
          <c:x val="0.78737680423869771"/>
          <c:y val="3.5532039976484429E-2"/>
          <c:w val="0.21262319576130226"/>
          <c:h val="0.206624283936945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900" b="1"/>
              <a:t>Females</a:t>
            </a:r>
            <a:endParaRPr lang="en-NZ" b="1"/>
          </a:p>
        </c:rich>
      </c:tx>
      <c:layout/>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5324445830409814E-2"/>
          <c:y val="0.20116444444444445"/>
          <c:w val="0.89563264987916114"/>
          <c:h val="0.67903222222222226"/>
        </c:manualLayout>
      </c:layout>
      <c:lineChart>
        <c:grouping val="standard"/>
        <c:varyColors val="0"/>
        <c:ser>
          <c:idx val="0"/>
          <c:order val="0"/>
          <c:tx>
            <c:v>Rural female</c:v>
          </c:tx>
          <c:spPr>
            <a:ln w="22225" cap="rnd">
              <a:solidFill>
                <a:schemeClr val="bg1">
                  <a:lumMod val="50000"/>
                </a:schemeClr>
              </a:solidFill>
              <a:round/>
            </a:ln>
            <a:effectLst/>
          </c:spPr>
          <c:marker>
            <c:symbol val="none"/>
          </c:marker>
          <c:cat>
            <c:numRef>
              <c:f>'Urban Rural'!$T$13:$AC$13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'Urban Rural'!$T$27:$AC$27</c:f>
              <c:numCache>
                <c:formatCode>0.0</c:formatCode>
                <c:ptCount val="10"/>
                <c:pt idx="0">
                  <c:v>4.6246622517546001</c:v>
                </c:pt>
                <c:pt idx="1">
                  <c:v>5.4336190062585397</c:v>
                </c:pt>
                <c:pt idx="2">
                  <c:v>4.8492866085801296</c:v>
                </c:pt>
                <c:pt idx="3">
                  <c:v>3.7653504454407498</c:v>
                </c:pt>
                <c:pt idx="4">
                  <c:v>4.65537787927064</c:v>
                </c:pt>
                <c:pt idx="5">
                  <c:v>3.5117478579800698</c:v>
                </c:pt>
                <c:pt idx="6">
                  <c:v>7.9779554412925799</c:v>
                </c:pt>
                <c:pt idx="7">
                  <c:v>8.7943398467877394</c:v>
                </c:pt>
                <c:pt idx="8">
                  <c:v>5.5406863993035502</c:v>
                </c:pt>
                <c:pt idx="9">
                  <c:v>7.3548338217857703</c:v>
                </c:pt>
              </c:numCache>
            </c:numRef>
          </c:val>
          <c:smooth val="0"/>
        </c:ser>
        <c:ser>
          <c:idx val="1"/>
          <c:order val="1"/>
          <c:tx>
            <c:v>Urban female</c:v>
          </c:tx>
          <c:spPr>
            <a:ln w="22225" cap="rnd">
              <a:solidFill>
                <a:schemeClr val="accent1"/>
              </a:solidFill>
              <a:round/>
            </a:ln>
            <a:effectLst/>
          </c:spPr>
          <c:marker>
            <c:symbol val="none"/>
          </c:marker>
          <c:cat>
            <c:numRef>
              <c:f>'Urban Rural'!$T$13:$AC$13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'Urban Rural'!$T$31:$AC$31</c:f>
              <c:numCache>
                <c:formatCode>0.0</c:formatCode>
                <c:ptCount val="10"/>
                <c:pt idx="0">
                  <c:v>6.40745337685357</c:v>
                </c:pt>
                <c:pt idx="1">
                  <c:v>5.1735806107572904</c:v>
                </c:pt>
                <c:pt idx="2">
                  <c:v>6.3795738477370199</c:v>
                </c:pt>
                <c:pt idx="3">
                  <c:v>5.3823058570931703</c:v>
                </c:pt>
                <c:pt idx="4">
                  <c:v>6.8063565837858899</c:v>
                </c:pt>
                <c:pt idx="5">
                  <c:v>5.31937464634004</c:v>
                </c:pt>
                <c:pt idx="6">
                  <c:v>6.09130408691549</c:v>
                </c:pt>
                <c:pt idx="7">
                  <c:v>6.2559324705276298</c:v>
                </c:pt>
                <c:pt idx="8">
                  <c:v>5.2699484796557003</c:v>
                </c:pt>
                <c:pt idx="9">
                  <c:v>5.8032949481744804</c:v>
                </c:pt>
              </c:numCache>
            </c:numRef>
          </c:val>
          <c:smooth val="0"/>
        </c:ser>
        <c:dLbls>
          <c:showLegendKey val="0"/>
          <c:showVal val="0"/>
          <c:showCatName val="0"/>
          <c:showSerName val="0"/>
          <c:showPercent val="0"/>
          <c:showBubbleSize val="0"/>
        </c:dLbls>
        <c:smooth val="0"/>
        <c:axId val="773486200"/>
        <c:axId val="773490120"/>
      </c:lineChart>
      <c:catAx>
        <c:axId val="7734862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3490120"/>
        <c:crosses val="autoZero"/>
        <c:auto val="1"/>
        <c:lblAlgn val="ctr"/>
        <c:lblOffset val="100"/>
        <c:tickLblSkip val="1"/>
        <c:noMultiLvlLbl val="0"/>
      </c:catAx>
      <c:valAx>
        <c:axId val="773490120"/>
        <c:scaling>
          <c:orientation val="minMax"/>
          <c:max val="4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3486200"/>
        <c:crosses val="autoZero"/>
        <c:crossBetween val="between"/>
        <c:majorUnit val="10"/>
      </c:valAx>
      <c:spPr>
        <a:noFill/>
        <a:ln>
          <a:noFill/>
        </a:ln>
        <a:effectLst/>
      </c:spPr>
    </c:plotArea>
    <c:legend>
      <c:legendPos val="r"/>
      <c:layout>
        <c:manualLayout>
          <c:xMode val="edge"/>
          <c:yMode val="edge"/>
          <c:x val="0.81114380226932792"/>
          <c:y val="3.5532039976484429E-2"/>
          <c:w val="0.18885619773067208"/>
          <c:h val="0.199678985001982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324445830409814E-2"/>
          <c:y val="0.18209454827890412"/>
          <c:w val="0.89563264987916114"/>
          <c:h val="0.66136092482178999"/>
        </c:manualLayout>
      </c:layout>
      <c:lineChart>
        <c:grouping val="standard"/>
        <c:varyColors val="0"/>
        <c:ser>
          <c:idx val="0"/>
          <c:order val="0"/>
          <c:tx>
            <c:v>Rural</c:v>
          </c:tx>
          <c:spPr>
            <a:ln w="22225" cap="rnd">
              <a:solidFill>
                <a:schemeClr val="bg1">
                  <a:lumMod val="50000"/>
                </a:schemeClr>
              </a:solidFill>
              <a:round/>
            </a:ln>
            <a:effectLst/>
          </c:spPr>
          <c:marker>
            <c:symbol val="none"/>
          </c:marker>
          <c:cat>
            <c:numRef>
              <c:f>'Urban Rural'!$T$13:$AC$13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'Urban Rural'!$T$82:$AC$82</c:f>
              <c:numCache>
                <c:formatCode>0.0</c:formatCode>
                <c:ptCount val="10"/>
                <c:pt idx="0">
                  <c:v>49.303944315545202</c:v>
                </c:pt>
                <c:pt idx="1">
                  <c:v>31.108597285067901</c:v>
                </c:pt>
                <c:pt idx="2">
                  <c:v>33.176665745092599</c:v>
                </c:pt>
                <c:pt idx="3">
                  <c:v>54.436581382689198</c:v>
                </c:pt>
                <c:pt idx="4">
                  <c:v>45.418113812449903</c:v>
                </c:pt>
                <c:pt idx="5">
                  <c:v>36.9295700342917</c:v>
                </c:pt>
                <c:pt idx="6">
                  <c:v>26.441036488630399</c:v>
                </c:pt>
                <c:pt idx="7">
                  <c:v>23.9170874302418</c:v>
                </c:pt>
                <c:pt idx="8">
                  <c:v>18.027298480556301</c:v>
                </c:pt>
                <c:pt idx="9">
                  <c:v>14.951407924246199</c:v>
                </c:pt>
              </c:numCache>
            </c:numRef>
          </c:val>
          <c:smooth val="0"/>
        </c:ser>
        <c:ser>
          <c:idx val="1"/>
          <c:order val="1"/>
          <c:tx>
            <c:v>Urban</c:v>
          </c:tx>
          <c:spPr>
            <a:ln w="22225" cap="rnd">
              <a:solidFill>
                <a:schemeClr val="accent1"/>
              </a:solidFill>
              <a:round/>
            </a:ln>
            <a:effectLst/>
          </c:spPr>
          <c:marker>
            <c:symbol val="none"/>
          </c:marker>
          <c:cat>
            <c:numRef>
              <c:f>'Urban Rural'!$T$13:$AC$13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'Urban Rural'!$T$116:$AC$116</c:f>
              <c:numCache>
                <c:formatCode>0.0</c:formatCode>
                <c:ptCount val="10"/>
                <c:pt idx="0">
                  <c:v>27.703900709219901</c:v>
                </c:pt>
                <c:pt idx="1">
                  <c:v>21.889956591103001</c:v>
                </c:pt>
                <c:pt idx="2">
                  <c:v>25.6801518478544</c:v>
                </c:pt>
                <c:pt idx="3">
                  <c:v>27.764409728649198</c:v>
                </c:pt>
                <c:pt idx="4">
                  <c:v>21.909004600890999</c:v>
                </c:pt>
                <c:pt idx="5">
                  <c:v>29.6157180005779</c:v>
                </c:pt>
                <c:pt idx="6">
                  <c:v>34.8469607702256</c:v>
                </c:pt>
                <c:pt idx="7">
                  <c:v>23.076649980473601</c:v>
                </c:pt>
                <c:pt idx="8">
                  <c:v>21.114572516441701</c:v>
                </c:pt>
                <c:pt idx="9">
                  <c:v>21.0864544632995</c:v>
                </c:pt>
              </c:numCache>
            </c:numRef>
          </c:val>
          <c:smooth val="0"/>
        </c:ser>
        <c:dLbls>
          <c:showLegendKey val="0"/>
          <c:showVal val="0"/>
          <c:showCatName val="0"/>
          <c:showSerName val="0"/>
          <c:showPercent val="0"/>
          <c:showBubbleSize val="0"/>
        </c:dLbls>
        <c:smooth val="0"/>
        <c:axId val="773488160"/>
        <c:axId val="773488552"/>
      </c:lineChart>
      <c:catAx>
        <c:axId val="77348816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3488552"/>
        <c:crosses val="autoZero"/>
        <c:auto val="1"/>
        <c:lblAlgn val="ctr"/>
        <c:lblOffset val="100"/>
        <c:tickLblSkip val="3"/>
        <c:noMultiLvlLbl val="0"/>
      </c:catAx>
      <c:valAx>
        <c:axId val="773488552"/>
        <c:scaling>
          <c:orientation val="minMax"/>
          <c:max val="6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3488160"/>
        <c:crosses val="autoZero"/>
        <c:crossBetween val="between"/>
        <c:majorUnit val="10"/>
      </c:valAx>
      <c:spPr>
        <a:noFill/>
        <a:ln>
          <a:noFill/>
        </a:ln>
        <a:effectLst/>
      </c:spPr>
    </c:plotArea>
    <c:legend>
      <c:legendPos val="r"/>
      <c:layout>
        <c:manualLayout>
          <c:xMode val="edge"/>
          <c:yMode val="edge"/>
          <c:x val="0.66985229852298511"/>
          <c:y val="3.5532039976484429E-2"/>
          <c:w val="0.33014770147701472"/>
          <c:h val="0.1737888674215185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962025316455706E-2"/>
          <c:y val="6.2025993883792048E-2"/>
          <c:w val="0.89563264987916114"/>
          <c:h val="0.73903160040774718"/>
        </c:manualLayout>
      </c:layout>
      <c:lineChart>
        <c:grouping val="standard"/>
        <c:varyColors val="0"/>
        <c:ser>
          <c:idx val="0"/>
          <c:order val="0"/>
          <c:tx>
            <c:v>Rural</c:v>
          </c:tx>
          <c:spPr>
            <a:ln w="22225" cap="rnd">
              <a:solidFill>
                <a:schemeClr val="bg1">
                  <a:lumMod val="50000"/>
                </a:schemeClr>
              </a:solidFill>
              <a:round/>
            </a:ln>
            <a:effectLst/>
          </c:spPr>
          <c:marker>
            <c:symbol val="none"/>
          </c:marker>
          <c:cat>
            <c:numRef>
              <c:f>'Urban Rural'!$T$13:$AC$13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'Urban Rural'!$T$83:$AC$83</c:f>
              <c:numCache>
                <c:formatCode>0.0</c:formatCode>
                <c:ptCount val="10"/>
                <c:pt idx="0">
                  <c:v>34.625116526834503</c:v>
                </c:pt>
                <c:pt idx="1">
                  <c:v>35.163646199621297</c:v>
                </c:pt>
                <c:pt idx="2">
                  <c:v>31.5111659131388</c:v>
                </c:pt>
                <c:pt idx="3">
                  <c:v>23.4903965731657</c:v>
                </c:pt>
                <c:pt idx="4">
                  <c:v>40.406855231991102</c:v>
                </c:pt>
                <c:pt idx="5">
                  <c:v>29.296875</c:v>
                </c:pt>
                <c:pt idx="6">
                  <c:v>22.611644997173499</c:v>
                </c:pt>
                <c:pt idx="7">
                  <c:v>24.516873377559801</c:v>
                </c:pt>
                <c:pt idx="8">
                  <c:v>24.741667879493502</c:v>
                </c:pt>
                <c:pt idx="9">
                  <c:v>27.668559778651499</c:v>
                </c:pt>
              </c:numCache>
            </c:numRef>
          </c:val>
          <c:smooth val="0"/>
        </c:ser>
        <c:ser>
          <c:idx val="1"/>
          <c:order val="1"/>
          <c:tx>
            <c:v>Urban</c:v>
          </c:tx>
          <c:spPr>
            <a:ln w="22225" cap="rnd">
              <a:solidFill>
                <a:schemeClr val="accent1"/>
              </a:solidFill>
              <a:round/>
            </a:ln>
            <a:effectLst/>
          </c:spPr>
          <c:marker>
            <c:symbol val="none"/>
          </c:marker>
          <c:cat>
            <c:numRef>
              <c:f>'Urban Rural'!$T$13:$AC$13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'Urban Rural'!$T$117:$AC$117</c:f>
              <c:numCache>
                <c:formatCode>0.0</c:formatCode>
                <c:ptCount val="10"/>
                <c:pt idx="0">
                  <c:v>24.344721252941699</c:v>
                </c:pt>
                <c:pt idx="1">
                  <c:v>28.263521756811699</c:v>
                </c:pt>
                <c:pt idx="2">
                  <c:v>22.086341233972099</c:v>
                </c:pt>
                <c:pt idx="3">
                  <c:v>23.603300357128202</c:v>
                </c:pt>
                <c:pt idx="4">
                  <c:v>23.487720454920101</c:v>
                </c:pt>
                <c:pt idx="5">
                  <c:v>22.672435310758001</c:v>
                </c:pt>
                <c:pt idx="6">
                  <c:v>26.4106648780079</c:v>
                </c:pt>
                <c:pt idx="7">
                  <c:v>20.331167470132002</c:v>
                </c:pt>
                <c:pt idx="8">
                  <c:v>25.058538388859201</c:v>
                </c:pt>
                <c:pt idx="9">
                  <c:v>23.059796437658999</c:v>
                </c:pt>
              </c:numCache>
            </c:numRef>
          </c:val>
          <c:smooth val="0"/>
        </c:ser>
        <c:dLbls>
          <c:showLegendKey val="0"/>
          <c:showVal val="0"/>
          <c:showCatName val="0"/>
          <c:showSerName val="0"/>
          <c:showPercent val="0"/>
          <c:showBubbleSize val="0"/>
        </c:dLbls>
        <c:smooth val="0"/>
        <c:axId val="773489728"/>
        <c:axId val="773490512"/>
      </c:lineChart>
      <c:catAx>
        <c:axId val="77348972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3490512"/>
        <c:crosses val="autoZero"/>
        <c:auto val="1"/>
        <c:lblAlgn val="ctr"/>
        <c:lblOffset val="100"/>
        <c:tickLblSkip val="3"/>
        <c:noMultiLvlLbl val="0"/>
      </c:catAx>
      <c:valAx>
        <c:axId val="773490512"/>
        <c:scaling>
          <c:orientation val="minMax"/>
          <c:max val="6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3489728"/>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324445830409814E-2"/>
          <c:y val="0.11089724915726831"/>
          <c:w val="0.89563264987916114"/>
          <c:h val="0.73255848047245931"/>
        </c:manualLayout>
      </c:layout>
      <c:lineChart>
        <c:grouping val="standard"/>
        <c:varyColors val="0"/>
        <c:ser>
          <c:idx val="0"/>
          <c:order val="0"/>
          <c:tx>
            <c:v>Rural</c:v>
          </c:tx>
          <c:spPr>
            <a:ln w="22225" cap="rnd">
              <a:solidFill>
                <a:schemeClr val="bg1">
                  <a:lumMod val="50000"/>
                </a:schemeClr>
              </a:solidFill>
              <a:round/>
            </a:ln>
            <a:effectLst/>
          </c:spPr>
          <c:marker>
            <c:symbol val="none"/>
          </c:marker>
          <c:cat>
            <c:numRef>
              <c:f>'Urban Rural'!$T$13:$AC$13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'Urban Rural'!$T$84:$AC$84</c:f>
              <c:numCache>
                <c:formatCode>0.0</c:formatCode>
                <c:ptCount val="10"/>
                <c:pt idx="0">
                  <c:v>24.043966109457301</c:v>
                </c:pt>
                <c:pt idx="1">
                  <c:v>15.612802498048399</c:v>
                </c:pt>
                <c:pt idx="2">
                  <c:v>29.2112950340798</c:v>
                </c:pt>
                <c:pt idx="3">
                  <c:v>23.226351351351401</c:v>
                </c:pt>
                <c:pt idx="4">
                  <c:v>25.802456393848701</c:v>
                </c:pt>
                <c:pt idx="5">
                  <c:v>23.1761386537686</c:v>
                </c:pt>
                <c:pt idx="6">
                  <c:v>27.955271565495199</c:v>
                </c:pt>
                <c:pt idx="7">
                  <c:v>22.9885057471264</c:v>
                </c:pt>
                <c:pt idx="8">
                  <c:v>18.954509177972898</c:v>
                </c:pt>
                <c:pt idx="9">
                  <c:v>30.5840568271507</c:v>
                </c:pt>
              </c:numCache>
            </c:numRef>
          </c:val>
          <c:smooth val="0"/>
        </c:ser>
        <c:ser>
          <c:idx val="1"/>
          <c:order val="1"/>
          <c:tx>
            <c:v>Urban</c:v>
          </c:tx>
          <c:spPr>
            <a:ln w="22225" cap="rnd">
              <a:solidFill>
                <a:schemeClr val="accent1"/>
              </a:solidFill>
              <a:round/>
            </a:ln>
            <a:effectLst/>
          </c:spPr>
          <c:marker>
            <c:symbol val="none"/>
          </c:marker>
          <c:cat>
            <c:numRef>
              <c:f>'Urban Rural'!$T$13:$AC$13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'Urban Rural'!$T$118:$AC$118</c:f>
              <c:numCache>
                <c:formatCode>0.0</c:formatCode>
                <c:ptCount val="10"/>
                <c:pt idx="0">
                  <c:v>21.816198527406598</c:v>
                </c:pt>
                <c:pt idx="1">
                  <c:v>20.821732077573099</c:v>
                </c:pt>
                <c:pt idx="2">
                  <c:v>22.907072853937901</c:v>
                </c:pt>
                <c:pt idx="3">
                  <c:v>22.204746264514</c:v>
                </c:pt>
                <c:pt idx="4">
                  <c:v>20.462916647719499</c:v>
                </c:pt>
                <c:pt idx="5">
                  <c:v>21.131668277768998</c:v>
                </c:pt>
                <c:pt idx="6">
                  <c:v>17.001856781727501</c:v>
                </c:pt>
                <c:pt idx="7">
                  <c:v>23.696682464455002</c:v>
                </c:pt>
                <c:pt idx="8">
                  <c:v>21.191069165902</c:v>
                </c:pt>
                <c:pt idx="9">
                  <c:v>20.066456652138299</c:v>
                </c:pt>
              </c:numCache>
            </c:numRef>
          </c:val>
          <c:smooth val="0"/>
        </c:ser>
        <c:dLbls>
          <c:showLegendKey val="0"/>
          <c:showVal val="0"/>
          <c:showCatName val="0"/>
          <c:showSerName val="0"/>
          <c:showPercent val="0"/>
          <c:showBubbleSize val="0"/>
        </c:dLbls>
        <c:smooth val="0"/>
        <c:axId val="773485416"/>
        <c:axId val="773491688"/>
      </c:lineChart>
      <c:catAx>
        <c:axId val="7734854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3491688"/>
        <c:crosses val="autoZero"/>
        <c:auto val="1"/>
        <c:lblAlgn val="ctr"/>
        <c:lblOffset val="100"/>
        <c:tickLblSkip val="3"/>
        <c:noMultiLvlLbl val="0"/>
      </c:catAx>
      <c:valAx>
        <c:axId val="773491688"/>
        <c:scaling>
          <c:orientation val="minMax"/>
          <c:max val="6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3485416"/>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1000" b="1">
                <a:latin typeface="Arial" panose="020B0604020202020204" pitchFamily="34" charset="0"/>
                <a:cs typeface="Arial" panose="020B0604020202020204" pitchFamily="34" charset="0"/>
              </a:rPr>
              <a:t>Distribution of methods used by Māori</a:t>
            </a:r>
          </a:p>
        </c:rich>
      </c:tx>
      <c:layout>
        <c:manualLayout>
          <c:xMode val="edge"/>
          <c:yMode val="edge"/>
          <c:x val="0.30635892487641025"/>
          <c:y val="4.17372424032752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34038661976392176"/>
          <c:y val="0.23997198778220619"/>
          <c:w val="0.61881984755584929"/>
          <c:h val="0.66429184499091498"/>
        </c:manualLayout>
      </c:layout>
      <c:barChart>
        <c:barDir val="bar"/>
        <c:grouping val="stacked"/>
        <c:varyColors val="0"/>
        <c:ser>
          <c:idx val="0"/>
          <c:order val="0"/>
          <c:tx>
            <c:strRef>
              <c:f>'Ethnic group'!$Q$137</c:f>
              <c:strCache>
                <c:ptCount val="1"/>
                <c:pt idx="0">
                  <c:v>Māori</c:v>
                </c:pt>
              </c:strCache>
            </c:strRef>
          </c:tx>
          <c:spPr>
            <a:solidFill>
              <a:schemeClr val="accent1"/>
            </a:solidFill>
            <a:ln>
              <a:noFill/>
            </a:ln>
            <a:effectLst/>
          </c:spPr>
          <c:invertIfNegative val="0"/>
          <c:cat>
            <c:strRef>
              <c:f>'Ethnic group'!$U$137:$U$144</c:f>
              <c:strCache>
                <c:ptCount val="8"/>
                <c:pt idx="0">
                  <c:v>Hanging, strangulation and suffocation</c:v>
                </c:pt>
                <c:pt idx="1">
                  <c:v>Poisoning by gases and vapours</c:v>
                </c:pt>
                <c:pt idx="2">
                  <c:v>Poisoning by solids and liquids</c:v>
                </c:pt>
                <c:pt idx="3">
                  <c:v>Firearms and explosives</c:v>
                </c:pt>
                <c:pt idx="4">
                  <c:v>Jumping from a high place</c:v>
                </c:pt>
                <c:pt idx="5">
                  <c:v>Submersion (drowning)</c:v>
                </c:pt>
                <c:pt idx="6">
                  <c:v>Sharp object</c:v>
                </c:pt>
                <c:pt idx="7">
                  <c:v>Other</c:v>
                </c:pt>
              </c:strCache>
            </c:strRef>
          </c:cat>
          <c:val>
            <c:numRef>
              <c:f>'Ethnic group'!$V$137:$V$144</c:f>
              <c:numCache>
                <c:formatCode>0.0</c:formatCode>
                <c:ptCount val="8"/>
                <c:pt idx="0">
                  <c:v>85.9</c:v>
                </c:pt>
                <c:pt idx="1">
                  <c:v>3.3</c:v>
                </c:pt>
                <c:pt idx="2">
                  <c:v>3.5</c:v>
                </c:pt>
                <c:pt idx="3">
                  <c:v>2</c:v>
                </c:pt>
                <c:pt idx="4">
                  <c:v>1.1000000000000001</c:v>
                </c:pt>
                <c:pt idx="5">
                  <c:v>0.5</c:v>
                </c:pt>
                <c:pt idx="6">
                  <c:v>0.7</c:v>
                </c:pt>
                <c:pt idx="7">
                  <c:v>2.9</c:v>
                </c:pt>
              </c:numCache>
            </c:numRef>
          </c:val>
        </c:ser>
        <c:dLbls>
          <c:showLegendKey val="0"/>
          <c:showVal val="0"/>
          <c:showCatName val="0"/>
          <c:showSerName val="0"/>
          <c:showPercent val="0"/>
          <c:showBubbleSize val="0"/>
        </c:dLbls>
        <c:gapWidth val="150"/>
        <c:overlap val="100"/>
        <c:axId val="773493648"/>
        <c:axId val="773494432"/>
      </c:barChart>
      <c:catAx>
        <c:axId val="7734936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3494432"/>
        <c:crosses val="autoZero"/>
        <c:auto val="1"/>
        <c:lblAlgn val="ctr"/>
        <c:lblOffset val="100"/>
        <c:noMultiLvlLbl val="0"/>
      </c:catAx>
      <c:valAx>
        <c:axId val="77349443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34936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sz="1000" b="1" i="0" baseline="0">
                <a:effectLst/>
                <a:latin typeface="Arial" panose="020B0604020202020204" pitchFamily="34" charset="0"/>
                <a:cs typeface="Arial" panose="020B0604020202020204" pitchFamily="34" charset="0"/>
              </a:rPr>
              <a:t>Distribution of methods used by Pacific</a:t>
            </a:r>
            <a:endParaRPr lang="en-NZ" sz="8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506430849989905"/>
          <c:y val="0.29704209881253829"/>
          <c:w val="0.62087106803957193"/>
          <c:h val="0.66991802236174225"/>
        </c:manualLayout>
      </c:layout>
      <c:barChart>
        <c:barDir val="bar"/>
        <c:grouping val="stacked"/>
        <c:varyColors val="0"/>
        <c:ser>
          <c:idx val="0"/>
          <c:order val="0"/>
          <c:tx>
            <c:strRef>
              <c:f>'Ethnic group'!$Q$146</c:f>
              <c:strCache>
                <c:ptCount val="1"/>
                <c:pt idx="0">
                  <c:v>Pacific</c:v>
                </c:pt>
              </c:strCache>
            </c:strRef>
          </c:tx>
          <c:spPr>
            <a:solidFill>
              <a:schemeClr val="accent1"/>
            </a:solidFill>
            <a:ln>
              <a:noFill/>
            </a:ln>
            <a:effectLst/>
          </c:spPr>
          <c:invertIfNegative val="0"/>
          <c:cat>
            <c:strRef>
              <c:f>'Ethnic group'!$U$146:$U$153</c:f>
              <c:strCache>
                <c:ptCount val="8"/>
                <c:pt idx="0">
                  <c:v>Hanging, strangulation and suffocation</c:v>
                </c:pt>
                <c:pt idx="1">
                  <c:v>Poisoning by gases and vapours</c:v>
                </c:pt>
                <c:pt idx="2">
                  <c:v>Poisoning by solids and liquids</c:v>
                </c:pt>
                <c:pt idx="3">
                  <c:v>Firearms and explosives</c:v>
                </c:pt>
                <c:pt idx="4">
                  <c:v>Jumping from a high place</c:v>
                </c:pt>
                <c:pt idx="5">
                  <c:v>Submersion (drowning)</c:v>
                </c:pt>
                <c:pt idx="6">
                  <c:v>Sharp object</c:v>
                </c:pt>
                <c:pt idx="7">
                  <c:v>Other</c:v>
                </c:pt>
              </c:strCache>
            </c:strRef>
          </c:cat>
          <c:val>
            <c:numRef>
              <c:f>'Ethnic group'!$V$146:$V$153</c:f>
              <c:numCache>
                <c:formatCode>0.0</c:formatCode>
                <c:ptCount val="8"/>
                <c:pt idx="0">
                  <c:v>85.5</c:v>
                </c:pt>
                <c:pt idx="1">
                  <c:v>0.8</c:v>
                </c:pt>
                <c:pt idx="2">
                  <c:v>5.6</c:v>
                </c:pt>
                <c:pt idx="3">
                  <c:v>0</c:v>
                </c:pt>
                <c:pt idx="4">
                  <c:v>4</c:v>
                </c:pt>
                <c:pt idx="5">
                  <c:v>0.8</c:v>
                </c:pt>
                <c:pt idx="6">
                  <c:v>0.8</c:v>
                </c:pt>
                <c:pt idx="7">
                  <c:v>2.4</c:v>
                </c:pt>
              </c:numCache>
            </c:numRef>
          </c:val>
        </c:ser>
        <c:dLbls>
          <c:showLegendKey val="0"/>
          <c:showVal val="0"/>
          <c:showCatName val="0"/>
          <c:showSerName val="0"/>
          <c:showPercent val="0"/>
          <c:showBubbleSize val="0"/>
        </c:dLbls>
        <c:gapWidth val="150"/>
        <c:overlap val="100"/>
        <c:axId val="773487376"/>
        <c:axId val="773487768"/>
      </c:barChart>
      <c:catAx>
        <c:axId val="7734873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3487768"/>
        <c:crosses val="autoZero"/>
        <c:auto val="1"/>
        <c:lblAlgn val="ctr"/>
        <c:lblOffset val="100"/>
        <c:noMultiLvlLbl val="0"/>
      </c:catAx>
      <c:valAx>
        <c:axId val="773487768"/>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34873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1000" b="1"/>
              <a:t>15–24 years</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2681739362411646E-2"/>
          <c:y val="0.25375376647834275"/>
          <c:w val="0.82376666666666665"/>
          <c:h val="0.58256944444444447"/>
        </c:manualLayout>
      </c:layout>
      <c:barChart>
        <c:barDir val="col"/>
        <c:grouping val="clustered"/>
        <c:varyColors val="0"/>
        <c:ser>
          <c:idx val="0"/>
          <c:order val="0"/>
          <c:tx>
            <c:v>15–24</c:v>
          </c:tx>
          <c:spPr>
            <a:solidFill>
              <a:schemeClr val="bg1">
                <a:lumMod val="50000"/>
              </a:schemeClr>
            </a:solidFill>
            <a:ln>
              <a:noFill/>
            </a:ln>
            <a:effectLst/>
          </c:spPr>
          <c:invertIfNegative val="0"/>
          <c:cat>
            <c:strRef>
              <c:f>'Ethnic group'!$Q$38:$Q$41</c:f>
              <c:strCache>
                <c:ptCount val="4"/>
                <c:pt idx="0">
                  <c:v>Māori</c:v>
                </c:pt>
                <c:pt idx="1">
                  <c:v>Pacific</c:v>
                </c:pt>
                <c:pt idx="2">
                  <c:v>Asian</c:v>
                </c:pt>
                <c:pt idx="3">
                  <c:v>Other</c:v>
                </c:pt>
              </c:strCache>
            </c:strRef>
          </c:cat>
          <c:val>
            <c:numRef>
              <c:f>'Ethnic group'!$T$38:$T$41</c:f>
              <c:numCache>
                <c:formatCode>0.0</c:formatCode>
                <c:ptCount val="4"/>
                <c:pt idx="0">
                  <c:v>35.659467588644802</c:v>
                </c:pt>
                <c:pt idx="1">
                  <c:v>21.053409174854099</c:v>
                </c:pt>
                <c:pt idx="2">
                  <c:v>5.7617208339557404</c:v>
                </c:pt>
                <c:pt idx="3">
                  <c:v>15.4688110794661</c:v>
                </c:pt>
              </c:numCache>
            </c:numRef>
          </c:val>
        </c:ser>
        <c:dLbls>
          <c:showLegendKey val="0"/>
          <c:showVal val="0"/>
          <c:showCatName val="0"/>
          <c:showSerName val="0"/>
          <c:showPercent val="0"/>
          <c:showBubbleSize val="0"/>
        </c:dLbls>
        <c:gapWidth val="100"/>
        <c:overlap val="-15"/>
        <c:axId val="773498352"/>
        <c:axId val="773497960"/>
      </c:barChart>
      <c:catAx>
        <c:axId val="773498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3497960"/>
        <c:crosses val="autoZero"/>
        <c:auto val="1"/>
        <c:lblAlgn val="ctr"/>
        <c:lblOffset val="100"/>
        <c:noMultiLvlLbl val="0"/>
      </c:catAx>
      <c:valAx>
        <c:axId val="773497960"/>
        <c:scaling>
          <c:orientation val="minMax"/>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3498352"/>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17501906148203E-2"/>
          <c:y val="0.19162499999999999"/>
          <c:w val="0.83769564011922093"/>
          <c:h val="0.64429722222222219"/>
        </c:manualLayout>
      </c:layout>
      <c:lineChart>
        <c:grouping val="standard"/>
        <c:varyColors val="0"/>
        <c:ser>
          <c:idx val="0"/>
          <c:order val="0"/>
          <c:tx>
            <c:strRef>
              <c:f>'Māori Non-Māori'!$O$9</c:f>
              <c:strCache>
                <c:ptCount val="1"/>
                <c:pt idx="0">
                  <c:v>Māori</c:v>
                </c:pt>
              </c:strCache>
            </c:strRef>
          </c:tx>
          <c:spPr>
            <a:ln w="22225" cap="rnd">
              <a:solidFill>
                <a:schemeClr val="bg1">
                  <a:lumMod val="65000"/>
                </a:schemeClr>
              </a:solidFill>
              <a:round/>
            </a:ln>
            <a:effectLst/>
          </c:spPr>
          <c:marker>
            <c:symbol val="none"/>
          </c:marker>
          <c:errBars>
            <c:errDir val="y"/>
            <c:errBarType val="both"/>
            <c:errValType val="cust"/>
            <c:noEndCap val="0"/>
            <c:plus>
              <c:numRef>
                <c:f>'Māori Non-Māori'!$BL$10:$CE$10</c:f>
                <c:numCache>
                  <c:formatCode>General</c:formatCode>
                  <c:ptCount val="20"/>
                  <c:pt idx="0">
                    <c:v>3.7</c:v>
                  </c:pt>
                  <c:pt idx="1">
                    <c:v>3.8</c:v>
                  </c:pt>
                  <c:pt idx="2">
                    <c:v>3.9</c:v>
                  </c:pt>
                  <c:pt idx="3">
                    <c:v>3</c:v>
                  </c:pt>
                  <c:pt idx="4">
                    <c:v>3.3</c:v>
                  </c:pt>
                  <c:pt idx="5">
                    <c:v>3.1</c:v>
                  </c:pt>
                  <c:pt idx="6">
                    <c:v>3</c:v>
                  </c:pt>
                  <c:pt idx="7">
                    <c:v>3</c:v>
                  </c:pt>
                  <c:pt idx="8">
                    <c:v>3.5</c:v>
                  </c:pt>
                  <c:pt idx="9">
                    <c:v>3.4</c:v>
                  </c:pt>
                  <c:pt idx="10">
                    <c:v>3.4</c:v>
                  </c:pt>
                  <c:pt idx="11">
                    <c:v>3.2</c:v>
                  </c:pt>
                  <c:pt idx="12">
                    <c:v>2.9</c:v>
                  </c:pt>
                  <c:pt idx="13">
                    <c:v>2.8</c:v>
                  </c:pt>
                  <c:pt idx="14">
                    <c:v>3.1</c:v>
                  </c:pt>
                  <c:pt idx="15">
                    <c:v>3.2</c:v>
                  </c:pt>
                  <c:pt idx="16">
                    <c:v>3.2</c:v>
                  </c:pt>
                  <c:pt idx="17">
                    <c:v>3.1</c:v>
                  </c:pt>
                  <c:pt idx="18">
                    <c:v>3</c:v>
                  </c:pt>
                  <c:pt idx="19">
                    <c:v>3.2</c:v>
                  </c:pt>
                </c:numCache>
              </c:numRef>
            </c:plus>
            <c:minus>
              <c:numRef>
                <c:f>'Māori Non-Māori'!$BL$10:$CE$10</c:f>
                <c:numCache>
                  <c:formatCode>General</c:formatCode>
                  <c:ptCount val="20"/>
                  <c:pt idx="0">
                    <c:v>3.7</c:v>
                  </c:pt>
                  <c:pt idx="1">
                    <c:v>3.8</c:v>
                  </c:pt>
                  <c:pt idx="2">
                    <c:v>3.9</c:v>
                  </c:pt>
                  <c:pt idx="3">
                    <c:v>3</c:v>
                  </c:pt>
                  <c:pt idx="4">
                    <c:v>3.3</c:v>
                  </c:pt>
                  <c:pt idx="5">
                    <c:v>3.1</c:v>
                  </c:pt>
                  <c:pt idx="6">
                    <c:v>3</c:v>
                  </c:pt>
                  <c:pt idx="7">
                    <c:v>3</c:v>
                  </c:pt>
                  <c:pt idx="8">
                    <c:v>3.5</c:v>
                  </c:pt>
                  <c:pt idx="9">
                    <c:v>3.4</c:v>
                  </c:pt>
                  <c:pt idx="10">
                    <c:v>3.4</c:v>
                  </c:pt>
                  <c:pt idx="11">
                    <c:v>3.2</c:v>
                  </c:pt>
                  <c:pt idx="12">
                    <c:v>2.9</c:v>
                  </c:pt>
                  <c:pt idx="13">
                    <c:v>2.8</c:v>
                  </c:pt>
                  <c:pt idx="14">
                    <c:v>3.1</c:v>
                  </c:pt>
                  <c:pt idx="15">
                    <c:v>3.2</c:v>
                  </c:pt>
                  <c:pt idx="16">
                    <c:v>3.2</c:v>
                  </c:pt>
                  <c:pt idx="17">
                    <c:v>3.1</c:v>
                  </c:pt>
                  <c:pt idx="18">
                    <c:v>3</c:v>
                  </c:pt>
                  <c:pt idx="19">
                    <c:v>3.2</c:v>
                  </c:pt>
                </c:numCache>
              </c:numRef>
            </c:minus>
            <c:spPr>
              <a:noFill/>
              <a:ln w="9525" cap="flat" cmpd="sng" algn="ctr">
                <a:solidFill>
                  <a:schemeClr val="tx1">
                    <a:lumMod val="65000"/>
                    <a:lumOff val="35000"/>
                  </a:schemeClr>
                </a:solidFill>
                <a:round/>
              </a:ln>
              <a:effectLst/>
            </c:spPr>
          </c:errBars>
          <c:cat>
            <c:numRef>
              <c:f>'Māori Non-Māori'!$S$10:$AL$10</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Non-Māori'!$S$12:$AL$12</c:f>
              <c:numCache>
                <c:formatCode>0.0</c:formatCode>
                <c:ptCount val="20"/>
                <c:pt idx="0">
                  <c:v>18.424036081023001</c:v>
                </c:pt>
                <c:pt idx="1">
                  <c:v>19.8982046762785</c:v>
                </c:pt>
                <c:pt idx="2">
                  <c:v>21.066325436544499</c:v>
                </c:pt>
                <c:pt idx="3">
                  <c:v>13.680080488400799</c:v>
                </c:pt>
                <c:pt idx="4">
                  <c:v>15.0216247954586</c:v>
                </c:pt>
                <c:pt idx="5">
                  <c:v>14.087317407503001</c:v>
                </c:pt>
                <c:pt idx="6">
                  <c:v>13.892088049665601</c:v>
                </c:pt>
                <c:pt idx="7">
                  <c:v>14.459643080013199</c:v>
                </c:pt>
                <c:pt idx="8">
                  <c:v>18.923065742235899</c:v>
                </c:pt>
                <c:pt idx="9">
                  <c:v>17.852603495775298</c:v>
                </c:pt>
                <c:pt idx="10">
                  <c:v>17.9531609994688</c:v>
                </c:pt>
                <c:pt idx="11">
                  <c:v>16.111509144203101</c:v>
                </c:pt>
                <c:pt idx="12">
                  <c:v>14.0105109663824</c:v>
                </c:pt>
                <c:pt idx="13">
                  <c:v>13.081017831193</c:v>
                </c:pt>
                <c:pt idx="14">
                  <c:v>15.806302990390501</c:v>
                </c:pt>
                <c:pt idx="15">
                  <c:v>17.366835060391999</c:v>
                </c:pt>
                <c:pt idx="16">
                  <c:v>17.627168762910401</c:v>
                </c:pt>
                <c:pt idx="17">
                  <c:v>15.956035439304101</c:v>
                </c:pt>
                <c:pt idx="18">
                  <c:v>14.4433248002785</c:v>
                </c:pt>
                <c:pt idx="19">
                  <c:v>17.835459808531901</c:v>
                </c:pt>
              </c:numCache>
            </c:numRef>
          </c:val>
          <c:smooth val="0"/>
        </c:ser>
        <c:ser>
          <c:idx val="1"/>
          <c:order val="1"/>
          <c:tx>
            <c:strRef>
              <c:f>'Māori Non-Māori'!$O$20</c:f>
              <c:strCache>
                <c:ptCount val="1"/>
                <c:pt idx="0">
                  <c:v>Non-Māori</c:v>
                </c:pt>
              </c:strCache>
            </c:strRef>
          </c:tx>
          <c:spPr>
            <a:ln w="22225" cap="rnd">
              <a:solidFill>
                <a:schemeClr val="accent1"/>
              </a:solidFill>
              <a:round/>
            </a:ln>
            <a:effectLst/>
          </c:spPr>
          <c:marker>
            <c:symbol val="none"/>
          </c:marker>
          <c:errBars>
            <c:errDir val="y"/>
            <c:errBarType val="both"/>
            <c:errValType val="cust"/>
            <c:noEndCap val="0"/>
            <c:plus>
              <c:numRef>
                <c:f>'Māori Non-Māori'!$BL$17:$CE$17</c:f>
                <c:numCache>
                  <c:formatCode>General</c:formatCode>
                  <c:ptCount val="20"/>
                  <c:pt idx="0">
                    <c:v>1.2</c:v>
                  </c:pt>
                  <c:pt idx="1">
                    <c:v>1.3</c:v>
                  </c:pt>
                  <c:pt idx="2">
                    <c:v>1.2</c:v>
                  </c:pt>
                  <c:pt idx="3">
                    <c:v>1.2</c:v>
                  </c:pt>
                  <c:pt idx="4">
                    <c:v>1.1000000000000001</c:v>
                  </c:pt>
                  <c:pt idx="5">
                    <c:v>1.2</c:v>
                  </c:pt>
                  <c:pt idx="6">
                    <c:v>1.1000000000000001</c:v>
                  </c:pt>
                  <c:pt idx="7">
                    <c:v>1.1000000000000001</c:v>
                  </c:pt>
                  <c:pt idx="8">
                    <c:v>1</c:v>
                  </c:pt>
                  <c:pt idx="9">
                    <c:v>1.1000000000000001</c:v>
                  </c:pt>
                  <c:pt idx="10">
                    <c:v>1.1000000000000001</c:v>
                  </c:pt>
                  <c:pt idx="11">
                    <c:v>1</c:v>
                  </c:pt>
                  <c:pt idx="12">
                    <c:v>1.1000000000000001</c:v>
                  </c:pt>
                  <c:pt idx="13">
                    <c:v>1</c:v>
                  </c:pt>
                  <c:pt idx="14">
                    <c:v>1</c:v>
                  </c:pt>
                  <c:pt idx="15">
                    <c:v>1</c:v>
                  </c:pt>
                  <c:pt idx="16">
                    <c:v>1</c:v>
                  </c:pt>
                  <c:pt idx="17">
                    <c:v>0.9</c:v>
                  </c:pt>
                  <c:pt idx="18">
                    <c:v>1</c:v>
                  </c:pt>
                  <c:pt idx="19">
                    <c:v>0.9</c:v>
                  </c:pt>
                </c:numCache>
              </c:numRef>
            </c:plus>
            <c:minus>
              <c:numRef>
                <c:f>'Māori Non-Māori'!$BL$17:$CE$17</c:f>
                <c:numCache>
                  <c:formatCode>General</c:formatCode>
                  <c:ptCount val="20"/>
                  <c:pt idx="0">
                    <c:v>1.2</c:v>
                  </c:pt>
                  <c:pt idx="1">
                    <c:v>1.3</c:v>
                  </c:pt>
                  <c:pt idx="2">
                    <c:v>1.2</c:v>
                  </c:pt>
                  <c:pt idx="3">
                    <c:v>1.2</c:v>
                  </c:pt>
                  <c:pt idx="4">
                    <c:v>1.1000000000000001</c:v>
                  </c:pt>
                  <c:pt idx="5">
                    <c:v>1.2</c:v>
                  </c:pt>
                  <c:pt idx="6">
                    <c:v>1.1000000000000001</c:v>
                  </c:pt>
                  <c:pt idx="7">
                    <c:v>1.1000000000000001</c:v>
                  </c:pt>
                  <c:pt idx="8">
                    <c:v>1</c:v>
                  </c:pt>
                  <c:pt idx="9">
                    <c:v>1.1000000000000001</c:v>
                  </c:pt>
                  <c:pt idx="10">
                    <c:v>1.1000000000000001</c:v>
                  </c:pt>
                  <c:pt idx="11">
                    <c:v>1</c:v>
                  </c:pt>
                  <c:pt idx="12">
                    <c:v>1.1000000000000001</c:v>
                  </c:pt>
                  <c:pt idx="13">
                    <c:v>1</c:v>
                  </c:pt>
                  <c:pt idx="14">
                    <c:v>1</c:v>
                  </c:pt>
                  <c:pt idx="15">
                    <c:v>1</c:v>
                  </c:pt>
                  <c:pt idx="16">
                    <c:v>1</c:v>
                  </c:pt>
                  <c:pt idx="17">
                    <c:v>0.9</c:v>
                  </c:pt>
                  <c:pt idx="18">
                    <c:v>1</c:v>
                  </c:pt>
                  <c:pt idx="19">
                    <c:v>0.9</c:v>
                  </c:pt>
                </c:numCache>
              </c:numRef>
            </c:minus>
            <c:spPr>
              <a:noFill/>
              <a:ln w="9525" cap="flat" cmpd="sng" algn="ctr">
                <a:solidFill>
                  <a:schemeClr val="tx1">
                    <a:lumMod val="65000"/>
                    <a:lumOff val="35000"/>
                  </a:schemeClr>
                </a:solidFill>
                <a:round/>
              </a:ln>
              <a:effectLst/>
            </c:spPr>
          </c:errBars>
          <c:cat>
            <c:numRef>
              <c:f>'Māori Non-Māori'!$S$10:$AL$10</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'Māori Non-Māori'!$S$23:$AL$23</c:f>
              <c:numCache>
                <c:formatCode>0.0</c:formatCode>
                <c:ptCount val="20"/>
                <c:pt idx="0">
                  <c:v>13.202661641130099</c:v>
                </c:pt>
                <c:pt idx="1">
                  <c:v>13.6356969902152</c:v>
                </c:pt>
                <c:pt idx="2">
                  <c:v>13.719933399984299</c:v>
                </c:pt>
                <c:pt idx="3">
                  <c:v>12.8439199652067</c:v>
                </c:pt>
                <c:pt idx="4">
                  <c:v>11.1683814296716</c:v>
                </c:pt>
                <c:pt idx="5">
                  <c:v>12.3764768268776</c:v>
                </c:pt>
                <c:pt idx="6">
                  <c:v>10.9882846931341</c:v>
                </c:pt>
                <c:pt idx="7">
                  <c:v>11.6548370610064</c:v>
                </c:pt>
                <c:pt idx="8">
                  <c:v>10.3253251579566</c:v>
                </c:pt>
                <c:pt idx="9">
                  <c:v>10.916375074971301</c:v>
                </c:pt>
                <c:pt idx="10">
                  <c:v>10.9315740531038</c:v>
                </c:pt>
                <c:pt idx="11">
                  <c:v>10.318814507971201</c:v>
                </c:pt>
                <c:pt idx="12">
                  <c:v>11.1639267014209</c:v>
                </c:pt>
                <c:pt idx="13">
                  <c:v>10.9175102802797</c:v>
                </c:pt>
                <c:pt idx="14">
                  <c:v>10.8724229875909</c:v>
                </c:pt>
                <c:pt idx="15">
                  <c:v>9.6064019829245701</c:v>
                </c:pt>
                <c:pt idx="16">
                  <c:v>10.8700975052411</c:v>
                </c:pt>
                <c:pt idx="17">
                  <c:v>9.7148957708980408</c:v>
                </c:pt>
                <c:pt idx="18">
                  <c:v>9.9109767454623192</c:v>
                </c:pt>
                <c:pt idx="19">
                  <c:v>9.5574665818482494</c:v>
                </c:pt>
              </c:numCache>
            </c:numRef>
          </c:val>
          <c:smooth val="0"/>
        </c:ser>
        <c:dLbls>
          <c:showLegendKey val="0"/>
          <c:showVal val="0"/>
          <c:showCatName val="0"/>
          <c:showSerName val="0"/>
          <c:showPercent val="0"/>
          <c:showBubbleSize val="0"/>
        </c:dLbls>
        <c:smooth val="0"/>
        <c:axId val="777965656"/>
        <c:axId val="685068520"/>
      </c:lineChart>
      <c:catAx>
        <c:axId val="7779656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85068520"/>
        <c:crosses val="autoZero"/>
        <c:auto val="1"/>
        <c:lblAlgn val="ctr"/>
        <c:lblOffset val="100"/>
        <c:tickLblSkip val="2"/>
        <c:noMultiLvlLbl val="0"/>
      </c:catAx>
      <c:valAx>
        <c:axId val="685068520"/>
        <c:scaling>
          <c:orientation val="minMax"/>
          <c:max val="4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7965656"/>
        <c:crosses val="autoZero"/>
        <c:crossBetween val="between"/>
        <c:majorUnit val="10"/>
      </c:valAx>
      <c:spPr>
        <a:noFill/>
        <a:ln>
          <a:noFill/>
        </a:ln>
        <a:effectLst/>
      </c:spPr>
    </c:plotArea>
    <c:legend>
      <c:legendPos val="r"/>
      <c:layout>
        <c:manualLayout>
          <c:xMode val="edge"/>
          <c:yMode val="edge"/>
          <c:x val="0.83441524462660843"/>
          <c:y val="2.1124646240925322E-2"/>
          <c:w val="0.16331663496655863"/>
          <c:h val="0.1659860820584334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1000" b="1"/>
              <a:t>25–44 years</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538682139522478E-2"/>
          <c:y val="0.25375376647834275"/>
          <c:w val="0.82376666666666665"/>
          <c:h val="0.58256944444444447"/>
        </c:manualLayout>
      </c:layout>
      <c:barChart>
        <c:barDir val="col"/>
        <c:grouping val="clustered"/>
        <c:varyColors val="0"/>
        <c:ser>
          <c:idx val="0"/>
          <c:order val="0"/>
          <c:tx>
            <c:v>25–44</c:v>
          </c:tx>
          <c:spPr>
            <a:solidFill>
              <a:schemeClr val="bg1">
                <a:lumMod val="50000"/>
              </a:schemeClr>
            </a:solidFill>
            <a:ln>
              <a:noFill/>
            </a:ln>
            <a:effectLst/>
          </c:spPr>
          <c:invertIfNegative val="0"/>
          <c:cat>
            <c:strRef>
              <c:f>'Ethnic group'!$Q$43:$Q$46</c:f>
              <c:strCache>
                <c:ptCount val="4"/>
                <c:pt idx="0">
                  <c:v>Māori</c:v>
                </c:pt>
                <c:pt idx="1">
                  <c:v>Pacific</c:v>
                </c:pt>
                <c:pt idx="2">
                  <c:v>Asian</c:v>
                </c:pt>
                <c:pt idx="3">
                  <c:v>Other</c:v>
                </c:pt>
              </c:strCache>
            </c:strRef>
          </c:cat>
          <c:val>
            <c:numRef>
              <c:f>'Ethnic group'!$T$43:$T$46</c:f>
              <c:numCache>
                <c:formatCode>0.0</c:formatCode>
                <c:ptCount val="4"/>
                <c:pt idx="0">
                  <c:v>27.4627713724283</c:v>
                </c:pt>
                <c:pt idx="1">
                  <c:v>8.8226898824506303</c:v>
                </c:pt>
                <c:pt idx="2">
                  <c:v>4.7593865679534604</c:v>
                </c:pt>
                <c:pt idx="3">
                  <c:v>15.4851839971684</c:v>
                </c:pt>
              </c:numCache>
            </c:numRef>
          </c:val>
        </c:ser>
        <c:dLbls>
          <c:showLegendKey val="0"/>
          <c:showVal val="0"/>
          <c:showCatName val="0"/>
          <c:showSerName val="0"/>
          <c:showPercent val="0"/>
          <c:showBubbleSize val="0"/>
        </c:dLbls>
        <c:gapWidth val="100"/>
        <c:overlap val="-15"/>
        <c:axId val="773499136"/>
        <c:axId val="773500312"/>
      </c:barChart>
      <c:catAx>
        <c:axId val="7734991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3500312"/>
        <c:crosses val="autoZero"/>
        <c:auto val="1"/>
        <c:lblAlgn val="ctr"/>
        <c:lblOffset val="100"/>
        <c:noMultiLvlLbl val="0"/>
      </c:catAx>
      <c:valAx>
        <c:axId val="773500312"/>
        <c:scaling>
          <c:orientation val="minMax"/>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3499136"/>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1000" b="1"/>
              <a:t>45–64 years</a:t>
            </a:r>
          </a:p>
        </c:rich>
      </c:tx>
      <c:layout>
        <c:manualLayout>
          <c:xMode val="edge"/>
          <c:yMode val="edge"/>
          <c:x val="0.37136156999982844"/>
          <c:y val="4.5454545454545456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207968253968254"/>
          <c:y val="0.25375388888888883"/>
          <c:w val="0.82376666666666665"/>
          <c:h val="0.58256944444444447"/>
        </c:manualLayout>
      </c:layout>
      <c:barChart>
        <c:barDir val="col"/>
        <c:grouping val="clustered"/>
        <c:varyColors val="0"/>
        <c:ser>
          <c:idx val="0"/>
          <c:order val="0"/>
          <c:tx>
            <c:v>45–64</c:v>
          </c:tx>
          <c:spPr>
            <a:solidFill>
              <a:schemeClr val="bg1">
                <a:lumMod val="50000"/>
              </a:schemeClr>
            </a:solidFill>
            <a:ln>
              <a:noFill/>
            </a:ln>
            <a:effectLst/>
          </c:spPr>
          <c:invertIfNegative val="0"/>
          <c:cat>
            <c:strRef>
              <c:f>[1]ETHNICITY!$S$22:$V$22</c:f>
              <c:strCache>
                <c:ptCount val="4"/>
                <c:pt idx="0">
                  <c:v>Maori</c:v>
                </c:pt>
                <c:pt idx="1">
                  <c:v>Pacific</c:v>
                </c:pt>
                <c:pt idx="2">
                  <c:v>Asian</c:v>
                </c:pt>
                <c:pt idx="3">
                  <c:v>Other</c:v>
                </c:pt>
              </c:strCache>
            </c:strRef>
          </c:cat>
          <c:val>
            <c:numRef>
              <c:f>'Ethnic group'!$T$48:$T$51</c:f>
              <c:numCache>
                <c:formatCode>0.0</c:formatCode>
                <c:ptCount val="4"/>
                <c:pt idx="0">
                  <c:v>10.2201257861635</c:v>
                </c:pt>
                <c:pt idx="1">
                  <c:v>8.4869994599182199</c:v>
                </c:pt>
                <c:pt idx="2">
                  <c:v>6.9128099686264797</c:v>
                </c:pt>
                <c:pt idx="3">
                  <c:v>16.212963290735999</c:v>
                </c:pt>
              </c:numCache>
            </c:numRef>
          </c:val>
        </c:ser>
        <c:dLbls>
          <c:showLegendKey val="0"/>
          <c:showVal val="0"/>
          <c:showCatName val="0"/>
          <c:showSerName val="0"/>
          <c:showPercent val="0"/>
          <c:showBubbleSize val="0"/>
        </c:dLbls>
        <c:gapWidth val="100"/>
        <c:overlap val="-15"/>
        <c:axId val="773497176"/>
        <c:axId val="773497568"/>
      </c:barChart>
      <c:catAx>
        <c:axId val="77349717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3497568"/>
        <c:crosses val="autoZero"/>
        <c:auto val="1"/>
        <c:lblAlgn val="ctr"/>
        <c:lblOffset val="100"/>
        <c:noMultiLvlLbl val="0"/>
      </c:catAx>
      <c:valAx>
        <c:axId val="773497568"/>
        <c:scaling>
          <c:orientation val="minMax"/>
          <c:max val="5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34971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All ages</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1539877300613497E-2"/>
          <c:y val="0.2466983333333333"/>
          <c:w val="0.88436656441717787"/>
          <c:h val="0.63349833333333339"/>
        </c:manualLayout>
      </c:layout>
      <c:barChart>
        <c:barDir val="col"/>
        <c:grouping val="clustered"/>
        <c:varyColors val="0"/>
        <c:ser>
          <c:idx val="0"/>
          <c:order val="0"/>
          <c:tx>
            <c:strRef>
              <c:f>'Ethnic group'!$U$6</c:f>
              <c:strCache>
                <c:ptCount val="1"/>
                <c:pt idx="0">
                  <c:v>Male</c:v>
                </c:pt>
              </c:strCache>
            </c:strRef>
          </c:tx>
          <c:spPr>
            <a:solidFill>
              <a:schemeClr val="bg1">
                <a:lumMod val="50000"/>
              </a:schemeClr>
            </a:solidFill>
            <a:ln>
              <a:noFill/>
            </a:ln>
            <a:effectLst/>
          </c:spPr>
          <c:invertIfNegative val="0"/>
          <c:errBars>
            <c:errBarType val="both"/>
            <c:errValType val="cust"/>
            <c:noEndCap val="0"/>
            <c:plus>
              <c:numRef>
                <c:f>'Ethnic group'!$BE$12:$BE$15</c:f>
                <c:numCache>
                  <c:formatCode>General</c:formatCode>
                  <c:ptCount val="4"/>
                  <c:pt idx="0">
                    <c:v>2.4</c:v>
                  </c:pt>
                  <c:pt idx="1">
                    <c:v>2.6</c:v>
                  </c:pt>
                  <c:pt idx="2">
                    <c:v>1.3</c:v>
                  </c:pt>
                  <c:pt idx="3">
                    <c:v>0.9</c:v>
                  </c:pt>
                </c:numCache>
              </c:numRef>
            </c:plus>
            <c:minus>
              <c:numRef>
                <c:f>'Ethnic group'!$BE$12:$BE$15</c:f>
                <c:numCache>
                  <c:formatCode>General</c:formatCode>
                  <c:ptCount val="4"/>
                  <c:pt idx="0">
                    <c:v>2.4</c:v>
                  </c:pt>
                  <c:pt idx="1">
                    <c:v>2.6</c:v>
                  </c:pt>
                  <c:pt idx="2">
                    <c:v>1.3</c:v>
                  </c:pt>
                  <c:pt idx="3">
                    <c:v>0.9</c:v>
                  </c:pt>
                </c:numCache>
              </c:numRef>
            </c:minus>
            <c:spPr>
              <a:noFill/>
              <a:ln w="9525" cap="flat" cmpd="sng" algn="ctr">
                <a:solidFill>
                  <a:schemeClr val="tx1">
                    <a:lumMod val="65000"/>
                    <a:lumOff val="35000"/>
                  </a:schemeClr>
                </a:solidFill>
                <a:round/>
              </a:ln>
              <a:effectLst/>
            </c:spPr>
          </c:errBars>
          <c:cat>
            <c:strRef>
              <c:f>'Ethnic group'!$Q$33:$Q$36</c:f>
              <c:strCache>
                <c:ptCount val="4"/>
                <c:pt idx="0">
                  <c:v>Māori</c:v>
                </c:pt>
                <c:pt idx="1">
                  <c:v>Pacific</c:v>
                </c:pt>
                <c:pt idx="2">
                  <c:v>Asian</c:v>
                </c:pt>
                <c:pt idx="3">
                  <c:v>Other</c:v>
                </c:pt>
              </c:strCache>
            </c:strRef>
          </c:cat>
          <c:val>
            <c:numRef>
              <c:f>'Ethnic group'!$U$33:$U$36</c:f>
              <c:numCache>
                <c:formatCode>0.0</c:formatCode>
                <c:ptCount val="4"/>
                <c:pt idx="0">
                  <c:v>24.059501426314299</c:v>
                </c:pt>
                <c:pt idx="1">
                  <c:v>12.5975011470462</c:v>
                </c:pt>
                <c:pt idx="2">
                  <c:v>6.1339845000132698</c:v>
                </c:pt>
                <c:pt idx="3">
                  <c:v>17.313193556336898</c:v>
                </c:pt>
              </c:numCache>
            </c:numRef>
          </c:val>
        </c:ser>
        <c:ser>
          <c:idx val="1"/>
          <c:order val="1"/>
          <c:tx>
            <c:strRef>
              <c:f>'Ethnic group'!$V$6</c:f>
              <c:strCache>
                <c:ptCount val="1"/>
                <c:pt idx="0">
                  <c:v>Female</c:v>
                </c:pt>
              </c:strCache>
            </c:strRef>
          </c:tx>
          <c:spPr>
            <a:solidFill>
              <a:schemeClr val="accent1"/>
            </a:solidFill>
            <a:ln>
              <a:noFill/>
            </a:ln>
            <a:effectLst/>
          </c:spPr>
          <c:invertIfNegative val="0"/>
          <c:errBars>
            <c:errBarType val="both"/>
            <c:errValType val="cust"/>
            <c:noEndCap val="0"/>
            <c:plus>
              <c:numRef>
                <c:f>'Ethnic group'!$BF$12:$BF$15</c:f>
                <c:numCache>
                  <c:formatCode>General</c:formatCode>
                  <c:ptCount val="4"/>
                  <c:pt idx="0">
                    <c:v>1.5</c:v>
                  </c:pt>
                  <c:pt idx="1">
                    <c:v>1.5</c:v>
                  </c:pt>
                  <c:pt idx="2">
                    <c:v>0.9</c:v>
                  </c:pt>
                  <c:pt idx="3">
                    <c:v>0.5</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'Ethnic group'!$Q$33:$Q$36</c:f>
              <c:strCache>
                <c:ptCount val="4"/>
                <c:pt idx="0">
                  <c:v>Māori</c:v>
                </c:pt>
                <c:pt idx="1">
                  <c:v>Pacific</c:v>
                </c:pt>
                <c:pt idx="2">
                  <c:v>Asian</c:v>
                </c:pt>
                <c:pt idx="3">
                  <c:v>Other</c:v>
                </c:pt>
              </c:strCache>
            </c:strRef>
          </c:cat>
          <c:val>
            <c:numRef>
              <c:f>'Ethnic group'!$V$33:$V$36</c:f>
              <c:numCache>
                <c:formatCode>0.0</c:formatCode>
                <c:ptCount val="4"/>
                <c:pt idx="0">
                  <c:v>9.8967768313879692</c:v>
                </c:pt>
                <c:pt idx="1">
                  <c:v>4.5874906779750102</c:v>
                </c:pt>
                <c:pt idx="2">
                  <c:v>3.1105831097302099</c:v>
                </c:pt>
                <c:pt idx="3">
                  <c:v>5.2243694506756597</c:v>
                </c:pt>
              </c:numCache>
            </c:numRef>
          </c:val>
        </c:ser>
        <c:dLbls>
          <c:showLegendKey val="0"/>
          <c:showVal val="0"/>
          <c:showCatName val="0"/>
          <c:showSerName val="0"/>
          <c:showPercent val="0"/>
          <c:showBubbleSize val="0"/>
        </c:dLbls>
        <c:gapWidth val="100"/>
        <c:overlap val="-15"/>
        <c:axId val="770441136"/>
        <c:axId val="770452112"/>
      </c:barChart>
      <c:catAx>
        <c:axId val="7704411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0452112"/>
        <c:crosses val="autoZero"/>
        <c:auto val="1"/>
        <c:lblAlgn val="ctr"/>
        <c:lblOffset val="100"/>
        <c:noMultiLvlLbl val="0"/>
      </c:catAx>
      <c:valAx>
        <c:axId val="770452112"/>
        <c:scaling>
          <c:orientation val="minMax"/>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0441136"/>
        <c:crosses val="autoZero"/>
        <c:crossBetween val="between"/>
        <c:majorUnit val="10"/>
      </c:valAx>
      <c:spPr>
        <a:noFill/>
        <a:ln>
          <a:noFill/>
        </a:ln>
        <a:effectLst/>
      </c:spPr>
    </c:plotArea>
    <c:legend>
      <c:legendPos val="r"/>
      <c:layout>
        <c:manualLayout>
          <c:xMode val="edge"/>
          <c:yMode val="edge"/>
          <c:x val="0.7964381390593045"/>
          <c:y val="3.9434444444444453E-2"/>
          <c:w val="0.17759049079754602"/>
          <c:h val="0.131346830203565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a:latin typeface="Arial" panose="020B0604020202020204" pitchFamily="34" charset="0"/>
                <a:cs typeface="Arial" panose="020B0604020202020204" pitchFamily="34" charset="0"/>
              </a:rPr>
              <a:t>Māori</a:t>
            </a:r>
          </a:p>
        </c:rich>
      </c:tx>
      <c:layout>
        <c:manualLayout>
          <c:xMode val="edge"/>
          <c:yMode val="edge"/>
          <c:x val="0.41811557956515932"/>
          <c:y val="1.793785310734463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'Ethnic group'!$Q$97</c:f>
              <c:strCache>
                <c:ptCount val="1"/>
                <c:pt idx="0">
                  <c:v>Māori</c:v>
                </c:pt>
              </c:strCache>
            </c:strRef>
          </c:tx>
          <c:spPr>
            <a:solidFill>
              <a:schemeClr val="bg1">
                <a:lumMod val="50000"/>
              </a:schemeClr>
            </a:solidFill>
            <a:ln>
              <a:noFill/>
            </a:ln>
            <a:effectLst/>
          </c:spPr>
          <c:invertIfNegative val="0"/>
          <c:errBars>
            <c:errBarType val="both"/>
            <c:errValType val="cust"/>
            <c:noEndCap val="0"/>
            <c:plus>
              <c:numRef>
                <c:f>'Ethnic group'!$BC$77:$BC$81</c:f>
                <c:numCache>
                  <c:formatCode>General</c:formatCode>
                  <c:ptCount val="5"/>
                  <c:pt idx="0">
                    <c:v>3.3</c:v>
                  </c:pt>
                  <c:pt idx="1">
                    <c:v>3.8</c:v>
                  </c:pt>
                  <c:pt idx="2">
                    <c:v>3.2</c:v>
                  </c:pt>
                  <c:pt idx="3">
                    <c:v>2.9</c:v>
                  </c:pt>
                  <c:pt idx="4">
                    <c:v>2.4</c:v>
                  </c:pt>
                </c:numCache>
              </c:numRef>
            </c:plus>
            <c:minus>
              <c:numRef>
                <c:f>'Ethnic group'!$BC$77:$BC$81</c:f>
                <c:numCache>
                  <c:formatCode>General</c:formatCode>
                  <c:ptCount val="5"/>
                  <c:pt idx="0">
                    <c:v>3.3</c:v>
                  </c:pt>
                  <c:pt idx="1">
                    <c:v>3.8</c:v>
                  </c:pt>
                  <c:pt idx="2">
                    <c:v>3.2</c:v>
                  </c:pt>
                  <c:pt idx="3">
                    <c:v>2.9</c:v>
                  </c:pt>
                  <c:pt idx="4">
                    <c:v>2.4</c:v>
                  </c:pt>
                </c:numCache>
              </c:numRef>
            </c:minus>
            <c:spPr>
              <a:noFill/>
              <a:ln w="9525" cap="flat" cmpd="sng" algn="ctr">
                <a:solidFill>
                  <a:schemeClr val="tx1">
                    <a:lumMod val="65000"/>
                    <a:lumOff val="35000"/>
                  </a:schemeClr>
                </a:solidFill>
                <a:round/>
              </a:ln>
              <a:effectLst/>
            </c:spPr>
          </c:errBars>
          <c:cat>
            <c:numRef>
              <c:f>'Ethnic group'!$R$97:$R$101</c:f>
              <c:numCache>
                <c:formatCode>General</c:formatCode>
                <c:ptCount val="5"/>
                <c:pt idx="0">
                  <c:v>1</c:v>
                </c:pt>
                <c:pt idx="1">
                  <c:v>2</c:v>
                </c:pt>
                <c:pt idx="2">
                  <c:v>3</c:v>
                </c:pt>
                <c:pt idx="3">
                  <c:v>4</c:v>
                </c:pt>
                <c:pt idx="4">
                  <c:v>5</c:v>
                </c:pt>
              </c:numCache>
            </c:numRef>
          </c:cat>
          <c:val>
            <c:numRef>
              <c:f>'Ethnic group'!$T$97:$T$101</c:f>
              <c:numCache>
                <c:formatCode>0.0</c:formatCode>
                <c:ptCount val="5"/>
                <c:pt idx="0">
                  <c:v>7.7795828057365997</c:v>
                </c:pt>
                <c:pt idx="1">
                  <c:v>14.338014713266899</c:v>
                </c:pt>
                <c:pt idx="2">
                  <c:v>14.1975181045838</c:v>
                </c:pt>
                <c:pt idx="3">
                  <c:v>16.626450520389501</c:v>
                </c:pt>
                <c:pt idx="4">
                  <c:v>19.541871373493201</c:v>
                </c:pt>
              </c:numCache>
            </c:numRef>
          </c:val>
        </c:ser>
        <c:dLbls>
          <c:showLegendKey val="0"/>
          <c:showVal val="0"/>
          <c:showCatName val="0"/>
          <c:showSerName val="0"/>
          <c:showPercent val="0"/>
          <c:showBubbleSize val="0"/>
        </c:dLbls>
        <c:gapWidth val="100"/>
        <c:overlap val="-27"/>
        <c:axId val="770450544"/>
        <c:axId val="770450936"/>
      </c:barChart>
      <c:catAx>
        <c:axId val="77045054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450936"/>
        <c:crosses val="autoZero"/>
        <c:auto val="1"/>
        <c:lblAlgn val="ctr"/>
        <c:lblOffset val="100"/>
        <c:noMultiLvlLbl val="0"/>
      </c:catAx>
      <c:valAx>
        <c:axId val="770450936"/>
        <c:scaling>
          <c:orientation val="minMax"/>
          <c:max val="25"/>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4505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a:latin typeface="Arial" panose="020B0604020202020204" pitchFamily="34" charset="0"/>
                <a:cs typeface="Arial" panose="020B0604020202020204" pitchFamily="34" charset="0"/>
              </a:rPr>
              <a:t>Pacific</a:t>
            </a:r>
          </a:p>
        </c:rich>
      </c:tx>
      <c:layout>
        <c:manualLayout>
          <c:xMode val="edge"/>
          <c:yMode val="edge"/>
          <c:x val="0.41479124983326665"/>
          <c:y val="2.39171374764595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0993730825664"/>
          <c:y val="0.18584718302498171"/>
          <c:w val="0.88578498065893019"/>
          <c:h val="0.67728511201700292"/>
        </c:manualLayout>
      </c:layout>
      <c:barChart>
        <c:barDir val="col"/>
        <c:grouping val="clustered"/>
        <c:varyColors val="0"/>
        <c:ser>
          <c:idx val="0"/>
          <c:order val="0"/>
          <c:tx>
            <c:strRef>
              <c:f>'Ethnic group'!$Q$103</c:f>
              <c:strCache>
                <c:ptCount val="1"/>
                <c:pt idx="0">
                  <c:v>Pacific</c:v>
                </c:pt>
              </c:strCache>
            </c:strRef>
          </c:tx>
          <c:spPr>
            <a:solidFill>
              <a:schemeClr val="bg1">
                <a:lumMod val="50000"/>
              </a:schemeClr>
            </a:solidFill>
            <a:ln>
              <a:noFill/>
            </a:ln>
            <a:effectLst/>
          </c:spPr>
          <c:invertIfNegative val="0"/>
          <c:errBars>
            <c:errBarType val="both"/>
            <c:errValType val="cust"/>
            <c:noEndCap val="0"/>
            <c:plus>
              <c:numRef>
                <c:f>'Ethnic group'!$BC$83:$BC$87</c:f>
                <c:numCache>
                  <c:formatCode>General</c:formatCode>
                  <c:ptCount val="5"/>
                  <c:pt idx="0">
                    <c:v>0</c:v>
                  </c:pt>
                  <c:pt idx="1">
                    <c:v>0</c:v>
                  </c:pt>
                  <c:pt idx="2">
                    <c:v>0</c:v>
                  </c:pt>
                  <c:pt idx="3">
                    <c:v>3.3</c:v>
                  </c:pt>
                  <c:pt idx="4">
                    <c:v>2</c:v>
                  </c:pt>
                </c:numCache>
              </c:numRef>
            </c:plus>
            <c:minus>
              <c:numRef>
                <c:f>'Ethnic group'!$BC$83:$BC$87</c:f>
                <c:numCache>
                  <c:formatCode>General</c:formatCode>
                  <c:ptCount val="5"/>
                  <c:pt idx="0">
                    <c:v>0</c:v>
                  </c:pt>
                  <c:pt idx="1">
                    <c:v>0</c:v>
                  </c:pt>
                  <c:pt idx="2">
                    <c:v>0</c:v>
                  </c:pt>
                  <c:pt idx="3">
                    <c:v>3.3</c:v>
                  </c:pt>
                  <c:pt idx="4">
                    <c:v>2</c:v>
                  </c:pt>
                </c:numCache>
              </c:numRef>
            </c:minus>
            <c:spPr>
              <a:noFill/>
              <a:ln w="9525" cap="flat" cmpd="sng" algn="ctr">
                <a:solidFill>
                  <a:schemeClr val="tx1">
                    <a:lumMod val="65000"/>
                    <a:lumOff val="35000"/>
                  </a:schemeClr>
                </a:solidFill>
                <a:round/>
              </a:ln>
              <a:effectLst/>
            </c:spPr>
          </c:errBars>
          <c:cat>
            <c:numRef>
              <c:f>'Ethnic group'!$R$97:$R$101</c:f>
              <c:numCache>
                <c:formatCode>General</c:formatCode>
                <c:ptCount val="5"/>
                <c:pt idx="0">
                  <c:v>1</c:v>
                </c:pt>
                <c:pt idx="1">
                  <c:v>2</c:v>
                </c:pt>
                <c:pt idx="2">
                  <c:v>3</c:v>
                </c:pt>
                <c:pt idx="3">
                  <c:v>4</c:v>
                </c:pt>
                <c:pt idx="4">
                  <c:v>5</c:v>
                </c:pt>
              </c:numCache>
            </c:numRef>
          </c:cat>
          <c:val>
            <c:numRef>
              <c:f>'Ethnic group'!$T$103:$T$107</c:f>
              <c:numCache>
                <c:formatCode>0.0</c:formatCode>
                <c:ptCount val="5"/>
                <c:pt idx="0">
                  <c:v>0</c:v>
                </c:pt>
                <c:pt idx="1">
                  <c:v>0</c:v>
                </c:pt>
                <c:pt idx="2">
                  <c:v>0</c:v>
                </c:pt>
                <c:pt idx="3">
                  <c:v>8.2962613812423207</c:v>
                </c:pt>
                <c:pt idx="4">
                  <c:v>8.4839207707021398</c:v>
                </c:pt>
              </c:numCache>
            </c:numRef>
          </c:val>
        </c:ser>
        <c:dLbls>
          <c:showLegendKey val="0"/>
          <c:showVal val="0"/>
          <c:showCatName val="0"/>
          <c:showSerName val="0"/>
          <c:showPercent val="0"/>
          <c:showBubbleSize val="0"/>
        </c:dLbls>
        <c:gapWidth val="100"/>
        <c:overlap val="-27"/>
        <c:axId val="770451328"/>
        <c:axId val="770444272"/>
      </c:barChart>
      <c:catAx>
        <c:axId val="77045132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444272"/>
        <c:crosses val="autoZero"/>
        <c:auto val="1"/>
        <c:lblAlgn val="ctr"/>
        <c:lblOffset val="100"/>
        <c:noMultiLvlLbl val="0"/>
      </c:catAx>
      <c:valAx>
        <c:axId val="770444272"/>
        <c:scaling>
          <c:orientation val="minMax"/>
          <c:max val="25"/>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4513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a:latin typeface="Arial" panose="020B0604020202020204" pitchFamily="34" charset="0"/>
                <a:cs typeface="Arial" panose="020B0604020202020204" pitchFamily="34" charset="0"/>
              </a:rPr>
              <a:t>Asian</a:t>
            </a:r>
          </a:p>
        </c:rich>
      </c:tx>
      <c:layout>
        <c:manualLayout>
          <c:xMode val="edge"/>
          <c:yMode val="edge"/>
          <c:x val="0.42963485394157669"/>
          <c:y val="8.370998116760829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'Ethnic group'!$Q$109</c:f>
              <c:strCache>
                <c:ptCount val="1"/>
                <c:pt idx="0">
                  <c:v>Asian</c:v>
                </c:pt>
              </c:strCache>
            </c:strRef>
          </c:tx>
          <c:spPr>
            <a:solidFill>
              <a:schemeClr val="bg1">
                <a:lumMod val="50000"/>
              </a:schemeClr>
            </a:solidFill>
            <a:ln>
              <a:noFill/>
            </a:ln>
            <a:effectLst/>
          </c:spPr>
          <c:invertIfNegative val="0"/>
          <c:errBars>
            <c:errBarType val="both"/>
            <c:errValType val="cust"/>
            <c:noEndCap val="0"/>
            <c:plus>
              <c:numRef>
                <c:f>'Ethnic group'!$BC$89:$BC$93</c:f>
                <c:numCache>
                  <c:formatCode>General</c:formatCode>
                  <c:ptCount val="5"/>
                  <c:pt idx="0">
                    <c:v>0</c:v>
                  </c:pt>
                  <c:pt idx="1">
                    <c:v>1.5</c:v>
                  </c:pt>
                  <c:pt idx="2">
                    <c:v>1.5</c:v>
                  </c:pt>
                  <c:pt idx="3">
                    <c:v>1.7</c:v>
                  </c:pt>
                  <c:pt idx="4">
                    <c:v>2.2000000000000002</c:v>
                  </c:pt>
                </c:numCache>
              </c:numRef>
            </c:plus>
            <c:minus>
              <c:numRef>
                <c:f>'Ethnic group'!$BC$89:$BC$93</c:f>
                <c:numCache>
                  <c:formatCode>General</c:formatCode>
                  <c:ptCount val="5"/>
                  <c:pt idx="0">
                    <c:v>0</c:v>
                  </c:pt>
                  <c:pt idx="1">
                    <c:v>1.5</c:v>
                  </c:pt>
                  <c:pt idx="2">
                    <c:v>1.5</c:v>
                  </c:pt>
                  <c:pt idx="3">
                    <c:v>1.7</c:v>
                  </c:pt>
                  <c:pt idx="4">
                    <c:v>2.2000000000000002</c:v>
                  </c:pt>
                </c:numCache>
              </c:numRef>
            </c:minus>
            <c:spPr>
              <a:noFill/>
              <a:ln w="9525" cap="flat" cmpd="sng" algn="ctr">
                <a:solidFill>
                  <a:schemeClr val="tx1">
                    <a:lumMod val="65000"/>
                    <a:lumOff val="35000"/>
                  </a:schemeClr>
                </a:solidFill>
                <a:round/>
              </a:ln>
              <a:effectLst/>
            </c:spPr>
          </c:errBars>
          <c:cat>
            <c:numRef>
              <c:f>'Ethnic group'!$R$97:$R$101</c:f>
              <c:numCache>
                <c:formatCode>General</c:formatCode>
                <c:ptCount val="5"/>
                <c:pt idx="0">
                  <c:v>1</c:v>
                </c:pt>
                <c:pt idx="1">
                  <c:v>2</c:v>
                </c:pt>
                <c:pt idx="2">
                  <c:v>3</c:v>
                </c:pt>
                <c:pt idx="3">
                  <c:v>4</c:v>
                </c:pt>
                <c:pt idx="4">
                  <c:v>5</c:v>
                </c:pt>
              </c:numCache>
            </c:numRef>
          </c:cat>
          <c:val>
            <c:numRef>
              <c:f>'Ethnic group'!$T$109:$T$113</c:f>
              <c:numCache>
                <c:formatCode>0.0</c:formatCode>
                <c:ptCount val="5"/>
                <c:pt idx="0">
                  <c:v>0</c:v>
                </c:pt>
                <c:pt idx="1">
                  <c:v>3.5950175039168499</c:v>
                </c:pt>
                <c:pt idx="2">
                  <c:v>3.9439658666930799</c:v>
                </c:pt>
                <c:pt idx="3">
                  <c:v>4.4433723369779496</c:v>
                </c:pt>
                <c:pt idx="4">
                  <c:v>5.7082941208747799</c:v>
                </c:pt>
              </c:numCache>
            </c:numRef>
          </c:val>
        </c:ser>
        <c:dLbls>
          <c:showLegendKey val="0"/>
          <c:showVal val="0"/>
          <c:showCatName val="0"/>
          <c:showSerName val="0"/>
          <c:showPercent val="0"/>
          <c:showBubbleSize val="0"/>
        </c:dLbls>
        <c:gapWidth val="100"/>
        <c:overlap val="-27"/>
        <c:axId val="770445448"/>
        <c:axId val="770442704"/>
      </c:barChart>
      <c:catAx>
        <c:axId val="7704454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442704"/>
        <c:crosses val="autoZero"/>
        <c:auto val="1"/>
        <c:lblAlgn val="ctr"/>
        <c:lblOffset val="100"/>
        <c:noMultiLvlLbl val="0"/>
      </c:catAx>
      <c:valAx>
        <c:axId val="770442704"/>
        <c:scaling>
          <c:orientation val="minMax"/>
          <c:max val="25"/>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4454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a:latin typeface="Arial" panose="020B0604020202020204" pitchFamily="34" charset="0"/>
                <a:cs typeface="Arial" panose="020B0604020202020204" pitchFamily="34" charset="0"/>
              </a:rPr>
              <a:t>Other</a:t>
            </a:r>
          </a:p>
        </c:rich>
      </c:tx>
      <c:layout>
        <c:manualLayout>
          <c:xMode val="edge"/>
          <c:yMode val="edge"/>
          <c:x val="0.44352574363078567"/>
          <c:y val="7.175141242937853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0993730825664"/>
          <c:y val="0.18834745762711863"/>
          <c:w val="0.88154995331465902"/>
          <c:h val="0.67294350282485871"/>
        </c:manualLayout>
      </c:layout>
      <c:barChart>
        <c:barDir val="col"/>
        <c:grouping val="clustered"/>
        <c:varyColors val="0"/>
        <c:ser>
          <c:idx val="0"/>
          <c:order val="0"/>
          <c:tx>
            <c:strRef>
              <c:f>'Ethnic group'!$Q$115</c:f>
              <c:strCache>
                <c:ptCount val="1"/>
                <c:pt idx="0">
                  <c:v>Other</c:v>
                </c:pt>
              </c:strCache>
            </c:strRef>
          </c:tx>
          <c:spPr>
            <a:solidFill>
              <a:schemeClr val="bg1">
                <a:lumMod val="50000"/>
              </a:schemeClr>
            </a:solidFill>
            <a:ln>
              <a:noFill/>
            </a:ln>
            <a:effectLst/>
          </c:spPr>
          <c:invertIfNegative val="0"/>
          <c:errBars>
            <c:errBarType val="both"/>
            <c:errValType val="cust"/>
            <c:noEndCap val="0"/>
            <c:plus>
              <c:numRef>
                <c:f>'Ethnic group'!$BC$95:$BC$99</c:f>
                <c:numCache>
                  <c:formatCode>General</c:formatCode>
                  <c:ptCount val="5"/>
                  <c:pt idx="0">
                    <c:v>0.9</c:v>
                  </c:pt>
                  <c:pt idx="1">
                    <c:v>0.9</c:v>
                  </c:pt>
                  <c:pt idx="2">
                    <c:v>1.1000000000000001</c:v>
                  </c:pt>
                  <c:pt idx="3">
                    <c:v>1.3</c:v>
                  </c:pt>
                  <c:pt idx="4">
                    <c:v>1.9</c:v>
                  </c:pt>
                </c:numCache>
              </c:numRef>
            </c:plus>
            <c:minus>
              <c:numRef>
                <c:f>'Ethnic group'!$BC$95:$BC$99</c:f>
                <c:numCache>
                  <c:formatCode>General</c:formatCode>
                  <c:ptCount val="5"/>
                  <c:pt idx="0">
                    <c:v>0.9</c:v>
                  </c:pt>
                  <c:pt idx="1">
                    <c:v>0.9</c:v>
                  </c:pt>
                  <c:pt idx="2">
                    <c:v>1.1000000000000001</c:v>
                  </c:pt>
                  <c:pt idx="3">
                    <c:v>1.3</c:v>
                  </c:pt>
                  <c:pt idx="4">
                    <c:v>1.9</c:v>
                  </c:pt>
                </c:numCache>
              </c:numRef>
            </c:minus>
            <c:spPr>
              <a:noFill/>
              <a:ln w="9525" cap="flat" cmpd="sng" algn="ctr">
                <a:solidFill>
                  <a:schemeClr val="tx1">
                    <a:lumMod val="65000"/>
                    <a:lumOff val="35000"/>
                  </a:schemeClr>
                </a:solidFill>
                <a:round/>
              </a:ln>
              <a:effectLst/>
            </c:spPr>
          </c:errBars>
          <c:cat>
            <c:numRef>
              <c:f>'Ethnic group'!$R$97:$R$101</c:f>
              <c:numCache>
                <c:formatCode>General</c:formatCode>
                <c:ptCount val="5"/>
                <c:pt idx="0">
                  <c:v>1</c:v>
                </c:pt>
                <c:pt idx="1">
                  <c:v>2</c:v>
                </c:pt>
                <c:pt idx="2">
                  <c:v>3</c:v>
                </c:pt>
                <c:pt idx="3">
                  <c:v>4</c:v>
                </c:pt>
                <c:pt idx="4">
                  <c:v>5</c:v>
                </c:pt>
              </c:numCache>
            </c:numRef>
          </c:cat>
          <c:val>
            <c:numRef>
              <c:f>'Ethnic group'!$T$115:$T$119</c:f>
              <c:numCache>
                <c:formatCode>0.0</c:formatCode>
                <c:ptCount val="5"/>
                <c:pt idx="0">
                  <c:v>7.54136866576094</c:v>
                </c:pt>
                <c:pt idx="1">
                  <c:v>8.7325820210108507</c:v>
                </c:pt>
                <c:pt idx="2">
                  <c:v>11.1910436800566</c:v>
                </c:pt>
                <c:pt idx="3">
                  <c:v>13.0556051312088</c:v>
                </c:pt>
                <c:pt idx="4">
                  <c:v>17.937049989001501</c:v>
                </c:pt>
              </c:numCache>
            </c:numRef>
          </c:val>
        </c:ser>
        <c:dLbls>
          <c:showLegendKey val="0"/>
          <c:showVal val="0"/>
          <c:showCatName val="0"/>
          <c:showSerName val="0"/>
          <c:showPercent val="0"/>
          <c:showBubbleSize val="0"/>
        </c:dLbls>
        <c:gapWidth val="100"/>
        <c:overlap val="-27"/>
        <c:axId val="770443880"/>
        <c:axId val="770443488"/>
      </c:barChart>
      <c:catAx>
        <c:axId val="7704438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443488"/>
        <c:crosses val="autoZero"/>
        <c:auto val="1"/>
        <c:lblAlgn val="ctr"/>
        <c:lblOffset val="100"/>
        <c:noMultiLvlLbl val="0"/>
      </c:catAx>
      <c:valAx>
        <c:axId val="770443488"/>
        <c:scaling>
          <c:orientation val="minMax"/>
          <c:max val="25"/>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4438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sz="1000" b="1" i="0" baseline="0">
                <a:effectLst/>
                <a:latin typeface="Arial" panose="020B0604020202020204" pitchFamily="34" charset="0"/>
                <a:cs typeface="Arial" panose="020B0604020202020204" pitchFamily="34" charset="0"/>
              </a:rPr>
              <a:t>Distribution of methods used by Asian</a:t>
            </a:r>
            <a:endParaRPr lang="en-NZ" sz="8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4660373924754012"/>
          <c:y val="0.27386201724784404"/>
          <c:w val="0.62698696561234935"/>
          <c:h val="0.70555399325084367"/>
        </c:manualLayout>
      </c:layout>
      <c:barChart>
        <c:barDir val="bar"/>
        <c:grouping val="stacked"/>
        <c:varyColors val="0"/>
        <c:ser>
          <c:idx val="0"/>
          <c:order val="0"/>
          <c:tx>
            <c:strRef>
              <c:f>'Ethnic group'!$Q$155</c:f>
              <c:strCache>
                <c:ptCount val="1"/>
                <c:pt idx="0">
                  <c:v>Asian</c:v>
                </c:pt>
              </c:strCache>
            </c:strRef>
          </c:tx>
          <c:spPr>
            <a:solidFill>
              <a:schemeClr val="accent1"/>
            </a:solidFill>
            <a:ln>
              <a:noFill/>
            </a:ln>
            <a:effectLst/>
          </c:spPr>
          <c:invertIfNegative val="0"/>
          <c:cat>
            <c:strRef>
              <c:f>'Ethnic group'!$U$155:$U$162</c:f>
              <c:strCache>
                <c:ptCount val="8"/>
                <c:pt idx="0">
                  <c:v>Hanging, strangulation and suffocation</c:v>
                </c:pt>
                <c:pt idx="1">
                  <c:v>Poisoning by gases and vapours</c:v>
                </c:pt>
                <c:pt idx="2">
                  <c:v>Poisoning by solids and liquids</c:v>
                </c:pt>
                <c:pt idx="3">
                  <c:v>Firearms and explosives</c:v>
                </c:pt>
                <c:pt idx="4">
                  <c:v>Jumping from a high place</c:v>
                </c:pt>
                <c:pt idx="5">
                  <c:v>Submersion (drowning)</c:v>
                </c:pt>
                <c:pt idx="6">
                  <c:v>Sharp object</c:v>
                </c:pt>
                <c:pt idx="7">
                  <c:v>Other</c:v>
                </c:pt>
              </c:strCache>
            </c:strRef>
          </c:cat>
          <c:val>
            <c:numRef>
              <c:f>'Ethnic group'!$V$155:$V$162</c:f>
              <c:numCache>
                <c:formatCode>0.0</c:formatCode>
                <c:ptCount val="8"/>
                <c:pt idx="0">
                  <c:v>65.900000000000006</c:v>
                </c:pt>
                <c:pt idx="1">
                  <c:v>4.8</c:v>
                </c:pt>
                <c:pt idx="2">
                  <c:v>7.9</c:v>
                </c:pt>
                <c:pt idx="3">
                  <c:v>0.8</c:v>
                </c:pt>
                <c:pt idx="4">
                  <c:v>11.9</c:v>
                </c:pt>
                <c:pt idx="5">
                  <c:v>3.2</c:v>
                </c:pt>
                <c:pt idx="6">
                  <c:v>1.6</c:v>
                </c:pt>
                <c:pt idx="7">
                  <c:v>4</c:v>
                </c:pt>
              </c:numCache>
            </c:numRef>
          </c:val>
        </c:ser>
        <c:dLbls>
          <c:showLegendKey val="0"/>
          <c:showVal val="0"/>
          <c:showCatName val="0"/>
          <c:showSerName val="0"/>
          <c:showPercent val="0"/>
          <c:showBubbleSize val="0"/>
        </c:dLbls>
        <c:gapWidth val="150"/>
        <c:overlap val="100"/>
        <c:axId val="770447408"/>
        <c:axId val="770441528"/>
      </c:barChart>
      <c:catAx>
        <c:axId val="7704474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441528"/>
        <c:crosses val="autoZero"/>
        <c:auto val="1"/>
        <c:lblAlgn val="ctr"/>
        <c:lblOffset val="100"/>
        <c:noMultiLvlLbl val="0"/>
      </c:catAx>
      <c:valAx>
        <c:axId val="770441528"/>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4474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sz="1000" b="1" i="0" baseline="0">
                <a:effectLst/>
                <a:latin typeface="Arial" panose="020B0604020202020204" pitchFamily="34" charset="0"/>
                <a:cs typeface="Arial" panose="020B0604020202020204" pitchFamily="34" charset="0"/>
              </a:rPr>
              <a:t>Distribution of methods used by Other</a:t>
            </a:r>
            <a:endParaRPr lang="en-NZ" sz="8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4460953954829721"/>
          <c:y val="0.27386201724784404"/>
          <c:w val="0.62897070736528293"/>
          <c:h val="0.68769685039370065"/>
        </c:manualLayout>
      </c:layout>
      <c:barChart>
        <c:barDir val="bar"/>
        <c:grouping val="stacked"/>
        <c:varyColors val="0"/>
        <c:ser>
          <c:idx val="0"/>
          <c:order val="0"/>
          <c:tx>
            <c:strRef>
              <c:f>'Ethnic group'!$Q$164</c:f>
              <c:strCache>
                <c:ptCount val="1"/>
                <c:pt idx="0">
                  <c:v>Other</c:v>
                </c:pt>
              </c:strCache>
            </c:strRef>
          </c:tx>
          <c:spPr>
            <a:solidFill>
              <a:schemeClr val="accent1"/>
            </a:solidFill>
            <a:ln>
              <a:noFill/>
            </a:ln>
            <a:effectLst/>
          </c:spPr>
          <c:invertIfNegative val="0"/>
          <c:cat>
            <c:strRef>
              <c:f>'Ethnic group'!$U$164:$U$171</c:f>
              <c:strCache>
                <c:ptCount val="8"/>
                <c:pt idx="0">
                  <c:v>Hanging, strangulation and suffocation</c:v>
                </c:pt>
                <c:pt idx="1">
                  <c:v>Poisoning by gases and vapours</c:v>
                </c:pt>
                <c:pt idx="2">
                  <c:v>Poisoning by solids and liquids</c:v>
                </c:pt>
                <c:pt idx="3">
                  <c:v>Firearms and explosives</c:v>
                </c:pt>
                <c:pt idx="4">
                  <c:v>Jumping from a high place</c:v>
                </c:pt>
                <c:pt idx="5">
                  <c:v>Submersion (drowning)</c:v>
                </c:pt>
                <c:pt idx="6">
                  <c:v>Sharp object</c:v>
                </c:pt>
                <c:pt idx="7">
                  <c:v>Other</c:v>
                </c:pt>
              </c:strCache>
            </c:strRef>
          </c:cat>
          <c:val>
            <c:numRef>
              <c:f>'Ethnic group'!$V$164:$V$171</c:f>
              <c:numCache>
                <c:formatCode>0.0</c:formatCode>
                <c:ptCount val="8"/>
                <c:pt idx="0">
                  <c:v>51.1</c:v>
                </c:pt>
                <c:pt idx="1">
                  <c:v>11</c:v>
                </c:pt>
                <c:pt idx="2">
                  <c:v>14.8</c:v>
                </c:pt>
                <c:pt idx="3">
                  <c:v>11.2</c:v>
                </c:pt>
                <c:pt idx="4">
                  <c:v>2.9</c:v>
                </c:pt>
                <c:pt idx="5">
                  <c:v>2.6</c:v>
                </c:pt>
                <c:pt idx="6">
                  <c:v>2.2999999999999998</c:v>
                </c:pt>
                <c:pt idx="7">
                  <c:v>4</c:v>
                </c:pt>
              </c:numCache>
            </c:numRef>
          </c:val>
        </c:ser>
        <c:dLbls>
          <c:showLegendKey val="0"/>
          <c:showVal val="0"/>
          <c:showCatName val="0"/>
          <c:showSerName val="0"/>
          <c:showPercent val="0"/>
          <c:showBubbleSize val="0"/>
        </c:dLbls>
        <c:gapWidth val="150"/>
        <c:overlap val="100"/>
        <c:axId val="770447016"/>
        <c:axId val="770451720"/>
      </c:barChart>
      <c:catAx>
        <c:axId val="7704470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451720"/>
        <c:crosses val="autoZero"/>
        <c:auto val="1"/>
        <c:lblAlgn val="ctr"/>
        <c:lblOffset val="100"/>
        <c:noMultiLvlLbl val="0"/>
      </c:catAx>
      <c:valAx>
        <c:axId val="770451720"/>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4470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390933878663945E-2"/>
          <c:y val="0.11278340046676819"/>
          <c:w val="0.91125449286991989"/>
          <c:h val="0.57865007890702724"/>
        </c:manualLayout>
      </c:layout>
      <c:lineChart>
        <c:grouping val="standard"/>
        <c:varyColors val="0"/>
        <c:ser>
          <c:idx val="0"/>
          <c:order val="0"/>
          <c:tx>
            <c:strRef>
              <c:f>International!$Q$7</c:f>
              <c:strCache>
                <c:ptCount val="1"/>
                <c:pt idx="0">
                  <c:v>Male</c:v>
                </c:pt>
              </c:strCache>
            </c:strRef>
          </c:tx>
          <c:spPr>
            <a:ln w="28575" cap="rnd">
              <a:noFill/>
              <a:round/>
            </a:ln>
            <a:effectLst/>
          </c:spPr>
          <c:marker>
            <c:symbol val="dash"/>
            <c:size val="9"/>
            <c:spPr>
              <a:solidFill>
                <a:schemeClr val="tx2"/>
              </a:solidFill>
              <a:ln w="9525">
                <a:solidFill>
                  <a:schemeClr val="tx1"/>
                </a:solidFill>
              </a:ln>
              <a:effectLst/>
            </c:spPr>
          </c:marker>
          <c:dLbls>
            <c:dLbl>
              <c:idx val="15"/>
              <c:layout>
                <c:manualLayout>
                  <c:x val="0"/>
                  <c:y val="-5.867972166406045E-2"/>
                </c:manualLayout>
              </c:layout>
              <c:tx>
                <c:rich>
                  <a:bodyPr/>
                  <a:lstStyle/>
                  <a:p>
                    <a:r>
                      <a:rPr lang="en-US"/>
                      <a:t>16th</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International!$P$9:$P$41</c:f>
              <c:strCache>
                <c:ptCount val="33"/>
                <c:pt idx="0">
                  <c:v>Republic of Korea (2013)</c:v>
                </c:pt>
                <c:pt idx="1">
                  <c:v>Latvia (2014)</c:v>
                </c:pt>
                <c:pt idx="2">
                  <c:v>Estonia (2014)</c:v>
                </c:pt>
                <c:pt idx="3">
                  <c:v>Hungary (2014)</c:v>
                </c:pt>
                <c:pt idx="4">
                  <c:v>Slovenia (2015)</c:v>
                </c:pt>
                <c:pt idx="5">
                  <c:v>Poland (2014)</c:v>
                </c:pt>
                <c:pt idx="6">
                  <c:v>Japan (2014)</c:v>
                </c:pt>
                <c:pt idx="7">
                  <c:v>Belgium (2013)</c:v>
                </c:pt>
                <c:pt idx="8">
                  <c:v>Finland (2014)</c:v>
                </c:pt>
                <c:pt idx="9">
                  <c:v>Czech Republic (2014)</c:v>
                </c:pt>
                <c:pt idx="10">
                  <c:v>France (2013)</c:v>
                </c:pt>
                <c:pt idx="11">
                  <c:v>Austria (2014)</c:v>
                </c:pt>
                <c:pt idx="12">
                  <c:v>Iceland (2015)</c:v>
                </c:pt>
                <c:pt idx="13">
                  <c:v>Australia (2014)</c:v>
                </c:pt>
                <c:pt idx="14">
                  <c:v>USA (2007)</c:v>
                </c:pt>
                <c:pt idx="15">
                  <c:v>New Zealand (2015)</c:v>
                </c:pt>
                <c:pt idx="16">
                  <c:v>Ireland (2013)</c:v>
                </c:pt>
                <c:pt idx="17">
                  <c:v>Canada (2005)</c:v>
                </c:pt>
                <c:pt idx="18">
                  <c:v>Luxembourg (2014)</c:v>
                </c:pt>
                <c:pt idx="19">
                  <c:v>Switzerland (2013)</c:v>
                </c:pt>
                <c:pt idx="20">
                  <c:v>Slovakia (2014)</c:v>
                </c:pt>
                <c:pt idx="21">
                  <c:v>Sweden (2015)</c:v>
                </c:pt>
                <c:pt idx="22">
                  <c:v>Germany (2014)</c:v>
                </c:pt>
                <c:pt idx="23">
                  <c:v>Norway (2014)</c:v>
                </c:pt>
                <c:pt idx="24">
                  <c:v>Denmark (2014)</c:v>
                </c:pt>
                <c:pt idx="25">
                  <c:v>Netherlands (2015)</c:v>
                </c:pt>
                <c:pt idx="26">
                  <c:v>Portugal (2013)</c:v>
                </c:pt>
                <c:pt idx="27">
                  <c:v>United Kingdom (2013)</c:v>
                </c:pt>
                <c:pt idx="28">
                  <c:v>Spain (2014)</c:v>
                </c:pt>
                <c:pt idx="29">
                  <c:v>Italy (2012)</c:v>
                </c:pt>
                <c:pt idx="30">
                  <c:v>Israel (2014)</c:v>
                </c:pt>
                <c:pt idx="31">
                  <c:v>Greece (2013)</c:v>
                </c:pt>
                <c:pt idx="32">
                  <c:v>Turkey (2013)</c:v>
                </c:pt>
              </c:strCache>
            </c:strRef>
          </c:cat>
          <c:val>
            <c:numRef>
              <c:f>International!$Q$9:$Q$41</c:f>
              <c:numCache>
                <c:formatCode>0.0</c:formatCode>
                <c:ptCount val="33"/>
                <c:pt idx="0">
                  <c:v>32.5269244790708</c:v>
                </c:pt>
                <c:pt idx="1">
                  <c:v>28.678102825747363</c:v>
                </c:pt>
                <c:pt idx="2">
                  <c:v>26.813539187500822</c:v>
                </c:pt>
                <c:pt idx="3">
                  <c:v>23.902260971353062</c:v>
                </c:pt>
                <c:pt idx="4">
                  <c:v>23.598398488624124</c:v>
                </c:pt>
                <c:pt idx="5">
                  <c:v>23.24004525885471</c:v>
                </c:pt>
                <c:pt idx="6">
                  <c:v>22.105191161687365</c:v>
                </c:pt>
                <c:pt idx="7">
                  <c:v>20.189599814100678</c:v>
                </c:pt>
                <c:pt idx="8">
                  <c:v>19.344822932420925</c:v>
                </c:pt>
                <c:pt idx="9">
                  <c:v>18.728969156976273</c:v>
                </c:pt>
                <c:pt idx="10">
                  <c:v>18.470550057415927</c:v>
                </c:pt>
                <c:pt idx="11">
                  <c:v>17.854885048083794</c:v>
                </c:pt>
                <c:pt idx="12">
                  <c:v>17.33945697822023</c:v>
                </c:pt>
                <c:pt idx="13">
                  <c:v>16.741711753077677</c:v>
                </c:pt>
                <c:pt idx="14">
                  <c:v>16.592327788403477</c:v>
                </c:pt>
                <c:pt idx="15">
                  <c:v>16.3</c:v>
                </c:pt>
                <c:pt idx="16">
                  <c:v>16.0732233524542</c:v>
                </c:pt>
                <c:pt idx="17">
                  <c:v>15.727361632951702</c:v>
                </c:pt>
                <c:pt idx="18">
                  <c:v>15.224320908893558</c:v>
                </c:pt>
                <c:pt idx="19">
                  <c:v>14.871246395242283</c:v>
                </c:pt>
                <c:pt idx="20">
                  <c:v>14.454997487284965</c:v>
                </c:pt>
                <c:pt idx="21">
                  <c:v>14.310484368195601</c:v>
                </c:pt>
                <c:pt idx="22">
                  <c:v>13.621931305362999</c:v>
                </c:pt>
                <c:pt idx="23">
                  <c:v>13.573847537520694</c:v>
                </c:pt>
                <c:pt idx="24">
                  <c:v>13.365678539437207</c:v>
                </c:pt>
                <c:pt idx="25">
                  <c:v>12.340525209388005</c:v>
                </c:pt>
                <c:pt idx="26">
                  <c:v>11.144881598245831</c:v>
                </c:pt>
                <c:pt idx="27">
                  <c:v>10.7558759174901</c:v>
                </c:pt>
                <c:pt idx="28">
                  <c:v>9.4806436789880788</c:v>
                </c:pt>
                <c:pt idx="29">
                  <c:v>8.5715596223186932</c:v>
                </c:pt>
                <c:pt idx="30">
                  <c:v>7.4250817410929253</c:v>
                </c:pt>
                <c:pt idx="31">
                  <c:v>6.28569867184396</c:v>
                </c:pt>
                <c:pt idx="32">
                  <c:v>3.5367144741241474</c:v>
                </c:pt>
              </c:numCache>
            </c:numRef>
          </c:val>
          <c:smooth val="0"/>
        </c:ser>
        <c:ser>
          <c:idx val="1"/>
          <c:order val="1"/>
          <c:tx>
            <c:strRef>
              <c:f>International!$R$7</c:f>
              <c:strCache>
                <c:ptCount val="1"/>
                <c:pt idx="0">
                  <c:v>Female</c:v>
                </c:pt>
              </c:strCache>
            </c:strRef>
          </c:tx>
          <c:spPr>
            <a:ln w="28575" cap="rnd">
              <a:noFill/>
              <a:round/>
            </a:ln>
            <a:effectLst/>
          </c:spPr>
          <c:marker>
            <c:symbol val="dash"/>
            <c:size val="8"/>
            <c:spPr>
              <a:solidFill>
                <a:srgbClr val="4BACC6"/>
              </a:solidFill>
              <a:ln w="12700">
                <a:solidFill>
                  <a:srgbClr val="4BACC6"/>
                </a:solidFill>
              </a:ln>
              <a:effectLst/>
            </c:spPr>
          </c:marker>
          <c:dLbls>
            <c:dLbl>
              <c:idx val="15"/>
              <c:layout>
                <c:manualLayout>
                  <c:x val="-7.9356047598455911E-17"/>
                  <c:y val="-3.9119814442706929E-2"/>
                </c:manualLayout>
              </c:layout>
              <c:tx>
                <c:rich>
                  <a:bodyPr/>
                  <a:lstStyle/>
                  <a:p>
                    <a:r>
                      <a:rPr lang="en-US"/>
                      <a:t>5th</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International!$P$9:$P$41</c:f>
              <c:strCache>
                <c:ptCount val="33"/>
                <c:pt idx="0">
                  <c:v>Republic of Korea (2013)</c:v>
                </c:pt>
                <c:pt idx="1">
                  <c:v>Latvia (2014)</c:v>
                </c:pt>
                <c:pt idx="2">
                  <c:v>Estonia (2014)</c:v>
                </c:pt>
                <c:pt idx="3">
                  <c:v>Hungary (2014)</c:v>
                </c:pt>
                <c:pt idx="4">
                  <c:v>Slovenia (2015)</c:v>
                </c:pt>
                <c:pt idx="5">
                  <c:v>Poland (2014)</c:v>
                </c:pt>
                <c:pt idx="6">
                  <c:v>Japan (2014)</c:v>
                </c:pt>
                <c:pt idx="7">
                  <c:v>Belgium (2013)</c:v>
                </c:pt>
                <c:pt idx="8">
                  <c:v>Finland (2014)</c:v>
                </c:pt>
                <c:pt idx="9">
                  <c:v>Czech Republic (2014)</c:v>
                </c:pt>
                <c:pt idx="10">
                  <c:v>France (2013)</c:v>
                </c:pt>
                <c:pt idx="11">
                  <c:v>Austria (2014)</c:v>
                </c:pt>
                <c:pt idx="12">
                  <c:v>Iceland (2015)</c:v>
                </c:pt>
                <c:pt idx="13">
                  <c:v>Australia (2014)</c:v>
                </c:pt>
                <c:pt idx="14">
                  <c:v>USA (2007)</c:v>
                </c:pt>
                <c:pt idx="15">
                  <c:v>New Zealand (2015)</c:v>
                </c:pt>
                <c:pt idx="16">
                  <c:v>Ireland (2013)</c:v>
                </c:pt>
                <c:pt idx="17">
                  <c:v>Canada (2005)</c:v>
                </c:pt>
                <c:pt idx="18">
                  <c:v>Luxembourg (2014)</c:v>
                </c:pt>
                <c:pt idx="19">
                  <c:v>Switzerland (2013)</c:v>
                </c:pt>
                <c:pt idx="20">
                  <c:v>Slovakia (2014)</c:v>
                </c:pt>
                <c:pt idx="21">
                  <c:v>Sweden (2015)</c:v>
                </c:pt>
                <c:pt idx="22">
                  <c:v>Germany (2014)</c:v>
                </c:pt>
                <c:pt idx="23">
                  <c:v>Norway (2014)</c:v>
                </c:pt>
                <c:pt idx="24">
                  <c:v>Denmark (2014)</c:v>
                </c:pt>
                <c:pt idx="25">
                  <c:v>Netherlands (2015)</c:v>
                </c:pt>
                <c:pt idx="26">
                  <c:v>Portugal (2013)</c:v>
                </c:pt>
                <c:pt idx="27">
                  <c:v>United Kingdom (2013)</c:v>
                </c:pt>
                <c:pt idx="28">
                  <c:v>Spain (2014)</c:v>
                </c:pt>
                <c:pt idx="29">
                  <c:v>Italy (2012)</c:v>
                </c:pt>
                <c:pt idx="30">
                  <c:v>Israel (2014)</c:v>
                </c:pt>
                <c:pt idx="31">
                  <c:v>Greece (2013)</c:v>
                </c:pt>
                <c:pt idx="32">
                  <c:v>Turkey (2013)</c:v>
                </c:pt>
              </c:strCache>
            </c:strRef>
          </c:cat>
          <c:val>
            <c:numRef>
              <c:f>International!$R$9:$R$41</c:f>
              <c:numCache>
                <c:formatCode>0.0</c:formatCode>
                <c:ptCount val="33"/>
                <c:pt idx="0">
                  <c:v>13.53546973057953</c:v>
                </c:pt>
                <c:pt idx="1">
                  <c:v>4.9360106955630192</c:v>
                </c:pt>
                <c:pt idx="2">
                  <c:v>4.9243048454630811</c:v>
                </c:pt>
                <c:pt idx="3">
                  <c:v>5.8132948760465766</c:v>
                </c:pt>
                <c:pt idx="4">
                  <c:v>5.6266516133234248</c:v>
                </c:pt>
                <c:pt idx="5">
                  <c:v>3.2881735746820508</c:v>
                </c:pt>
                <c:pt idx="6">
                  <c:v>8.8265610503198957</c:v>
                </c:pt>
                <c:pt idx="7">
                  <c:v>7.4136010233717702</c:v>
                </c:pt>
                <c:pt idx="8">
                  <c:v>6.2371712897658629</c:v>
                </c:pt>
                <c:pt idx="9">
                  <c:v>3.9826748228813091</c:v>
                </c:pt>
                <c:pt idx="10">
                  <c:v>5.4570045150420174</c:v>
                </c:pt>
                <c:pt idx="11">
                  <c:v>5.0725239739804584</c:v>
                </c:pt>
                <c:pt idx="12">
                  <c:v>4.897676135002202</c:v>
                </c:pt>
                <c:pt idx="13">
                  <c:v>5.507712883037704</c:v>
                </c:pt>
                <c:pt idx="14">
                  <c:v>4.2863258218409577</c:v>
                </c:pt>
                <c:pt idx="15">
                  <c:v>6</c:v>
                </c:pt>
                <c:pt idx="16">
                  <c:v>3.8498179177596699</c:v>
                </c:pt>
                <c:pt idx="17">
                  <c:v>4.8503025623435754</c:v>
                </c:pt>
                <c:pt idx="18">
                  <c:v>4.3992494520672647</c:v>
                </c:pt>
                <c:pt idx="19">
                  <c:v>5.2028897242116114</c:v>
                </c:pt>
                <c:pt idx="20">
                  <c:v>2.2779671678274811</c:v>
                </c:pt>
                <c:pt idx="21">
                  <c:v>5.9076662532142619</c:v>
                </c:pt>
                <c:pt idx="22">
                  <c:v>4.1824096681842544</c:v>
                </c:pt>
                <c:pt idx="23">
                  <c:v>5.0754276970398164</c:v>
                </c:pt>
                <c:pt idx="24">
                  <c:v>4.0789923096589895</c:v>
                </c:pt>
                <c:pt idx="25">
                  <c:v>5.5558413918344494</c:v>
                </c:pt>
                <c:pt idx="26">
                  <c:v>2.8226502608694668</c:v>
                </c:pt>
                <c:pt idx="27">
                  <c:v>2.6361985674957893</c:v>
                </c:pt>
                <c:pt idx="28">
                  <c:v>3.1030069136526488</c:v>
                </c:pt>
                <c:pt idx="29">
                  <c:v>2.1624744746057991</c:v>
                </c:pt>
                <c:pt idx="30">
                  <c:v>1.9940535139367623</c:v>
                </c:pt>
                <c:pt idx="31">
                  <c:v>1.5544911647114148</c:v>
                </c:pt>
                <c:pt idx="32">
                  <c:v>1.1968799281554729</c:v>
                </c:pt>
              </c:numCache>
            </c:numRef>
          </c:val>
          <c:smooth val="0"/>
        </c:ser>
        <c:dLbls>
          <c:showLegendKey val="0"/>
          <c:showVal val="0"/>
          <c:showCatName val="0"/>
          <c:showSerName val="0"/>
          <c:showPercent val="0"/>
          <c:showBubbleSize val="0"/>
        </c:dLbls>
        <c:marker val="1"/>
        <c:smooth val="0"/>
        <c:axId val="770445056"/>
        <c:axId val="770446232"/>
      </c:lineChart>
      <c:catAx>
        <c:axId val="7704450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0446232"/>
        <c:crosses val="autoZero"/>
        <c:auto val="1"/>
        <c:lblAlgn val="ctr"/>
        <c:lblOffset val="100"/>
        <c:noMultiLvlLbl val="0"/>
      </c:catAx>
      <c:valAx>
        <c:axId val="770446232"/>
        <c:scaling>
          <c:orientation val="minMax"/>
          <c:max val="4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0445056"/>
        <c:crosses val="autoZero"/>
        <c:crossBetween val="between"/>
      </c:valAx>
      <c:spPr>
        <a:noFill/>
        <a:ln>
          <a:noFill/>
        </a:ln>
        <a:effectLst/>
      </c:spPr>
    </c:plotArea>
    <c:legend>
      <c:legendPos val="b"/>
      <c:layout>
        <c:manualLayout>
          <c:xMode val="edge"/>
          <c:yMode val="edge"/>
          <c:x val="0.86544870483980918"/>
          <c:y val="9.3166250997247218E-3"/>
          <c:w val="0.12072955010224946"/>
          <c:h val="0.15461054222527057"/>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79548611111112"/>
          <c:y val="0.15843170234454637"/>
          <c:w val="0.8088251185975126"/>
          <c:h val="0.73165698267074419"/>
        </c:manualLayout>
      </c:layout>
      <c:lineChart>
        <c:grouping val="standard"/>
        <c:varyColors val="0"/>
        <c:ser>
          <c:idx val="2"/>
          <c:order val="0"/>
          <c:tx>
            <c:v>Māori</c:v>
          </c:tx>
          <c:spPr>
            <a:ln w="22225" cap="rnd">
              <a:solidFill>
                <a:schemeClr val="bg1">
                  <a:lumMod val="50000"/>
                </a:schemeClr>
              </a:solidFill>
              <a:round/>
            </a:ln>
            <a:effectLst/>
          </c:spPr>
          <c:marker>
            <c:symbol val="none"/>
          </c:marker>
          <c:trendline>
            <c:spPr>
              <a:ln w="19050" cap="rnd">
                <a:solidFill>
                  <a:schemeClr val="accent3"/>
                </a:solidFill>
                <a:prstDash val="sysDot"/>
              </a:ln>
              <a:effectLst/>
            </c:spPr>
            <c:trendlineType val="movingAvg"/>
            <c:period val="5"/>
            <c:dispRSqr val="0"/>
            <c:dispEq val="0"/>
          </c:trendline>
          <c:cat>
            <c:numRef>
              <c:f>'Māori Non-Māori'!$BM$22:$CF$22</c:f>
              <c:numCache>
                <c:formatCode>General</c:formatCode>
                <c:ptCount val="20"/>
              </c:numCache>
            </c:numRef>
          </c:cat>
          <c:val>
            <c:numRef>
              <c:f>'Māori Non-Māori'!$S$15:$AL$15</c:f>
              <c:numCache>
                <c:formatCode>0.0</c:formatCode>
                <c:ptCount val="20"/>
                <c:pt idx="0">
                  <c:v>28.6634614636843</c:v>
                </c:pt>
                <c:pt idx="1">
                  <c:v>30.622870852715899</c:v>
                </c:pt>
                <c:pt idx="2">
                  <c:v>34.656914608583101</c:v>
                </c:pt>
                <c:pt idx="3">
                  <c:v>21.453377474962299</c:v>
                </c:pt>
                <c:pt idx="4">
                  <c:v>27.198711801126699</c:v>
                </c:pt>
                <c:pt idx="5">
                  <c:v>22.0828947481947</c:v>
                </c:pt>
                <c:pt idx="6">
                  <c:v>21.881613181334401</c:v>
                </c:pt>
                <c:pt idx="7">
                  <c:v>23.229010507537701</c:v>
                </c:pt>
                <c:pt idx="8">
                  <c:v>30.210797391523901</c:v>
                </c:pt>
                <c:pt idx="9">
                  <c:v>27.973177382021099</c:v>
                </c:pt>
                <c:pt idx="10">
                  <c:v>25.8876809253644</c:v>
                </c:pt>
                <c:pt idx="11">
                  <c:v>25.915091779548401</c:v>
                </c:pt>
                <c:pt idx="12">
                  <c:v>19.8732690696398</c:v>
                </c:pt>
                <c:pt idx="13">
                  <c:v>19.4811396989931</c:v>
                </c:pt>
                <c:pt idx="14">
                  <c:v>23.689392361421</c:v>
                </c:pt>
                <c:pt idx="15">
                  <c:v>26.239623561034499</c:v>
                </c:pt>
                <c:pt idx="16">
                  <c:v>25.657974492525501</c:v>
                </c:pt>
                <c:pt idx="17">
                  <c:v>21.474445318173501</c:v>
                </c:pt>
                <c:pt idx="18">
                  <c:v>22.382934863323399</c:v>
                </c:pt>
                <c:pt idx="19">
                  <c:v>25.316443855804899</c:v>
                </c:pt>
              </c:numCache>
            </c:numRef>
          </c:val>
          <c:smooth val="0"/>
        </c:ser>
        <c:ser>
          <c:idx val="3"/>
          <c:order val="1"/>
          <c:tx>
            <c:v>Non-Māori</c:v>
          </c:tx>
          <c:spPr>
            <a:ln w="22225" cap="rnd">
              <a:solidFill>
                <a:schemeClr val="accent1"/>
              </a:solidFill>
              <a:round/>
            </a:ln>
            <a:effectLst/>
          </c:spPr>
          <c:marker>
            <c:symbol val="none"/>
          </c:marker>
          <c:trendline>
            <c:spPr>
              <a:ln w="19050" cap="rnd">
                <a:solidFill>
                  <a:schemeClr val="accent4"/>
                </a:solidFill>
                <a:prstDash val="sysDot"/>
              </a:ln>
              <a:effectLst/>
            </c:spPr>
            <c:trendlineType val="movingAvg"/>
            <c:period val="5"/>
            <c:dispRSqr val="0"/>
            <c:dispEq val="0"/>
          </c:trendline>
          <c:cat>
            <c:numRef>
              <c:f>'Māori Non-Māori'!$BM$22:$CF$22</c:f>
              <c:numCache>
                <c:formatCode>General</c:formatCode>
                <c:ptCount val="20"/>
              </c:numCache>
            </c:numRef>
          </c:cat>
          <c:val>
            <c:numRef>
              <c:f>'Māori Non-Māori'!$S$26:$AL$26</c:f>
              <c:numCache>
                <c:formatCode>0.0</c:formatCode>
                <c:ptCount val="20"/>
                <c:pt idx="0">
                  <c:v>21.479905755824099</c:v>
                </c:pt>
                <c:pt idx="1">
                  <c:v>21.882813084323601</c:v>
                </c:pt>
                <c:pt idx="2">
                  <c:v>21.517130626241698</c:v>
                </c:pt>
                <c:pt idx="3">
                  <c:v>19.529367053720598</c:v>
                </c:pt>
                <c:pt idx="4">
                  <c:v>18.542595685537702</c:v>
                </c:pt>
                <c:pt idx="5">
                  <c:v>19.754574256070502</c:v>
                </c:pt>
                <c:pt idx="6">
                  <c:v>17.053757227886599</c:v>
                </c:pt>
                <c:pt idx="7">
                  <c:v>17.1757108224569</c:v>
                </c:pt>
                <c:pt idx="8">
                  <c:v>16.521659709264298</c:v>
                </c:pt>
                <c:pt idx="9">
                  <c:v>16.809710006140801</c:v>
                </c:pt>
                <c:pt idx="10">
                  <c:v>16.923735957565398</c:v>
                </c:pt>
                <c:pt idx="11">
                  <c:v>16.348296242666599</c:v>
                </c:pt>
                <c:pt idx="12">
                  <c:v>17.136851166956198</c:v>
                </c:pt>
                <c:pt idx="13">
                  <c:v>17.704891753148601</c:v>
                </c:pt>
                <c:pt idx="14">
                  <c:v>16.134328558354198</c:v>
                </c:pt>
                <c:pt idx="15">
                  <c:v>15.374728749309</c:v>
                </c:pt>
                <c:pt idx="16">
                  <c:v>16.829965457080299</c:v>
                </c:pt>
                <c:pt idx="17">
                  <c:v>14.441701119553899</c:v>
                </c:pt>
                <c:pt idx="18">
                  <c:v>15.149508074973401</c:v>
                </c:pt>
                <c:pt idx="19">
                  <c:v>14.6757131829523</c:v>
                </c:pt>
              </c:numCache>
            </c:numRef>
          </c:val>
          <c:smooth val="0"/>
        </c:ser>
        <c:dLbls>
          <c:showLegendKey val="0"/>
          <c:showVal val="0"/>
          <c:showCatName val="0"/>
          <c:showSerName val="0"/>
          <c:showPercent val="0"/>
          <c:showBubbleSize val="0"/>
        </c:dLbls>
        <c:smooth val="0"/>
        <c:axId val="685067736"/>
        <c:axId val="685069304"/>
      </c:lineChart>
      <c:catAx>
        <c:axId val="685067736"/>
        <c:scaling>
          <c:orientation val="minMax"/>
        </c:scaling>
        <c:delete val="0"/>
        <c:axPos val="b"/>
        <c:numFmt formatCode="General"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85069304"/>
        <c:crossesAt val="0"/>
        <c:auto val="1"/>
        <c:lblAlgn val="ctr"/>
        <c:lblOffset val="100"/>
        <c:tickLblSkip val="3"/>
        <c:noMultiLvlLbl val="0"/>
      </c:catAx>
      <c:valAx>
        <c:axId val="685069304"/>
        <c:scaling>
          <c:orientation val="minMax"/>
          <c:max val="4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85067736"/>
        <c:crosses val="autoZero"/>
        <c:crossBetween val="between"/>
        <c:majorUnit val="10"/>
      </c:valAx>
      <c:spPr>
        <a:noFill/>
        <a:ln>
          <a:noFill/>
        </a:ln>
        <a:effectLst/>
      </c:spPr>
    </c:plotArea>
    <c:legend>
      <c:legendPos val="r"/>
      <c:legendEntry>
        <c:idx val="2"/>
        <c:delete val="1"/>
      </c:legendEntry>
      <c:legendEntry>
        <c:idx val="3"/>
        <c:delete val="1"/>
      </c:legendEntry>
      <c:layout>
        <c:manualLayout>
          <c:xMode val="edge"/>
          <c:yMode val="edge"/>
          <c:x val="0.67550857338820314"/>
          <c:y val="1.3245419037212866E-2"/>
          <c:w val="0.31360322359396431"/>
          <c:h val="0.2035180789470379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390896921017405E-2"/>
          <c:y val="7.7752829218106986E-2"/>
          <c:w val="0.91125449286991989"/>
          <c:h val="0.59457613168724277"/>
        </c:manualLayout>
      </c:layout>
      <c:lineChart>
        <c:grouping val="standard"/>
        <c:varyColors val="0"/>
        <c:ser>
          <c:idx val="0"/>
          <c:order val="0"/>
          <c:tx>
            <c:strRef>
              <c:f>International!$Q$50</c:f>
              <c:strCache>
                <c:ptCount val="1"/>
                <c:pt idx="0">
                  <c:v>Male</c:v>
                </c:pt>
              </c:strCache>
            </c:strRef>
          </c:tx>
          <c:spPr>
            <a:ln w="28575" cap="rnd">
              <a:noFill/>
              <a:round/>
            </a:ln>
            <a:effectLst/>
          </c:spPr>
          <c:marker>
            <c:symbol val="dash"/>
            <c:size val="9"/>
            <c:spPr>
              <a:solidFill>
                <a:schemeClr val="tx1"/>
              </a:solidFill>
              <a:ln w="12700">
                <a:solidFill>
                  <a:schemeClr val="tx1"/>
                </a:solidFill>
              </a:ln>
              <a:effectLst/>
            </c:spPr>
          </c:marker>
          <c:dLbls>
            <c:dLbl>
              <c:idx val="4"/>
              <c:layout>
                <c:manualLayout>
                  <c:x val="6.4578460286789383E-3"/>
                  <c:y val="-4.7377326565143825E-2"/>
                </c:manualLayout>
              </c:layout>
              <c:tx>
                <c:rich>
                  <a:bodyPr/>
                  <a:lstStyle/>
                  <a:p>
                    <a:r>
                      <a:rPr lang="en-US"/>
                      <a:t>5th</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International!$P$52:$P$84</c:f>
              <c:strCache>
                <c:ptCount val="33"/>
                <c:pt idx="0">
                  <c:v>Iceland (2015)</c:v>
                </c:pt>
                <c:pt idx="1">
                  <c:v>Latvia (2014)</c:v>
                </c:pt>
                <c:pt idx="2">
                  <c:v>Estonia (2014)</c:v>
                </c:pt>
                <c:pt idx="3">
                  <c:v>Poland (2014)</c:v>
                </c:pt>
                <c:pt idx="4">
                  <c:v>New Zealand (2015)</c:v>
                </c:pt>
                <c:pt idx="5">
                  <c:v>Japan (2014)</c:v>
                </c:pt>
                <c:pt idx="6">
                  <c:v>Finland (2014)</c:v>
                </c:pt>
                <c:pt idx="7">
                  <c:v>Canada (2005)</c:v>
                </c:pt>
                <c:pt idx="8">
                  <c:v>Australia (2014)</c:v>
                </c:pt>
                <c:pt idx="9">
                  <c:v>Ireland (2013)</c:v>
                </c:pt>
                <c:pt idx="10">
                  <c:v>United States of America (2007)</c:v>
                </c:pt>
                <c:pt idx="11">
                  <c:v>Austria (2014)</c:v>
                </c:pt>
                <c:pt idx="12">
                  <c:v>Czech Republic (2014)</c:v>
                </c:pt>
                <c:pt idx="13">
                  <c:v>Slovenia (2015)</c:v>
                </c:pt>
                <c:pt idx="14">
                  <c:v>Belgium (2013)</c:v>
                </c:pt>
                <c:pt idx="15">
                  <c:v>Republic of Korea (2013)</c:v>
                </c:pt>
                <c:pt idx="16">
                  <c:v>Hungary (2014)</c:v>
                </c:pt>
                <c:pt idx="17">
                  <c:v>Norway (2014)</c:v>
                </c:pt>
                <c:pt idx="18">
                  <c:v>Sweden (2015)</c:v>
                </c:pt>
                <c:pt idx="19">
                  <c:v>Switzerland (2013)</c:v>
                </c:pt>
                <c:pt idx="20">
                  <c:v>Germany (2014)</c:v>
                </c:pt>
                <c:pt idx="21">
                  <c:v>Slovakia (2014)</c:v>
                </c:pt>
                <c:pt idx="22">
                  <c:v>Netherlands (2015)</c:v>
                </c:pt>
                <c:pt idx="23">
                  <c:v>Denmark (2014)</c:v>
                </c:pt>
                <c:pt idx="24">
                  <c:v>France (2013)</c:v>
                </c:pt>
                <c:pt idx="25">
                  <c:v>United Kingdom (2013)</c:v>
                </c:pt>
                <c:pt idx="26">
                  <c:v>Spain (2014)</c:v>
                </c:pt>
                <c:pt idx="27">
                  <c:v>Italy (2012)</c:v>
                </c:pt>
                <c:pt idx="28">
                  <c:v>Luxembourg (2014)</c:v>
                </c:pt>
                <c:pt idx="29">
                  <c:v>Israel (2014)</c:v>
                </c:pt>
                <c:pt idx="30">
                  <c:v>Greece (2013)</c:v>
                </c:pt>
                <c:pt idx="31">
                  <c:v>Turkey (2013)</c:v>
                </c:pt>
                <c:pt idx="32">
                  <c:v>Portugal (2013)</c:v>
                </c:pt>
              </c:strCache>
            </c:strRef>
          </c:cat>
          <c:val>
            <c:numRef>
              <c:f>International!$Q$52:$Q$84</c:f>
              <c:numCache>
                <c:formatCode>0.0</c:formatCode>
                <c:ptCount val="33"/>
                <c:pt idx="0">
                  <c:v>29.02516896794792</c:v>
                </c:pt>
                <c:pt idx="1">
                  <c:v>27.492506074956989</c:v>
                </c:pt>
                <c:pt idx="2">
                  <c:v>25.842956434216074</c:v>
                </c:pt>
                <c:pt idx="3">
                  <c:v>22.351410832078983</c:v>
                </c:pt>
                <c:pt idx="4">
                  <c:v>20.334787221501827</c:v>
                </c:pt>
                <c:pt idx="5">
                  <c:v>19.312602291325696</c:v>
                </c:pt>
                <c:pt idx="6">
                  <c:v>18.935010835033978</c:v>
                </c:pt>
                <c:pt idx="7">
                  <c:v>16.804653021703341</c:v>
                </c:pt>
                <c:pt idx="8">
                  <c:v>16.511572119743168</c:v>
                </c:pt>
                <c:pt idx="9">
                  <c:v>16.106714303494424</c:v>
                </c:pt>
                <c:pt idx="10">
                  <c:v>15.767007688585291</c:v>
                </c:pt>
                <c:pt idx="11">
                  <c:v>15.292887839250454</c:v>
                </c:pt>
                <c:pt idx="12">
                  <c:v>14.669961221813347</c:v>
                </c:pt>
                <c:pt idx="13">
                  <c:v>13.548693035004016</c:v>
                </c:pt>
                <c:pt idx="14">
                  <c:v>13.40170658215246</c:v>
                </c:pt>
                <c:pt idx="15">
                  <c:v>13.17676109640681</c:v>
                </c:pt>
                <c:pt idx="16">
                  <c:v>12.088731287651362</c:v>
                </c:pt>
                <c:pt idx="17">
                  <c:v>11.038649798835131</c:v>
                </c:pt>
                <c:pt idx="18">
                  <c:v>10.946378841293605</c:v>
                </c:pt>
                <c:pt idx="19">
                  <c:v>10.833062506770663</c:v>
                </c:pt>
                <c:pt idx="20">
                  <c:v>8.9161088483958295</c:v>
                </c:pt>
                <c:pt idx="21">
                  <c:v>8.7466106883582615</c:v>
                </c:pt>
                <c:pt idx="22">
                  <c:v>8.406734833636385</c:v>
                </c:pt>
                <c:pt idx="23">
                  <c:v>8.3654910003508096</c:v>
                </c:pt>
                <c:pt idx="24">
                  <c:v>8.0538788909652883</c:v>
                </c:pt>
                <c:pt idx="25">
                  <c:v>7.893088357383732</c:v>
                </c:pt>
                <c:pt idx="26">
                  <c:v>5.9192200557103059</c:v>
                </c:pt>
                <c:pt idx="27">
                  <c:v>5.9044534092445931</c:v>
                </c:pt>
                <c:pt idx="28">
                  <c:v>5.8447061573979369</c:v>
                </c:pt>
                <c:pt idx="29">
                  <c:v>5.5244781735759476</c:v>
                </c:pt>
                <c:pt idx="30">
                  <c:v>4.2662844075837469</c:v>
                </c:pt>
                <c:pt idx="31">
                  <c:v>3.9157800829804872</c:v>
                </c:pt>
                <c:pt idx="32">
                  <c:v>3.5299142583826639</c:v>
                </c:pt>
              </c:numCache>
            </c:numRef>
          </c:val>
          <c:smooth val="0"/>
        </c:ser>
        <c:ser>
          <c:idx val="1"/>
          <c:order val="1"/>
          <c:tx>
            <c:strRef>
              <c:f>International!$R$50</c:f>
              <c:strCache>
                <c:ptCount val="1"/>
                <c:pt idx="0">
                  <c:v>Female</c:v>
                </c:pt>
              </c:strCache>
            </c:strRef>
          </c:tx>
          <c:spPr>
            <a:ln w="28575" cap="rnd">
              <a:noFill/>
              <a:round/>
            </a:ln>
            <a:effectLst/>
          </c:spPr>
          <c:marker>
            <c:symbol val="dash"/>
            <c:size val="8"/>
            <c:spPr>
              <a:solidFill>
                <a:srgbClr val="4BACC6"/>
              </a:solidFill>
              <a:ln w="12700">
                <a:solidFill>
                  <a:srgbClr val="4BACC6"/>
                </a:solidFill>
              </a:ln>
              <a:effectLst/>
            </c:spPr>
          </c:marker>
          <c:dLbls>
            <c:dLbl>
              <c:idx val="4"/>
              <c:layout>
                <c:manualLayout>
                  <c:x val="-4.3052306857859586E-3"/>
                  <c:y val="-4.7377326565143825E-2"/>
                </c:manualLayout>
              </c:layout>
              <c:tx>
                <c:rich>
                  <a:bodyPr/>
                  <a:lstStyle/>
                  <a:p>
                    <a:r>
                      <a:rPr lang="en-US"/>
                      <a:t>1st</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International!$P$52:$P$84</c:f>
              <c:strCache>
                <c:ptCount val="33"/>
                <c:pt idx="0">
                  <c:v>Iceland (2015)</c:v>
                </c:pt>
                <c:pt idx="1">
                  <c:v>Latvia (2014)</c:v>
                </c:pt>
                <c:pt idx="2">
                  <c:v>Estonia (2014)</c:v>
                </c:pt>
                <c:pt idx="3">
                  <c:v>Poland (2014)</c:v>
                </c:pt>
                <c:pt idx="4">
                  <c:v>New Zealand (2015)</c:v>
                </c:pt>
                <c:pt idx="5">
                  <c:v>Japan (2014)</c:v>
                </c:pt>
                <c:pt idx="6">
                  <c:v>Finland (2014)</c:v>
                </c:pt>
                <c:pt idx="7">
                  <c:v>Canada (2005)</c:v>
                </c:pt>
                <c:pt idx="8">
                  <c:v>Australia (2014)</c:v>
                </c:pt>
                <c:pt idx="9">
                  <c:v>Ireland (2013)</c:v>
                </c:pt>
                <c:pt idx="10">
                  <c:v>United States of America (2007)</c:v>
                </c:pt>
                <c:pt idx="11">
                  <c:v>Austria (2014)</c:v>
                </c:pt>
                <c:pt idx="12">
                  <c:v>Czech Republic (2014)</c:v>
                </c:pt>
                <c:pt idx="13">
                  <c:v>Slovenia (2015)</c:v>
                </c:pt>
                <c:pt idx="14">
                  <c:v>Belgium (2013)</c:v>
                </c:pt>
                <c:pt idx="15">
                  <c:v>Republic of Korea (2013)</c:v>
                </c:pt>
                <c:pt idx="16">
                  <c:v>Hungary (2014)</c:v>
                </c:pt>
                <c:pt idx="17">
                  <c:v>Norway (2014)</c:v>
                </c:pt>
                <c:pt idx="18">
                  <c:v>Sweden (2015)</c:v>
                </c:pt>
                <c:pt idx="19">
                  <c:v>Switzerland (2013)</c:v>
                </c:pt>
                <c:pt idx="20">
                  <c:v>Germany (2014)</c:v>
                </c:pt>
                <c:pt idx="21">
                  <c:v>Slovakia (2014)</c:v>
                </c:pt>
                <c:pt idx="22">
                  <c:v>Netherlands (2015)</c:v>
                </c:pt>
                <c:pt idx="23">
                  <c:v>Denmark (2014)</c:v>
                </c:pt>
                <c:pt idx="24">
                  <c:v>France (2013)</c:v>
                </c:pt>
                <c:pt idx="25">
                  <c:v>United Kingdom (2013)</c:v>
                </c:pt>
                <c:pt idx="26">
                  <c:v>Spain (2014)</c:v>
                </c:pt>
                <c:pt idx="27">
                  <c:v>Italy (2012)</c:v>
                </c:pt>
                <c:pt idx="28">
                  <c:v>Luxembourg (2014)</c:v>
                </c:pt>
                <c:pt idx="29">
                  <c:v>Israel (2014)</c:v>
                </c:pt>
                <c:pt idx="30">
                  <c:v>Greece (2013)</c:v>
                </c:pt>
                <c:pt idx="31">
                  <c:v>Turkey (2013)</c:v>
                </c:pt>
                <c:pt idx="32">
                  <c:v>Portugal (2013)</c:v>
                </c:pt>
              </c:strCache>
            </c:strRef>
          </c:cat>
          <c:val>
            <c:numRef>
              <c:f>International!$R$52:$R$84</c:f>
              <c:numCache>
                <c:formatCode>0.0</c:formatCode>
                <c:ptCount val="33"/>
                <c:pt idx="0">
                  <c:v>0</c:v>
                </c:pt>
                <c:pt idx="1">
                  <c:v>5.6380379627889496</c:v>
                </c:pt>
                <c:pt idx="2">
                  <c:v>1.4466127562312845</c:v>
                </c:pt>
                <c:pt idx="3">
                  <c:v>3.1468883257977915</c:v>
                </c:pt>
                <c:pt idx="4">
                  <c:v>13.23918799646955</c:v>
                </c:pt>
                <c:pt idx="5">
                  <c:v>7.4444252972600378</c:v>
                </c:pt>
                <c:pt idx="6">
                  <c:v>6.9002938897897605</c:v>
                </c:pt>
                <c:pt idx="7">
                  <c:v>6.1098067528755733</c:v>
                </c:pt>
                <c:pt idx="8">
                  <c:v>6.3118238212175894</c:v>
                </c:pt>
                <c:pt idx="9">
                  <c:v>3.459848458637512</c:v>
                </c:pt>
                <c:pt idx="10">
                  <c:v>3.1735839157951391</c:v>
                </c:pt>
                <c:pt idx="11">
                  <c:v>3.4440493917200996</c:v>
                </c:pt>
                <c:pt idx="12">
                  <c:v>2.0366372526874352</c:v>
                </c:pt>
                <c:pt idx="13">
                  <c:v>3.0744319986882425</c:v>
                </c:pt>
                <c:pt idx="14">
                  <c:v>4.1116229489473479</c:v>
                </c:pt>
                <c:pt idx="15">
                  <c:v>8.8277579647120508</c:v>
                </c:pt>
                <c:pt idx="16">
                  <c:v>1.4175750960407127</c:v>
                </c:pt>
                <c:pt idx="17">
                  <c:v>5.2281310354159745</c:v>
                </c:pt>
                <c:pt idx="18">
                  <c:v>6.485117508622646</c:v>
                </c:pt>
                <c:pt idx="19">
                  <c:v>3.6917758093132647</c:v>
                </c:pt>
                <c:pt idx="20">
                  <c:v>2.8701735126630394</c:v>
                </c:pt>
                <c:pt idx="21">
                  <c:v>1.5266895873663382</c:v>
                </c:pt>
                <c:pt idx="22">
                  <c:v>3.3376723073328662</c:v>
                </c:pt>
                <c:pt idx="23">
                  <c:v>1.9768482825424527</c:v>
                </c:pt>
                <c:pt idx="24">
                  <c:v>3.1114352487525423</c:v>
                </c:pt>
                <c:pt idx="25">
                  <c:v>2.0162841078726932</c:v>
                </c:pt>
                <c:pt idx="26">
                  <c:v>2.2816860016738447</c:v>
                </c:pt>
                <c:pt idx="27">
                  <c:v>1.5258889603667682</c:v>
                </c:pt>
                <c:pt idx="28">
                  <c:v>6.1519532451553367</c:v>
                </c:pt>
                <c:pt idx="29">
                  <c:v>1.647362325812026</c:v>
                </c:pt>
                <c:pt idx="30">
                  <c:v>0.70894457648537179</c:v>
                </c:pt>
                <c:pt idx="31">
                  <c:v>2.1529612606187127</c:v>
                </c:pt>
                <c:pt idx="32">
                  <c:v>0.90843353355208412</c:v>
                </c:pt>
              </c:numCache>
            </c:numRef>
          </c:val>
          <c:smooth val="0"/>
        </c:ser>
        <c:dLbls>
          <c:showLegendKey val="0"/>
          <c:showVal val="0"/>
          <c:showCatName val="0"/>
          <c:showSerName val="0"/>
          <c:showPercent val="0"/>
          <c:showBubbleSize val="0"/>
        </c:dLbls>
        <c:marker val="1"/>
        <c:smooth val="0"/>
        <c:axId val="770452504"/>
        <c:axId val="770448584"/>
      </c:lineChart>
      <c:catAx>
        <c:axId val="7704525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0448584"/>
        <c:crosses val="autoZero"/>
        <c:auto val="1"/>
        <c:lblAlgn val="ctr"/>
        <c:lblOffset val="100"/>
        <c:noMultiLvlLbl val="0"/>
      </c:catAx>
      <c:valAx>
        <c:axId val="770448584"/>
        <c:scaling>
          <c:orientation val="minMax"/>
          <c:max val="4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0452504"/>
        <c:crosses val="autoZero"/>
        <c:crossBetween val="between"/>
      </c:valAx>
      <c:spPr>
        <a:noFill/>
        <a:ln>
          <a:noFill/>
        </a:ln>
        <a:effectLst/>
      </c:spPr>
    </c:plotArea>
    <c:legend>
      <c:legendPos val="b"/>
      <c:layout>
        <c:manualLayout>
          <c:xMode val="edge"/>
          <c:yMode val="edge"/>
          <c:x val="0.85246296484626594"/>
          <c:y val="6.0308641975308644E-3"/>
          <c:w val="0.13371516458531854"/>
          <c:h val="0.13831073199183436"/>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BJ$23" lockText="1" noThreeD="1"/>
</file>

<file path=xl/ctrlProps/ctrlProp2.xml><?xml version="1.0" encoding="utf-8"?>
<formControlPr xmlns="http://schemas.microsoft.com/office/spreadsheetml/2009/9/main" objectType="CheckBox" checked="Checked" fmlaLink="$BJ$24" lockText="1" noThreeD="1"/>
</file>

<file path=xl/ctrlProps/ctrlProp3.xml><?xml version="1.0" encoding="utf-8"?>
<formControlPr xmlns="http://schemas.microsoft.com/office/spreadsheetml/2009/9/main" objectType="CheckBox" checked="Checked" fmlaLink="$BJ$25" lockText="1" noThreeD="1"/>
</file>

<file path=xl/ctrlProps/ctrlProp4.xml><?xml version="1.0" encoding="utf-8"?>
<formControlPr xmlns="http://schemas.microsoft.com/office/spreadsheetml/2009/9/main" objectType="CheckBox" checked="Checked" fmlaLink="$BJ$26" lockText="1" noThreeD="1"/>
</file>

<file path=xl/ctrlProps/ctrlProp5.xml><?xml version="1.0" encoding="utf-8"?>
<formControlPr xmlns="http://schemas.microsoft.com/office/spreadsheetml/2009/9/main" objectType="CheckBox" fmlaLink="$BJ$27" lockText="1" noThreeD="1"/>
</file>

<file path=xl/ctrlProps/ctrlProp6.xml><?xml version="1.0" encoding="utf-8"?>
<formControlPr xmlns="http://schemas.microsoft.com/office/spreadsheetml/2009/9/main" objectType="CheckBox" fmlaLink="$BJ$28" lockText="1" noThreeD="1"/>
</file>

<file path=xl/ctrlProps/ctrlProp7.xml><?xml version="1.0" encoding="utf-8"?>
<formControlPr xmlns="http://schemas.microsoft.com/office/spreadsheetml/2009/9/main" objectType="CheckBox" fmlaLink="$BJ$30" lockText="1" noThreeD="1"/>
</file>

<file path=xl/ctrlProps/ctrlProp8.xml><?xml version="1.0" encoding="utf-8"?>
<formControlPr xmlns="http://schemas.microsoft.com/office/spreadsheetml/2009/9/main" objectType="CheckBox" fmlaLink="$BJ$29"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40.xml"/><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32.xml.rels><?xml version="1.0" encoding="UTF-8" standalone="yes"?>
<Relationships xmlns="http://schemas.openxmlformats.org/package/2006/relationships"><Relationship Id="rId8" Type="http://schemas.openxmlformats.org/officeDocument/2006/relationships/chart" Target="../charts/chart47.xml"/><Relationship Id="rId3" Type="http://schemas.openxmlformats.org/officeDocument/2006/relationships/chart" Target="../charts/chart43.xml"/><Relationship Id="rId7" Type="http://schemas.openxmlformats.org/officeDocument/2006/relationships/chart" Target="../charts/chart46.xml"/><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image" Target="../media/image5.png"/><Relationship Id="rId5" Type="http://schemas.openxmlformats.org/officeDocument/2006/relationships/chart" Target="../charts/chart45.xml"/><Relationship Id="rId10" Type="http://schemas.openxmlformats.org/officeDocument/2006/relationships/chart" Target="../charts/chart49.xml"/><Relationship Id="rId4" Type="http://schemas.openxmlformats.org/officeDocument/2006/relationships/chart" Target="../charts/chart44.xml"/><Relationship Id="rId9" Type="http://schemas.openxmlformats.org/officeDocument/2006/relationships/chart" Target="../charts/chart48.xml"/></Relationships>
</file>

<file path=xl/drawings/_rels/drawing42.xml.rels><?xml version="1.0" encoding="UTF-8" standalone="yes"?>
<Relationships xmlns="http://schemas.openxmlformats.org/package/2006/relationships"><Relationship Id="rId8" Type="http://schemas.openxmlformats.org/officeDocument/2006/relationships/chart" Target="../charts/chart57.xml"/><Relationship Id="rId13" Type="http://schemas.openxmlformats.org/officeDocument/2006/relationships/chart" Target="../charts/chart62.xml"/><Relationship Id="rId18" Type="http://schemas.openxmlformats.org/officeDocument/2006/relationships/chart" Target="../charts/chart67.xml"/><Relationship Id="rId3" Type="http://schemas.openxmlformats.org/officeDocument/2006/relationships/chart" Target="../charts/chart52.xml"/><Relationship Id="rId21" Type="http://schemas.openxmlformats.org/officeDocument/2006/relationships/chart" Target="../charts/chart70.xml"/><Relationship Id="rId7" Type="http://schemas.openxmlformats.org/officeDocument/2006/relationships/chart" Target="../charts/chart56.xml"/><Relationship Id="rId12" Type="http://schemas.openxmlformats.org/officeDocument/2006/relationships/chart" Target="../charts/chart61.xml"/><Relationship Id="rId17" Type="http://schemas.openxmlformats.org/officeDocument/2006/relationships/chart" Target="../charts/chart66.xml"/><Relationship Id="rId2" Type="http://schemas.openxmlformats.org/officeDocument/2006/relationships/chart" Target="../charts/chart51.xml"/><Relationship Id="rId16" Type="http://schemas.openxmlformats.org/officeDocument/2006/relationships/chart" Target="../charts/chart65.xml"/><Relationship Id="rId20" Type="http://schemas.openxmlformats.org/officeDocument/2006/relationships/chart" Target="../charts/chart69.xml"/><Relationship Id="rId1" Type="http://schemas.openxmlformats.org/officeDocument/2006/relationships/chart" Target="../charts/chart50.xml"/><Relationship Id="rId6" Type="http://schemas.openxmlformats.org/officeDocument/2006/relationships/chart" Target="../charts/chart55.xml"/><Relationship Id="rId11" Type="http://schemas.openxmlformats.org/officeDocument/2006/relationships/chart" Target="../charts/chart60.xml"/><Relationship Id="rId5" Type="http://schemas.openxmlformats.org/officeDocument/2006/relationships/chart" Target="../charts/chart54.xml"/><Relationship Id="rId15" Type="http://schemas.openxmlformats.org/officeDocument/2006/relationships/chart" Target="../charts/chart64.xml"/><Relationship Id="rId10" Type="http://schemas.openxmlformats.org/officeDocument/2006/relationships/chart" Target="../charts/chart59.xml"/><Relationship Id="rId19" Type="http://schemas.openxmlformats.org/officeDocument/2006/relationships/chart" Target="../charts/chart68.xml"/><Relationship Id="rId4" Type="http://schemas.openxmlformats.org/officeDocument/2006/relationships/chart" Target="../charts/chart53.xml"/><Relationship Id="rId9" Type="http://schemas.openxmlformats.org/officeDocument/2006/relationships/chart" Target="../charts/chart58.xml"/><Relationship Id="rId14" Type="http://schemas.openxmlformats.org/officeDocument/2006/relationships/chart" Target="../charts/chart63.xml"/><Relationship Id="rId22" Type="http://schemas.openxmlformats.org/officeDocument/2006/relationships/image" Target="../media/image6.png"/></Relationships>
</file>

<file path=xl/drawings/_rels/drawing44.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chart" Target="../charts/chart76.xml"/><Relationship Id="rId5" Type="http://schemas.openxmlformats.org/officeDocument/2006/relationships/chart" Target="../charts/chart75.xml"/><Relationship Id="rId4" Type="http://schemas.openxmlformats.org/officeDocument/2006/relationships/chart" Target="../charts/chart74.xml"/></Relationships>
</file>

<file path=xl/drawings/_rels/drawing49.xml.rels><?xml version="1.0" encoding="UTF-8" standalone="yes"?>
<Relationships xmlns="http://schemas.openxmlformats.org/package/2006/relationships"><Relationship Id="rId8" Type="http://schemas.openxmlformats.org/officeDocument/2006/relationships/chart" Target="../charts/chart84.xml"/><Relationship Id="rId3" Type="http://schemas.openxmlformats.org/officeDocument/2006/relationships/chart" Target="../charts/chart79.xml"/><Relationship Id="rId7" Type="http://schemas.openxmlformats.org/officeDocument/2006/relationships/chart" Target="../charts/chart83.xml"/><Relationship Id="rId12" Type="http://schemas.openxmlformats.org/officeDocument/2006/relationships/chart" Target="../charts/chart88.xml"/><Relationship Id="rId2" Type="http://schemas.openxmlformats.org/officeDocument/2006/relationships/chart" Target="../charts/chart78.xml"/><Relationship Id="rId1" Type="http://schemas.openxmlformats.org/officeDocument/2006/relationships/chart" Target="../charts/chart77.xml"/><Relationship Id="rId6" Type="http://schemas.openxmlformats.org/officeDocument/2006/relationships/chart" Target="../charts/chart82.xml"/><Relationship Id="rId11" Type="http://schemas.openxmlformats.org/officeDocument/2006/relationships/chart" Target="../charts/chart87.xml"/><Relationship Id="rId5" Type="http://schemas.openxmlformats.org/officeDocument/2006/relationships/chart" Target="../charts/chart81.xml"/><Relationship Id="rId10" Type="http://schemas.openxmlformats.org/officeDocument/2006/relationships/chart" Target="../charts/chart86.xml"/><Relationship Id="rId4" Type="http://schemas.openxmlformats.org/officeDocument/2006/relationships/chart" Target="../charts/chart80.xml"/><Relationship Id="rId9" Type="http://schemas.openxmlformats.org/officeDocument/2006/relationships/chart" Target="../charts/chart85.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5.xml"/><Relationship Id="rId13" Type="http://schemas.openxmlformats.org/officeDocument/2006/relationships/image" Target="../media/image2.png"/><Relationship Id="rId18" Type="http://schemas.openxmlformats.org/officeDocument/2006/relationships/chart" Target="../charts/chart24.xml"/><Relationship Id="rId3" Type="http://schemas.openxmlformats.org/officeDocument/2006/relationships/chart" Target="../charts/chart10.xml"/><Relationship Id="rId21" Type="http://schemas.openxmlformats.org/officeDocument/2006/relationships/image" Target="../media/image3.png"/><Relationship Id="rId7" Type="http://schemas.openxmlformats.org/officeDocument/2006/relationships/chart" Target="../charts/chart14.xml"/><Relationship Id="rId12" Type="http://schemas.openxmlformats.org/officeDocument/2006/relationships/chart" Target="../charts/chart19.xml"/><Relationship Id="rId17" Type="http://schemas.openxmlformats.org/officeDocument/2006/relationships/chart" Target="../charts/chart23.xml"/><Relationship Id="rId2" Type="http://schemas.openxmlformats.org/officeDocument/2006/relationships/chart" Target="../charts/chart9.xml"/><Relationship Id="rId16" Type="http://schemas.openxmlformats.org/officeDocument/2006/relationships/chart" Target="../charts/chart22.xml"/><Relationship Id="rId20" Type="http://schemas.openxmlformats.org/officeDocument/2006/relationships/chart" Target="../charts/chart26.xml"/><Relationship Id="rId1" Type="http://schemas.openxmlformats.org/officeDocument/2006/relationships/chart" Target="../charts/chart8.xml"/><Relationship Id="rId6" Type="http://schemas.openxmlformats.org/officeDocument/2006/relationships/chart" Target="../charts/chart13.xml"/><Relationship Id="rId11" Type="http://schemas.openxmlformats.org/officeDocument/2006/relationships/chart" Target="../charts/chart18.xml"/><Relationship Id="rId5" Type="http://schemas.openxmlformats.org/officeDocument/2006/relationships/chart" Target="../charts/chart12.xml"/><Relationship Id="rId15" Type="http://schemas.openxmlformats.org/officeDocument/2006/relationships/chart" Target="../charts/chart21.xml"/><Relationship Id="rId10" Type="http://schemas.openxmlformats.org/officeDocument/2006/relationships/chart" Target="../charts/chart17.xml"/><Relationship Id="rId19" Type="http://schemas.openxmlformats.org/officeDocument/2006/relationships/chart" Target="../charts/chart25.xml"/><Relationship Id="rId4" Type="http://schemas.openxmlformats.org/officeDocument/2006/relationships/chart" Target="../charts/chart11.xml"/><Relationship Id="rId9" Type="http://schemas.openxmlformats.org/officeDocument/2006/relationships/chart" Target="../charts/chart16.xml"/><Relationship Id="rId14" Type="http://schemas.openxmlformats.org/officeDocument/2006/relationships/chart" Target="../charts/chart20.xml"/><Relationship Id="rId22"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1447800</xdr:colOff>
      <xdr:row>4</xdr:row>
      <xdr:rowOff>76856</xdr:rowOff>
    </xdr:to>
    <xdr:pic>
      <xdr:nvPicPr>
        <xdr:cNvPr id="2" name="Ministry of Health logo" descr="Ministry of Health logo"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
          <a:ext cx="1447800" cy="734081"/>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0.01033</cdr:x>
      <cdr:y>0.01588</cdr:y>
    </cdr:from>
    <cdr:to>
      <cdr:x>0.42765</cdr:x>
      <cdr:y>0.15346</cdr:y>
    </cdr:to>
    <cdr:sp macro="" textlink="">
      <cdr:nvSpPr>
        <cdr:cNvPr id="3" name="TextBox 2"/>
        <cdr:cNvSpPr txBox="1"/>
      </cdr:nvSpPr>
      <cdr:spPr>
        <a:xfrm xmlns:a="http://schemas.openxmlformats.org/drawingml/2006/main">
          <a:off x="30599" y="28739"/>
          <a:ext cx="1236225" cy="2489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dr:relSizeAnchor xmlns:cdr="http://schemas.openxmlformats.org/drawingml/2006/chartDrawing">
    <cdr:from>
      <cdr:x>0</cdr:x>
      <cdr:y>0</cdr:y>
    </cdr:from>
    <cdr:to>
      <cdr:x>0.50957</cdr:x>
      <cdr:y>0.13925</cdr:y>
    </cdr:to>
    <cdr:sp macro="" textlink="">
      <cdr:nvSpPr>
        <cdr:cNvPr id="2" name="TextBox 1"/>
        <cdr:cNvSpPr txBox="1"/>
      </cdr:nvSpPr>
      <cdr:spPr>
        <a:xfrm xmlns:a="http://schemas.openxmlformats.org/drawingml/2006/main">
          <a:off x="0" y="0"/>
          <a:ext cx="1485900"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0.00651</cdr:x>
      <cdr:y>0.03226</cdr:y>
    </cdr:from>
    <cdr:to>
      <cdr:x>0.41368</cdr:x>
      <cdr:y>0.13441</cdr:y>
    </cdr:to>
    <cdr:sp macro="" textlink="">
      <cdr:nvSpPr>
        <cdr:cNvPr id="4" name="TextBox 1"/>
        <cdr:cNvSpPr txBox="1"/>
      </cdr:nvSpPr>
      <cdr:spPr>
        <a:xfrm xmlns:a="http://schemas.openxmlformats.org/drawingml/2006/main">
          <a:off x="19050" y="57151"/>
          <a:ext cx="119062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0.02623</cdr:x>
      <cdr:y>0.11483</cdr:y>
    </cdr:from>
    <cdr:to>
      <cdr:x>0.43934</cdr:x>
      <cdr:y>0.22178</cdr:y>
    </cdr:to>
    <cdr:sp macro="" textlink="">
      <cdr:nvSpPr>
        <cdr:cNvPr id="5" name="TextBox 2"/>
        <cdr:cNvSpPr txBox="1"/>
      </cdr:nvSpPr>
      <cdr:spPr>
        <a:xfrm xmlns:a="http://schemas.openxmlformats.org/drawingml/2006/main">
          <a:off x="76487" y="236255"/>
          <a:ext cx="1204628" cy="2200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cdr:y>
    </cdr:from>
    <cdr:to>
      <cdr:x>0.50957</cdr:x>
      <cdr:y>0.13925</cdr:y>
    </cdr:to>
    <cdr:sp macro="" textlink="">
      <cdr:nvSpPr>
        <cdr:cNvPr id="2" name="TextBox 1"/>
        <cdr:cNvSpPr txBox="1"/>
      </cdr:nvSpPr>
      <cdr:spPr>
        <a:xfrm xmlns:a="http://schemas.openxmlformats.org/drawingml/2006/main">
          <a:off x="0" y="0"/>
          <a:ext cx="1485900"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0.00651</cdr:x>
      <cdr:y>0.03226</cdr:y>
    </cdr:from>
    <cdr:to>
      <cdr:x>0.41368</cdr:x>
      <cdr:y>0.13441</cdr:y>
    </cdr:to>
    <cdr:sp macro="" textlink="">
      <cdr:nvSpPr>
        <cdr:cNvPr id="3" name="TextBox 1"/>
        <cdr:cNvSpPr txBox="1"/>
      </cdr:nvSpPr>
      <cdr:spPr>
        <a:xfrm xmlns:a="http://schemas.openxmlformats.org/drawingml/2006/main">
          <a:off x="19050" y="57151"/>
          <a:ext cx="119062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0.0295</cdr:x>
      <cdr:y>0.17718</cdr:y>
    </cdr:from>
    <cdr:to>
      <cdr:x>0.44261</cdr:x>
      <cdr:y>0.27994</cdr:y>
    </cdr:to>
    <cdr:sp macro="" textlink="">
      <cdr:nvSpPr>
        <cdr:cNvPr id="4" name="TextBox 2"/>
        <cdr:cNvSpPr txBox="1"/>
      </cdr:nvSpPr>
      <cdr:spPr>
        <a:xfrm xmlns:a="http://schemas.openxmlformats.org/drawingml/2006/main">
          <a:off x="86012" y="393226"/>
          <a:ext cx="1204628" cy="2280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cdr:y>
    </cdr:from>
    <cdr:to>
      <cdr:x>0.50957</cdr:x>
      <cdr:y>0.13925</cdr:y>
    </cdr:to>
    <cdr:sp macro="" textlink="">
      <cdr:nvSpPr>
        <cdr:cNvPr id="3" name="TextBox 1"/>
        <cdr:cNvSpPr txBox="1"/>
      </cdr:nvSpPr>
      <cdr:spPr>
        <a:xfrm xmlns:a="http://schemas.openxmlformats.org/drawingml/2006/main">
          <a:off x="0" y="0"/>
          <a:ext cx="1485900"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0.00651</cdr:x>
      <cdr:y>0.03226</cdr:y>
    </cdr:from>
    <cdr:to>
      <cdr:x>0.41368</cdr:x>
      <cdr:y>0.13441</cdr:y>
    </cdr:to>
    <cdr:sp macro="" textlink="">
      <cdr:nvSpPr>
        <cdr:cNvPr id="4" name="TextBox 1"/>
        <cdr:cNvSpPr txBox="1"/>
      </cdr:nvSpPr>
      <cdr:spPr>
        <a:xfrm xmlns:a="http://schemas.openxmlformats.org/drawingml/2006/main">
          <a:off x="19050" y="57151"/>
          <a:ext cx="119062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0.02623</cdr:x>
      <cdr:y>0.11483</cdr:y>
    </cdr:from>
    <cdr:to>
      <cdr:x>0.43934</cdr:x>
      <cdr:y>0.22178</cdr:y>
    </cdr:to>
    <cdr:sp macro="" textlink="">
      <cdr:nvSpPr>
        <cdr:cNvPr id="5" name="TextBox 2"/>
        <cdr:cNvSpPr txBox="1"/>
      </cdr:nvSpPr>
      <cdr:spPr>
        <a:xfrm xmlns:a="http://schemas.openxmlformats.org/drawingml/2006/main">
          <a:off x="76487" y="236255"/>
          <a:ext cx="1204628" cy="2200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cdr:x>
      <cdr:y>0</cdr:y>
    </cdr:from>
    <cdr:to>
      <cdr:x>0.50957</cdr:x>
      <cdr:y>0.13925</cdr:y>
    </cdr:to>
    <cdr:sp macro="" textlink="">
      <cdr:nvSpPr>
        <cdr:cNvPr id="3" name="TextBox 1"/>
        <cdr:cNvSpPr txBox="1"/>
      </cdr:nvSpPr>
      <cdr:spPr>
        <a:xfrm xmlns:a="http://schemas.openxmlformats.org/drawingml/2006/main">
          <a:off x="0" y="0"/>
          <a:ext cx="1485900"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0.00651</cdr:x>
      <cdr:y>0.03226</cdr:y>
    </cdr:from>
    <cdr:to>
      <cdr:x>0.41368</cdr:x>
      <cdr:y>0.13441</cdr:y>
    </cdr:to>
    <cdr:sp macro="" textlink="">
      <cdr:nvSpPr>
        <cdr:cNvPr id="4" name="TextBox 1"/>
        <cdr:cNvSpPr txBox="1"/>
      </cdr:nvSpPr>
      <cdr:spPr>
        <a:xfrm xmlns:a="http://schemas.openxmlformats.org/drawingml/2006/main">
          <a:off x="19050" y="57151"/>
          <a:ext cx="119062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0.02623</cdr:x>
      <cdr:y>0.11483</cdr:y>
    </cdr:from>
    <cdr:to>
      <cdr:x>0.43934</cdr:x>
      <cdr:y>0.22178</cdr:y>
    </cdr:to>
    <cdr:sp macro="" textlink="">
      <cdr:nvSpPr>
        <cdr:cNvPr id="5" name="TextBox 2"/>
        <cdr:cNvSpPr txBox="1"/>
      </cdr:nvSpPr>
      <cdr:spPr>
        <a:xfrm xmlns:a="http://schemas.openxmlformats.org/drawingml/2006/main">
          <a:off x="76487" y="236255"/>
          <a:ext cx="1204628" cy="2200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0.00653</cdr:y>
    </cdr:from>
    <cdr:to>
      <cdr:x>0.40778</cdr:x>
      <cdr:y>0.14411</cdr:y>
    </cdr:to>
    <cdr:sp macro="" textlink="">
      <cdr:nvSpPr>
        <cdr:cNvPr id="3" name="TextBox 2"/>
        <cdr:cNvSpPr txBox="1"/>
      </cdr:nvSpPr>
      <cdr:spPr>
        <a:xfrm xmlns:a="http://schemas.openxmlformats.org/drawingml/2006/main">
          <a:off x="0" y="13317"/>
          <a:ext cx="1189078" cy="2804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drawings/drawing15.xml><?xml version="1.0" encoding="utf-8"?>
<c:userShapes xmlns:c="http://schemas.openxmlformats.org/drawingml/2006/chart">
  <cdr:relSizeAnchor xmlns:cdr="http://schemas.openxmlformats.org/drawingml/2006/chartDrawing">
    <cdr:from>
      <cdr:x>0</cdr:x>
      <cdr:y>0</cdr:y>
    </cdr:from>
    <cdr:to>
      <cdr:x>0.46384</cdr:x>
      <cdr:y>0.11651</cdr:y>
    </cdr:to>
    <cdr:sp macro="" textlink="">
      <cdr:nvSpPr>
        <cdr:cNvPr id="2" name="TextBox 1"/>
        <cdr:cNvSpPr txBox="1"/>
      </cdr:nvSpPr>
      <cdr:spPr>
        <a:xfrm xmlns:a="http://schemas.openxmlformats.org/drawingml/2006/main">
          <a:off x="0" y="0"/>
          <a:ext cx="13525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a:t>
          </a:r>
          <a:r>
            <a:rPr lang="en-NZ" sz="900" baseline="0">
              <a:latin typeface="Arial" panose="020B0604020202020204" pitchFamily="34" charset="0"/>
              <a:cs typeface="Arial" panose="020B0604020202020204" pitchFamily="34" charset="0"/>
            </a:rPr>
            <a:t> 100,000</a:t>
          </a:r>
          <a:endParaRPr lang="en-NZ" sz="900">
            <a:latin typeface="Arial" panose="020B0604020202020204" pitchFamily="34" charset="0"/>
            <a:cs typeface="Arial" panose="020B0604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0.01652</cdr:x>
      <cdr:y>5.55556E-7</cdr:y>
    </cdr:from>
    <cdr:to>
      <cdr:x>0.43932</cdr:x>
      <cdr:y>0.127</cdr:y>
    </cdr:to>
    <cdr:sp macro="" textlink="">
      <cdr:nvSpPr>
        <cdr:cNvPr id="2" name="TextBox 1"/>
        <cdr:cNvSpPr txBox="1"/>
      </cdr:nvSpPr>
      <cdr:spPr>
        <a:xfrm xmlns:a="http://schemas.openxmlformats.org/drawingml/2006/main">
          <a:off x="47625" y="1"/>
          <a:ext cx="12192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100"/>
            <a:t>Percent</a:t>
          </a: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cdr:y>
    </cdr:from>
    <cdr:to>
      <cdr:x>0.50957</cdr:x>
      <cdr:y>0.13925</cdr:y>
    </cdr:to>
    <cdr:sp macro="" textlink="">
      <cdr:nvSpPr>
        <cdr:cNvPr id="5" name="TextBox 1"/>
        <cdr:cNvSpPr txBox="1"/>
      </cdr:nvSpPr>
      <cdr:spPr>
        <a:xfrm xmlns:a="http://schemas.openxmlformats.org/drawingml/2006/main">
          <a:off x="0" y="0"/>
          <a:ext cx="1485900"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0.00651</cdr:x>
      <cdr:y>0.03226</cdr:y>
    </cdr:from>
    <cdr:to>
      <cdr:x>0.41368</cdr:x>
      <cdr:y>0.13441</cdr:y>
    </cdr:to>
    <cdr:sp macro="" textlink="">
      <cdr:nvSpPr>
        <cdr:cNvPr id="6" name="TextBox 1"/>
        <cdr:cNvSpPr txBox="1"/>
      </cdr:nvSpPr>
      <cdr:spPr>
        <a:xfrm xmlns:a="http://schemas.openxmlformats.org/drawingml/2006/main">
          <a:off x="19050" y="57151"/>
          <a:ext cx="119062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0.02623</cdr:x>
      <cdr:y>0.11483</cdr:y>
    </cdr:from>
    <cdr:to>
      <cdr:x>0.43934</cdr:x>
      <cdr:y>0.22178</cdr:y>
    </cdr:to>
    <cdr:sp macro="" textlink="">
      <cdr:nvSpPr>
        <cdr:cNvPr id="7" name="TextBox 2"/>
        <cdr:cNvSpPr txBox="1"/>
      </cdr:nvSpPr>
      <cdr:spPr>
        <a:xfrm xmlns:a="http://schemas.openxmlformats.org/drawingml/2006/main">
          <a:off x="76487" y="236255"/>
          <a:ext cx="1204628" cy="2200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cdr:y>
    </cdr:from>
    <cdr:to>
      <cdr:x>0.50957</cdr:x>
      <cdr:y>0.13925</cdr:y>
    </cdr:to>
    <cdr:sp macro="" textlink="">
      <cdr:nvSpPr>
        <cdr:cNvPr id="2" name="TextBox 1"/>
        <cdr:cNvSpPr txBox="1"/>
      </cdr:nvSpPr>
      <cdr:spPr>
        <a:xfrm xmlns:a="http://schemas.openxmlformats.org/drawingml/2006/main">
          <a:off x="0" y="0"/>
          <a:ext cx="1485900"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0.00651</cdr:x>
      <cdr:y>0.03226</cdr:y>
    </cdr:from>
    <cdr:to>
      <cdr:x>0.41368</cdr:x>
      <cdr:y>0.13441</cdr:y>
    </cdr:to>
    <cdr:sp macro="" textlink="">
      <cdr:nvSpPr>
        <cdr:cNvPr id="4" name="TextBox 1"/>
        <cdr:cNvSpPr txBox="1"/>
      </cdr:nvSpPr>
      <cdr:spPr>
        <a:xfrm xmlns:a="http://schemas.openxmlformats.org/drawingml/2006/main">
          <a:off x="19050" y="57151"/>
          <a:ext cx="119062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0.02623</cdr:x>
      <cdr:y>0.11483</cdr:y>
    </cdr:from>
    <cdr:to>
      <cdr:x>0.43934</cdr:x>
      <cdr:y>0.22178</cdr:y>
    </cdr:to>
    <cdr:sp macro="" textlink="">
      <cdr:nvSpPr>
        <cdr:cNvPr id="8" name="TextBox 2"/>
        <cdr:cNvSpPr txBox="1"/>
      </cdr:nvSpPr>
      <cdr:spPr>
        <a:xfrm xmlns:a="http://schemas.openxmlformats.org/drawingml/2006/main">
          <a:off x="76487" y="236255"/>
          <a:ext cx="1204628" cy="2200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0.02369</cdr:x>
      <cdr:y>0.02679</cdr:y>
    </cdr:from>
    <cdr:to>
      <cdr:x>0.21167</cdr:x>
      <cdr:y>0.15627</cdr:y>
    </cdr:to>
    <cdr:sp macro="" textlink="">
      <cdr:nvSpPr>
        <cdr:cNvPr id="2" name="TextBox 1"/>
        <cdr:cNvSpPr txBox="1"/>
      </cdr:nvSpPr>
      <cdr:spPr>
        <a:xfrm xmlns:a="http://schemas.openxmlformats.org/drawingml/2006/main">
          <a:off x="142877" y="57149"/>
          <a:ext cx="11334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drawings/drawing19.xml><?xml version="1.0" encoding="utf-8"?>
<xdr:wsDr xmlns:xdr="http://schemas.openxmlformats.org/drawingml/2006/spreadsheetDrawing" xmlns:a="http://schemas.openxmlformats.org/drawingml/2006/main">
  <xdr:twoCellAnchor>
    <xdr:from>
      <xdr:col>2</xdr:col>
      <xdr:colOff>9525</xdr:colOff>
      <xdr:row>8</xdr:row>
      <xdr:rowOff>95250</xdr:rowOff>
    </xdr:from>
    <xdr:to>
      <xdr:col>12</xdr:col>
      <xdr:colOff>267300</xdr:colOff>
      <xdr:row>19</xdr:row>
      <xdr:rowOff>114075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123823</xdr:colOff>
      <xdr:row>27</xdr:row>
      <xdr:rowOff>114300</xdr:rowOff>
    </xdr:from>
    <xdr:to>
      <xdr:col>12</xdr:col>
      <xdr:colOff>238723</xdr:colOff>
      <xdr:row>38</xdr:row>
      <xdr:rowOff>133125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514350</xdr:colOff>
      <xdr:row>60</xdr:row>
      <xdr:rowOff>38100</xdr:rowOff>
    </xdr:from>
    <xdr:to>
      <xdr:col>12</xdr:col>
      <xdr:colOff>276783</xdr:colOff>
      <xdr:row>71</xdr:row>
      <xdr:rowOff>95251</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28575</xdr:colOff>
      <xdr:row>45</xdr:row>
      <xdr:rowOff>82102</xdr:rowOff>
    </xdr:from>
    <xdr:to>
      <xdr:col>6</xdr:col>
      <xdr:colOff>561976</xdr:colOff>
      <xdr:row>58</xdr:row>
      <xdr:rowOff>101152</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561976</xdr:colOff>
      <xdr:row>45</xdr:row>
      <xdr:rowOff>82102</xdr:rowOff>
    </xdr:from>
    <xdr:to>
      <xdr:col>12</xdr:col>
      <xdr:colOff>266700</xdr:colOff>
      <xdr:row>58</xdr:row>
      <xdr:rowOff>123601</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60</xdr:row>
      <xdr:rowOff>19049</xdr:rowOff>
    </xdr:from>
    <xdr:to>
      <xdr:col>6</xdr:col>
      <xdr:colOff>561975</xdr:colOff>
      <xdr:row>71</xdr:row>
      <xdr:rowOff>85725</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47622</xdr:colOff>
      <xdr:row>29</xdr:row>
      <xdr:rowOff>85724</xdr:rowOff>
    </xdr:from>
    <xdr:to>
      <xdr:col>15</xdr:col>
      <xdr:colOff>209550</xdr:colOff>
      <xdr:row>42</xdr:row>
      <xdr:rowOff>161924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171449</xdr:colOff>
      <xdr:row>75</xdr:row>
      <xdr:rowOff>47625</xdr:rowOff>
    </xdr:from>
    <xdr:to>
      <xdr:col>7</xdr:col>
      <xdr:colOff>790575</xdr:colOff>
      <xdr:row>88</xdr:row>
      <xdr:rowOff>104775</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695325</xdr:colOff>
      <xdr:row>75</xdr:row>
      <xdr:rowOff>57148</xdr:rowOff>
    </xdr:from>
    <xdr:to>
      <xdr:col>15</xdr:col>
      <xdr:colOff>439725</xdr:colOff>
      <xdr:row>88</xdr:row>
      <xdr:rowOff>123825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114300</xdr:colOff>
      <xdr:row>96</xdr:row>
      <xdr:rowOff>85725</xdr:rowOff>
    </xdr:from>
    <xdr:to>
      <xdr:col>15</xdr:col>
      <xdr:colOff>342900</xdr:colOff>
      <xdr:row>109</xdr:row>
      <xdr:rowOff>19049</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104775</xdr:colOff>
      <xdr:row>51</xdr:row>
      <xdr:rowOff>19050</xdr:rowOff>
    </xdr:from>
    <xdr:to>
      <xdr:col>7</xdr:col>
      <xdr:colOff>523875</xdr:colOff>
      <xdr:row>64</xdr:row>
      <xdr:rowOff>100500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752475</xdr:colOff>
      <xdr:row>51</xdr:row>
      <xdr:rowOff>47623</xdr:rowOff>
    </xdr:from>
    <xdr:to>
      <xdr:col>15</xdr:col>
      <xdr:colOff>219675</xdr:colOff>
      <xdr:row>64</xdr:row>
      <xdr:rowOff>129073</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104774</xdr:colOff>
      <xdr:row>119</xdr:row>
      <xdr:rowOff>47625</xdr:rowOff>
    </xdr:from>
    <xdr:to>
      <xdr:col>15</xdr:col>
      <xdr:colOff>76200</xdr:colOff>
      <xdr:row>132</xdr:row>
      <xdr:rowOff>257175</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0.021</cdr:x>
      <cdr:y>0.02794</cdr:y>
    </cdr:from>
    <cdr:to>
      <cdr:x>0.22937</cdr:x>
      <cdr:y>0.17321</cdr:y>
    </cdr:to>
    <cdr:sp macro="" textlink="">
      <cdr:nvSpPr>
        <cdr:cNvPr id="5" name="TextBox 4"/>
        <cdr:cNvSpPr txBox="1"/>
      </cdr:nvSpPr>
      <cdr:spPr>
        <a:xfrm xmlns:a="http://schemas.openxmlformats.org/drawingml/2006/main">
          <a:off x="123825" y="47625"/>
          <a:ext cx="122872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drawings/drawing21.xml><?xml version="1.0" encoding="utf-8"?>
<c:userShapes xmlns:c="http://schemas.openxmlformats.org/drawingml/2006/chart">
  <cdr:relSizeAnchor xmlns:cdr="http://schemas.openxmlformats.org/drawingml/2006/chartDrawing">
    <cdr:from>
      <cdr:x>0.00812</cdr:x>
      <cdr:y>0.01058</cdr:y>
    </cdr:from>
    <cdr:to>
      <cdr:x>0.23377</cdr:x>
      <cdr:y>0.127</cdr:y>
    </cdr:to>
    <cdr:sp macro="" textlink="">
      <cdr:nvSpPr>
        <cdr:cNvPr id="4" name="TextBox 3"/>
        <cdr:cNvSpPr txBox="1"/>
      </cdr:nvSpPr>
      <cdr:spPr>
        <a:xfrm xmlns:a="http://schemas.openxmlformats.org/drawingml/2006/main">
          <a:off x="47627" y="19050"/>
          <a:ext cx="1323975"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drawings/drawing22.xml><?xml version="1.0" encoding="utf-8"?>
<c:userShapes xmlns:c="http://schemas.openxmlformats.org/drawingml/2006/chart">
  <cdr:relSizeAnchor xmlns:cdr="http://schemas.openxmlformats.org/drawingml/2006/chartDrawing">
    <cdr:from>
      <cdr:x>0.00651</cdr:x>
      <cdr:y>0.03226</cdr:y>
    </cdr:from>
    <cdr:to>
      <cdr:x>0.41368</cdr:x>
      <cdr:y>0.13441</cdr:y>
    </cdr:to>
    <cdr:sp macro="" textlink="">
      <cdr:nvSpPr>
        <cdr:cNvPr id="2" name="TextBox 1"/>
        <cdr:cNvSpPr txBox="1"/>
      </cdr:nvSpPr>
      <cdr:spPr>
        <a:xfrm xmlns:a="http://schemas.openxmlformats.org/drawingml/2006/main">
          <a:off x="19050" y="57151"/>
          <a:ext cx="119062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0.02623</cdr:x>
      <cdr:y>0.13798</cdr:y>
    </cdr:from>
    <cdr:to>
      <cdr:x>0.43934</cdr:x>
      <cdr:y>0.24493</cdr:y>
    </cdr:to>
    <cdr:sp macro="" textlink="">
      <cdr:nvSpPr>
        <cdr:cNvPr id="3" name="TextBox 2"/>
        <cdr:cNvSpPr txBox="1"/>
      </cdr:nvSpPr>
      <cdr:spPr>
        <a:xfrm xmlns:a="http://schemas.openxmlformats.org/drawingml/2006/main">
          <a:off x="76200" y="293085"/>
          <a:ext cx="1200150" cy="2271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drawings/drawing23.xml><?xml version="1.0" encoding="utf-8"?>
<xdr:wsDr xmlns:xdr="http://schemas.openxmlformats.org/drawingml/2006/spreadsheetDrawing" xmlns:a="http://schemas.openxmlformats.org/drawingml/2006/main">
  <xdr:twoCellAnchor>
    <xdr:from>
      <xdr:col>2</xdr:col>
      <xdr:colOff>38100</xdr:colOff>
      <xdr:row>26</xdr:row>
      <xdr:rowOff>57150</xdr:rowOff>
    </xdr:from>
    <xdr:to>
      <xdr:col>10</xdr:col>
      <xdr:colOff>143475</xdr:colOff>
      <xdr:row>37</xdr:row>
      <xdr:rowOff>104550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47624</xdr:colOff>
      <xdr:row>45</xdr:row>
      <xdr:rowOff>38100</xdr:rowOff>
    </xdr:from>
    <xdr:to>
      <xdr:col>10</xdr:col>
      <xdr:colOff>219074</xdr:colOff>
      <xdr:row>56</xdr:row>
      <xdr:rowOff>28575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123822</xdr:colOff>
      <xdr:row>85</xdr:row>
      <xdr:rowOff>66675</xdr:rowOff>
    </xdr:from>
    <xdr:to>
      <xdr:col>6</xdr:col>
      <xdr:colOff>601422</xdr:colOff>
      <xdr:row>97</xdr:row>
      <xdr:rowOff>85575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28575</xdr:colOff>
      <xdr:row>85</xdr:row>
      <xdr:rowOff>57150</xdr:rowOff>
    </xdr:from>
    <xdr:to>
      <xdr:col>10</xdr:col>
      <xdr:colOff>229950</xdr:colOff>
      <xdr:row>97</xdr:row>
      <xdr:rowOff>76050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76200</xdr:colOff>
      <xdr:row>99</xdr:row>
      <xdr:rowOff>38099</xdr:rowOff>
    </xdr:from>
    <xdr:to>
      <xdr:col>6</xdr:col>
      <xdr:colOff>553800</xdr:colOff>
      <xdr:row>111</xdr:row>
      <xdr:rowOff>56999</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590547</xdr:colOff>
      <xdr:row>99</xdr:row>
      <xdr:rowOff>47624</xdr:rowOff>
    </xdr:from>
    <xdr:to>
      <xdr:col>10</xdr:col>
      <xdr:colOff>182322</xdr:colOff>
      <xdr:row>111</xdr:row>
      <xdr:rowOff>66524</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66675</xdr:colOff>
      <xdr:row>7</xdr:row>
      <xdr:rowOff>57149</xdr:rowOff>
    </xdr:from>
    <xdr:to>
      <xdr:col>10</xdr:col>
      <xdr:colOff>38700</xdr:colOff>
      <xdr:row>18</xdr:row>
      <xdr:rowOff>152399</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95250</xdr:colOff>
      <xdr:row>63</xdr:row>
      <xdr:rowOff>85723</xdr:rowOff>
    </xdr:from>
    <xdr:to>
      <xdr:col>10</xdr:col>
      <xdr:colOff>67275</xdr:colOff>
      <xdr:row>75</xdr:row>
      <xdr:rowOff>85724</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0.00162</cdr:x>
      <cdr:y>0</cdr:y>
    </cdr:from>
    <cdr:to>
      <cdr:x>0.2029</cdr:x>
      <cdr:y>0.10583</cdr:y>
    </cdr:to>
    <cdr:sp macro="" textlink="">
      <cdr:nvSpPr>
        <cdr:cNvPr id="2" name="TextBox 1"/>
        <cdr:cNvSpPr txBox="1"/>
      </cdr:nvSpPr>
      <cdr:spPr>
        <a:xfrm xmlns:a="http://schemas.openxmlformats.org/drawingml/2006/main">
          <a:off x="9525" y="0"/>
          <a:ext cx="11811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0.02117</cdr:y>
    </cdr:from>
    <cdr:to>
      <cdr:x>0.28731</cdr:x>
      <cdr:y>0.14288</cdr:y>
    </cdr:to>
    <cdr:sp macro="" textlink="">
      <cdr:nvSpPr>
        <cdr:cNvPr id="2"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dr:relSizeAnchor xmlns:cdr="http://schemas.openxmlformats.org/drawingml/2006/chartDrawing">
    <cdr:from>
      <cdr:x>0.00162</cdr:x>
      <cdr:y>0</cdr:y>
    </cdr:from>
    <cdr:to>
      <cdr:x>0.2029</cdr:x>
      <cdr:y>0.10583</cdr:y>
    </cdr:to>
    <cdr:sp macro="" textlink="">
      <cdr:nvSpPr>
        <cdr:cNvPr id="3" name="TextBox 1"/>
        <cdr:cNvSpPr txBox="1"/>
      </cdr:nvSpPr>
      <cdr:spPr>
        <a:xfrm xmlns:a="http://schemas.openxmlformats.org/drawingml/2006/main">
          <a:off x="9525" y="0"/>
          <a:ext cx="11811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cdr:x>
      <cdr:y>0.02117</cdr:y>
    </cdr:from>
    <cdr:to>
      <cdr:x>0.28731</cdr:x>
      <cdr:y>0.14288</cdr:y>
    </cdr:to>
    <cdr:sp macro="" textlink="">
      <cdr:nvSpPr>
        <cdr:cNvPr id="3"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0.41946</cdr:x>
      <cdr:y>0.14288</cdr:y>
    </cdr:to>
    <cdr:sp macro="" textlink="">
      <cdr:nvSpPr>
        <cdr:cNvPr id="4" name="TextBox 1"/>
        <cdr:cNvSpPr txBox="1"/>
      </cdr:nvSpPr>
      <cdr:spPr>
        <a:xfrm xmlns:a="http://schemas.openxmlformats.org/drawingml/2006/main">
          <a:off x="0" y="40531"/>
          <a:ext cx="1190627" cy="2330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5"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0.00162</cdr:x>
      <cdr:y>0</cdr:y>
    </cdr:from>
    <cdr:to>
      <cdr:x>0.2029</cdr:x>
      <cdr:y>0.10583</cdr:y>
    </cdr:to>
    <cdr:sp macro="" textlink="">
      <cdr:nvSpPr>
        <cdr:cNvPr id="6" name="TextBox 1"/>
        <cdr:cNvSpPr txBox="1"/>
      </cdr:nvSpPr>
      <cdr:spPr>
        <a:xfrm xmlns:a="http://schemas.openxmlformats.org/drawingml/2006/main">
          <a:off x="9525" y="0"/>
          <a:ext cx="11811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0.50671</cdr:x>
      <cdr:y>0.16667</cdr:y>
    </cdr:to>
    <cdr:sp macro="" textlink="">
      <cdr:nvSpPr>
        <cdr:cNvPr id="7" name="TextBox 1"/>
        <cdr:cNvSpPr txBox="1"/>
      </cdr:nvSpPr>
      <cdr:spPr>
        <a:xfrm xmlns:a="http://schemas.openxmlformats.org/drawingml/2006/main">
          <a:off x="0" y="43555"/>
          <a:ext cx="1438276" cy="2993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drawings/drawing27.xml><?xml version="1.0" encoding="utf-8"?>
<c:userShapes xmlns:c="http://schemas.openxmlformats.org/drawingml/2006/chart">
  <cdr:relSizeAnchor xmlns:cdr="http://schemas.openxmlformats.org/drawingml/2006/chartDrawing">
    <cdr:from>
      <cdr:x>0</cdr:x>
      <cdr:y>0</cdr:y>
    </cdr:from>
    <cdr:to>
      <cdr:x>0.28244</cdr:x>
      <cdr:y>0.16471</cdr:y>
    </cdr:to>
    <cdr:sp macro="" textlink="">
      <cdr:nvSpPr>
        <cdr:cNvPr id="2" name="TextBox 1"/>
        <cdr:cNvSpPr txBox="1"/>
      </cdr:nvSpPr>
      <cdr:spPr>
        <a:xfrm xmlns:a="http://schemas.openxmlformats.org/drawingml/2006/main">
          <a:off x="0" y="0"/>
          <a:ext cx="16573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cdr:x>
      <cdr:y>0</cdr:y>
    </cdr:from>
    <cdr:to>
      <cdr:x>0.4445</cdr:x>
      <cdr:y>0.16471</cdr:y>
    </cdr:to>
    <cdr:sp macro="" textlink="">
      <cdr:nvSpPr>
        <cdr:cNvPr id="3" name="TextBox 1"/>
        <cdr:cNvSpPr txBox="1"/>
      </cdr:nvSpPr>
      <cdr:spPr>
        <a:xfrm xmlns:a="http://schemas.openxmlformats.org/drawingml/2006/main">
          <a:off x="0" y="0"/>
          <a:ext cx="1200150" cy="29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cdr:x>
      <cdr:y>0.02117</cdr:y>
    </cdr:from>
    <cdr:to>
      <cdr:x>0.28731</cdr:x>
      <cdr:y>0.14288</cdr:y>
    </cdr:to>
    <cdr:sp macro="" textlink="">
      <cdr:nvSpPr>
        <cdr:cNvPr id="4"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5"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6"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7"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0.41946</cdr:x>
      <cdr:y>0.14288</cdr:y>
    </cdr:to>
    <cdr:sp macro="" textlink="">
      <cdr:nvSpPr>
        <cdr:cNvPr id="8" name="TextBox 1"/>
        <cdr:cNvSpPr txBox="1"/>
      </cdr:nvSpPr>
      <cdr:spPr>
        <a:xfrm xmlns:a="http://schemas.openxmlformats.org/drawingml/2006/main">
          <a:off x="0" y="40531"/>
          <a:ext cx="1190627" cy="2330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9"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0.00162</cdr:x>
      <cdr:y>0</cdr:y>
    </cdr:from>
    <cdr:to>
      <cdr:x>0.2029</cdr:x>
      <cdr:y>0.10583</cdr:y>
    </cdr:to>
    <cdr:sp macro="" textlink="">
      <cdr:nvSpPr>
        <cdr:cNvPr id="10" name="TextBox 1"/>
        <cdr:cNvSpPr txBox="1"/>
      </cdr:nvSpPr>
      <cdr:spPr>
        <a:xfrm xmlns:a="http://schemas.openxmlformats.org/drawingml/2006/main">
          <a:off x="9525" y="0"/>
          <a:ext cx="11811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cdr:x>
      <cdr:y>0</cdr:y>
    </cdr:from>
    <cdr:to>
      <cdr:x>0.28244</cdr:x>
      <cdr:y>0.16471</cdr:y>
    </cdr:to>
    <cdr:sp macro="" textlink="">
      <cdr:nvSpPr>
        <cdr:cNvPr id="2" name="TextBox 1"/>
        <cdr:cNvSpPr txBox="1"/>
      </cdr:nvSpPr>
      <cdr:spPr>
        <a:xfrm xmlns:a="http://schemas.openxmlformats.org/drawingml/2006/main">
          <a:off x="0" y="0"/>
          <a:ext cx="16573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cdr:x>
      <cdr:y>0</cdr:y>
    </cdr:from>
    <cdr:to>
      <cdr:x>0.28244</cdr:x>
      <cdr:y>0.16471</cdr:y>
    </cdr:to>
    <cdr:sp macro="" textlink="">
      <cdr:nvSpPr>
        <cdr:cNvPr id="3" name="TextBox 1"/>
        <cdr:cNvSpPr txBox="1"/>
      </cdr:nvSpPr>
      <cdr:spPr>
        <a:xfrm xmlns:a="http://schemas.openxmlformats.org/drawingml/2006/main">
          <a:off x="0" y="0"/>
          <a:ext cx="16573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cdr:x>
      <cdr:y>0</cdr:y>
    </cdr:from>
    <cdr:to>
      <cdr:x>0.4445</cdr:x>
      <cdr:y>0.16471</cdr:y>
    </cdr:to>
    <cdr:sp macro="" textlink="">
      <cdr:nvSpPr>
        <cdr:cNvPr id="4" name="TextBox 1"/>
        <cdr:cNvSpPr txBox="1"/>
      </cdr:nvSpPr>
      <cdr:spPr>
        <a:xfrm xmlns:a="http://schemas.openxmlformats.org/drawingml/2006/main">
          <a:off x="0" y="0"/>
          <a:ext cx="1200150" cy="29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cdr:x>
      <cdr:y>0.02117</cdr:y>
    </cdr:from>
    <cdr:to>
      <cdr:x>0.28731</cdr:x>
      <cdr:y>0.14288</cdr:y>
    </cdr:to>
    <cdr:sp macro="" textlink="">
      <cdr:nvSpPr>
        <cdr:cNvPr id="5"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6"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7"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cdr:y>
    </cdr:from>
    <cdr:to>
      <cdr:x>0.28244</cdr:x>
      <cdr:y>0.16471</cdr:y>
    </cdr:to>
    <cdr:sp macro="" textlink="">
      <cdr:nvSpPr>
        <cdr:cNvPr id="8" name="TextBox 1"/>
        <cdr:cNvSpPr txBox="1"/>
      </cdr:nvSpPr>
      <cdr:spPr>
        <a:xfrm xmlns:a="http://schemas.openxmlformats.org/drawingml/2006/main">
          <a:off x="0" y="0"/>
          <a:ext cx="16573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cdr:x>
      <cdr:y>0</cdr:y>
    </cdr:from>
    <cdr:to>
      <cdr:x>0.4445</cdr:x>
      <cdr:y>0.16471</cdr:y>
    </cdr:to>
    <cdr:sp macro="" textlink="">
      <cdr:nvSpPr>
        <cdr:cNvPr id="9" name="TextBox 1"/>
        <cdr:cNvSpPr txBox="1"/>
      </cdr:nvSpPr>
      <cdr:spPr>
        <a:xfrm xmlns:a="http://schemas.openxmlformats.org/drawingml/2006/main">
          <a:off x="0" y="0"/>
          <a:ext cx="1200150" cy="29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cdr:x>
      <cdr:y>0.02117</cdr:y>
    </cdr:from>
    <cdr:to>
      <cdr:x>0.28731</cdr:x>
      <cdr:y>0.14288</cdr:y>
    </cdr:to>
    <cdr:sp macro="" textlink="">
      <cdr:nvSpPr>
        <cdr:cNvPr id="10"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11"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12"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13"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0.41946</cdr:x>
      <cdr:y>0.14288</cdr:y>
    </cdr:to>
    <cdr:sp macro="" textlink="">
      <cdr:nvSpPr>
        <cdr:cNvPr id="14" name="TextBox 1"/>
        <cdr:cNvSpPr txBox="1"/>
      </cdr:nvSpPr>
      <cdr:spPr>
        <a:xfrm xmlns:a="http://schemas.openxmlformats.org/drawingml/2006/main">
          <a:off x="0" y="40531"/>
          <a:ext cx="1190627" cy="2330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15"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0.00162</cdr:x>
      <cdr:y>0</cdr:y>
    </cdr:from>
    <cdr:to>
      <cdr:x>0.2029</cdr:x>
      <cdr:y>0.10583</cdr:y>
    </cdr:to>
    <cdr:sp macro="" textlink="">
      <cdr:nvSpPr>
        <cdr:cNvPr id="16" name="TextBox 1"/>
        <cdr:cNvSpPr txBox="1"/>
      </cdr:nvSpPr>
      <cdr:spPr>
        <a:xfrm xmlns:a="http://schemas.openxmlformats.org/drawingml/2006/main">
          <a:off x="9525" y="0"/>
          <a:ext cx="11811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cdr:x>
      <cdr:y>0</cdr:y>
    </cdr:from>
    <cdr:to>
      <cdr:x>0.28244</cdr:x>
      <cdr:y>0.16471</cdr:y>
    </cdr:to>
    <cdr:sp macro="" textlink="">
      <cdr:nvSpPr>
        <cdr:cNvPr id="2" name="TextBox 1"/>
        <cdr:cNvSpPr txBox="1"/>
      </cdr:nvSpPr>
      <cdr:spPr>
        <a:xfrm xmlns:a="http://schemas.openxmlformats.org/drawingml/2006/main">
          <a:off x="0" y="0"/>
          <a:ext cx="16573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cdr:x>
      <cdr:y>0</cdr:y>
    </cdr:from>
    <cdr:to>
      <cdr:x>0.28244</cdr:x>
      <cdr:y>0.16471</cdr:y>
    </cdr:to>
    <cdr:sp macro="" textlink="">
      <cdr:nvSpPr>
        <cdr:cNvPr id="3" name="TextBox 1"/>
        <cdr:cNvSpPr txBox="1"/>
      </cdr:nvSpPr>
      <cdr:spPr>
        <a:xfrm xmlns:a="http://schemas.openxmlformats.org/drawingml/2006/main">
          <a:off x="0" y="0"/>
          <a:ext cx="16573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cdr:x>
      <cdr:y>0</cdr:y>
    </cdr:from>
    <cdr:to>
      <cdr:x>0.4445</cdr:x>
      <cdr:y>0.16471</cdr:y>
    </cdr:to>
    <cdr:sp macro="" textlink="">
      <cdr:nvSpPr>
        <cdr:cNvPr id="4" name="TextBox 1"/>
        <cdr:cNvSpPr txBox="1"/>
      </cdr:nvSpPr>
      <cdr:spPr>
        <a:xfrm xmlns:a="http://schemas.openxmlformats.org/drawingml/2006/main">
          <a:off x="0" y="0"/>
          <a:ext cx="1200150" cy="29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cdr:x>
      <cdr:y>0.02117</cdr:y>
    </cdr:from>
    <cdr:to>
      <cdr:x>0.28731</cdr:x>
      <cdr:y>0.14288</cdr:y>
    </cdr:to>
    <cdr:sp macro="" textlink="">
      <cdr:nvSpPr>
        <cdr:cNvPr id="5"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6"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7"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cdr:y>
    </cdr:from>
    <cdr:to>
      <cdr:x>0.28244</cdr:x>
      <cdr:y>0.16471</cdr:y>
    </cdr:to>
    <cdr:sp macro="" textlink="">
      <cdr:nvSpPr>
        <cdr:cNvPr id="8" name="TextBox 1"/>
        <cdr:cNvSpPr txBox="1"/>
      </cdr:nvSpPr>
      <cdr:spPr>
        <a:xfrm xmlns:a="http://schemas.openxmlformats.org/drawingml/2006/main">
          <a:off x="0" y="0"/>
          <a:ext cx="16573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cdr:x>
      <cdr:y>0</cdr:y>
    </cdr:from>
    <cdr:to>
      <cdr:x>0.4445</cdr:x>
      <cdr:y>0.16471</cdr:y>
    </cdr:to>
    <cdr:sp macro="" textlink="">
      <cdr:nvSpPr>
        <cdr:cNvPr id="9" name="TextBox 1"/>
        <cdr:cNvSpPr txBox="1"/>
      </cdr:nvSpPr>
      <cdr:spPr>
        <a:xfrm xmlns:a="http://schemas.openxmlformats.org/drawingml/2006/main">
          <a:off x="0" y="0"/>
          <a:ext cx="1200150" cy="29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cdr:x>
      <cdr:y>0.02117</cdr:y>
    </cdr:from>
    <cdr:to>
      <cdr:x>0.28731</cdr:x>
      <cdr:y>0.14288</cdr:y>
    </cdr:to>
    <cdr:sp macro="" textlink="">
      <cdr:nvSpPr>
        <cdr:cNvPr id="10"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11"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12"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13"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0.41946</cdr:x>
      <cdr:y>0.14288</cdr:y>
    </cdr:to>
    <cdr:sp macro="" textlink="">
      <cdr:nvSpPr>
        <cdr:cNvPr id="14" name="TextBox 1"/>
        <cdr:cNvSpPr txBox="1"/>
      </cdr:nvSpPr>
      <cdr:spPr>
        <a:xfrm xmlns:a="http://schemas.openxmlformats.org/drawingml/2006/main">
          <a:off x="0" y="40531"/>
          <a:ext cx="1190627" cy="2330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15"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0.00162</cdr:x>
      <cdr:y>0</cdr:y>
    </cdr:from>
    <cdr:to>
      <cdr:x>0.2029</cdr:x>
      <cdr:y>0.10583</cdr:y>
    </cdr:to>
    <cdr:sp macro="" textlink="">
      <cdr:nvSpPr>
        <cdr:cNvPr id="16" name="TextBox 1"/>
        <cdr:cNvSpPr txBox="1"/>
      </cdr:nvSpPr>
      <cdr:spPr>
        <a:xfrm xmlns:a="http://schemas.openxmlformats.org/drawingml/2006/main">
          <a:off x="9525" y="0"/>
          <a:ext cx="11811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0.03222</cdr:x>
      <cdr:y>0.04202</cdr:y>
    </cdr:from>
    <cdr:to>
      <cdr:x>0.2247</cdr:x>
      <cdr:y>0.14847</cdr:y>
    </cdr:to>
    <cdr:sp macro="" textlink="">
      <cdr:nvSpPr>
        <cdr:cNvPr id="2" name="TextBox 1"/>
        <cdr:cNvSpPr txBox="1"/>
      </cdr:nvSpPr>
      <cdr:spPr>
        <a:xfrm xmlns:a="http://schemas.openxmlformats.org/drawingml/2006/main">
          <a:off x="236914" y="92856"/>
          <a:ext cx="1415364" cy="2352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dr:relSizeAnchor xmlns:cdr="http://schemas.openxmlformats.org/drawingml/2006/chartDrawing">
    <cdr:from>
      <cdr:x>0.87114</cdr:x>
      <cdr:y>0.03716</cdr:y>
    </cdr:from>
    <cdr:to>
      <cdr:x>1</cdr:x>
      <cdr:y>0.131</cdr:y>
    </cdr:to>
    <cdr:sp macro="" textlink="">
      <cdr:nvSpPr>
        <cdr:cNvPr id="3" name="TextBox 2"/>
        <cdr:cNvSpPr txBox="1"/>
      </cdr:nvSpPr>
      <cdr:spPr>
        <a:xfrm xmlns:a="http://schemas.openxmlformats.org/drawingml/2006/main">
          <a:off x="5136250" y="81044"/>
          <a:ext cx="759728" cy="2047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Number</a:t>
          </a:r>
        </a:p>
        <a:p xmlns:a="http://schemas.openxmlformats.org/drawingml/2006/main">
          <a:endParaRPr lang="en-NZ" sz="900">
            <a:latin typeface="Arial" panose="020B0604020202020204" pitchFamily="34" charset="0"/>
            <a:cs typeface="Arial" panose="020B06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0.00162</cdr:x>
      <cdr:y>0</cdr:y>
    </cdr:from>
    <cdr:to>
      <cdr:x>0.2029</cdr:x>
      <cdr:y>0.10583</cdr:y>
    </cdr:to>
    <cdr:sp macro="" textlink="">
      <cdr:nvSpPr>
        <cdr:cNvPr id="2" name="TextBox 1"/>
        <cdr:cNvSpPr txBox="1"/>
      </cdr:nvSpPr>
      <cdr:spPr>
        <a:xfrm xmlns:a="http://schemas.openxmlformats.org/drawingml/2006/main">
          <a:off x="9525" y="0"/>
          <a:ext cx="11811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0.16244</cdr:y>
    </cdr:to>
    <cdr:sp macro="" textlink="">
      <cdr:nvSpPr>
        <cdr:cNvPr id="3" name="TextBox 1"/>
        <cdr:cNvSpPr txBox="1"/>
      </cdr:nvSpPr>
      <cdr:spPr>
        <a:xfrm xmlns:a="http://schemas.openxmlformats.org/drawingml/2006/main">
          <a:off x="0" y="39723"/>
          <a:ext cx="1685935" cy="2650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drawings/drawing31.xml><?xml version="1.0" encoding="utf-8"?>
<c:userShapes xmlns:c="http://schemas.openxmlformats.org/drawingml/2006/chart">
  <cdr:relSizeAnchor xmlns:cdr="http://schemas.openxmlformats.org/drawingml/2006/chartDrawing">
    <cdr:from>
      <cdr:x>0</cdr:x>
      <cdr:y>0.02117</cdr:y>
    </cdr:from>
    <cdr:to>
      <cdr:x>0.28731</cdr:x>
      <cdr:y>0.14288</cdr:y>
    </cdr:to>
    <cdr:sp macro="" textlink="">
      <cdr:nvSpPr>
        <cdr:cNvPr id="2"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dr:relSizeAnchor xmlns:cdr="http://schemas.openxmlformats.org/drawingml/2006/chartDrawing">
    <cdr:from>
      <cdr:x>0.00162</cdr:x>
      <cdr:y>0</cdr:y>
    </cdr:from>
    <cdr:to>
      <cdr:x>0.2029</cdr:x>
      <cdr:y>0.10583</cdr:y>
    </cdr:to>
    <cdr:sp macro="" textlink="">
      <cdr:nvSpPr>
        <cdr:cNvPr id="4" name="TextBox 1"/>
        <cdr:cNvSpPr txBox="1"/>
      </cdr:nvSpPr>
      <cdr:spPr>
        <a:xfrm xmlns:a="http://schemas.openxmlformats.org/drawingml/2006/main">
          <a:off x="9525" y="0"/>
          <a:ext cx="11811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userShapes>
</file>

<file path=xl/drawings/drawing32.xml><?xml version="1.0" encoding="utf-8"?>
<xdr:wsDr xmlns:xdr="http://schemas.openxmlformats.org/drawingml/2006/spreadsheetDrawing" xmlns:a="http://schemas.openxmlformats.org/drawingml/2006/main">
  <xdr:twoCellAnchor>
    <xdr:from>
      <xdr:col>2</xdr:col>
      <xdr:colOff>9524</xdr:colOff>
      <xdr:row>11</xdr:row>
      <xdr:rowOff>38100</xdr:rowOff>
    </xdr:from>
    <xdr:to>
      <xdr:col>10</xdr:col>
      <xdr:colOff>295349</xdr:colOff>
      <xdr:row>24</xdr:row>
      <xdr:rowOff>103875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28572</xdr:colOff>
      <xdr:row>34</xdr:row>
      <xdr:rowOff>28574</xdr:rowOff>
    </xdr:from>
    <xdr:to>
      <xdr:col>6</xdr:col>
      <xdr:colOff>20397</xdr:colOff>
      <xdr:row>45</xdr:row>
      <xdr:rowOff>47399</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19047</xdr:colOff>
      <xdr:row>47</xdr:row>
      <xdr:rowOff>38097</xdr:rowOff>
    </xdr:from>
    <xdr:to>
      <xdr:col>6</xdr:col>
      <xdr:colOff>10872</xdr:colOff>
      <xdr:row>58</xdr:row>
      <xdr:rowOff>56922</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19047</xdr:colOff>
      <xdr:row>60</xdr:row>
      <xdr:rowOff>38101</xdr:rowOff>
    </xdr:from>
    <xdr:to>
      <xdr:col>6</xdr:col>
      <xdr:colOff>10872</xdr:colOff>
      <xdr:row>71</xdr:row>
      <xdr:rowOff>56926</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9522</xdr:colOff>
      <xdr:row>73</xdr:row>
      <xdr:rowOff>57148</xdr:rowOff>
    </xdr:from>
    <xdr:to>
      <xdr:col>6</xdr:col>
      <xdr:colOff>1347</xdr:colOff>
      <xdr:row>84</xdr:row>
      <xdr:rowOff>75973</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238125</xdr:colOff>
          <xdr:row>10</xdr:row>
          <xdr:rowOff>104775</xdr:rowOff>
        </xdr:from>
        <xdr:to>
          <xdr:col>12</xdr:col>
          <xdr:colOff>542925</xdr:colOff>
          <xdr:row>12</xdr:row>
          <xdr:rowOff>28575</xdr:rowOff>
        </xdr:to>
        <xdr:sp macro="" textlink="">
          <xdr:nvSpPr>
            <xdr:cNvPr id="3074" name="Check Box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NZ" sz="800" b="0" i="0" u="none" strike="noStrike" baseline="0">
                  <a:solidFill>
                    <a:srgbClr val="000000"/>
                  </a:solidFill>
                  <a:latin typeface="Segoe UI"/>
                  <a:cs typeface="Segoe UI"/>
                </a:rPr>
                <a:t>  Hanging, stranguation and suffocation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12</xdr:row>
          <xdr:rowOff>19050</xdr:rowOff>
        </xdr:from>
        <xdr:to>
          <xdr:col>12</xdr:col>
          <xdr:colOff>419100</xdr:colOff>
          <xdr:row>13</xdr:row>
          <xdr:rowOff>85725</xdr:rowOff>
        </xdr:to>
        <xdr:sp macro="" textlink="">
          <xdr:nvSpPr>
            <xdr:cNvPr id="3075" name="Check Box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NZ" sz="800" b="0" i="0" u="none" strike="noStrike" baseline="0">
                  <a:solidFill>
                    <a:srgbClr val="000000"/>
                  </a:solidFill>
                  <a:latin typeface="Segoe UI"/>
                  <a:cs typeface="Segoe UI"/>
                </a:rPr>
                <a:t>   Poisoning by gases and vapours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13</xdr:row>
          <xdr:rowOff>66675</xdr:rowOff>
        </xdr:from>
        <xdr:to>
          <xdr:col>12</xdr:col>
          <xdr:colOff>466725</xdr:colOff>
          <xdr:row>14</xdr:row>
          <xdr:rowOff>95250</xdr:rowOff>
        </xdr:to>
        <xdr:sp macro="" textlink="">
          <xdr:nvSpPr>
            <xdr:cNvPr id="3076" name="Check Box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NZ" sz="800" b="0" i="0" u="none" strike="noStrike" baseline="0">
                  <a:solidFill>
                    <a:srgbClr val="000000"/>
                  </a:solidFill>
                  <a:latin typeface="Segoe UI"/>
                  <a:cs typeface="Segoe UI"/>
                </a:rPr>
                <a:t>  Poisoning by solids and liquids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14</xdr:row>
          <xdr:rowOff>85725</xdr:rowOff>
        </xdr:from>
        <xdr:to>
          <xdr:col>12</xdr:col>
          <xdr:colOff>447675</xdr:colOff>
          <xdr:row>15</xdr:row>
          <xdr:rowOff>123825</xdr:rowOff>
        </xdr:to>
        <xdr:sp macro="" textlink="">
          <xdr:nvSpPr>
            <xdr:cNvPr id="3079" name="Check Box 7" hidden="1">
              <a:extLst>
                <a:ext uri="{63B3BB69-23CF-44E3-9099-C40C66FF867C}">
                  <a14:compatExt spid="_x0000_s3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NZ" sz="800" b="0" i="0" u="none" strike="noStrike" baseline="0">
                  <a:solidFill>
                    <a:srgbClr val="000000"/>
                  </a:solidFill>
                  <a:latin typeface="Segoe UI"/>
                  <a:cs typeface="Segoe UI"/>
                </a:rPr>
                <a:t>  Firearms/ Explosives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15</xdr:row>
          <xdr:rowOff>95250</xdr:rowOff>
        </xdr:from>
        <xdr:to>
          <xdr:col>12</xdr:col>
          <xdr:colOff>438150</xdr:colOff>
          <xdr:row>17</xdr:row>
          <xdr:rowOff>28575</xdr:rowOff>
        </xdr:to>
        <xdr:sp macro="" textlink="">
          <xdr:nvSpPr>
            <xdr:cNvPr id="3080" name="Check Box 8" hidden="1">
              <a:extLst>
                <a:ext uri="{63B3BB69-23CF-44E3-9099-C40C66FF867C}">
                  <a14:compatExt spid="_x0000_s3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NZ" sz="800" b="0" i="0" u="none" strike="noStrike" baseline="0">
                  <a:solidFill>
                    <a:srgbClr val="000000"/>
                  </a:solidFill>
                  <a:latin typeface="Segoe UI"/>
                  <a:cs typeface="Segoe UI"/>
                </a:rPr>
                <a:t>    Junping from a high place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16</xdr:row>
          <xdr:rowOff>152400</xdr:rowOff>
        </xdr:from>
        <xdr:to>
          <xdr:col>12</xdr:col>
          <xdr:colOff>438150</xdr:colOff>
          <xdr:row>18</xdr:row>
          <xdr:rowOff>47625</xdr:rowOff>
        </xdr:to>
        <xdr:sp macro="" textlink="">
          <xdr:nvSpPr>
            <xdr:cNvPr id="3081" name="Check Box 9" hidden="1">
              <a:extLst>
                <a:ext uri="{63B3BB69-23CF-44E3-9099-C40C66FF867C}">
                  <a14:compatExt spid="_x0000_s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NZ" sz="800" b="0" i="0" u="none" strike="noStrike" baseline="0">
                  <a:solidFill>
                    <a:srgbClr val="000000"/>
                  </a:solidFill>
                  <a:latin typeface="Segoe UI"/>
                  <a:cs typeface="Segoe UI"/>
                </a:rPr>
                <a:t>   Submersion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19</xdr:row>
          <xdr:rowOff>95250</xdr:rowOff>
        </xdr:from>
        <xdr:to>
          <xdr:col>12</xdr:col>
          <xdr:colOff>447675</xdr:colOff>
          <xdr:row>21</xdr:row>
          <xdr:rowOff>0</xdr:rowOff>
        </xdr:to>
        <xdr:sp macro="" textlink="">
          <xdr:nvSpPr>
            <xdr:cNvPr id="3083" name="Check Box 11" hidden="1">
              <a:extLst>
                <a:ext uri="{63B3BB69-23CF-44E3-9099-C40C66FF867C}">
                  <a14:compatExt spid="_x0000_s3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NZ" sz="800" b="0" i="0" u="none" strike="noStrike" baseline="0">
                  <a:solidFill>
                    <a:srgbClr val="000000"/>
                  </a:solidFill>
                  <a:latin typeface="Segoe UI"/>
                  <a:cs typeface="Segoe UI"/>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18</xdr:row>
          <xdr:rowOff>38100</xdr:rowOff>
        </xdr:from>
        <xdr:to>
          <xdr:col>12</xdr:col>
          <xdr:colOff>447675</xdr:colOff>
          <xdr:row>19</xdr:row>
          <xdr:rowOff>104775</xdr:rowOff>
        </xdr:to>
        <xdr:sp macro="" textlink="">
          <xdr:nvSpPr>
            <xdr:cNvPr id="3084" name="Check Box 12" hidden="1">
              <a:extLst>
                <a:ext uri="{63B3BB69-23CF-44E3-9099-C40C66FF867C}">
                  <a14:compatExt spid="_x0000_s3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NZ" sz="800" b="0" i="0" u="none" strike="noStrike" baseline="0">
                  <a:solidFill>
                    <a:srgbClr val="000000"/>
                  </a:solidFill>
                  <a:latin typeface="Segoe UI"/>
                  <a:cs typeface="Segoe UI"/>
                </a:rPr>
                <a:t>  Sharp object</a:t>
              </a:r>
            </a:p>
          </xdr:txBody>
        </xdr:sp>
        <xdr:clientData/>
      </xdr:twoCellAnchor>
    </mc:Choice>
    <mc:Fallback/>
  </mc:AlternateContent>
  <xdr:twoCellAnchor editAs="oneCell">
    <xdr:from>
      <xdr:col>13</xdr:col>
      <xdr:colOff>9525</xdr:colOff>
      <xdr:row>11</xdr:row>
      <xdr:rowOff>19050</xdr:rowOff>
    </xdr:from>
    <xdr:to>
      <xdr:col>14</xdr:col>
      <xdr:colOff>354950</xdr:colOff>
      <xdr:row>20</xdr:row>
      <xdr:rowOff>133351</xdr:rowOff>
    </xdr:to>
    <xdr:pic>
      <xdr:nvPicPr>
        <xdr:cNvPr id="4" name="Picture 3"/>
        <xdr:cNvPicPr>
          <a:picLocks noChangeAspect="1"/>
        </xdr:cNvPicPr>
      </xdr:nvPicPr>
      <xdr:blipFill>
        <a:blip xmlns:r="http://schemas.openxmlformats.org/officeDocument/2006/relationships" r:embed="rId6"/>
        <a:stretch>
          <a:fillRect/>
        </a:stretch>
      </xdr:blipFill>
      <xdr:spPr>
        <a:xfrm>
          <a:off x="7410450" y="990600"/>
          <a:ext cx="2726675" cy="1571626"/>
        </a:xfrm>
        <a:prstGeom prst="rect">
          <a:avLst/>
        </a:prstGeom>
        <a:ln>
          <a:solidFill>
            <a:schemeClr val="tx1">
              <a:lumMod val="65000"/>
              <a:lumOff val="35000"/>
            </a:schemeClr>
          </a:solidFill>
        </a:ln>
      </xdr:spPr>
    </xdr:pic>
    <xdr:clientData/>
  </xdr:twoCellAnchor>
  <xdr:twoCellAnchor>
    <xdr:from>
      <xdr:col>6</xdr:col>
      <xdr:colOff>104775</xdr:colOff>
      <xdr:row>34</xdr:row>
      <xdr:rowOff>38100</xdr:rowOff>
    </xdr:from>
    <xdr:to>
      <xdr:col>10</xdr:col>
      <xdr:colOff>582375</xdr:colOff>
      <xdr:row>45</xdr:row>
      <xdr:rowOff>56925</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xdr:colOff>
      <xdr:row>47</xdr:row>
      <xdr:rowOff>47623</xdr:rowOff>
    </xdr:from>
    <xdr:to>
      <xdr:col>10</xdr:col>
      <xdr:colOff>525225</xdr:colOff>
      <xdr:row>58</xdr:row>
      <xdr:rowOff>66448</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57150</xdr:colOff>
      <xdr:row>60</xdr:row>
      <xdr:rowOff>38102</xdr:rowOff>
    </xdr:from>
    <xdr:to>
      <xdr:col>10</xdr:col>
      <xdr:colOff>534750</xdr:colOff>
      <xdr:row>71</xdr:row>
      <xdr:rowOff>56927</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47625</xdr:colOff>
      <xdr:row>73</xdr:row>
      <xdr:rowOff>57149</xdr:rowOff>
    </xdr:from>
    <xdr:to>
      <xdr:col>10</xdr:col>
      <xdr:colOff>525225</xdr:colOff>
      <xdr:row>84</xdr:row>
      <xdr:rowOff>75974</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47625</xdr:colOff>
      <xdr:row>47</xdr:row>
      <xdr:rowOff>142875</xdr:rowOff>
    </xdr:from>
    <xdr:to>
      <xdr:col>14</xdr:col>
      <xdr:colOff>428625</xdr:colOff>
      <xdr:row>57</xdr:row>
      <xdr:rowOff>76201</xdr:rowOff>
    </xdr:to>
    <xdr:pic>
      <xdr:nvPicPr>
        <xdr:cNvPr id="24" name="Picture 23"/>
        <xdr:cNvPicPr>
          <a:picLocks noChangeAspect="1"/>
        </xdr:cNvPicPr>
      </xdr:nvPicPr>
      <xdr:blipFill>
        <a:blip xmlns:r="http://schemas.openxmlformats.org/officeDocument/2006/relationships" r:embed="rId6"/>
        <a:stretch>
          <a:fillRect/>
        </a:stretch>
      </xdr:blipFill>
      <xdr:spPr>
        <a:xfrm>
          <a:off x="7448550" y="6972300"/>
          <a:ext cx="2762250" cy="1571626"/>
        </a:xfrm>
        <a:prstGeom prst="rect">
          <a:avLst/>
        </a:prstGeom>
        <a:ln>
          <a:solidFill>
            <a:schemeClr val="tx1">
              <a:lumMod val="65000"/>
              <a:lumOff val="35000"/>
            </a:schemeClr>
          </a:solidFill>
        </a:ln>
      </xdr:spPr>
    </xdr:pic>
    <xdr:clientData/>
  </xdr:twoCellAnchor>
</xdr:wsDr>
</file>

<file path=xl/drawings/drawing33.xml><?xml version="1.0" encoding="utf-8"?>
<c:userShapes xmlns:c="http://schemas.openxmlformats.org/drawingml/2006/chart">
  <cdr:relSizeAnchor xmlns:cdr="http://schemas.openxmlformats.org/drawingml/2006/chartDrawing">
    <cdr:from>
      <cdr:x>0.00487</cdr:x>
      <cdr:y>0.00673</cdr:y>
    </cdr:from>
    <cdr:to>
      <cdr:x>0.11687</cdr:x>
      <cdr:y>0.08754</cdr:y>
    </cdr:to>
    <cdr:sp macro="" textlink="">
      <cdr:nvSpPr>
        <cdr:cNvPr id="2" name="TextBox 1"/>
        <cdr:cNvSpPr txBox="1"/>
      </cdr:nvSpPr>
      <cdr:spPr>
        <a:xfrm xmlns:a="http://schemas.openxmlformats.org/drawingml/2006/main">
          <a:off x="28576" y="19050"/>
          <a:ext cx="6572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Percent</a:t>
          </a:r>
        </a:p>
      </cdr:txBody>
    </cdr:sp>
  </cdr:relSizeAnchor>
</c:userShapes>
</file>

<file path=xl/drawings/drawing34.xml><?xml version="1.0" encoding="utf-8"?>
<c:userShapes xmlns:c="http://schemas.openxmlformats.org/drawingml/2006/chart">
  <cdr:relSizeAnchor xmlns:cdr="http://schemas.openxmlformats.org/drawingml/2006/chartDrawing">
    <cdr:from>
      <cdr:x>0.0098</cdr:x>
      <cdr:y>0</cdr:y>
    </cdr:from>
    <cdr:to>
      <cdr:x>0.24172</cdr:x>
      <cdr:y>0.13002</cdr:y>
    </cdr:to>
    <cdr:sp macro="" textlink="">
      <cdr:nvSpPr>
        <cdr:cNvPr id="2" name="TextBox 1"/>
        <cdr:cNvSpPr txBox="1"/>
      </cdr:nvSpPr>
      <cdr:spPr>
        <a:xfrm xmlns:a="http://schemas.openxmlformats.org/drawingml/2006/main">
          <a:off x="28569" y="0"/>
          <a:ext cx="676284" cy="2476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000">
              <a:latin typeface="Arial" panose="020B0604020202020204" pitchFamily="34" charset="0"/>
              <a:cs typeface="Arial" panose="020B0604020202020204" pitchFamily="34" charset="0"/>
            </a:rPr>
            <a:t>Percent</a:t>
          </a:r>
          <a:endParaRPr lang="en-NZ" sz="1100">
            <a:latin typeface="Arial" panose="020B0604020202020204" pitchFamily="34" charset="0"/>
            <a:cs typeface="Arial" panose="020B0604020202020204" pitchFamily="34" charset="0"/>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0.01307</cdr:x>
      <cdr:y>0</cdr:y>
    </cdr:from>
    <cdr:to>
      <cdr:x>0.24499</cdr:x>
      <cdr:y>0.15346</cdr:y>
    </cdr:to>
    <cdr:sp macro="" textlink="">
      <cdr:nvSpPr>
        <cdr:cNvPr id="2"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0.01307</cdr:x>
      <cdr:y>0</cdr:y>
    </cdr:from>
    <cdr:to>
      <cdr:x>0.24499</cdr:x>
      <cdr:y>0.15346</cdr:y>
    </cdr:to>
    <cdr:sp macro="" textlink="">
      <cdr:nvSpPr>
        <cdr:cNvPr id="3"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0.01307</cdr:x>
      <cdr:y>0</cdr:y>
    </cdr:from>
    <cdr:to>
      <cdr:x>0.24499</cdr:x>
      <cdr:y>0.15346</cdr:y>
    </cdr:to>
    <cdr:sp macro="" textlink="">
      <cdr:nvSpPr>
        <cdr:cNvPr id="4"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userShapes>
</file>

<file path=xl/drawings/drawing36.xml><?xml version="1.0" encoding="utf-8"?>
<c:userShapes xmlns:c="http://schemas.openxmlformats.org/drawingml/2006/chart">
  <cdr:relSizeAnchor xmlns:cdr="http://schemas.openxmlformats.org/drawingml/2006/chartDrawing">
    <cdr:from>
      <cdr:x>0.01307</cdr:x>
      <cdr:y>0</cdr:y>
    </cdr:from>
    <cdr:to>
      <cdr:x>0.24499</cdr:x>
      <cdr:y>0.15346</cdr:y>
    </cdr:to>
    <cdr:sp macro="" textlink="">
      <cdr:nvSpPr>
        <cdr:cNvPr id="2"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0.01307</cdr:x>
      <cdr:y>0</cdr:y>
    </cdr:from>
    <cdr:to>
      <cdr:x>0.24499</cdr:x>
      <cdr:y>0.15346</cdr:y>
    </cdr:to>
    <cdr:sp macro="" textlink="">
      <cdr:nvSpPr>
        <cdr:cNvPr id="3"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0.01307</cdr:x>
      <cdr:y>0</cdr:y>
    </cdr:from>
    <cdr:to>
      <cdr:x>0.24499</cdr:x>
      <cdr:y>0.15346</cdr:y>
    </cdr:to>
    <cdr:sp macro="" textlink="">
      <cdr:nvSpPr>
        <cdr:cNvPr id="4"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userShapes>
</file>

<file path=xl/drawings/drawing37.xml><?xml version="1.0" encoding="utf-8"?>
<c:userShapes xmlns:c="http://schemas.openxmlformats.org/drawingml/2006/chart">
  <cdr:relSizeAnchor xmlns:cdr="http://schemas.openxmlformats.org/drawingml/2006/chartDrawing">
    <cdr:from>
      <cdr:x>0.01307</cdr:x>
      <cdr:y>0</cdr:y>
    </cdr:from>
    <cdr:to>
      <cdr:x>0.24499</cdr:x>
      <cdr:y>0.15346</cdr:y>
    </cdr:to>
    <cdr:sp macro="" textlink="">
      <cdr:nvSpPr>
        <cdr:cNvPr id="2"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0.01307</cdr:x>
      <cdr:y>0</cdr:y>
    </cdr:from>
    <cdr:to>
      <cdr:x>0.24499</cdr:x>
      <cdr:y>0.15346</cdr:y>
    </cdr:to>
    <cdr:sp macro="" textlink="">
      <cdr:nvSpPr>
        <cdr:cNvPr id="3"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0.01307</cdr:x>
      <cdr:y>0</cdr:y>
    </cdr:from>
    <cdr:to>
      <cdr:x>0.24499</cdr:x>
      <cdr:y>0.15346</cdr:y>
    </cdr:to>
    <cdr:sp macro="" textlink="">
      <cdr:nvSpPr>
        <cdr:cNvPr id="4"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userShapes>
</file>

<file path=xl/drawings/drawing38.xml><?xml version="1.0" encoding="utf-8"?>
<c:userShapes xmlns:c="http://schemas.openxmlformats.org/drawingml/2006/chart">
  <cdr:relSizeAnchor xmlns:cdr="http://schemas.openxmlformats.org/drawingml/2006/chartDrawing">
    <cdr:from>
      <cdr:x>0.01307</cdr:x>
      <cdr:y>0</cdr:y>
    </cdr:from>
    <cdr:to>
      <cdr:x>0.24499</cdr:x>
      <cdr:y>0.15346</cdr:y>
    </cdr:to>
    <cdr:sp macro="" textlink="">
      <cdr:nvSpPr>
        <cdr:cNvPr id="2"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userShapes>
</file>

<file path=xl/drawings/drawing39.xml><?xml version="1.0" encoding="utf-8"?>
<c:userShapes xmlns:c="http://schemas.openxmlformats.org/drawingml/2006/chart">
  <cdr:relSizeAnchor xmlns:cdr="http://schemas.openxmlformats.org/drawingml/2006/chartDrawing">
    <cdr:from>
      <cdr:x>0.01307</cdr:x>
      <cdr:y>0</cdr:y>
    </cdr:from>
    <cdr:to>
      <cdr:x>0.24499</cdr:x>
      <cdr:y>0.15346</cdr:y>
    </cdr:to>
    <cdr:sp macro="" textlink="">
      <cdr:nvSpPr>
        <cdr:cNvPr id="2"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0.01307</cdr:x>
      <cdr:y>0</cdr:y>
    </cdr:from>
    <cdr:to>
      <cdr:x>0.24499</cdr:x>
      <cdr:y>0.15346</cdr:y>
    </cdr:to>
    <cdr:sp macro="" textlink="">
      <cdr:nvSpPr>
        <cdr:cNvPr id="3"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0.01307</cdr:x>
      <cdr:y>0</cdr:y>
    </cdr:from>
    <cdr:to>
      <cdr:x>0.24499</cdr:x>
      <cdr:y>0.15346</cdr:y>
    </cdr:to>
    <cdr:sp macro="" textlink="">
      <cdr:nvSpPr>
        <cdr:cNvPr id="4"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userShapes>
</file>

<file path=xl/drawings/drawing4.xml><?xml version="1.0" encoding="utf-8"?>
<c:userShapes xmlns:c="http://schemas.openxmlformats.org/drawingml/2006/chart">
  <cdr:relSizeAnchor xmlns:cdr="http://schemas.openxmlformats.org/drawingml/2006/chartDrawing">
    <cdr:from>
      <cdr:x>0.00741</cdr:x>
      <cdr:y>0</cdr:y>
    </cdr:from>
    <cdr:to>
      <cdr:x>0.29383</cdr:x>
      <cdr:y>0.08929</cdr:y>
    </cdr:to>
    <cdr:sp macro="" textlink="">
      <cdr:nvSpPr>
        <cdr:cNvPr id="2" name="TextBox 1"/>
        <cdr:cNvSpPr txBox="1"/>
      </cdr:nvSpPr>
      <cdr:spPr>
        <a:xfrm xmlns:a="http://schemas.openxmlformats.org/drawingml/2006/main">
          <a:off x="28576" y="0"/>
          <a:ext cx="1104900" cy="2024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Percent</a:t>
          </a:r>
        </a:p>
      </cdr:txBody>
    </cdr:sp>
  </cdr:relSizeAnchor>
</c:userShapes>
</file>

<file path=xl/drawings/drawing40.xml><?xml version="1.0" encoding="utf-8"?>
<c:userShapes xmlns:c="http://schemas.openxmlformats.org/drawingml/2006/chart">
  <cdr:relSizeAnchor xmlns:cdr="http://schemas.openxmlformats.org/drawingml/2006/chartDrawing">
    <cdr:from>
      <cdr:x>0.01307</cdr:x>
      <cdr:y>0</cdr:y>
    </cdr:from>
    <cdr:to>
      <cdr:x>0.24499</cdr:x>
      <cdr:y>0.15346</cdr:y>
    </cdr:to>
    <cdr:sp macro="" textlink="">
      <cdr:nvSpPr>
        <cdr:cNvPr id="2"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0.01307</cdr:x>
      <cdr:y>0</cdr:y>
    </cdr:from>
    <cdr:to>
      <cdr:x>0.24499</cdr:x>
      <cdr:y>0.15346</cdr:y>
    </cdr:to>
    <cdr:sp macro="" textlink="">
      <cdr:nvSpPr>
        <cdr:cNvPr id="3"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0.01307</cdr:x>
      <cdr:y>0</cdr:y>
    </cdr:from>
    <cdr:to>
      <cdr:x>0.24499</cdr:x>
      <cdr:y>0.15346</cdr:y>
    </cdr:to>
    <cdr:sp macro="" textlink="">
      <cdr:nvSpPr>
        <cdr:cNvPr id="4"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userShapes>
</file>

<file path=xl/drawings/drawing41.xml><?xml version="1.0" encoding="utf-8"?>
<c:userShapes xmlns:c="http://schemas.openxmlformats.org/drawingml/2006/chart">
  <cdr:relSizeAnchor xmlns:cdr="http://schemas.openxmlformats.org/drawingml/2006/chartDrawing">
    <cdr:from>
      <cdr:x>0.01307</cdr:x>
      <cdr:y>0</cdr:y>
    </cdr:from>
    <cdr:to>
      <cdr:x>0.24499</cdr:x>
      <cdr:y>0.15346</cdr:y>
    </cdr:to>
    <cdr:sp macro="" textlink="">
      <cdr:nvSpPr>
        <cdr:cNvPr id="2"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0.01307</cdr:x>
      <cdr:y>0</cdr:y>
    </cdr:from>
    <cdr:to>
      <cdr:x>0.24499</cdr:x>
      <cdr:y>0.15346</cdr:y>
    </cdr:to>
    <cdr:sp macro="" textlink="">
      <cdr:nvSpPr>
        <cdr:cNvPr id="3"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0.01307</cdr:x>
      <cdr:y>0</cdr:y>
    </cdr:from>
    <cdr:to>
      <cdr:x>0.24499</cdr:x>
      <cdr:y>0.15346</cdr:y>
    </cdr:to>
    <cdr:sp macro="" textlink="">
      <cdr:nvSpPr>
        <cdr:cNvPr id="4"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userShapes>
</file>

<file path=xl/drawings/drawing42.xml><?xml version="1.0" encoding="utf-8"?>
<xdr:wsDr xmlns:xdr="http://schemas.openxmlformats.org/drawingml/2006/spreadsheetDrawing" xmlns:a="http://schemas.openxmlformats.org/drawingml/2006/main">
  <xdr:twoCellAnchor>
    <xdr:from>
      <xdr:col>2</xdr:col>
      <xdr:colOff>0</xdr:colOff>
      <xdr:row>10</xdr:row>
      <xdr:rowOff>161923</xdr:rowOff>
    </xdr:from>
    <xdr:to>
      <xdr:col>5</xdr:col>
      <xdr:colOff>608400</xdr:colOff>
      <xdr:row>20</xdr:row>
      <xdr:rowOff>18673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10</xdr:row>
      <xdr:rowOff>161923</xdr:rowOff>
    </xdr:from>
    <xdr:to>
      <xdr:col>9</xdr:col>
      <xdr:colOff>608400</xdr:colOff>
      <xdr:row>20</xdr:row>
      <xdr:rowOff>18673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609599</xdr:colOff>
      <xdr:row>10</xdr:row>
      <xdr:rowOff>161924</xdr:rowOff>
    </xdr:from>
    <xdr:to>
      <xdr:col>14</xdr:col>
      <xdr:colOff>19049</xdr:colOff>
      <xdr:row>20</xdr:row>
      <xdr:rowOff>9525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609599</xdr:colOff>
      <xdr:row>10</xdr:row>
      <xdr:rowOff>161923</xdr:rowOff>
    </xdr:from>
    <xdr:to>
      <xdr:col>17</xdr:col>
      <xdr:colOff>608399</xdr:colOff>
      <xdr:row>20</xdr:row>
      <xdr:rowOff>18673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9524</xdr:colOff>
      <xdr:row>19</xdr:row>
      <xdr:rowOff>161924</xdr:rowOff>
    </xdr:from>
    <xdr:to>
      <xdr:col>6</xdr:col>
      <xdr:colOff>8324</xdr:colOff>
      <xdr:row>29</xdr:row>
      <xdr:rowOff>18674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20</xdr:row>
      <xdr:rowOff>0</xdr:rowOff>
    </xdr:from>
    <xdr:to>
      <xdr:col>9</xdr:col>
      <xdr:colOff>608400</xdr:colOff>
      <xdr:row>29</xdr:row>
      <xdr:rowOff>18675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609599</xdr:colOff>
      <xdr:row>19</xdr:row>
      <xdr:rowOff>161924</xdr:rowOff>
    </xdr:from>
    <xdr:to>
      <xdr:col>13</xdr:col>
      <xdr:colOff>608399</xdr:colOff>
      <xdr:row>29</xdr:row>
      <xdr:rowOff>18674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609599</xdr:colOff>
      <xdr:row>19</xdr:row>
      <xdr:rowOff>161924</xdr:rowOff>
    </xdr:from>
    <xdr:to>
      <xdr:col>17</xdr:col>
      <xdr:colOff>608399</xdr:colOff>
      <xdr:row>29</xdr:row>
      <xdr:rowOff>18673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9524</xdr:colOff>
      <xdr:row>28</xdr:row>
      <xdr:rowOff>152400</xdr:rowOff>
    </xdr:from>
    <xdr:to>
      <xdr:col>6</xdr:col>
      <xdr:colOff>8324</xdr:colOff>
      <xdr:row>38</xdr:row>
      <xdr:rowOff>9150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0</xdr:colOff>
      <xdr:row>28</xdr:row>
      <xdr:rowOff>152400</xdr:rowOff>
    </xdr:from>
    <xdr:to>
      <xdr:col>9</xdr:col>
      <xdr:colOff>608400</xdr:colOff>
      <xdr:row>38</xdr:row>
      <xdr:rowOff>9150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609599</xdr:colOff>
      <xdr:row>28</xdr:row>
      <xdr:rowOff>152400</xdr:rowOff>
    </xdr:from>
    <xdr:to>
      <xdr:col>13</xdr:col>
      <xdr:colOff>608399</xdr:colOff>
      <xdr:row>38</xdr:row>
      <xdr:rowOff>9150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609599</xdr:colOff>
      <xdr:row>28</xdr:row>
      <xdr:rowOff>152400</xdr:rowOff>
    </xdr:from>
    <xdr:to>
      <xdr:col>17</xdr:col>
      <xdr:colOff>608399</xdr:colOff>
      <xdr:row>38</xdr:row>
      <xdr:rowOff>9150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9524</xdr:colOff>
      <xdr:row>37</xdr:row>
      <xdr:rowOff>142873</xdr:rowOff>
    </xdr:from>
    <xdr:to>
      <xdr:col>6</xdr:col>
      <xdr:colOff>8324</xdr:colOff>
      <xdr:row>46</xdr:row>
      <xdr:rowOff>161548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0</xdr:colOff>
      <xdr:row>37</xdr:row>
      <xdr:rowOff>142873</xdr:rowOff>
    </xdr:from>
    <xdr:to>
      <xdr:col>9</xdr:col>
      <xdr:colOff>608400</xdr:colOff>
      <xdr:row>46</xdr:row>
      <xdr:rowOff>161548</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609599</xdr:colOff>
      <xdr:row>37</xdr:row>
      <xdr:rowOff>142873</xdr:rowOff>
    </xdr:from>
    <xdr:to>
      <xdr:col>13</xdr:col>
      <xdr:colOff>608399</xdr:colOff>
      <xdr:row>46</xdr:row>
      <xdr:rowOff>161548</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609599</xdr:colOff>
      <xdr:row>37</xdr:row>
      <xdr:rowOff>142873</xdr:rowOff>
    </xdr:from>
    <xdr:to>
      <xdr:col>17</xdr:col>
      <xdr:colOff>608399</xdr:colOff>
      <xdr:row>46</xdr:row>
      <xdr:rowOff>161548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9524</xdr:colOff>
      <xdr:row>46</xdr:row>
      <xdr:rowOff>161924</xdr:rowOff>
    </xdr:from>
    <xdr:to>
      <xdr:col>6</xdr:col>
      <xdr:colOff>8324</xdr:colOff>
      <xdr:row>56</xdr:row>
      <xdr:rowOff>9149</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0</xdr:colOff>
      <xdr:row>46</xdr:row>
      <xdr:rowOff>161924</xdr:rowOff>
    </xdr:from>
    <xdr:to>
      <xdr:col>9</xdr:col>
      <xdr:colOff>608400</xdr:colOff>
      <xdr:row>56</xdr:row>
      <xdr:rowOff>9149</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609599</xdr:colOff>
      <xdr:row>46</xdr:row>
      <xdr:rowOff>161924</xdr:rowOff>
    </xdr:from>
    <xdr:to>
      <xdr:col>13</xdr:col>
      <xdr:colOff>608399</xdr:colOff>
      <xdr:row>56</xdr:row>
      <xdr:rowOff>9149</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609599</xdr:colOff>
      <xdr:row>46</xdr:row>
      <xdr:rowOff>161924</xdr:rowOff>
    </xdr:from>
    <xdr:to>
      <xdr:col>17</xdr:col>
      <xdr:colOff>608399</xdr:colOff>
      <xdr:row>56</xdr:row>
      <xdr:rowOff>9149</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9525</xdr:colOff>
      <xdr:row>70</xdr:row>
      <xdr:rowOff>285750</xdr:rowOff>
    </xdr:from>
    <xdr:to>
      <xdr:col>14</xdr:col>
      <xdr:colOff>400050</xdr:colOff>
      <xdr:row>96</xdr:row>
      <xdr:rowOff>104775</xdr:rowOff>
    </xdr:to>
    <xdr:graphicFrame macro="">
      <xdr:nvGraphicFramePr>
        <xdr:cNvPr id="2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16</xdr:col>
      <xdr:colOff>304799</xdr:colOff>
      <xdr:row>8</xdr:row>
      <xdr:rowOff>57040</xdr:rowOff>
    </xdr:from>
    <xdr:to>
      <xdr:col>18</xdr:col>
      <xdr:colOff>9422</xdr:colOff>
      <xdr:row>10</xdr:row>
      <xdr:rowOff>76144</xdr:rowOff>
    </xdr:to>
    <xdr:pic>
      <xdr:nvPicPr>
        <xdr:cNvPr id="24" name="Picture 23"/>
        <xdr:cNvPicPr>
          <a:picLocks noChangeAspect="1"/>
        </xdr:cNvPicPr>
      </xdr:nvPicPr>
      <xdr:blipFill>
        <a:blip xmlns:r="http://schemas.openxmlformats.org/officeDocument/2006/relationships" r:embed="rId22"/>
        <a:stretch>
          <a:fillRect/>
        </a:stretch>
      </xdr:blipFill>
      <xdr:spPr>
        <a:xfrm>
          <a:off x="9620249" y="2419240"/>
          <a:ext cx="923823" cy="504879"/>
        </a:xfrm>
        <a:prstGeom prst="rect">
          <a:avLst/>
        </a:prstGeom>
      </xdr:spPr>
    </xdr:pic>
    <xdr:clientData/>
  </xdr:twoCellAnchor>
</xdr:wsDr>
</file>

<file path=xl/drawings/drawing43.xml><?xml version="1.0" encoding="utf-8"?>
<c:userShapes xmlns:c="http://schemas.openxmlformats.org/drawingml/2006/chart">
  <cdr:relSizeAnchor xmlns:cdr="http://schemas.openxmlformats.org/drawingml/2006/chartDrawing">
    <cdr:from>
      <cdr:x>0.84148</cdr:x>
      <cdr:y>0.00331</cdr:y>
    </cdr:from>
    <cdr:to>
      <cdr:x>1</cdr:x>
      <cdr:y>0.06486</cdr:y>
    </cdr:to>
    <cdr:sp macro="" textlink="">
      <cdr:nvSpPr>
        <cdr:cNvPr id="2" name="TextBox 1"/>
        <cdr:cNvSpPr txBox="1"/>
      </cdr:nvSpPr>
      <cdr:spPr>
        <a:xfrm xmlns:a="http://schemas.openxmlformats.org/drawingml/2006/main">
          <a:off x="6067425" y="12453"/>
          <a:ext cx="1143000" cy="2315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dr:relSizeAnchor xmlns:cdr="http://schemas.openxmlformats.org/drawingml/2006/chartDrawing">
    <cdr:from>
      <cdr:x>0.39903</cdr:x>
      <cdr:y>0</cdr:y>
    </cdr:from>
    <cdr:to>
      <cdr:x>0.59492</cdr:x>
      <cdr:y>0.05479</cdr:y>
    </cdr:to>
    <cdr:sp macro="" textlink="">
      <cdr:nvSpPr>
        <cdr:cNvPr id="3" name="TextBox 2"/>
        <cdr:cNvSpPr txBox="1"/>
      </cdr:nvSpPr>
      <cdr:spPr>
        <a:xfrm xmlns:a="http://schemas.openxmlformats.org/drawingml/2006/main">
          <a:off x="3143250" y="0"/>
          <a:ext cx="15430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000" b="1">
              <a:latin typeface="Arial" panose="020B0604020202020204" pitchFamily="34" charset="0"/>
              <a:cs typeface="Arial" panose="020B0604020202020204" pitchFamily="34" charset="0"/>
            </a:rPr>
            <a:t>All ages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352424</xdr:colOff>
      <xdr:row>9</xdr:row>
      <xdr:rowOff>114301</xdr:rowOff>
    </xdr:from>
    <xdr:to>
      <xdr:col>11</xdr:col>
      <xdr:colOff>457200</xdr:colOff>
      <xdr:row>20</xdr:row>
      <xdr:rowOff>133126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23</xdr:row>
      <xdr:rowOff>76199</xdr:rowOff>
    </xdr:from>
    <xdr:to>
      <xdr:col>11</xdr:col>
      <xdr:colOff>523875</xdr:colOff>
      <xdr:row>34</xdr:row>
      <xdr:rowOff>95024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37</xdr:row>
      <xdr:rowOff>66675</xdr:rowOff>
    </xdr:from>
    <xdr:to>
      <xdr:col>11</xdr:col>
      <xdr:colOff>390525</xdr:colOff>
      <xdr:row>48</xdr:row>
      <xdr:rowOff>85500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104773</xdr:colOff>
      <xdr:row>59</xdr:row>
      <xdr:rowOff>38098</xdr:rowOff>
    </xdr:from>
    <xdr:to>
      <xdr:col>7</xdr:col>
      <xdr:colOff>100798</xdr:colOff>
      <xdr:row>71</xdr:row>
      <xdr:rowOff>57149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167024</xdr:colOff>
      <xdr:row>59</xdr:row>
      <xdr:rowOff>123825</xdr:rowOff>
    </xdr:from>
    <xdr:to>
      <xdr:col>11</xdr:col>
      <xdr:colOff>572624</xdr:colOff>
      <xdr:row>71</xdr:row>
      <xdr:rowOff>142725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104774</xdr:colOff>
      <xdr:row>73</xdr:row>
      <xdr:rowOff>9525</xdr:rowOff>
    </xdr:from>
    <xdr:to>
      <xdr:col>7</xdr:col>
      <xdr:colOff>100799</xdr:colOff>
      <xdr:row>85</xdr:row>
      <xdr:rowOff>28425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0.01523</cdr:x>
      <cdr:y>0</cdr:y>
    </cdr:from>
    <cdr:to>
      <cdr:x>0.33672</cdr:x>
      <cdr:y>0.10965</cdr:y>
    </cdr:to>
    <cdr:sp macro="" textlink="">
      <cdr:nvSpPr>
        <cdr:cNvPr id="2" name="TextBox 1"/>
        <cdr:cNvSpPr txBox="1"/>
      </cdr:nvSpPr>
      <cdr:spPr>
        <a:xfrm xmlns:a="http://schemas.openxmlformats.org/drawingml/2006/main">
          <a:off x="86024" y="0"/>
          <a:ext cx="1815880" cy="2381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a:t>
          </a:r>
          <a:r>
            <a:rPr lang="en-NZ" sz="900" baseline="0">
              <a:latin typeface="Arial" panose="020B0604020202020204" pitchFamily="34" charset="0"/>
              <a:cs typeface="Arial" panose="020B0604020202020204" pitchFamily="34" charset="0"/>
            </a:rPr>
            <a:t> 100,000)</a:t>
          </a:r>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0.04291</cdr:x>
      <cdr:y>0</cdr:y>
    </cdr:from>
    <cdr:to>
      <cdr:x>0.4506</cdr:x>
      <cdr:y>0.09525</cdr:y>
    </cdr:to>
    <cdr:sp macro="" textlink="">
      <cdr:nvSpPr>
        <cdr:cNvPr id="3" name="TextBox 1"/>
        <cdr:cNvSpPr txBox="1"/>
      </cdr:nvSpPr>
      <cdr:spPr>
        <a:xfrm xmlns:a="http://schemas.openxmlformats.org/drawingml/2006/main">
          <a:off x="247649" y="0"/>
          <a:ext cx="2352675" cy="1714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0.01651</cdr:x>
      <cdr:y>0</cdr:y>
    </cdr:from>
    <cdr:to>
      <cdr:x>0.25088</cdr:x>
      <cdr:y>0.12171</cdr:y>
    </cdr:to>
    <cdr:sp macro="" textlink="">
      <cdr:nvSpPr>
        <cdr:cNvPr id="4" name="TextBox 2"/>
        <cdr:cNvSpPr txBox="1"/>
      </cdr:nvSpPr>
      <cdr:spPr>
        <a:xfrm xmlns:a="http://schemas.openxmlformats.org/drawingml/2006/main">
          <a:off x="95251" y="0"/>
          <a:ext cx="1352550" cy="2190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userShapes>
</file>

<file path=xl/drawings/drawing46.xml><?xml version="1.0" encoding="utf-8"?>
<c:userShapes xmlns:c="http://schemas.openxmlformats.org/drawingml/2006/chart">
  <cdr:relSizeAnchor xmlns:cdr="http://schemas.openxmlformats.org/drawingml/2006/chartDrawing">
    <cdr:from>
      <cdr:x>0.04291</cdr:x>
      <cdr:y>0</cdr:y>
    </cdr:from>
    <cdr:to>
      <cdr:x>0.4506</cdr:x>
      <cdr:y>0.09525</cdr:y>
    </cdr:to>
    <cdr:sp macro="" textlink="">
      <cdr:nvSpPr>
        <cdr:cNvPr id="2" name="TextBox 1"/>
        <cdr:cNvSpPr txBox="1"/>
      </cdr:nvSpPr>
      <cdr:spPr>
        <a:xfrm xmlns:a="http://schemas.openxmlformats.org/drawingml/2006/main">
          <a:off x="247649" y="0"/>
          <a:ext cx="2352675" cy="1714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0.01651</cdr:x>
      <cdr:y>0</cdr:y>
    </cdr:from>
    <cdr:to>
      <cdr:x>0.25088</cdr:x>
      <cdr:y>0.13758</cdr:y>
    </cdr:to>
    <cdr:sp macro="" textlink="">
      <cdr:nvSpPr>
        <cdr:cNvPr id="3" name="TextBox 2"/>
        <cdr:cNvSpPr txBox="1"/>
      </cdr:nvSpPr>
      <cdr:spPr>
        <a:xfrm xmlns:a="http://schemas.openxmlformats.org/drawingml/2006/main">
          <a:off x="95251" y="0"/>
          <a:ext cx="1352550"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NZ" sz="900">
              <a:effectLst/>
              <a:latin typeface="Arial" panose="020B0604020202020204" pitchFamily="34" charset="0"/>
              <a:ea typeface="+mn-ea"/>
              <a:cs typeface="Arial" panose="020B0604020202020204" pitchFamily="34" charset="0"/>
            </a:rPr>
            <a:t>Rate (per</a:t>
          </a:r>
          <a:r>
            <a:rPr lang="en-NZ" sz="900" baseline="0">
              <a:effectLst/>
              <a:latin typeface="Arial" panose="020B0604020202020204" pitchFamily="34" charset="0"/>
              <a:ea typeface="+mn-ea"/>
              <a:cs typeface="Arial" panose="020B0604020202020204" pitchFamily="34" charset="0"/>
            </a:rPr>
            <a:t> 100,000)</a:t>
          </a:r>
          <a:endParaRPr lang="en-NZ" sz="900">
            <a:effectLst/>
            <a:latin typeface="Arial" panose="020B0604020202020204" pitchFamily="34" charset="0"/>
            <a:cs typeface="Arial" panose="020B0604020202020204" pitchFamily="34" charset="0"/>
          </a:endParaRPr>
        </a:p>
        <a:p xmlns:a="http://schemas.openxmlformats.org/drawingml/2006/main">
          <a:endParaRPr lang="en-NZ" sz="1100"/>
        </a:p>
      </cdr:txBody>
    </cdr:sp>
  </cdr:relSizeAnchor>
</c:userShapes>
</file>

<file path=xl/drawings/drawing47.xml><?xml version="1.0" encoding="utf-8"?>
<c:userShapes xmlns:c="http://schemas.openxmlformats.org/drawingml/2006/chart">
  <cdr:relSizeAnchor xmlns:cdr="http://schemas.openxmlformats.org/drawingml/2006/chartDrawing">
    <cdr:from>
      <cdr:x>0.02146</cdr:x>
      <cdr:y>0.03175</cdr:y>
    </cdr:from>
    <cdr:to>
      <cdr:x>0.27564</cdr:x>
      <cdr:y>0.15346</cdr:y>
    </cdr:to>
    <cdr:sp macro="" textlink="">
      <cdr:nvSpPr>
        <cdr:cNvPr id="2" name="TextBox 1"/>
        <cdr:cNvSpPr txBox="1"/>
      </cdr:nvSpPr>
      <cdr:spPr>
        <a:xfrm xmlns:a="http://schemas.openxmlformats.org/drawingml/2006/main">
          <a:off x="123825" y="57150"/>
          <a:ext cx="14668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drawings/drawing48.xml><?xml version="1.0" encoding="utf-8"?>
<c:userShapes xmlns:c="http://schemas.openxmlformats.org/drawingml/2006/chart">
  <cdr:relSizeAnchor xmlns:cdr="http://schemas.openxmlformats.org/drawingml/2006/chartDrawing">
    <cdr:from>
      <cdr:x>0</cdr:x>
      <cdr:y>0</cdr:y>
    </cdr:from>
    <cdr:to>
      <cdr:x>0.4572</cdr:x>
      <cdr:y>0.10194</cdr:y>
    </cdr:to>
    <cdr:sp macro="" textlink="">
      <cdr:nvSpPr>
        <cdr:cNvPr id="2" name="TextBox 1"/>
        <cdr:cNvSpPr txBox="1"/>
      </cdr:nvSpPr>
      <cdr:spPr>
        <a:xfrm xmlns:a="http://schemas.openxmlformats.org/drawingml/2006/main">
          <a:off x="0" y="0"/>
          <a:ext cx="1143001" cy="2175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a:t>
          </a:r>
          <a:r>
            <a:rPr lang="en-NZ" sz="900" baseline="0">
              <a:latin typeface="Arial" panose="020B0604020202020204" pitchFamily="34" charset="0"/>
              <a:cs typeface="Arial" panose="020B0604020202020204" pitchFamily="34" charset="0"/>
            </a:rPr>
            <a:t> 100,000</a:t>
          </a:r>
          <a:endParaRPr lang="en-NZ" sz="900">
            <a:latin typeface="Arial" panose="020B0604020202020204" pitchFamily="34" charset="0"/>
            <a:cs typeface="Arial" panose="020B0604020202020204" pitchFamily="34" charset="0"/>
          </a:endParaRPr>
        </a:p>
      </cdr:txBody>
    </cdr:sp>
  </cdr:relSizeAnchor>
</c:userShapes>
</file>

<file path=xl/drawings/drawing49.xml><?xml version="1.0" encoding="utf-8"?>
<xdr:wsDr xmlns:xdr="http://schemas.openxmlformats.org/drawingml/2006/spreadsheetDrawing" xmlns:a="http://schemas.openxmlformats.org/drawingml/2006/main">
  <xdr:twoCellAnchor>
    <xdr:from>
      <xdr:col>1</xdr:col>
      <xdr:colOff>66674</xdr:colOff>
      <xdr:row>118</xdr:row>
      <xdr:rowOff>38100</xdr:rowOff>
    </xdr:from>
    <xdr:to>
      <xdr:col>12</xdr:col>
      <xdr:colOff>0</xdr:colOff>
      <xdr:row>131</xdr:row>
      <xdr:rowOff>142876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131</xdr:row>
      <xdr:rowOff>133351</xdr:rowOff>
    </xdr:from>
    <xdr:to>
      <xdr:col>11</xdr:col>
      <xdr:colOff>571500</xdr:colOff>
      <xdr:row>145</xdr:row>
      <xdr:rowOff>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57150</xdr:colOff>
      <xdr:row>27</xdr:row>
      <xdr:rowOff>76199</xdr:rowOff>
    </xdr:from>
    <xdr:to>
      <xdr:col>7</xdr:col>
      <xdr:colOff>7950</xdr:colOff>
      <xdr:row>40</xdr:row>
      <xdr:rowOff>95174</xdr:rowOff>
    </xdr:to>
    <xdr:graphicFrame macro="">
      <xdr:nvGraphicFramePr>
        <xdr:cNvPr id="3"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38100</xdr:colOff>
      <xdr:row>27</xdr:row>
      <xdr:rowOff>76200</xdr:rowOff>
    </xdr:from>
    <xdr:to>
      <xdr:col>11</xdr:col>
      <xdr:colOff>598500</xdr:colOff>
      <xdr:row>40</xdr:row>
      <xdr:rowOff>95175</xdr:rowOff>
    </xdr:to>
    <xdr:graphicFrame macro="">
      <xdr:nvGraphicFramePr>
        <xdr:cNvPr id="5" name="Chart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40</xdr:row>
      <xdr:rowOff>85725</xdr:rowOff>
    </xdr:from>
    <xdr:to>
      <xdr:col>6</xdr:col>
      <xdr:colOff>560400</xdr:colOff>
      <xdr:row>53</xdr:row>
      <xdr:rowOff>104700</xdr:rowOff>
    </xdr:to>
    <xdr:graphicFrame macro="">
      <xdr:nvGraphicFramePr>
        <xdr:cNvPr id="6" name="Chart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7</xdr:row>
      <xdr:rowOff>47623</xdr:rowOff>
    </xdr:from>
    <xdr:to>
      <xdr:col>11</xdr:col>
      <xdr:colOff>410175</xdr:colOff>
      <xdr:row>19</xdr:row>
      <xdr:rowOff>28574</xdr:rowOff>
    </xdr:to>
    <xdr:graphicFrame macro="">
      <xdr:nvGraphicFramePr>
        <xdr:cNvPr id="8"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9525</xdr:colOff>
      <xdr:row>71</xdr:row>
      <xdr:rowOff>104774</xdr:rowOff>
    </xdr:from>
    <xdr:to>
      <xdr:col>6</xdr:col>
      <xdr:colOff>569925</xdr:colOff>
      <xdr:row>84</xdr:row>
      <xdr:rowOff>123749</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561975</xdr:colOff>
      <xdr:row>71</xdr:row>
      <xdr:rowOff>104775</xdr:rowOff>
    </xdr:from>
    <xdr:to>
      <xdr:col>11</xdr:col>
      <xdr:colOff>512775</xdr:colOff>
      <xdr:row>84</xdr:row>
      <xdr:rowOff>123750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9525</xdr:colOff>
      <xdr:row>84</xdr:row>
      <xdr:rowOff>114300</xdr:rowOff>
    </xdr:from>
    <xdr:to>
      <xdr:col>6</xdr:col>
      <xdr:colOff>569925</xdr:colOff>
      <xdr:row>97</xdr:row>
      <xdr:rowOff>133275</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561975</xdr:colOff>
      <xdr:row>84</xdr:row>
      <xdr:rowOff>114300</xdr:rowOff>
    </xdr:from>
    <xdr:to>
      <xdr:col>11</xdr:col>
      <xdr:colOff>512775</xdr:colOff>
      <xdr:row>97</xdr:row>
      <xdr:rowOff>133275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38100</xdr:colOff>
      <xdr:row>145</xdr:row>
      <xdr:rowOff>104775</xdr:rowOff>
    </xdr:from>
    <xdr:to>
      <xdr:col>11</xdr:col>
      <xdr:colOff>571500</xdr:colOff>
      <xdr:row>158</xdr:row>
      <xdr:rowOff>133350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47625</xdr:colOff>
      <xdr:row>159</xdr:row>
      <xdr:rowOff>85725</xdr:rowOff>
    </xdr:from>
    <xdr:to>
      <xdr:col>11</xdr:col>
      <xdr:colOff>571500</xdr:colOff>
      <xdr:row>172</xdr:row>
      <xdr:rowOff>114300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0.0226</cdr:y>
    </cdr:from>
    <cdr:to>
      <cdr:x>0.16576</cdr:x>
      <cdr:y>0.11312</cdr:y>
    </cdr:to>
    <cdr:sp macro="" textlink="">
      <cdr:nvSpPr>
        <cdr:cNvPr id="2" name="TextBox 1"/>
        <cdr:cNvSpPr txBox="1"/>
      </cdr:nvSpPr>
      <cdr:spPr>
        <a:xfrm xmlns:a="http://schemas.openxmlformats.org/drawingml/2006/main">
          <a:off x="0" y="46720"/>
          <a:ext cx="1244145" cy="187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drawings/drawing50.xml><?xml version="1.0" encoding="utf-8"?>
<c:userShapes xmlns:c="http://schemas.openxmlformats.org/drawingml/2006/chart">
  <cdr:relSizeAnchor xmlns:cdr="http://schemas.openxmlformats.org/drawingml/2006/chartDrawing">
    <cdr:from>
      <cdr:x>0.89692</cdr:x>
      <cdr:y>0.05936</cdr:y>
    </cdr:from>
    <cdr:to>
      <cdr:x>0.99846</cdr:x>
      <cdr:y>0.15772</cdr:y>
    </cdr:to>
    <cdr:sp macro="" textlink="">
      <cdr:nvSpPr>
        <cdr:cNvPr id="2" name="TextBox 1"/>
        <cdr:cNvSpPr txBox="1"/>
      </cdr:nvSpPr>
      <cdr:spPr>
        <a:xfrm xmlns:a="http://schemas.openxmlformats.org/drawingml/2006/main">
          <a:off x="5553076" y="150951"/>
          <a:ext cx="628650" cy="2501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Percent</a:t>
          </a:r>
        </a:p>
      </cdr:txBody>
    </cdr:sp>
  </cdr:relSizeAnchor>
</c:userShapes>
</file>

<file path=xl/drawings/drawing51.xml><?xml version="1.0" encoding="utf-8"?>
<c:userShapes xmlns:c="http://schemas.openxmlformats.org/drawingml/2006/chart">
  <cdr:relSizeAnchor xmlns:cdr="http://schemas.openxmlformats.org/drawingml/2006/chartDrawing">
    <cdr:from>
      <cdr:x>0.90615</cdr:x>
      <cdr:y>0.04911</cdr:y>
    </cdr:from>
    <cdr:to>
      <cdr:x>1</cdr:x>
      <cdr:y>0.13656</cdr:y>
    </cdr:to>
    <cdr:sp macro="" textlink="">
      <cdr:nvSpPr>
        <cdr:cNvPr id="2" name="TextBox 1"/>
        <cdr:cNvSpPr txBox="1"/>
      </cdr:nvSpPr>
      <cdr:spPr>
        <a:xfrm xmlns:a="http://schemas.openxmlformats.org/drawingml/2006/main">
          <a:off x="5610225" y="106177"/>
          <a:ext cx="581025" cy="189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Percent</a:t>
          </a:r>
        </a:p>
      </cdr:txBody>
    </cdr:sp>
  </cdr:relSizeAnchor>
</c:userShapes>
</file>

<file path=xl/drawings/drawing52.xml><?xml version="1.0" encoding="utf-8"?>
<c:userShapes xmlns:c="http://schemas.openxmlformats.org/drawingml/2006/chart">
  <cdr:relSizeAnchor xmlns:cdr="http://schemas.openxmlformats.org/drawingml/2006/chartDrawing">
    <cdr:from>
      <cdr:x>0</cdr:x>
      <cdr:y>0.0852</cdr:y>
    </cdr:from>
    <cdr:to>
      <cdr:x>0.37798</cdr:x>
      <cdr:y>0.18835</cdr:y>
    </cdr:to>
    <cdr:sp macro="" textlink="">
      <cdr:nvSpPr>
        <cdr:cNvPr id="2" name="TextBox 1"/>
        <cdr:cNvSpPr txBox="1"/>
      </cdr:nvSpPr>
      <cdr:spPr>
        <a:xfrm xmlns:a="http://schemas.openxmlformats.org/drawingml/2006/main">
          <a:off x="0" y="180975"/>
          <a:ext cx="1133475" cy="2190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drawings/drawing53.xml><?xml version="1.0" encoding="utf-8"?>
<c:userShapes xmlns:c="http://schemas.openxmlformats.org/drawingml/2006/chart">
  <cdr:relSizeAnchor xmlns:cdr="http://schemas.openxmlformats.org/drawingml/2006/chartDrawing">
    <cdr:from>
      <cdr:x>0</cdr:x>
      <cdr:y>0.02117</cdr:y>
    </cdr:from>
    <cdr:to>
      <cdr:x>0.23699</cdr:x>
      <cdr:y>0.15346</cdr:y>
    </cdr:to>
    <cdr:sp macro="" textlink="">
      <cdr:nvSpPr>
        <cdr:cNvPr id="2" name="TextBox 1"/>
        <cdr:cNvSpPr txBox="1"/>
      </cdr:nvSpPr>
      <cdr:spPr>
        <a:xfrm xmlns:a="http://schemas.openxmlformats.org/drawingml/2006/main">
          <a:off x="0" y="40732"/>
          <a:ext cx="1390657" cy="2545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drawings/drawing54.xml><?xml version="1.0" encoding="utf-8"?>
<c:userShapes xmlns:c="http://schemas.openxmlformats.org/drawingml/2006/chart">
  <cdr:relSizeAnchor xmlns:cdr="http://schemas.openxmlformats.org/drawingml/2006/chartDrawing">
    <cdr:from>
      <cdr:x>0.00635</cdr:x>
      <cdr:y>0.04036</cdr:y>
    </cdr:from>
    <cdr:to>
      <cdr:x>0.41927</cdr:x>
      <cdr:y>0.13005</cdr:y>
    </cdr:to>
    <cdr:sp macro="" textlink="">
      <cdr:nvSpPr>
        <cdr:cNvPr id="2" name="TextBox 1"/>
        <cdr:cNvSpPr txBox="1"/>
      </cdr:nvSpPr>
      <cdr:spPr>
        <a:xfrm xmlns:a="http://schemas.openxmlformats.org/drawingml/2006/main">
          <a:off x="19050" y="85725"/>
          <a:ext cx="1238250" cy="1905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drawings/drawing55.xml><?xml version="1.0" encoding="utf-8"?>
<c:userShapes xmlns:c="http://schemas.openxmlformats.org/drawingml/2006/chart">
  <cdr:relSizeAnchor xmlns:cdr="http://schemas.openxmlformats.org/drawingml/2006/chartDrawing">
    <cdr:from>
      <cdr:x>0.89522</cdr:x>
      <cdr:y>0.06696</cdr:y>
    </cdr:from>
    <cdr:to>
      <cdr:x>1</cdr:x>
      <cdr:y>0.18304</cdr:y>
    </cdr:to>
    <cdr:sp macro="" textlink="">
      <cdr:nvSpPr>
        <cdr:cNvPr id="2" name="TextBox 1"/>
        <cdr:cNvSpPr txBox="1"/>
      </cdr:nvSpPr>
      <cdr:spPr>
        <a:xfrm xmlns:a="http://schemas.openxmlformats.org/drawingml/2006/main">
          <a:off x="5534024" y="142875"/>
          <a:ext cx="647701"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Percent</a:t>
          </a:r>
        </a:p>
      </cdr:txBody>
    </cdr:sp>
  </cdr:relSizeAnchor>
</c:userShapes>
</file>

<file path=xl/drawings/drawing56.xml><?xml version="1.0" encoding="utf-8"?>
<c:userShapes xmlns:c="http://schemas.openxmlformats.org/drawingml/2006/chart">
  <cdr:relSizeAnchor xmlns:cdr="http://schemas.openxmlformats.org/drawingml/2006/chartDrawing">
    <cdr:from>
      <cdr:x>0.89352</cdr:x>
      <cdr:y>0.05804</cdr:y>
    </cdr:from>
    <cdr:to>
      <cdr:x>1</cdr:x>
      <cdr:y>0.14732</cdr:y>
    </cdr:to>
    <cdr:sp macro="" textlink="">
      <cdr:nvSpPr>
        <cdr:cNvPr id="2" name="TextBox 1"/>
        <cdr:cNvSpPr txBox="1"/>
      </cdr:nvSpPr>
      <cdr:spPr>
        <a:xfrm xmlns:a="http://schemas.openxmlformats.org/drawingml/2006/main">
          <a:off x="5514976" y="123826"/>
          <a:ext cx="657224" cy="1904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Percent</a:t>
          </a:r>
        </a:p>
      </cdr:txBody>
    </cdr:sp>
  </cdr:relSizeAnchor>
</c:userShapes>
</file>

<file path=xl/drawings/drawing57.xml><?xml version="1.0" encoding="utf-8"?>
<xdr:wsDr xmlns:xdr="http://schemas.openxmlformats.org/drawingml/2006/spreadsheetDrawing" xmlns:a="http://schemas.openxmlformats.org/drawingml/2006/main">
  <xdr:twoCellAnchor>
    <xdr:from>
      <xdr:col>1</xdr:col>
      <xdr:colOff>47625</xdr:colOff>
      <xdr:row>7</xdr:row>
      <xdr:rowOff>47624</xdr:rowOff>
    </xdr:from>
    <xdr:to>
      <xdr:col>12</xdr:col>
      <xdr:colOff>161925</xdr:colOff>
      <xdr:row>30</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51</xdr:row>
      <xdr:rowOff>152400</xdr:rowOff>
    </xdr:from>
    <xdr:to>
      <xdr:col>13</xdr:col>
      <xdr:colOff>95250</xdr:colOff>
      <xdr:row>76</xdr:row>
      <xdr:rowOff>9524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0.48089</cdr:x>
      <cdr:y>0.03916</cdr:y>
    </cdr:from>
    <cdr:to>
      <cdr:x>0.50796</cdr:x>
      <cdr:y>0.97389</cdr:y>
    </cdr:to>
    <cdr:sp macro="" textlink="">
      <cdr:nvSpPr>
        <cdr:cNvPr id="2" name="TextBox 1"/>
        <cdr:cNvSpPr txBox="1"/>
      </cdr:nvSpPr>
      <cdr:spPr>
        <a:xfrm xmlns:a="http://schemas.openxmlformats.org/drawingml/2006/main">
          <a:off x="2876549" y="142876"/>
          <a:ext cx="161925" cy="3409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0.01452</cdr:x>
      <cdr:y>0.01905</cdr:y>
    </cdr:from>
    <cdr:to>
      <cdr:x>0.27903</cdr:x>
      <cdr:y>0.06562</cdr:y>
    </cdr:to>
    <cdr:sp macro="" textlink="">
      <cdr:nvSpPr>
        <cdr:cNvPr id="4" name="TextBox 3"/>
        <cdr:cNvSpPr txBox="1"/>
      </cdr:nvSpPr>
      <cdr:spPr>
        <a:xfrm xmlns:a="http://schemas.openxmlformats.org/drawingml/2006/main">
          <a:off x="85725" y="76948"/>
          <a:ext cx="1562100" cy="188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drawings/drawing59.xml><?xml version="1.0" encoding="utf-8"?>
<c:userShapes xmlns:c="http://schemas.openxmlformats.org/drawingml/2006/chart">
  <cdr:relSizeAnchor xmlns:cdr="http://schemas.openxmlformats.org/drawingml/2006/chartDrawing">
    <cdr:from>
      <cdr:x>0.48089</cdr:x>
      <cdr:y>0.03916</cdr:y>
    </cdr:from>
    <cdr:to>
      <cdr:x>0.50796</cdr:x>
      <cdr:y>0.97389</cdr:y>
    </cdr:to>
    <cdr:sp macro="" textlink="">
      <cdr:nvSpPr>
        <cdr:cNvPr id="2" name="TextBox 1"/>
        <cdr:cNvSpPr txBox="1"/>
      </cdr:nvSpPr>
      <cdr:spPr>
        <a:xfrm xmlns:a="http://schemas.openxmlformats.org/drawingml/2006/main">
          <a:off x="2876549" y="142876"/>
          <a:ext cx="161925" cy="3409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0.48089</cdr:x>
      <cdr:y>0.03655</cdr:y>
    </cdr:from>
    <cdr:to>
      <cdr:x>0.50796</cdr:x>
      <cdr:y>0.96345</cdr:y>
    </cdr:to>
    <cdr:sp macro="" textlink="">
      <cdr:nvSpPr>
        <cdr:cNvPr id="3" name="TextBox 2"/>
        <cdr:cNvSpPr txBox="1"/>
      </cdr:nvSpPr>
      <cdr:spPr>
        <a:xfrm xmlns:a="http://schemas.openxmlformats.org/drawingml/2006/main">
          <a:off x="2876549" y="133350"/>
          <a:ext cx="161925" cy="3381375"/>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0.00969</cdr:x>
      <cdr:y>0</cdr:y>
    </cdr:from>
    <cdr:to>
      <cdr:x>0.21311</cdr:x>
      <cdr:y>0.0637</cdr:y>
    </cdr:to>
    <cdr:sp macro="" textlink="">
      <cdr:nvSpPr>
        <cdr:cNvPr id="5" name="TextBox 4"/>
        <cdr:cNvSpPr txBox="1"/>
      </cdr:nvSpPr>
      <cdr:spPr>
        <a:xfrm xmlns:a="http://schemas.openxmlformats.org/drawingml/2006/main">
          <a:off x="57150" y="0"/>
          <a:ext cx="1200150"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drawings/drawing6.xml><?xml version="1.0" encoding="utf-8"?>
<c:userShapes xmlns:c="http://schemas.openxmlformats.org/drawingml/2006/chart">
  <cdr:relSizeAnchor xmlns:cdr="http://schemas.openxmlformats.org/drawingml/2006/chartDrawing">
    <cdr:from>
      <cdr:x>0</cdr:x>
      <cdr:y>0</cdr:y>
    </cdr:from>
    <cdr:to>
      <cdr:x>0.37133</cdr:x>
      <cdr:y>0.14527</cdr:y>
    </cdr:to>
    <cdr:sp macro="" textlink="">
      <cdr:nvSpPr>
        <cdr:cNvPr id="5" name="TextBox 4"/>
        <cdr:cNvSpPr txBox="1"/>
      </cdr:nvSpPr>
      <cdr:spPr>
        <a:xfrm xmlns:a="http://schemas.openxmlformats.org/drawingml/2006/main">
          <a:off x="0" y="0"/>
          <a:ext cx="1199016" cy="2532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r>
            <a:rPr lang="en-NZ" sz="800">
              <a:latin typeface="Arial" panose="020B0604020202020204" pitchFamily="34" charset="0"/>
              <a:cs typeface="Arial" panose="020B0604020202020204" pitchFamily="34" charset="0"/>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0.00915</cdr:x>
      <cdr:y>0.00521</cdr:y>
    </cdr:from>
    <cdr:to>
      <cdr:x>0.22561</cdr:x>
      <cdr:y>0.13542</cdr:y>
    </cdr:to>
    <cdr:sp macro="" textlink="">
      <cdr:nvSpPr>
        <cdr:cNvPr id="2" name="TextBox 1"/>
        <cdr:cNvSpPr txBox="1"/>
      </cdr:nvSpPr>
      <cdr:spPr>
        <a:xfrm xmlns:a="http://schemas.openxmlformats.org/drawingml/2006/main">
          <a:off x="57151" y="9525"/>
          <a:ext cx="13525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dr:relSizeAnchor xmlns:cdr="http://schemas.openxmlformats.org/drawingml/2006/chartDrawing">
    <cdr:from>
      <cdr:x>0.39375</cdr:x>
      <cdr:y>0.02083</cdr:y>
    </cdr:from>
    <cdr:to>
      <cdr:x>0.51875</cdr:x>
      <cdr:y>0.15104</cdr:y>
    </cdr:to>
    <cdr:sp macro="" textlink="">
      <cdr:nvSpPr>
        <cdr:cNvPr id="3" name="TextBox 2"/>
        <cdr:cNvSpPr txBox="1"/>
      </cdr:nvSpPr>
      <cdr:spPr>
        <a:xfrm xmlns:a="http://schemas.openxmlformats.org/drawingml/2006/main">
          <a:off x="2400300" y="38100"/>
          <a:ext cx="7620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latin typeface="Arial" panose="020B0604020202020204" pitchFamily="34" charset="0"/>
              <a:cs typeface="Arial" panose="020B0604020202020204" pitchFamily="34" charset="0"/>
            </a:rPr>
            <a:t>All ages</a:t>
          </a:r>
        </a:p>
      </cdr:txBody>
    </cdr:sp>
  </cdr:relSizeAnchor>
</c:userShapes>
</file>

<file path=xl/drawings/drawing8.xml><?xml version="1.0" encoding="utf-8"?>
<xdr:wsDr xmlns:xdr="http://schemas.openxmlformats.org/drawingml/2006/spreadsheetDrawing" xmlns:a="http://schemas.openxmlformats.org/drawingml/2006/main">
  <xdr:twoCellAnchor>
    <xdr:from>
      <xdr:col>1</xdr:col>
      <xdr:colOff>19048</xdr:colOff>
      <xdr:row>7</xdr:row>
      <xdr:rowOff>85725</xdr:rowOff>
    </xdr:from>
    <xdr:to>
      <xdr:col>11</xdr:col>
      <xdr:colOff>189148</xdr:colOff>
      <xdr:row>17</xdr:row>
      <xdr:rowOff>142650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28</xdr:row>
      <xdr:rowOff>66674</xdr:rowOff>
    </xdr:from>
    <xdr:to>
      <xdr:col>7</xdr:col>
      <xdr:colOff>39450</xdr:colOff>
      <xdr:row>39</xdr:row>
      <xdr:rowOff>47474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57149</xdr:colOff>
      <xdr:row>80</xdr:row>
      <xdr:rowOff>76198</xdr:rowOff>
    </xdr:from>
    <xdr:to>
      <xdr:col>6</xdr:col>
      <xdr:colOff>591899</xdr:colOff>
      <xdr:row>94</xdr:row>
      <xdr:rowOff>28575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590547</xdr:colOff>
      <xdr:row>80</xdr:row>
      <xdr:rowOff>66675</xdr:rowOff>
    </xdr:from>
    <xdr:to>
      <xdr:col>12</xdr:col>
      <xdr:colOff>76199</xdr:colOff>
      <xdr:row>94</xdr:row>
      <xdr:rowOff>19050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85724</xdr:colOff>
      <xdr:row>94</xdr:row>
      <xdr:rowOff>85725</xdr:rowOff>
    </xdr:from>
    <xdr:to>
      <xdr:col>7</xdr:col>
      <xdr:colOff>10874</xdr:colOff>
      <xdr:row>105</xdr:row>
      <xdr:rowOff>95250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54</xdr:row>
      <xdr:rowOff>66675</xdr:rowOff>
    </xdr:from>
    <xdr:to>
      <xdr:col>7</xdr:col>
      <xdr:colOff>68025</xdr:colOff>
      <xdr:row>68</xdr:row>
      <xdr:rowOff>9375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76199</xdr:colOff>
      <xdr:row>154</xdr:row>
      <xdr:rowOff>142873</xdr:rowOff>
    </xdr:from>
    <xdr:to>
      <xdr:col>7</xdr:col>
      <xdr:colOff>115649</xdr:colOff>
      <xdr:row>165</xdr:row>
      <xdr:rowOff>161773</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76199</xdr:colOff>
      <xdr:row>168</xdr:row>
      <xdr:rowOff>0</xdr:rowOff>
    </xdr:from>
    <xdr:to>
      <xdr:col>7</xdr:col>
      <xdr:colOff>28575</xdr:colOff>
      <xdr:row>178</xdr:row>
      <xdr:rowOff>219075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152400</xdr:colOff>
      <xdr:row>201</xdr:row>
      <xdr:rowOff>95249</xdr:rowOff>
    </xdr:from>
    <xdr:to>
      <xdr:col>7</xdr:col>
      <xdr:colOff>73050</xdr:colOff>
      <xdr:row>212</xdr:row>
      <xdr:rowOff>114074</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76200</xdr:colOff>
      <xdr:row>214</xdr:row>
      <xdr:rowOff>9525</xdr:rowOff>
    </xdr:from>
    <xdr:to>
      <xdr:col>6</xdr:col>
      <xdr:colOff>606450</xdr:colOff>
      <xdr:row>225</xdr:row>
      <xdr:rowOff>28350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66674</xdr:colOff>
      <xdr:row>227</xdr:row>
      <xdr:rowOff>9525</xdr:rowOff>
    </xdr:from>
    <xdr:to>
      <xdr:col>6</xdr:col>
      <xdr:colOff>596924</xdr:colOff>
      <xdr:row>238</xdr:row>
      <xdr:rowOff>28350</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201</xdr:row>
      <xdr:rowOff>95250</xdr:rowOff>
    </xdr:from>
    <xdr:to>
      <xdr:col>11</xdr:col>
      <xdr:colOff>473100</xdr:colOff>
      <xdr:row>212</xdr:row>
      <xdr:rowOff>114075</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4</xdr:col>
      <xdr:colOff>495300</xdr:colOff>
      <xdr:row>196</xdr:row>
      <xdr:rowOff>66675</xdr:rowOff>
    </xdr:from>
    <xdr:to>
      <xdr:col>8</xdr:col>
      <xdr:colOff>266424</xdr:colOff>
      <xdr:row>200</xdr:row>
      <xdr:rowOff>9440</xdr:rowOff>
    </xdr:to>
    <xdr:pic>
      <xdr:nvPicPr>
        <xdr:cNvPr id="24" name="Picture 23"/>
        <xdr:cNvPicPr>
          <a:picLocks noChangeAspect="1"/>
        </xdr:cNvPicPr>
      </xdr:nvPicPr>
      <xdr:blipFill>
        <a:blip xmlns:r="http://schemas.openxmlformats.org/officeDocument/2006/relationships" r:embed="rId13"/>
        <a:stretch>
          <a:fillRect/>
        </a:stretch>
      </xdr:blipFill>
      <xdr:spPr>
        <a:xfrm>
          <a:off x="2019300" y="30794325"/>
          <a:ext cx="2209524" cy="676190"/>
        </a:xfrm>
        <a:prstGeom prst="rect">
          <a:avLst/>
        </a:prstGeom>
      </xdr:spPr>
    </xdr:pic>
    <xdr:clientData/>
  </xdr:twoCellAnchor>
  <xdr:twoCellAnchor>
    <xdr:from>
      <xdr:col>7</xdr:col>
      <xdr:colOff>95249</xdr:colOff>
      <xdr:row>214</xdr:row>
      <xdr:rowOff>76199</xdr:rowOff>
    </xdr:from>
    <xdr:to>
      <xdr:col>11</xdr:col>
      <xdr:colOff>454049</xdr:colOff>
      <xdr:row>225</xdr:row>
      <xdr:rowOff>47625</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114300</xdr:colOff>
      <xdr:row>227</xdr:row>
      <xdr:rowOff>76199</xdr:rowOff>
    </xdr:from>
    <xdr:to>
      <xdr:col>11</xdr:col>
      <xdr:colOff>473100</xdr:colOff>
      <xdr:row>238</xdr:row>
      <xdr:rowOff>28349</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66675</xdr:colOff>
      <xdr:row>28</xdr:row>
      <xdr:rowOff>95250</xdr:rowOff>
    </xdr:from>
    <xdr:to>
      <xdr:col>12</xdr:col>
      <xdr:colOff>39450</xdr:colOff>
      <xdr:row>39</xdr:row>
      <xdr:rowOff>47475</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76200</xdr:colOff>
      <xdr:row>55</xdr:row>
      <xdr:rowOff>28575</xdr:rowOff>
    </xdr:from>
    <xdr:to>
      <xdr:col>12</xdr:col>
      <xdr:colOff>48975</xdr:colOff>
      <xdr:row>67</xdr:row>
      <xdr:rowOff>18900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133350</xdr:colOff>
      <xdr:row>154</xdr:row>
      <xdr:rowOff>142875</xdr:rowOff>
    </xdr:from>
    <xdr:to>
      <xdr:col>12</xdr:col>
      <xdr:colOff>106125</xdr:colOff>
      <xdr:row>165</xdr:row>
      <xdr:rowOff>161775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95250</xdr:colOff>
      <xdr:row>168</xdr:row>
      <xdr:rowOff>0</xdr:rowOff>
    </xdr:from>
    <xdr:to>
      <xdr:col>11</xdr:col>
      <xdr:colOff>485776</xdr:colOff>
      <xdr:row>178</xdr:row>
      <xdr:rowOff>219075</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104773</xdr:colOff>
      <xdr:row>129</xdr:row>
      <xdr:rowOff>76200</xdr:rowOff>
    </xdr:from>
    <xdr:to>
      <xdr:col>12</xdr:col>
      <xdr:colOff>200698</xdr:colOff>
      <xdr:row>141</xdr:row>
      <xdr:rowOff>142649</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6</xdr:col>
      <xdr:colOff>314325</xdr:colOff>
      <xdr:row>151</xdr:row>
      <xdr:rowOff>333375</xdr:rowOff>
    </xdr:from>
    <xdr:to>
      <xdr:col>8</xdr:col>
      <xdr:colOff>37982</xdr:colOff>
      <xdr:row>154</xdr:row>
      <xdr:rowOff>57100</xdr:rowOff>
    </xdr:to>
    <xdr:pic>
      <xdr:nvPicPr>
        <xdr:cNvPr id="3" name="Picture 2"/>
        <xdr:cNvPicPr>
          <a:picLocks noChangeAspect="1"/>
        </xdr:cNvPicPr>
      </xdr:nvPicPr>
      <xdr:blipFill>
        <a:blip xmlns:r="http://schemas.openxmlformats.org/officeDocument/2006/relationships" r:embed="rId21"/>
        <a:stretch>
          <a:fillRect/>
        </a:stretch>
      </xdr:blipFill>
      <xdr:spPr>
        <a:xfrm>
          <a:off x="3057525" y="26936700"/>
          <a:ext cx="942857" cy="400000"/>
        </a:xfrm>
        <a:prstGeom prst="rect">
          <a:avLst/>
        </a:prstGeom>
      </xdr:spPr>
    </xdr:pic>
    <xdr:clientData/>
  </xdr:twoCellAnchor>
  <xdr:twoCellAnchor editAs="oneCell">
    <xdr:from>
      <xdr:col>5</xdr:col>
      <xdr:colOff>161925</xdr:colOff>
      <xdr:row>81</xdr:row>
      <xdr:rowOff>28575</xdr:rowOff>
    </xdr:from>
    <xdr:to>
      <xdr:col>6</xdr:col>
      <xdr:colOff>599944</xdr:colOff>
      <xdr:row>84</xdr:row>
      <xdr:rowOff>0</xdr:rowOff>
    </xdr:to>
    <xdr:pic>
      <xdr:nvPicPr>
        <xdr:cNvPr id="2" name="Picture 1"/>
        <xdr:cNvPicPr>
          <a:picLocks noChangeAspect="1"/>
        </xdr:cNvPicPr>
      </xdr:nvPicPr>
      <xdr:blipFill>
        <a:blip xmlns:r="http://schemas.openxmlformats.org/officeDocument/2006/relationships" r:embed="rId22"/>
        <a:stretch>
          <a:fillRect/>
        </a:stretch>
      </xdr:blipFill>
      <xdr:spPr>
        <a:xfrm>
          <a:off x="2295525" y="14820900"/>
          <a:ext cx="1047619" cy="457200"/>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0.01486</cdr:x>
      <cdr:y>0.03175</cdr:y>
    </cdr:from>
    <cdr:to>
      <cdr:x>0.33506</cdr:x>
      <cdr:y>0.14288</cdr:y>
    </cdr:to>
    <cdr:sp macro="" textlink="">
      <cdr:nvSpPr>
        <cdr:cNvPr id="2" name="TextBox 1"/>
        <cdr:cNvSpPr txBox="1"/>
      </cdr:nvSpPr>
      <cdr:spPr>
        <a:xfrm xmlns:a="http://schemas.openxmlformats.org/drawingml/2006/main">
          <a:off x="85727" y="57150"/>
          <a:ext cx="18478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Suicide/Suicide%20Facts%202015/SuicideAutomated/Analysis/Template_20180612KeyPoints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ntents"/>
      <sheetName val="Overview"/>
      <sheetName val="Key findings"/>
      <sheetName val="AGE SEX"/>
      <sheetName val="DEPRIVATION"/>
      <sheetName val="METHODS"/>
      <sheetName val="DHB"/>
      <sheetName val="URBAN RURAL"/>
      <sheetName val="INTERNATIONAL"/>
      <sheetName val="MĀORI NON-MĀORI"/>
      <sheetName val="MĀORI DEPRIVATION"/>
      <sheetName val="MĀORI METHODS"/>
      <sheetName val="Data"/>
      <sheetName val="ref"/>
      <sheetName val="ETHNIC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4">
          <cell r="S4" t="str">
            <v>Maori</v>
          </cell>
        </row>
        <row r="22">
          <cell r="S22" t="str">
            <v>Maori</v>
          </cell>
          <cell r="T22" t="str">
            <v>Pacific</v>
          </cell>
          <cell r="U22" t="str">
            <v>Asian</v>
          </cell>
          <cell r="V22" t="str">
            <v>Other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https://www.health.govt.nz/nz-health-statistics/national-collections-and-surveys/collections/mortality-collection" TargetMode="External"/><Relationship Id="rId2" Type="http://schemas.openxmlformats.org/officeDocument/2006/relationships/hyperlink" Target="https://www.health.govt.nz/nz-health-statistics/health-statistics-and-data-sets/suicide-facts-deaths-and-intentional-self-harm-hospitalisations-series" TargetMode="External"/><Relationship Id="rId1" Type="http://schemas.openxmlformats.org/officeDocument/2006/relationships/hyperlink" Target="mailto:data-enquiries@moh.govt.nz"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http://www.health.govt.nz/" TargetMode="External"/><Relationship Id="rId7" Type="http://schemas.openxmlformats.org/officeDocument/2006/relationships/printerSettings" Target="../printerSettings/printerSettings13.bin"/><Relationship Id="rId2" Type="http://schemas.openxmlformats.org/officeDocument/2006/relationships/hyperlink" Target="mailto:enquiries@moh.govt.nz" TargetMode="External"/><Relationship Id="rId1" Type="http://schemas.openxmlformats.org/officeDocument/2006/relationships/hyperlink" Target="http://www.stats.govt.nz/" TargetMode="External"/><Relationship Id="rId6" Type="http://schemas.openxmlformats.org/officeDocument/2006/relationships/hyperlink" Target="https://www.health.govt.nz/about-ministry/corporate-publications/mental-health-annual-reports" TargetMode="External"/><Relationship Id="rId5" Type="http://schemas.openxmlformats.org/officeDocument/2006/relationships/hyperlink" Target="http://archive.stats.govt.nz/browse_for_stats/Maps_and_geography/Geographic-areas/urban-rural-profile.aspx" TargetMode="External"/><Relationship Id="rId4" Type="http://schemas.openxmlformats.org/officeDocument/2006/relationships/hyperlink" Target="https://www.health.govt.nz/our-work/mental-health-and-addictions/working-prevent-suicide"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2.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3"/>
  <sheetViews>
    <sheetView tabSelected="1" zoomScaleNormal="100" workbookViewId="0">
      <selection activeCell="E16" sqref="E16"/>
    </sheetView>
  </sheetViews>
  <sheetFormatPr defaultColWidth="9.140625" defaultRowHeight="12.75" x14ac:dyDescent="0.2"/>
  <cols>
    <col min="1" max="1" width="25" style="77" customWidth="1"/>
    <col min="2" max="2" width="9.140625" style="71"/>
    <col min="3" max="3" width="15.28515625" style="71" customWidth="1"/>
    <col min="4" max="14" width="9.140625" style="71"/>
    <col min="15" max="15" width="29.28515625" style="71" customWidth="1"/>
    <col min="16" max="16384" width="9.140625" style="71"/>
  </cols>
  <sheetData>
    <row r="2" spans="1:15" ht="13.5" customHeight="1" x14ac:dyDescent="0.2"/>
    <row r="7" spans="1:15" ht="15" x14ac:dyDescent="0.25">
      <c r="A7" s="77" t="s">
        <v>307</v>
      </c>
      <c r="B7" s="174" t="s">
        <v>325</v>
      </c>
      <c r="H7" s="5"/>
    </row>
    <row r="9" spans="1:15" ht="129.75" customHeight="1" x14ac:dyDescent="0.2">
      <c r="A9" s="175" t="s">
        <v>308</v>
      </c>
      <c r="B9" s="522" t="s">
        <v>629</v>
      </c>
      <c r="C9" s="523"/>
      <c r="D9" s="523"/>
      <c r="E9" s="523"/>
      <c r="F9" s="523"/>
      <c r="G9" s="523"/>
      <c r="H9" s="523"/>
      <c r="I9" s="523"/>
      <c r="J9" s="523"/>
      <c r="K9" s="523"/>
      <c r="L9" s="523"/>
      <c r="M9" s="523"/>
      <c r="N9" s="523"/>
      <c r="O9" s="523"/>
    </row>
    <row r="11" spans="1:15" x14ac:dyDescent="0.2">
      <c r="A11" s="77" t="s">
        <v>309</v>
      </c>
      <c r="B11" s="71" t="s">
        <v>310</v>
      </c>
    </row>
    <row r="13" spans="1:15" x14ac:dyDescent="0.2">
      <c r="A13" s="77" t="s">
        <v>146</v>
      </c>
      <c r="B13" s="71" t="s">
        <v>311</v>
      </c>
    </row>
    <row r="15" spans="1:15" x14ac:dyDescent="0.2">
      <c r="A15" s="77" t="s">
        <v>550</v>
      </c>
      <c r="B15" s="424" t="s">
        <v>551</v>
      </c>
    </row>
    <row r="17" spans="1:4" x14ac:dyDescent="0.2">
      <c r="A17" s="77" t="s">
        <v>312</v>
      </c>
      <c r="B17" s="425" t="s">
        <v>656</v>
      </c>
    </row>
    <row r="19" spans="1:4" x14ac:dyDescent="0.2">
      <c r="A19" s="77" t="s">
        <v>313</v>
      </c>
      <c r="B19" s="108" t="s">
        <v>314</v>
      </c>
    </row>
    <row r="20" spans="1:4" x14ac:dyDescent="0.2">
      <c r="B20" s="108" t="s">
        <v>149</v>
      </c>
    </row>
    <row r="23" spans="1:4" x14ac:dyDescent="0.2">
      <c r="B23" s="71" t="s">
        <v>315</v>
      </c>
    </row>
    <row r="24" spans="1:4" x14ac:dyDescent="0.2">
      <c r="B24" s="71" t="s">
        <v>316</v>
      </c>
    </row>
    <row r="26" spans="1:4" x14ac:dyDescent="0.2">
      <c r="C26" s="71" t="s">
        <v>317</v>
      </c>
      <c r="D26" s="71" t="s">
        <v>277</v>
      </c>
    </row>
    <row r="27" spans="1:4" x14ac:dyDescent="0.2">
      <c r="D27" s="71" t="s">
        <v>280</v>
      </c>
    </row>
    <row r="28" spans="1:4" x14ac:dyDescent="0.2">
      <c r="D28" s="71" t="s">
        <v>281</v>
      </c>
    </row>
    <row r="29" spans="1:4" x14ac:dyDescent="0.2">
      <c r="D29" s="71" t="s">
        <v>318</v>
      </c>
    </row>
    <row r="30" spans="1:4" x14ac:dyDescent="0.2">
      <c r="D30" s="71" t="s">
        <v>74</v>
      </c>
    </row>
    <row r="31" spans="1:4" x14ac:dyDescent="0.2">
      <c r="C31" s="71" t="s">
        <v>319</v>
      </c>
      <c r="D31" s="108" t="s">
        <v>320</v>
      </c>
    </row>
    <row r="32" spans="1:4" x14ac:dyDescent="0.2">
      <c r="C32" s="71" t="s">
        <v>321</v>
      </c>
      <c r="D32" s="71" t="s">
        <v>322</v>
      </c>
    </row>
    <row r="33" spans="3:4" x14ac:dyDescent="0.2">
      <c r="C33" s="71" t="s">
        <v>323</v>
      </c>
      <c r="D33" s="71" t="s">
        <v>324</v>
      </c>
    </row>
  </sheetData>
  <mergeCells count="1">
    <mergeCell ref="B9:O9"/>
  </mergeCells>
  <hyperlinks>
    <hyperlink ref="D31" r:id="rId1"/>
    <hyperlink ref="B19" r:id="rId2"/>
    <hyperlink ref="B20" r:id="rId3"/>
  </hyperlinks>
  <pageMargins left="0.7" right="0.7" top="0.75" bottom="0.75" header="0.3" footer="0.3"/>
  <pageSetup paperSize="9" scale="71" orientation="landscape"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G130"/>
  <sheetViews>
    <sheetView showGridLines="0" zoomScaleNormal="100" workbookViewId="0">
      <selection activeCell="N97" sqref="N97"/>
    </sheetView>
  </sheetViews>
  <sheetFormatPr defaultRowHeight="12.75" x14ac:dyDescent="0.2"/>
  <cols>
    <col min="1" max="1" width="5.28515625" style="54" customWidth="1"/>
    <col min="2" max="2" width="1.85546875" style="54" customWidth="1"/>
    <col min="3" max="3" width="6.140625" style="54" customWidth="1"/>
    <col min="4" max="5" width="9.140625" style="54"/>
    <col min="6" max="7" width="9.140625" style="54" customWidth="1"/>
    <col min="8" max="11" width="9.140625" style="54"/>
    <col min="12" max="12" width="10.42578125" style="54" customWidth="1"/>
    <col min="13" max="13" width="3.42578125" style="198" customWidth="1"/>
    <col min="14" max="14" width="10.42578125" style="198" customWidth="1"/>
    <col min="15" max="15" width="17.42578125" style="198" customWidth="1"/>
    <col min="16" max="16" width="11" style="54" customWidth="1"/>
    <col min="17" max="17" width="9.140625" style="54"/>
    <col min="18" max="18" width="11.28515625" style="54" customWidth="1"/>
    <col min="19" max="16384" width="9.140625" style="54"/>
  </cols>
  <sheetData>
    <row r="1" spans="2:29" x14ac:dyDescent="0.2">
      <c r="P1" s="131" t="s">
        <v>505</v>
      </c>
    </row>
    <row r="2" spans="2:29" ht="23.25" x14ac:dyDescent="0.35">
      <c r="C2" s="120" t="s">
        <v>353</v>
      </c>
    </row>
    <row r="3" spans="2:29" ht="12.75" customHeight="1" x14ac:dyDescent="0.35">
      <c r="C3" s="120"/>
    </row>
    <row r="4" spans="2:29" ht="25.5" customHeight="1" x14ac:dyDescent="0.2">
      <c r="C4" s="549" t="s">
        <v>584</v>
      </c>
      <c r="D4" s="523"/>
      <c r="E4" s="523"/>
      <c r="F4" s="523"/>
      <c r="G4" s="523"/>
      <c r="H4" s="523"/>
      <c r="I4" s="523"/>
      <c r="J4" s="523"/>
      <c r="K4" s="523"/>
      <c r="L4" s="523"/>
    </row>
    <row r="5" spans="2:29" ht="12.75" customHeight="1" x14ac:dyDescent="0.2">
      <c r="C5" s="549" t="s">
        <v>623</v>
      </c>
      <c r="D5" s="523"/>
      <c r="E5" s="523"/>
      <c r="F5" s="523"/>
      <c r="G5" s="523"/>
      <c r="H5" s="523"/>
      <c r="I5" s="523"/>
      <c r="J5" s="523"/>
      <c r="K5" s="523"/>
      <c r="L5" s="523"/>
    </row>
    <row r="6" spans="2:29" ht="12.75" customHeight="1" x14ac:dyDescent="0.2">
      <c r="C6" s="474"/>
      <c r="D6" s="471"/>
      <c r="E6" s="471"/>
      <c r="F6" s="471"/>
      <c r="G6" s="471"/>
      <c r="H6" s="471"/>
      <c r="I6" s="471"/>
      <c r="J6" s="471"/>
      <c r="K6" s="471"/>
      <c r="L6" s="471"/>
    </row>
    <row r="8" spans="2:29" x14ac:dyDescent="0.2">
      <c r="B8" s="101"/>
      <c r="C8" s="101"/>
      <c r="D8" s="101"/>
      <c r="E8" s="101"/>
      <c r="F8" s="101"/>
      <c r="G8" s="101"/>
      <c r="H8" s="101"/>
      <c r="I8" s="101"/>
      <c r="J8" s="101"/>
      <c r="K8" s="101"/>
      <c r="L8" s="101"/>
      <c r="M8" s="101"/>
    </row>
    <row r="9" spans="2:29" ht="15" x14ac:dyDescent="0.25">
      <c r="B9" s="101"/>
      <c r="C9" s="95" t="s">
        <v>458</v>
      </c>
      <c r="D9" s="95"/>
      <c r="E9" s="95"/>
      <c r="F9" s="95"/>
      <c r="G9" s="95"/>
      <c r="H9" s="95"/>
      <c r="I9" s="101"/>
      <c r="J9" s="101"/>
      <c r="K9" s="101"/>
      <c r="L9" s="101"/>
      <c r="M9" s="101"/>
    </row>
    <row r="10" spans="2:29" x14ac:dyDescent="0.2">
      <c r="B10" s="101"/>
      <c r="C10" s="101"/>
      <c r="D10" s="101"/>
      <c r="E10" s="101"/>
      <c r="F10" s="101"/>
      <c r="G10" s="101"/>
      <c r="H10" s="101"/>
      <c r="I10" s="101"/>
      <c r="J10" s="101"/>
      <c r="K10" s="101"/>
      <c r="L10" s="101"/>
      <c r="M10" s="101"/>
    </row>
    <row r="11" spans="2:29" ht="15" x14ac:dyDescent="0.25">
      <c r="B11" s="101"/>
      <c r="C11" s="101"/>
      <c r="D11" s="101"/>
      <c r="E11" s="101"/>
      <c r="F11" s="101"/>
      <c r="G11" s="101"/>
      <c r="H11" s="101"/>
      <c r="I11" s="101"/>
      <c r="J11" s="101"/>
      <c r="K11" s="101"/>
      <c r="L11" s="101"/>
      <c r="M11" s="101"/>
      <c r="P11" s="132" t="s">
        <v>486</v>
      </c>
    </row>
    <row r="12" spans="2:29" x14ac:dyDescent="0.2">
      <c r="B12" s="101"/>
      <c r="C12" s="101"/>
      <c r="D12" s="101"/>
      <c r="E12" s="101"/>
      <c r="F12" s="101"/>
      <c r="G12" s="101"/>
      <c r="H12" s="101"/>
      <c r="I12" s="101"/>
      <c r="J12" s="101"/>
      <c r="K12" s="101"/>
      <c r="L12" s="101"/>
      <c r="M12" s="101"/>
      <c r="Q12" s="24"/>
      <c r="R12" s="24"/>
      <c r="S12" s="24"/>
    </row>
    <row r="13" spans="2:29" x14ac:dyDescent="0.2">
      <c r="B13" s="101"/>
      <c r="C13" s="101"/>
      <c r="D13" s="101"/>
      <c r="E13" s="101"/>
      <c r="F13" s="101"/>
      <c r="G13" s="101"/>
      <c r="H13" s="101"/>
      <c r="I13" s="101"/>
      <c r="J13" s="101"/>
      <c r="K13" s="101"/>
      <c r="L13" s="101"/>
      <c r="M13" s="101"/>
      <c r="P13" s="22" t="s">
        <v>1</v>
      </c>
      <c r="Q13" s="22" t="s">
        <v>98</v>
      </c>
      <c r="R13" s="22" t="s">
        <v>111</v>
      </c>
      <c r="S13" s="24"/>
      <c r="T13" s="22">
        <v>2006</v>
      </c>
      <c r="U13" s="22">
        <v>2007</v>
      </c>
      <c r="V13" s="22">
        <v>2008</v>
      </c>
      <c r="W13" s="22">
        <v>2009</v>
      </c>
      <c r="X13" s="22">
        <v>2010</v>
      </c>
      <c r="Y13" s="22">
        <v>2011</v>
      </c>
      <c r="Z13" s="22">
        <v>2012</v>
      </c>
      <c r="AA13" s="22">
        <v>2013</v>
      </c>
      <c r="AB13" s="22">
        <v>2014</v>
      </c>
      <c r="AC13" s="22">
        <v>2015</v>
      </c>
    </row>
    <row r="14" spans="2:29" x14ac:dyDescent="0.2">
      <c r="B14" s="101"/>
      <c r="C14" s="101"/>
      <c r="D14" s="101"/>
      <c r="E14" s="101"/>
      <c r="F14" s="101"/>
      <c r="G14" s="101"/>
      <c r="H14" s="101"/>
      <c r="I14" s="101"/>
      <c r="J14" s="101"/>
      <c r="K14" s="101"/>
      <c r="L14" s="101"/>
      <c r="M14" s="101"/>
      <c r="P14" s="24"/>
      <c r="Q14" s="24"/>
      <c r="R14" s="24"/>
      <c r="S14" s="24"/>
      <c r="T14" s="24"/>
      <c r="U14" s="24"/>
      <c r="V14" s="24"/>
      <c r="W14" s="24"/>
      <c r="X14" s="24"/>
      <c r="Y14" s="24"/>
      <c r="Z14" s="24"/>
      <c r="AA14" s="24"/>
      <c r="AB14" s="24"/>
      <c r="AC14" s="24"/>
    </row>
    <row r="15" spans="2:29" x14ac:dyDescent="0.2">
      <c r="B15" s="101"/>
      <c r="C15" s="101"/>
      <c r="D15" s="101"/>
      <c r="E15" s="101"/>
      <c r="F15" s="101"/>
      <c r="G15" s="101"/>
      <c r="H15" s="101"/>
      <c r="I15" s="101"/>
      <c r="J15" s="101"/>
      <c r="K15" s="101"/>
      <c r="L15" s="101"/>
      <c r="M15" s="101"/>
      <c r="P15" s="25" t="s">
        <v>0</v>
      </c>
      <c r="Q15" s="25" t="s">
        <v>9</v>
      </c>
      <c r="R15" s="25" t="s">
        <v>96</v>
      </c>
      <c r="S15" s="25" t="s">
        <v>21</v>
      </c>
      <c r="T15" s="24">
        <f t="shared" ref="T15:AC15" si="0">VLOOKUP(T$13&amp;"AllSex"&amp;"Rural"&amp;19,URtable,6,FALSE)</f>
        <v>83</v>
      </c>
      <c r="U15" s="24">
        <f t="shared" si="0"/>
        <v>78</v>
      </c>
      <c r="V15" s="24">
        <f t="shared" si="0"/>
        <v>87</v>
      </c>
      <c r="W15" s="24">
        <f t="shared" si="0"/>
        <v>71</v>
      </c>
      <c r="X15" s="24">
        <f t="shared" si="0"/>
        <v>94</v>
      </c>
      <c r="Y15" s="24">
        <f t="shared" si="0"/>
        <v>80</v>
      </c>
      <c r="Z15" s="24">
        <f t="shared" si="0"/>
        <v>85</v>
      </c>
      <c r="AA15" s="24">
        <f t="shared" si="0"/>
        <v>79</v>
      </c>
      <c r="AB15" s="24">
        <f t="shared" si="0"/>
        <v>70</v>
      </c>
      <c r="AC15" s="24">
        <f t="shared" si="0"/>
        <v>89</v>
      </c>
    </row>
    <row r="16" spans="2:29" x14ac:dyDescent="0.2">
      <c r="B16" s="101"/>
      <c r="C16" s="101"/>
      <c r="D16" s="101"/>
      <c r="E16" s="101"/>
      <c r="F16" s="101"/>
      <c r="G16" s="101"/>
      <c r="H16" s="101"/>
      <c r="I16" s="101"/>
      <c r="J16" s="101"/>
      <c r="K16" s="101"/>
      <c r="L16" s="101"/>
      <c r="M16" s="101"/>
      <c r="P16" s="25" t="s">
        <v>20</v>
      </c>
      <c r="Q16" s="25" t="s">
        <v>9</v>
      </c>
      <c r="R16" s="25" t="s">
        <v>96</v>
      </c>
      <c r="S16" s="25"/>
      <c r="T16" s="24">
        <f t="shared" ref="T16:AC16" si="1">VLOOKUP(T$13&amp;"Male"&amp;"Rural"&amp;19,URtable,6,FALSE)</f>
        <v>71</v>
      </c>
      <c r="U16" s="24">
        <f t="shared" si="1"/>
        <v>63</v>
      </c>
      <c r="V16" s="24">
        <f t="shared" si="1"/>
        <v>73</v>
      </c>
      <c r="W16" s="24">
        <f t="shared" si="1"/>
        <v>63</v>
      </c>
      <c r="X16" s="24">
        <f t="shared" si="1"/>
        <v>80</v>
      </c>
      <c r="Y16" s="24">
        <f t="shared" si="1"/>
        <v>67</v>
      </c>
      <c r="Z16" s="24">
        <f t="shared" si="1"/>
        <v>63</v>
      </c>
      <c r="AA16" s="24">
        <f t="shared" si="1"/>
        <v>55</v>
      </c>
      <c r="AB16" s="24">
        <f t="shared" si="1"/>
        <v>49</v>
      </c>
      <c r="AC16" s="24">
        <f t="shared" si="1"/>
        <v>65</v>
      </c>
    </row>
    <row r="17" spans="2:33" x14ac:dyDescent="0.2">
      <c r="B17" s="101"/>
      <c r="C17" s="101"/>
      <c r="D17" s="101"/>
      <c r="E17" s="101"/>
      <c r="F17" s="101"/>
      <c r="G17" s="101"/>
      <c r="H17" s="101"/>
      <c r="I17" s="101"/>
      <c r="J17" s="101"/>
      <c r="K17" s="101"/>
      <c r="L17" s="101"/>
      <c r="M17" s="101"/>
      <c r="P17" s="25" t="s">
        <v>8</v>
      </c>
      <c r="Q17" s="25" t="s">
        <v>9</v>
      </c>
      <c r="R17" s="25" t="s">
        <v>96</v>
      </c>
      <c r="S17" s="25"/>
      <c r="T17" s="24">
        <f t="shared" ref="T17:AC17" si="2">VLOOKUP(T$13&amp;"Female"&amp;"Rural"&amp;19,URtable,6,FALSE)</f>
        <v>12</v>
      </c>
      <c r="U17" s="24">
        <f t="shared" si="2"/>
        <v>15</v>
      </c>
      <c r="V17" s="24">
        <f t="shared" si="2"/>
        <v>14</v>
      </c>
      <c r="W17" s="24">
        <f t="shared" si="2"/>
        <v>8</v>
      </c>
      <c r="X17" s="24">
        <f t="shared" si="2"/>
        <v>14</v>
      </c>
      <c r="Y17" s="24">
        <f t="shared" si="2"/>
        <v>13</v>
      </c>
      <c r="Z17" s="24">
        <f t="shared" si="2"/>
        <v>22</v>
      </c>
      <c r="AA17" s="24">
        <f t="shared" si="2"/>
        <v>24</v>
      </c>
      <c r="AB17" s="24">
        <f t="shared" si="2"/>
        <v>21</v>
      </c>
      <c r="AC17" s="24">
        <f t="shared" si="2"/>
        <v>24</v>
      </c>
    </row>
    <row r="18" spans="2:33" x14ac:dyDescent="0.2">
      <c r="B18" s="101"/>
      <c r="C18" s="101"/>
      <c r="D18" s="101"/>
      <c r="E18" s="101"/>
      <c r="F18" s="101"/>
      <c r="G18" s="101"/>
      <c r="H18" s="101"/>
      <c r="I18" s="101"/>
      <c r="J18" s="101"/>
      <c r="K18" s="101"/>
      <c r="L18" s="101"/>
      <c r="M18" s="101"/>
      <c r="P18" s="28"/>
      <c r="Q18" s="28"/>
      <c r="R18" s="28"/>
      <c r="S18" s="28"/>
      <c r="T18" s="26"/>
      <c r="U18" s="26"/>
      <c r="V18" s="26"/>
      <c r="W18" s="26"/>
      <c r="X18" s="26"/>
      <c r="Y18" s="26"/>
      <c r="Z18" s="26"/>
      <c r="AA18" s="26"/>
      <c r="AB18" s="26"/>
      <c r="AC18" s="26"/>
    </row>
    <row r="19" spans="2:33" x14ac:dyDescent="0.2">
      <c r="B19" s="101"/>
      <c r="C19" s="101"/>
      <c r="D19" s="101"/>
      <c r="E19" s="101"/>
      <c r="F19" s="101"/>
      <c r="G19" s="101"/>
      <c r="H19" s="101"/>
      <c r="I19" s="101"/>
      <c r="J19" s="101"/>
      <c r="K19" s="101"/>
      <c r="L19" s="101"/>
      <c r="M19" s="101"/>
      <c r="P19" s="25" t="s">
        <v>0</v>
      </c>
      <c r="Q19" s="25" t="s">
        <v>9</v>
      </c>
      <c r="R19" s="25" t="s">
        <v>97</v>
      </c>
      <c r="S19" s="25" t="s">
        <v>21</v>
      </c>
      <c r="T19" s="24">
        <f t="shared" ref="T19:AC19" si="3">VLOOKUP(T$13&amp;"AllSex"&amp;"Urban"&amp;19,URtable,6,FALSE)</f>
        <v>435</v>
      </c>
      <c r="U19" s="24">
        <f t="shared" si="3"/>
        <v>420</v>
      </c>
      <c r="V19" s="24">
        <f t="shared" si="3"/>
        <v>424</v>
      </c>
      <c r="W19" s="24">
        <f t="shared" si="3"/>
        <v>438</v>
      </c>
      <c r="X19" s="24">
        <f t="shared" si="3"/>
        <v>434</v>
      </c>
      <c r="Y19" s="24">
        <f t="shared" si="3"/>
        <v>413</v>
      </c>
      <c r="Z19" s="24">
        <f t="shared" si="3"/>
        <v>462</v>
      </c>
      <c r="AA19" s="24">
        <f t="shared" si="3"/>
        <v>434</v>
      </c>
      <c r="AB19" s="24">
        <f t="shared" si="3"/>
        <v>433</v>
      </c>
      <c r="AC19" s="24">
        <f t="shared" si="3"/>
        <v>435</v>
      </c>
    </row>
    <row r="20" spans="2:33" x14ac:dyDescent="0.2">
      <c r="B20" s="101"/>
      <c r="C20" s="101"/>
      <c r="D20" s="101"/>
      <c r="E20" s="101"/>
      <c r="F20" s="101"/>
      <c r="G20" s="101"/>
      <c r="H20" s="101"/>
      <c r="I20" s="101"/>
      <c r="J20" s="101"/>
      <c r="K20" s="101"/>
      <c r="L20" s="101"/>
      <c r="M20" s="101"/>
      <c r="P20" s="25" t="s">
        <v>20</v>
      </c>
      <c r="Q20" s="25" t="s">
        <v>9</v>
      </c>
      <c r="R20" s="25" t="s">
        <v>97</v>
      </c>
      <c r="S20" s="25"/>
      <c r="T20" s="24">
        <f t="shared" ref="T20:AC20" si="4">VLOOKUP(T$13&amp;"Male"&amp;"Urban"&amp;19,URtable,6,FALSE)</f>
        <v>311</v>
      </c>
      <c r="U20" s="24">
        <f t="shared" si="4"/>
        <v>315</v>
      </c>
      <c r="V20" s="24">
        <f t="shared" si="4"/>
        <v>301</v>
      </c>
      <c r="W20" s="24">
        <f t="shared" si="4"/>
        <v>329</v>
      </c>
      <c r="X20" s="24">
        <f t="shared" si="4"/>
        <v>301</v>
      </c>
      <c r="Y20" s="24">
        <f t="shared" si="4"/>
        <v>309</v>
      </c>
      <c r="Z20" s="24">
        <f t="shared" si="4"/>
        <v>340</v>
      </c>
      <c r="AA20" s="24">
        <f t="shared" si="4"/>
        <v>310</v>
      </c>
      <c r="AB20" s="24">
        <f t="shared" si="4"/>
        <v>325</v>
      </c>
      <c r="AC20" s="24">
        <f t="shared" si="4"/>
        <v>317</v>
      </c>
    </row>
    <row r="21" spans="2:33" x14ac:dyDescent="0.2">
      <c r="B21" s="101"/>
      <c r="C21" s="101"/>
      <c r="D21" s="101"/>
      <c r="E21" s="101"/>
      <c r="F21" s="101"/>
      <c r="G21" s="101"/>
      <c r="H21" s="101"/>
      <c r="I21" s="101"/>
      <c r="J21" s="101"/>
      <c r="K21" s="101"/>
      <c r="L21" s="101"/>
      <c r="M21" s="101"/>
      <c r="P21" s="25" t="s">
        <v>8</v>
      </c>
      <c r="Q21" s="25" t="s">
        <v>9</v>
      </c>
      <c r="R21" s="25" t="s">
        <v>97</v>
      </c>
      <c r="S21" s="25"/>
      <c r="T21" s="24">
        <f t="shared" ref="T21:AC21" si="5">VLOOKUP(T$13&amp;"Female"&amp;"Urban"&amp;19,URtable,6,FALSE)</f>
        <v>124</v>
      </c>
      <c r="U21" s="24">
        <f t="shared" si="5"/>
        <v>105</v>
      </c>
      <c r="V21" s="24">
        <f t="shared" si="5"/>
        <v>123</v>
      </c>
      <c r="W21" s="24">
        <f t="shared" si="5"/>
        <v>109</v>
      </c>
      <c r="X21" s="24">
        <f t="shared" si="5"/>
        <v>133</v>
      </c>
      <c r="Y21" s="24">
        <f t="shared" si="5"/>
        <v>104</v>
      </c>
      <c r="Z21" s="24">
        <f t="shared" si="5"/>
        <v>122</v>
      </c>
      <c r="AA21" s="24">
        <f t="shared" si="5"/>
        <v>124</v>
      </c>
      <c r="AB21" s="24">
        <f t="shared" si="5"/>
        <v>108</v>
      </c>
      <c r="AC21" s="24">
        <f t="shared" si="5"/>
        <v>118</v>
      </c>
    </row>
    <row r="22" spans="2:33" x14ac:dyDescent="0.2">
      <c r="B22" s="101"/>
      <c r="C22" s="101"/>
      <c r="D22" s="101"/>
      <c r="E22" s="101"/>
      <c r="F22" s="101"/>
      <c r="G22" s="101"/>
      <c r="H22" s="101"/>
      <c r="I22" s="101"/>
      <c r="J22" s="101"/>
      <c r="K22" s="101"/>
      <c r="L22" s="101"/>
      <c r="M22" s="101"/>
      <c r="P22" s="28"/>
      <c r="Q22" s="28"/>
      <c r="R22" s="28"/>
      <c r="S22" s="28"/>
      <c r="T22" s="26"/>
      <c r="U22" s="26"/>
      <c r="V22" s="26"/>
      <c r="W22" s="26"/>
      <c r="X22" s="26"/>
      <c r="Y22" s="26"/>
      <c r="Z22" s="26"/>
      <c r="AA22" s="26"/>
      <c r="AB22" s="26"/>
      <c r="AC22" s="26"/>
    </row>
    <row r="23" spans="2:33" ht="15" x14ac:dyDescent="0.25">
      <c r="B23" s="101"/>
      <c r="C23" s="95" t="s">
        <v>459</v>
      </c>
      <c r="D23" s="101"/>
      <c r="E23" s="101"/>
      <c r="F23" s="101"/>
      <c r="G23" s="101"/>
      <c r="H23" s="101"/>
      <c r="I23" s="101"/>
      <c r="J23" s="101"/>
      <c r="K23" s="101"/>
      <c r="L23" s="101"/>
      <c r="M23" s="101"/>
      <c r="P23" s="24" t="s">
        <v>0</v>
      </c>
      <c r="Q23" s="56" t="s">
        <v>9</v>
      </c>
      <c r="R23" s="56" t="s">
        <v>110</v>
      </c>
      <c r="S23" s="56" t="s">
        <v>21</v>
      </c>
      <c r="T23" s="57">
        <v>6</v>
      </c>
      <c r="U23" s="57">
        <v>3</v>
      </c>
      <c r="V23" s="57">
        <v>7</v>
      </c>
      <c r="W23" s="57">
        <v>3</v>
      </c>
      <c r="X23" s="57">
        <v>6</v>
      </c>
      <c r="Y23" s="57">
        <v>1</v>
      </c>
      <c r="Z23" s="57">
        <v>3</v>
      </c>
      <c r="AA23" s="57">
        <v>1</v>
      </c>
      <c r="AB23" s="57">
        <v>6</v>
      </c>
      <c r="AC23" s="57">
        <v>1</v>
      </c>
    </row>
    <row r="24" spans="2:33" x14ac:dyDescent="0.2">
      <c r="B24" s="101"/>
      <c r="C24" s="101"/>
      <c r="D24" s="101"/>
      <c r="E24" s="101"/>
      <c r="F24" s="101"/>
      <c r="G24" s="101"/>
      <c r="H24" s="101"/>
      <c r="I24" s="101"/>
      <c r="J24" s="101"/>
      <c r="K24" s="101"/>
      <c r="L24" s="101"/>
      <c r="M24" s="101"/>
      <c r="P24" s="28"/>
      <c r="Q24" s="31"/>
      <c r="R24" s="31"/>
      <c r="S24" s="31"/>
      <c r="T24" s="30"/>
      <c r="U24" s="30"/>
      <c r="V24" s="30"/>
      <c r="W24" s="30"/>
      <c r="X24" s="30"/>
      <c r="Y24" s="30"/>
      <c r="Z24" s="30"/>
      <c r="AA24" s="30"/>
      <c r="AB24" s="30"/>
      <c r="AC24" s="30"/>
    </row>
    <row r="25" spans="2:33" x14ac:dyDescent="0.2">
      <c r="B25" s="101"/>
      <c r="C25" s="101"/>
      <c r="D25" s="101"/>
      <c r="E25" s="101"/>
      <c r="F25" s="101"/>
      <c r="G25" s="101"/>
      <c r="H25" s="101"/>
      <c r="I25" s="101"/>
      <c r="J25" s="101"/>
      <c r="K25" s="101"/>
      <c r="L25" s="101"/>
      <c r="M25" s="101"/>
      <c r="P25" s="25" t="s">
        <v>0</v>
      </c>
      <c r="Q25" s="25" t="s">
        <v>9</v>
      </c>
      <c r="R25" s="25" t="s">
        <v>96</v>
      </c>
      <c r="S25" s="25" t="s">
        <v>22</v>
      </c>
      <c r="T25" s="27">
        <f t="shared" ref="T25:AC25" si="6">VLOOKUP(T$13&amp;"AllSex"&amp;"Rural"&amp;19,URtable,7,FALSE)</f>
        <v>16.104700562699598</v>
      </c>
      <c r="U25" s="27">
        <f t="shared" si="6"/>
        <v>14.242406423759199</v>
      </c>
      <c r="V25" s="27">
        <f t="shared" si="6"/>
        <v>15.9554257560563</v>
      </c>
      <c r="W25" s="27">
        <f t="shared" si="6"/>
        <v>12.661821293405801</v>
      </c>
      <c r="X25" s="27">
        <f t="shared" si="6"/>
        <v>16.001422327261199</v>
      </c>
      <c r="Y25" s="27">
        <f t="shared" si="6"/>
        <v>13.0281155961354</v>
      </c>
      <c r="Z25" s="27">
        <f t="shared" si="6"/>
        <v>13.8861187454839</v>
      </c>
      <c r="AA25" s="27">
        <f t="shared" si="6"/>
        <v>12.778557565856</v>
      </c>
      <c r="AB25" s="27">
        <f t="shared" si="6"/>
        <v>10.6709764977776</v>
      </c>
      <c r="AC25" s="27">
        <f t="shared" si="6"/>
        <v>13.3916304390118</v>
      </c>
      <c r="AG25" s="99"/>
    </row>
    <row r="26" spans="2:33" x14ac:dyDescent="0.2">
      <c r="B26" s="101"/>
      <c r="C26" s="101"/>
      <c r="D26" s="101"/>
      <c r="E26" s="101"/>
      <c r="F26" s="101"/>
      <c r="G26" s="101"/>
      <c r="H26" s="101"/>
      <c r="I26" s="101"/>
      <c r="J26" s="101"/>
      <c r="K26" s="101"/>
      <c r="L26" s="101"/>
      <c r="M26" s="101"/>
      <c r="P26" s="25" t="s">
        <v>20</v>
      </c>
      <c r="Q26" s="25" t="s">
        <v>9</v>
      </c>
      <c r="R26" s="25" t="s">
        <v>96</v>
      </c>
      <c r="S26" s="25"/>
      <c r="T26" s="27">
        <f t="shared" ref="T26:AC26" si="7">VLOOKUP(T$13&amp;"Male"&amp;"Rural"&amp;19,URtable,7,FALSE)</f>
        <v>26.870836571005299</v>
      </c>
      <c r="U26" s="27">
        <f t="shared" si="7"/>
        <v>22.669213241315301</v>
      </c>
      <c r="V26" s="27">
        <f t="shared" si="7"/>
        <v>26.472899772027301</v>
      </c>
      <c r="W26" s="27">
        <f t="shared" si="7"/>
        <v>21.088183746651701</v>
      </c>
      <c r="X26" s="27">
        <f t="shared" si="7"/>
        <v>26.602020536097399</v>
      </c>
      <c r="Y26" s="27">
        <f t="shared" si="7"/>
        <v>22.2250104700599</v>
      </c>
      <c r="Z26" s="27">
        <f t="shared" si="7"/>
        <v>19.651402276074499</v>
      </c>
      <c r="AA26" s="27">
        <f t="shared" si="7"/>
        <v>16.7790221650707</v>
      </c>
      <c r="AB26" s="27">
        <f t="shared" si="7"/>
        <v>15.5568380484409</v>
      </c>
      <c r="AC26" s="27">
        <f t="shared" si="7"/>
        <v>19.339055884921901</v>
      </c>
    </row>
    <row r="27" spans="2:33" x14ac:dyDescent="0.2">
      <c r="B27" s="101"/>
      <c r="C27" s="101"/>
      <c r="D27" s="101"/>
      <c r="E27" s="101"/>
      <c r="F27" s="101"/>
      <c r="G27" s="101"/>
      <c r="H27" s="101"/>
      <c r="I27" s="101"/>
      <c r="J27" s="101"/>
      <c r="K27" s="101"/>
      <c r="L27" s="101"/>
      <c r="M27" s="101"/>
      <c r="P27" s="25" t="s">
        <v>8</v>
      </c>
      <c r="Q27" s="25" t="s">
        <v>9</v>
      </c>
      <c r="R27" s="25" t="s">
        <v>96</v>
      </c>
      <c r="S27" s="25"/>
      <c r="T27" s="27">
        <f t="shared" ref="T27:AC27" si="8">VLOOKUP(T$13&amp;"Female"&amp;"Rural"&amp;19,URtable,7,FALSE)</f>
        <v>4.6246622517546001</v>
      </c>
      <c r="U27" s="27">
        <f t="shared" si="8"/>
        <v>5.4336190062585397</v>
      </c>
      <c r="V27" s="27">
        <f t="shared" si="8"/>
        <v>4.8492866085801296</v>
      </c>
      <c r="W27" s="27">
        <f t="shared" si="8"/>
        <v>3.7653504454407498</v>
      </c>
      <c r="X27" s="27">
        <f t="shared" si="8"/>
        <v>4.65537787927064</v>
      </c>
      <c r="Y27" s="27">
        <f t="shared" si="8"/>
        <v>3.5117478579800698</v>
      </c>
      <c r="Z27" s="27">
        <f t="shared" si="8"/>
        <v>7.9779554412925799</v>
      </c>
      <c r="AA27" s="27">
        <f t="shared" si="8"/>
        <v>8.7943398467877394</v>
      </c>
      <c r="AB27" s="27">
        <f t="shared" si="8"/>
        <v>5.5406863993035502</v>
      </c>
      <c r="AC27" s="27">
        <f t="shared" si="8"/>
        <v>7.3548338217857703</v>
      </c>
    </row>
    <row r="28" spans="2:33" x14ac:dyDescent="0.2">
      <c r="B28" s="101"/>
      <c r="C28" s="101"/>
      <c r="D28" s="101"/>
      <c r="E28" s="101"/>
      <c r="F28" s="101"/>
      <c r="G28" s="101"/>
      <c r="H28" s="101"/>
      <c r="I28" s="101"/>
      <c r="J28" s="101"/>
      <c r="K28" s="101"/>
      <c r="L28" s="101"/>
      <c r="M28" s="101"/>
      <c r="P28" s="28"/>
      <c r="Q28" s="28"/>
      <c r="R28" s="28"/>
      <c r="S28" s="28"/>
      <c r="T28" s="26"/>
      <c r="U28" s="26"/>
      <c r="V28" s="26"/>
      <c r="W28" s="26"/>
      <c r="X28" s="26"/>
      <c r="Y28" s="26"/>
      <c r="Z28" s="26"/>
      <c r="AA28" s="26"/>
      <c r="AB28" s="26"/>
      <c r="AC28" s="26"/>
    </row>
    <row r="29" spans="2:33" x14ac:dyDescent="0.2">
      <c r="B29" s="101"/>
      <c r="C29" s="101"/>
      <c r="D29" s="101"/>
      <c r="E29" s="101"/>
      <c r="F29" s="101"/>
      <c r="G29" s="101"/>
      <c r="H29" s="101"/>
      <c r="I29" s="101"/>
      <c r="J29" s="101"/>
      <c r="K29" s="101"/>
      <c r="L29" s="101"/>
      <c r="M29" s="101"/>
      <c r="P29" s="25" t="s">
        <v>0</v>
      </c>
      <c r="Q29" s="25" t="s">
        <v>9</v>
      </c>
      <c r="R29" s="25" t="s">
        <v>97</v>
      </c>
      <c r="S29" s="25" t="s">
        <v>22</v>
      </c>
      <c r="T29" s="27">
        <f t="shared" ref="T29:AC29" si="9">VLOOKUP(T$13&amp;"AllSex"&amp;"Urban"&amp;19,URtable,7,FALSE)</f>
        <v>11.6470905503125</v>
      </c>
      <c r="U29" s="27">
        <f t="shared" si="9"/>
        <v>11.0358390108014</v>
      </c>
      <c r="V29" s="27">
        <f t="shared" si="9"/>
        <v>11.1776130287529</v>
      </c>
      <c r="W29" s="27">
        <f t="shared" si="9"/>
        <v>11.3576105512283</v>
      </c>
      <c r="X29" s="27">
        <f t="shared" si="9"/>
        <v>11.2105392394219</v>
      </c>
      <c r="Y29" s="27">
        <f t="shared" si="9"/>
        <v>10.795139141412101</v>
      </c>
      <c r="Z29" s="27">
        <f t="shared" si="9"/>
        <v>12.011479006506899</v>
      </c>
      <c r="AA29" s="27">
        <f t="shared" si="9"/>
        <v>10.8218115430035</v>
      </c>
      <c r="AB29" s="27">
        <f t="shared" si="9"/>
        <v>10.661562054914199</v>
      </c>
      <c r="AC29" s="27">
        <f t="shared" si="9"/>
        <v>10.6722962982372</v>
      </c>
    </row>
    <row r="30" spans="2:33" x14ac:dyDescent="0.2">
      <c r="B30" s="101"/>
      <c r="C30" s="101"/>
      <c r="D30" s="101"/>
      <c r="E30" s="101"/>
      <c r="F30" s="101"/>
      <c r="G30" s="101"/>
      <c r="H30" s="101"/>
      <c r="I30" s="101"/>
      <c r="J30" s="101"/>
      <c r="K30" s="101"/>
      <c r="L30" s="101"/>
      <c r="M30" s="101"/>
      <c r="P30" s="25" t="s">
        <v>20</v>
      </c>
      <c r="Q30" s="25" t="s">
        <v>9</v>
      </c>
      <c r="R30" s="25" t="s">
        <v>97</v>
      </c>
      <c r="S30" s="25"/>
      <c r="T30" s="27">
        <f t="shared" ref="T30:AC30" si="10">VLOOKUP(T$13&amp;"Male"&amp;"Urban"&amp;19,URtable,7,FALSE)</f>
        <v>17.2562238642364</v>
      </c>
      <c r="U30" s="27">
        <f t="shared" si="10"/>
        <v>17.326727470575801</v>
      </c>
      <c r="V30" s="27">
        <f t="shared" si="10"/>
        <v>16.357413650779002</v>
      </c>
      <c r="W30" s="27">
        <f t="shared" si="10"/>
        <v>17.784069062315101</v>
      </c>
      <c r="X30" s="27">
        <f t="shared" si="10"/>
        <v>16.018934411449798</v>
      </c>
      <c r="Y30" s="27">
        <f t="shared" si="10"/>
        <v>16.642211286059698</v>
      </c>
      <c r="Z30" s="27">
        <f t="shared" si="10"/>
        <v>18.321223631494401</v>
      </c>
      <c r="AA30" s="27">
        <f t="shared" si="10"/>
        <v>15.803822535594</v>
      </c>
      <c r="AB30" s="27">
        <f t="shared" si="10"/>
        <v>16.446662424916799</v>
      </c>
      <c r="AC30" s="27">
        <f t="shared" si="10"/>
        <v>15.8729723584044</v>
      </c>
    </row>
    <row r="31" spans="2:33" x14ac:dyDescent="0.2">
      <c r="B31" s="101"/>
      <c r="C31" s="101"/>
      <c r="D31" s="101"/>
      <c r="E31" s="101"/>
      <c r="F31" s="101"/>
      <c r="G31" s="101"/>
      <c r="H31" s="101"/>
      <c r="I31" s="101"/>
      <c r="J31" s="101"/>
      <c r="K31" s="101"/>
      <c r="L31" s="101"/>
      <c r="M31" s="101"/>
      <c r="P31" s="25" t="s">
        <v>8</v>
      </c>
      <c r="Q31" s="25" t="s">
        <v>9</v>
      </c>
      <c r="R31" s="25" t="s">
        <v>97</v>
      </c>
      <c r="S31" s="25"/>
      <c r="T31" s="27">
        <f t="shared" ref="T31:AC31" si="11">VLOOKUP(T$13&amp;"Female"&amp;"Urban"&amp;19,URtable,7,FALSE)</f>
        <v>6.40745337685357</v>
      </c>
      <c r="U31" s="27">
        <f t="shared" si="11"/>
        <v>5.1735806107572904</v>
      </c>
      <c r="V31" s="27">
        <f t="shared" si="11"/>
        <v>6.3795738477370199</v>
      </c>
      <c r="W31" s="27">
        <f t="shared" si="11"/>
        <v>5.3823058570931703</v>
      </c>
      <c r="X31" s="27">
        <f t="shared" si="11"/>
        <v>6.8063565837858899</v>
      </c>
      <c r="Y31" s="27">
        <f t="shared" si="11"/>
        <v>5.31937464634004</v>
      </c>
      <c r="Z31" s="27">
        <f t="shared" si="11"/>
        <v>6.09130408691549</v>
      </c>
      <c r="AA31" s="27">
        <f t="shared" si="11"/>
        <v>6.2559324705276298</v>
      </c>
      <c r="AB31" s="27">
        <f t="shared" si="11"/>
        <v>5.2699484796557003</v>
      </c>
      <c r="AC31" s="27">
        <f t="shared" si="11"/>
        <v>5.8032949481744804</v>
      </c>
    </row>
    <row r="32" spans="2:33" x14ac:dyDescent="0.2">
      <c r="B32" s="101"/>
      <c r="C32" s="101"/>
      <c r="D32" s="101"/>
      <c r="E32" s="101"/>
      <c r="F32" s="101"/>
      <c r="G32" s="101"/>
      <c r="H32" s="101"/>
      <c r="I32" s="101"/>
      <c r="J32" s="101"/>
      <c r="K32" s="101"/>
      <c r="L32" s="101"/>
      <c r="M32" s="101"/>
      <c r="P32" s="137"/>
      <c r="Q32" s="137"/>
      <c r="R32" s="137"/>
      <c r="S32" s="137"/>
      <c r="T32" s="137"/>
      <c r="U32" s="137"/>
      <c r="V32" s="137"/>
      <c r="W32" s="137"/>
      <c r="X32" s="137"/>
      <c r="Y32" s="137"/>
      <c r="Z32" s="137"/>
      <c r="AA32" s="137"/>
      <c r="AB32" s="137"/>
      <c r="AC32" s="137"/>
      <c r="AD32" s="137"/>
      <c r="AE32" s="137"/>
      <c r="AF32" s="137"/>
    </row>
    <row r="33" spans="2:32" x14ac:dyDescent="0.2">
      <c r="B33" s="101"/>
      <c r="C33" s="101"/>
      <c r="D33" s="101"/>
      <c r="E33" s="101"/>
      <c r="F33" s="101"/>
      <c r="G33" s="101"/>
      <c r="H33" s="101"/>
      <c r="I33" s="101"/>
      <c r="J33" s="101"/>
      <c r="K33" s="101"/>
      <c r="L33" s="101"/>
      <c r="M33" s="101"/>
      <c r="P33" s="52" t="s">
        <v>101</v>
      </c>
      <c r="Q33" s="199" t="s">
        <v>108</v>
      </c>
      <c r="R33" s="51"/>
      <c r="S33" s="51"/>
    </row>
    <row r="34" spans="2:32" x14ac:dyDescent="0.2">
      <c r="B34" s="101"/>
      <c r="C34" s="101"/>
      <c r="D34" s="101"/>
      <c r="E34" s="101"/>
      <c r="F34" s="101"/>
      <c r="G34" s="101"/>
      <c r="H34" s="101"/>
      <c r="I34" s="101"/>
      <c r="J34" s="101"/>
      <c r="K34" s="101"/>
      <c r="L34" s="101"/>
      <c r="M34" s="101"/>
      <c r="Q34" s="199" t="s">
        <v>464</v>
      </c>
      <c r="R34" s="9"/>
    </row>
    <row r="35" spans="2:32" x14ac:dyDescent="0.2">
      <c r="B35" s="101"/>
      <c r="C35" s="101"/>
      <c r="D35" s="101"/>
      <c r="E35" s="101"/>
      <c r="F35" s="101"/>
      <c r="G35" s="101"/>
      <c r="H35" s="101"/>
      <c r="I35" s="101"/>
      <c r="J35" s="101"/>
      <c r="K35" s="101"/>
      <c r="L35" s="101"/>
      <c r="M35" s="101"/>
      <c r="Q35" s="199" t="s">
        <v>523</v>
      </c>
    </row>
    <row r="36" spans="2:32" x14ac:dyDescent="0.2">
      <c r="B36" s="101"/>
      <c r="C36" s="101"/>
      <c r="D36" s="101"/>
      <c r="E36" s="101"/>
      <c r="F36" s="101"/>
      <c r="G36" s="101"/>
      <c r="H36" s="101"/>
      <c r="I36" s="101"/>
      <c r="J36" s="101"/>
      <c r="K36" s="101"/>
      <c r="L36" s="101"/>
      <c r="M36" s="101"/>
      <c r="P36" s="52" t="s">
        <v>146</v>
      </c>
      <c r="Q36" s="52" t="s">
        <v>149</v>
      </c>
    </row>
    <row r="37" spans="2:32" ht="15" x14ac:dyDescent="0.25">
      <c r="B37" s="101"/>
      <c r="C37" s="95" t="s">
        <v>460</v>
      </c>
      <c r="D37" s="101"/>
      <c r="E37" s="101"/>
      <c r="F37" s="101"/>
      <c r="G37" s="101"/>
      <c r="H37" s="101"/>
      <c r="I37" s="101"/>
      <c r="J37" s="101"/>
      <c r="K37" s="101"/>
      <c r="L37" s="101"/>
      <c r="M37" s="101"/>
      <c r="P37" s="100"/>
      <c r="Q37" s="100"/>
      <c r="R37" s="100"/>
      <c r="S37" s="100"/>
      <c r="T37" s="100"/>
      <c r="U37" s="100"/>
      <c r="V37" s="100"/>
      <c r="W37" s="100"/>
      <c r="X37" s="100"/>
      <c r="Y37" s="100"/>
      <c r="Z37" s="100"/>
      <c r="AA37" s="100"/>
      <c r="AB37" s="100"/>
      <c r="AC37" s="100"/>
      <c r="AD37" s="137"/>
      <c r="AE37" s="137"/>
      <c r="AF37" s="137"/>
    </row>
    <row r="38" spans="2:32" x14ac:dyDescent="0.2">
      <c r="B38" s="101"/>
      <c r="C38" s="101"/>
      <c r="D38" s="101"/>
      <c r="E38" s="101"/>
      <c r="F38" s="101"/>
      <c r="G38" s="101"/>
      <c r="H38" s="101"/>
      <c r="I38" s="101"/>
      <c r="J38" s="101"/>
      <c r="K38" s="101"/>
      <c r="L38" s="101"/>
      <c r="M38" s="101"/>
    </row>
    <row r="39" spans="2:32" x14ac:dyDescent="0.2">
      <c r="B39" s="101"/>
      <c r="C39" s="101"/>
      <c r="D39" s="101"/>
      <c r="E39" s="101"/>
      <c r="F39" s="101"/>
      <c r="G39" s="101"/>
      <c r="H39" s="101"/>
      <c r="I39" s="101"/>
      <c r="J39" s="101"/>
      <c r="K39" s="101"/>
      <c r="L39" s="101"/>
      <c r="M39" s="101"/>
    </row>
    <row r="40" spans="2:32" x14ac:dyDescent="0.2">
      <c r="L40" s="101"/>
      <c r="M40" s="101"/>
    </row>
    <row r="41" spans="2:32" x14ac:dyDescent="0.2">
      <c r="L41" s="101"/>
      <c r="M41" s="101"/>
    </row>
    <row r="42" spans="2:32" x14ac:dyDescent="0.2">
      <c r="L42" s="101"/>
      <c r="M42" s="101"/>
    </row>
    <row r="43" spans="2:32" x14ac:dyDescent="0.2">
      <c r="L43" s="101"/>
      <c r="M43" s="101"/>
    </row>
    <row r="44" spans="2:32" x14ac:dyDescent="0.2">
      <c r="L44" s="101"/>
      <c r="M44" s="101"/>
    </row>
    <row r="45" spans="2:32" x14ac:dyDescent="0.2">
      <c r="L45" s="101"/>
      <c r="M45" s="101"/>
    </row>
    <row r="46" spans="2:32" x14ac:dyDescent="0.2">
      <c r="L46" s="101"/>
      <c r="M46" s="101"/>
    </row>
    <row r="47" spans="2:32" x14ac:dyDescent="0.2">
      <c r="L47" s="101"/>
      <c r="M47" s="101"/>
    </row>
    <row r="48" spans="2:32" x14ac:dyDescent="0.2">
      <c r="L48" s="101"/>
      <c r="M48" s="101"/>
    </row>
    <row r="49" spans="2:32" x14ac:dyDescent="0.2">
      <c r="B49" s="101"/>
      <c r="C49" s="101"/>
      <c r="D49" s="101"/>
      <c r="E49" s="101"/>
      <c r="F49" s="101"/>
      <c r="G49" s="101"/>
      <c r="H49" s="101"/>
      <c r="I49" s="101"/>
      <c r="J49" s="101"/>
      <c r="K49" s="101"/>
      <c r="L49" s="101"/>
      <c r="M49" s="101"/>
    </row>
    <row r="50" spans="2:32" x14ac:dyDescent="0.2">
      <c r="B50" s="101"/>
      <c r="C50" s="79" t="s">
        <v>101</v>
      </c>
      <c r="D50" s="84" t="s">
        <v>195</v>
      </c>
      <c r="E50" s="80"/>
      <c r="F50" s="80"/>
      <c r="G50" s="101"/>
      <c r="H50" s="101"/>
      <c r="I50" s="101"/>
      <c r="J50" s="101"/>
      <c r="K50" s="101"/>
      <c r="L50" s="101"/>
      <c r="M50" s="101"/>
    </row>
    <row r="51" spans="2:32" x14ac:dyDescent="0.2">
      <c r="B51" s="84"/>
      <c r="C51" s="79" t="s">
        <v>146</v>
      </c>
      <c r="D51" s="79" t="s">
        <v>147</v>
      </c>
      <c r="E51" s="78"/>
      <c r="F51" s="101"/>
      <c r="G51" s="101"/>
      <c r="H51" s="101"/>
      <c r="I51" s="101"/>
      <c r="J51" s="101"/>
      <c r="K51" s="101"/>
      <c r="L51" s="101"/>
      <c r="M51" s="101"/>
    </row>
    <row r="52" spans="2:32" x14ac:dyDescent="0.2">
      <c r="B52" s="101"/>
      <c r="C52" s="101"/>
      <c r="D52" s="101"/>
      <c r="E52" s="101"/>
      <c r="F52" s="101"/>
      <c r="G52" s="101"/>
      <c r="H52" s="101"/>
      <c r="I52" s="101"/>
      <c r="J52" s="101"/>
      <c r="K52" s="101"/>
      <c r="L52" s="101"/>
      <c r="M52" s="101"/>
    </row>
    <row r="53" spans="2:32" ht="15.75" customHeight="1" x14ac:dyDescent="0.2">
      <c r="B53" s="198"/>
      <c r="C53" s="198"/>
      <c r="D53" s="198"/>
      <c r="E53" s="198"/>
      <c r="F53" s="198"/>
      <c r="G53" s="198"/>
      <c r="H53" s="198"/>
      <c r="I53" s="198"/>
      <c r="J53" s="198"/>
      <c r="K53" s="198"/>
      <c r="L53" s="198"/>
    </row>
    <row r="54" spans="2:32" ht="57" customHeight="1" x14ac:dyDescent="0.2">
      <c r="C54" s="549" t="s">
        <v>648</v>
      </c>
      <c r="D54" s="550"/>
      <c r="E54" s="550"/>
      <c r="F54" s="550"/>
      <c r="G54" s="550"/>
      <c r="H54" s="550"/>
      <c r="I54" s="550"/>
      <c r="J54" s="550"/>
      <c r="K54" s="550"/>
      <c r="L54" s="550"/>
      <c r="M54" s="200"/>
      <c r="N54" s="200"/>
      <c r="O54" s="200"/>
    </row>
    <row r="55" spans="2:32" x14ac:dyDescent="0.2">
      <c r="C55" s="23"/>
      <c r="D55" s="23"/>
      <c r="E55" s="23"/>
      <c r="F55" s="23"/>
      <c r="G55" s="23"/>
      <c r="H55" s="23"/>
      <c r="I55" s="23"/>
      <c r="J55" s="23"/>
      <c r="K55" s="23"/>
      <c r="L55" s="23"/>
      <c r="M55" s="181"/>
      <c r="N55" s="181"/>
      <c r="O55" s="181"/>
    </row>
    <row r="56" spans="2:32" ht="15" x14ac:dyDescent="0.25">
      <c r="B56" s="101"/>
      <c r="C56" s="101"/>
      <c r="D56" s="101"/>
      <c r="E56" s="101"/>
      <c r="F56" s="101"/>
      <c r="G56" s="101"/>
      <c r="H56" s="101"/>
      <c r="I56" s="101"/>
      <c r="J56" s="101"/>
      <c r="K56" s="101"/>
      <c r="L56" s="101"/>
      <c r="M56" s="101"/>
      <c r="P56" s="132" t="s">
        <v>487</v>
      </c>
      <c r="Q56" s="24"/>
      <c r="R56" s="24"/>
      <c r="S56" s="24"/>
      <c r="T56" s="24"/>
      <c r="U56" s="24"/>
      <c r="V56" s="24"/>
      <c r="W56" s="24"/>
      <c r="X56" s="24"/>
      <c r="Y56" s="24"/>
      <c r="Z56" s="24"/>
      <c r="AA56" s="24"/>
      <c r="AB56" s="24"/>
      <c r="AC56" s="24"/>
      <c r="AD56" s="24"/>
      <c r="AE56" s="24"/>
      <c r="AF56" s="24"/>
    </row>
    <row r="57" spans="2:32" ht="15" x14ac:dyDescent="0.25">
      <c r="B57" s="101"/>
      <c r="C57" s="95" t="s">
        <v>465</v>
      </c>
      <c r="D57" s="101"/>
      <c r="E57" s="101"/>
      <c r="F57" s="101"/>
      <c r="G57" s="101"/>
      <c r="H57" s="101"/>
      <c r="I57" s="101"/>
      <c r="J57" s="101"/>
      <c r="K57" s="101"/>
      <c r="L57" s="101"/>
      <c r="M57" s="101"/>
    </row>
    <row r="58" spans="2:32" x14ac:dyDescent="0.2">
      <c r="B58" s="101"/>
      <c r="C58" s="101"/>
      <c r="D58" s="101"/>
      <c r="E58" s="101"/>
      <c r="F58" s="101"/>
      <c r="G58" s="101"/>
      <c r="H58" s="101"/>
      <c r="I58" s="101"/>
      <c r="J58" s="101"/>
      <c r="K58" s="101"/>
      <c r="L58" s="101"/>
      <c r="M58" s="101"/>
      <c r="P58" s="23" t="s">
        <v>351</v>
      </c>
      <c r="Q58" s="24"/>
      <c r="R58" s="24"/>
      <c r="S58" s="24"/>
    </row>
    <row r="59" spans="2:32" x14ac:dyDescent="0.2">
      <c r="B59" s="101"/>
      <c r="C59" s="101"/>
      <c r="D59" s="101"/>
      <c r="E59" s="340" t="s">
        <v>461</v>
      </c>
      <c r="F59" s="101"/>
      <c r="G59" s="101"/>
      <c r="H59" s="101"/>
      <c r="I59" s="101"/>
      <c r="J59" s="341" t="s">
        <v>462</v>
      </c>
      <c r="K59" s="101"/>
      <c r="L59" s="101"/>
      <c r="M59" s="101"/>
    </row>
    <row r="60" spans="2:32" x14ac:dyDescent="0.2">
      <c r="B60" s="101"/>
      <c r="C60" s="101"/>
      <c r="D60" s="101"/>
      <c r="E60" s="101"/>
      <c r="F60" s="101"/>
      <c r="G60" s="101"/>
      <c r="H60" s="101"/>
      <c r="I60" s="101"/>
      <c r="J60" s="101"/>
      <c r="K60" s="101"/>
      <c r="L60" s="101"/>
      <c r="M60" s="101"/>
      <c r="P60" s="22" t="s">
        <v>1</v>
      </c>
      <c r="Q60" s="22" t="s">
        <v>37</v>
      </c>
      <c r="R60" s="24"/>
      <c r="S60" s="24"/>
      <c r="T60" s="22">
        <v>2006</v>
      </c>
      <c r="U60" s="22">
        <v>2007</v>
      </c>
      <c r="V60" s="22">
        <v>2008</v>
      </c>
      <c r="W60" s="22">
        <v>2009</v>
      </c>
      <c r="X60" s="22">
        <v>2010</v>
      </c>
      <c r="Y60" s="22">
        <v>2011</v>
      </c>
      <c r="Z60" s="22">
        <v>2012</v>
      </c>
      <c r="AA60" s="22">
        <v>2013</v>
      </c>
      <c r="AB60" s="22">
        <v>2014</v>
      </c>
      <c r="AC60" s="22">
        <v>2015</v>
      </c>
    </row>
    <row r="61" spans="2:32" x14ac:dyDescent="0.2">
      <c r="B61" s="101"/>
      <c r="C61" s="101"/>
      <c r="D61" s="101"/>
      <c r="E61" s="101"/>
      <c r="F61" s="101"/>
      <c r="G61" s="101"/>
      <c r="H61" s="101"/>
      <c r="I61" s="101"/>
      <c r="J61" s="101"/>
      <c r="K61" s="101"/>
      <c r="L61" s="101"/>
      <c r="M61" s="101"/>
      <c r="P61" s="24"/>
      <c r="Q61" s="24"/>
      <c r="R61" s="24"/>
      <c r="S61" s="24"/>
      <c r="T61" s="24"/>
      <c r="U61" s="24"/>
      <c r="V61" s="24"/>
      <c r="W61" s="24"/>
      <c r="X61" s="24"/>
      <c r="Y61" s="24"/>
      <c r="Z61" s="24"/>
      <c r="AA61" s="24"/>
      <c r="AB61" s="24"/>
      <c r="AC61" s="24"/>
    </row>
    <row r="62" spans="2:32" x14ac:dyDescent="0.2">
      <c r="B62" s="101"/>
      <c r="C62" s="101"/>
      <c r="D62" s="101"/>
      <c r="E62" s="101"/>
      <c r="F62" s="101"/>
      <c r="G62" s="101"/>
      <c r="H62" s="101"/>
      <c r="I62" s="101"/>
      <c r="J62" s="101"/>
      <c r="K62" s="101"/>
      <c r="L62" s="101"/>
      <c r="M62" s="101"/>
      <c r="P62" s="24" t="s">
        <v>0</v>
      </c>
      <c r="Q62" s="24" t="s">
        <v>189</v>
      </c>
      <c r="R62" s="24"/>
      <c r="S62" s="24" t="s">
        <v>21</v>
      </c>
      <c r="T62" s="24">
        <f t="shared" ref="T62:AC62" si="12">VLOOKUP(T$13&amp;"AllSex"&amp;"Rural"&amp;22,URtable,6,FALSE)</f>
        <v>20</v>
      </c>
      <c r="U62" s="24">
        <f t="shared" si="12"/>
        <v>16</v>
      </c>
      <c r="V62" s="24">
        <f t="shared" si="12"/>
        <v>15</v>
      </c>
      <c r="W62" s="24">
        <f t="shared" si="12"/>
        <v>23</v>
      </c>
      <c r="X62" s="24">
        <f t="shared" si="12"/>
        <v>17</v>
      </c>
      <c r="Y62" s="24">
        <f t="shared" si="12"/>
        <v>15</v>
      </c>
      <c r="Z62" s="24">
        <f t="shared" si="12"/>
        <v>17</v>
      </c>
      <c r="AA62" s="24">
        <f t="shared" si="12"/>
        <v>16</v>
      </c>
      <c r="AB62" s="24">
        <f t="shared" si="12"/>
        <v>8</v>
      </c>
      <c r="AC62" s="24">
        <f t="shared" si="12"/>
        <v>10</v>
      </c>
    </row>
    <row r="63" spans="2:32" x14ac:dyDescent="0.2">
      <c r="B63" s="101"/>
      <c r="C63" s="101"/>
      <c r="D63" s="101"/>
      <c r="E63" s="101"/>
      <c r="F63" s="101"/>
      <c r="G63" s="101"/>
      <c r="H63" s="101"/>
      <c r="I63" s="101"/>
      <c r="J63" s="101"/>
      <c r="K63" s="101"/>
      <c r="L63" s="101"/>
      <c r="M63" s="101"/>
      <c r="P63" s="24"/>
      <c r="Q63" s="24" t="s">
        <v>35</v>
      </c>
      <c r="R63" s="24"/>
      <c r="S63" s="24"/>
      <c r="T63" s="24">
        <f t="shared" ref="T63:AC63" si="13">VLOOKUP(T$13&amp;"AllSex"&amp;"Rural"&amp;23,URtable,6,FALSE)</f>
        <v>30</v>
      </c>
      <c r="U63" s="24">
        <f t="shared" si="13"/>
        <v>30</v>
      </c>
      <c r="V63" s="24">
        <f t="shared" si="13"/>
        <v>28</v>
      </c>
      <c r="W63" s="24">
        <f t="shared" si="13"/>
        <v>20</v>
      </c>
      <c r="X63" s="24">
        <f t="shared" si="13"/>
        <v>38</v>
      </c>
      <c r="Y63" s="24">
        <f t="shared" si="13"/>
        <v>24</v>
      </c>
      <c r="Z63" s="24">
        <f t="shared" si="13"/>
        <v>23</v>
      </c>
      <c r="AA63" s="24">
        <f t="shared" si="13"/>
        <v>25</v>
      </c>
      <c r="AB63" s="24">
        <f t="shared" si="13"/>
        <v>22</v>
      </c>
      <c r="AC63" s="24">
        <f t="shared" si="13"/>
        <v>26</v>
      </c>
    </row>
    <row r="64" spans="2:32" x14ac:dyDescent="0.2">
      <c r="B64" s="101"/>
      <c r="C64" s="101"/>
      <c r="D64" s="101"/>
      <c r="E64" s="101"/>
      <c r="F64" s="101"/>
      <c r="G64" s="101"/>
      <c r="H64" s="101"/>
      <c r="I64" s="101"/>
      <c r="J64" s="101"/>
      <c r="K64" s="101"/>
      <c r="L64" s="101"/>
      <c r="M64" s="101"/>
      <c r="P64" s="24"/>
      <c r="Q64" s="24" t="s">
        <v>36</v>
      </c>
      <c r="R64" s="24"/>
      <c r="S64" s="24"/>
      <c r="T64" s="24">
        <f t="shared" ref="T64:AC64" si="14">VLOOKUP(T$13&amp;"AllSex"&amp;"Rural"&amp;24,URtable,6,FALSE)</f>
        <v>25</v>
      </c>
      <c r="U64" s="24">
        <f t="shared" si="14"/>
        <v>20</v>
      </c>
      <c r="V64" s="24">
        <f t="shared" si="14"/>
        <v>33</v>
      </c>
      <c r="W64" s="24">
        <f t="shared" si="14"/>
        <v>23</v>
      </c>
      <c r="X64" s="24">
        <f t="shared" si="14"/>
        <v>30</v>
      </c>
      <c r="Y64" s="24">
        <f t="shared" si="14"/>
        <v>30</v>
      </c>
      <c r="Z64" s="24">
        <f t="shared" si="14"/>
        <v>35</v>
      </c>
      <c r="AA64" s="24">
        <f t="shared" si="14"/>
        <v>32</v>
      </c>
      <c r="AB64" s="24">
        <f t="shared" si="14"/>
        <v>31</v>
      </c>
      <c r="AC64" s="24">
        <f t="shared" si="14"/>
        <v>42</v>
      </c>
    </row>
    <row r="65" spans="2:29" x14ac:dyDescent="0.2">
      <c r="B65" s="101"/>
      <c r="C65" s="101"/>
      <c r="D65" s="101"/>
      <c r="E65" s="101"/>
      <c r="F65" s="101"/>
      <c r="G65" s="101"/>
      <c r="H65" s="101"/>
      <c r="I65" s="101"/>
      <c r="J65" s="101"/>
      <c r="K65" s="101"/>
      <c r="L65" s="101"/>
      <c r="M65" s="101"/>
      <c r="P65" s="24"/>
      <c r="Q65" s="24" t="s">
        <v>26</v>
      </c>
      <c r="R65" s="24"/>
      <c r="S65" s="24"/>
      <c r="T65" s="24">
        <f t="shared" ref="T65:AC65" si="15">VLOOKUP(T$13&amp;"AllSex"&amp;"Rural"&amp;25,URtable,6,FALSE)</f>
        <v>7</v>
      </c>
      <c r="U65" s="24">
        <f t="shared" si="15"/>
        <v>12</v>
      </c>
      <c r="V65" s="24">
        <f t="shared" si="15"/>
        <v>10</v>
      </c>
      <c r="W65" s="24">
        <f t="shared" si="15"/>
        <v>5</v>
      </c>
      <c r="X65" s="24">
        <f t="shared" si="15"/>
        <v>9</v>
      </c>
      <c r="Y65" s="24">
        <f t="shared" si="15"/>
        <v>8</v>
      </c>
      <c r="Z65" s="24">
        <f t="shared" si="15"/>
        <v>6</v>
      </c>
      <c r="AA65" s="24">
        <f t="shared" si="15"/>
        <v>6</v>
      </c>
      <c r="AB65" s="24">
        <f t="shared" si="15"/>
        <v>7</v>
      </c>
      <c r="AC65" s="24">
        <f t="shared" si="15"/>
        <v>11</v>
      </c>
    </row>
    <row r="66" spans="2:29" x14ac:dyDescent="0.2">
      <c r="B66" s="101"/>
      <c r="C66" s="101"/>
      <c r="D66" s="101"/>
      <c r="E66" s="101"/>
      <c r="F66" s="101"/>
      <c r="G66" s="101"/>
      <c r="H66" s="101"/>
      <c r="I66" s="101"/>
      <c r="J66" s="101"/>
      <c r="K66" s="101"/>
      <c r="L66" s="101"/>
      <c r="M66" s="101"/>
      <c r="P66" s="26"/>
      <c r="Q66" s="26"/>
      <c r="R66" s="26"/>
      <c r="S66" s="26"/>
      <c r="T66" s="26"/>
      <c r="U66" s="26"/>
      <c r="V66" s="26"/>
      <c r="W66" s="26"/>
      <c r="X66" s="26"/>
      <c r="Y66" s="26"/>
      <c r="Z66" s="26"/>
      <c r="AA66" s="26"/>
      <c r="AB66" s="26"/>
      <c r="AC66" s="26"/>
    </row>
    <row r="67" spans="2:29" x14ac:dyDescent="0.2">
      <c r="B67" s="101"/>
      <c r="C67" s="101"/>
      <c r="D67" s="101"/>
      <c r="E67" s="101"/>
      <c r="F67" s="101"/>
      <c r="G67" s="101"/>
      <c r="H67" s="101"/>
      <c r="I67" s="101"/>
      <c r="J67" s="101"/>
      <c r="K67" s="101"/>
      <c r="L67" s="101"/>
      <c r="M67" s="101"/>
      <c r="P67" s="24" t="s">
        <v>20</v>
      </c>
      <c r="Q67" s="24" t="s">
        <v>189</v>
      </c>
      <c r="R67" s="24"/>
      <c r="S67" s="24" t="s">
        <v>21</v>
      </c>
      <c r="T67" s="24">
        <f t="shared" ref="T67:AC67" si="16">VLOOKUP(T$13&amp;"Male"&amp;"Rural"&amp;22,URtable,6,FALSE)</f>
        <v>17</v>
      </c>
      <c r="U67" s="24">
        <f t="shared" si="16"/>
        <v>11</v>
      </c>
      <c r="V67" s="24">
        <f t="shared" si="16"/>
        <v>12</v>
      </c>
      <c r="W67" s="24">
        <f t="shared" si="16"/>
        <v>20</v>
      </c>
      <c r="X67" s="24">
        <f t="shared" si="16"/>
        <v>17</v>
      </c>
      <c r="Y67" s="24">
        <f t="shared" si="16"/>
        <v>14</v>
      </c>
      <c r="Z67" s="24">
        <f t="shared" si="16"/>
        <v>10</v>
      </c>
      <c r="AA67" s="24">
        <f t="shared" si="16"/>
        <v>9</v>
      </c>
      <c r="AB67" s="24">
        <f t="shared" si="16"/>
        <v>7</v>
      </c>
      <c r="AC67" s="24">
        <f t="shared" si="16"/>
        <v>6</v>
      </c>
    </row>
    <row r="68" spans="2:29" x14ac:dyDescent="0.2">
      <c r="B68" s="101"/>
      <c r="C68" s="101"/>
      <c r="D68" s="101"/>
      <c r="E68" s="101"/>
      <c r="F68" s="101"/>
      <c r="G68" s="101"/>
      <c r="H68" s="101"/>
      <c r="I68" s="101"/>
      <c r="J68" s="101"/>
      <c r="K68" s="101"/>
      <c r="L68" s="101"/>
      <c r="M68" s="101"/>
      <c r="P68" s="24"/>
      <c r="Q68" s="24" t="s">
        <v>35</v>
      </c>
      <c r="R68" s="24"/>
      <c r="S68" s="24"/>
      <c r="T68" s="24">
        <f t="shared" ref="T68:AC68" si="17">VLOOKUP(T$13&amp;"Male"&amp;"Rural"&amp;23,URtable,6,FALSE)</f>
        <v>26</v>
      </c>
      <c r="U68" s="24">
        <f t="shared" si="17"/>
        <v>26</v>
      </c>
      <c r="V68" s="24">
        <f t="shared" si="17"/>
        <v>23</v>
      </c>
      <c r="W68" s="24">
        <f t="shared" si="17"/>
        <v>17</v>
      </c>
      <c r="X68" s="24">
        <f t="shared" si="17"/>
        <v>29</v>
      </c>
      <c r="Y68" s="24">
        <f t="shared" si="17"/>
        <v>21</v>
      </c>
      <c r="Z68" s="24">
        <f t="shared" si="17"/>
        <v>16</v>
      </c>
      <c r="AA68" s="24">
        <f t="shared" si="17"/>
        <v>17</v>
      </c>
      <c r="AB68" s="24">
        <f t="shared" si="17"/>
        <v>17</v>
      </c>
      <c r="AC68" s="24">
        <f t="shared" si="17"/>
        <v>19</v>
      </c>
    </row>
    <row r="69" spans="2:29" x14ac:dyDescent="0.2">
      <c r="B69" s="101"/>
      <c r="C69" s="101"/>
      <c r="D69" s="101"/>
      <c r="E69" s="101"/>
      <c r="F69" s="101"/>
      <c r="G69" s="101"/>
      <c r="H69" s="101"/>
      <c r="I69" s="101"/>
      <c r="J69" s="101"/>
      <c r="K69" s="101"/>
      <c r="L69" s="101"/>
      <c r="M69" s="101"/>
      <c r="P69" s="24"/>
      <c r="Q69" s="24" t="s">
        <v>36</v>
      </c>
      <c r="R69" s="24"/>
      <c r="S69" s="24"/>
      <c r="T69" s="24">
        <f t="shared" ref="T69:AC69" si="18">VLOOKUP(T$13&amp;"Male"&amp;"Rural"&amp;24,URtable,6,FALSE)</f>
        <v>21</v>
      </c>
      <c r="U69" s="24">
        <f t="shared" si="18"/>
        <v>14</v>
      </c>
      <c r="V69" s="24">
        <f t="shared" si="18"/>
        <v>27</v>
      </c>
      <c r="W69" s="24">
        <f t="shared" si="18"/>
        <v>22</v>
      </c>
      <c r="X69" s="24">
        <f t="shared" si="18"/>
        <v>25</v>
      </c>
      <c r="Y69" s="24">
        <f t="shared" si="18"/>
        <v>23</v>
      </c>
      <c r="Z69" s="24">
        <f t="shared" si="18"/>
        <v>28</v>
      </c>
      <c r="AA69" s="24">
        <f t="shared" si="18"/>
        <v>23</v>
      </c>
      <c r="AB69" s="24">
        <f t="shared" si="18"/>
        <v>19</v>
      </c>
      <c r="AC69" s="24">
        <f t="shared" si="18"/>
        <v>31</v>
      </c>
    </row>
    <row r="70" spans="2:29" x14ac:dyDescent="0.2">
      <c r="B70" s="101"/>
      <c r="C70" s="101"/>
      <c r="D70" s="101"/>
      <c r="E70" s="101"/>
      <c r="F70" s="101"/>
      <c r="G70" s="101"/>
      <c r="H70" s="101"/>
      <c r="I70" s="101"/>
      <c r="J70" s="101"/>
      <c r="K70" s="101"/>
      <c r="L70" s="101"/>
      <c r="M70" s="101"/>
      <c r="P70" s="24"/>
      <c r="Q70" s="24" t="s">
        <v>26</v>
      </c>
      <c r="R70" s="24"/>
      <c r="S70" s="24"/>
      <c r="T70" s="24">
        <f t="shared" ref="T70:AC70" si="19">VLOOKUP(T$13&amp;"Male"&amp;"Rural"&amp;25,URtable,6,FALSE)</f>
        <v>6</v>
      </c>
      <c r="U70" s="24">
        <f t="shared" si="19"/>
        <v>12</v>
      </c>
      <c r="V70" s="24">
        <f t="shared" si="19"/>
        <v>10</v>
      </c>
      <c r="W70" s="24">
        <f t="shared" si="19"/>
        <v>4</v>
      </c>
      <c r="X70" s="24">
        <f t="shared" si="19"/>
        <v>9</v>
      </c>
      <c r="Y70" s="24">
        <f t="shared" si="19"/>
        <v>7</v>
      </c>
      <c r="Z70" s="24">
        <f t="shared" si="19"/>
        <v>6</v>
      </c>
      <c r="AA70" s="24">
        <f t="shared" si="19"/>
        <v>6</v>
      </c>
      <c r="AB70" s="24">
        <f t="shared" si="19"/>
        <v>6</v>
      </c>
      <c r="AC70" s="24">
        <f t="shared" si="19"/>
        <v>9</v>
      </c>
    </row>
    <row r="71" spans="2:29" x14ac:dyDescent="0.2">
      <c r="B71" s="101"/>
      <c r="C71" s="101"/>
      <c r="D71" s="101"/>
      <c r="E71" s="101"/>
      <c r="F71" s="101"/>
      <c r="G71" s="101"/>
      <c r="H71" s="101"/>
      <c r="I71" s="101"/>
      <c r="J71" s="101"/>
      <c r="K71" s="101"/>
      <c r="L71" s="101"/>
      <c r="M71" s="101"/>
      <c r="P71" s="26"/>
      <c r="Q71" s="26"/>
      <c r="R71" s="26"/>
      <c r="S71" s="26"/>
      <c r="T71" s="26"/>
      <c r="U71" s="26"/>
      <c r="V71" s="26"/>
      <c r="W71" s="26"/>
      <c r="X71" s="26"/>
      <c r="Y71" s="26"/>
      <c r="Z71" s="26"/>
      <c r="AA71" s="26"/>
      <c r="AB71" s="26"/>
      <c r="AC71" s="26"/>
    </row>
    <row r="72" spans="2:29" ht="11.25" customHeight="1" x14ac:dyDescent="0.2">
      <c r="B72" s="101"/>
      <c r="C72" s="101"/>
      <c r="D72" s="101"/>
      <c r="E72" s="101"/>
      <c r="F72" s="101"/>
      <c r="G72" s="101"/>
      <c r="H72" s="101"/>
      <c r="I72" s="101"/>
      <c r="J72" s="101"/>
      <c r="K72" s="101"/>
      <c r="L72" s="101"/>
      <c r="M72" s="101"/>
      <c r="P72" s="24" t="s">
        <v>8</v>
      </c>
      <c r="Q72" s="24" t="s">
        <v>189</v>
      </c>
      <c r="R72" s="24"/>
      <c r="S72" s="24" t="s">
        <v>21</v>
      </c>
      <c r="T72" s="24">
        <f t="shared" ref="T72:AC72" si="20">VLOOKUP(T$13&amp;"Female"&amp;"Rural"&amp;22,URtable,6,FALSE)</f>
        <v>3</v>
      </c>
      <c r="U72" s="24">
        <f t="shared" si="20"/>
        <v>5</v>
      </c>
      <c r="V72" s="24">
        <f t="shared" si="20"/>
        <v>3</v>
      </c>
      <c r="W72" s="24">
        <f t="shared" si="20"/>
        <v>3</v>
      </c>
      <c r="X72" s="24">
        <f t="shared" si="20"/>
        <v>0</v>
      </c>
      <c r="Y72" s="24">
        <f t="shared" si="20"/>
        <v>1</v>
      </c>
      <c r="Z72" s="24">
        <f t="shared" si="20"/>
        <v>7</v>
      </c>
      <c r="AA72" s="24">
        <f t="shared" si="20"/>
        <v>7</v>
      </c>
      <c r="AB72" s="24">
        <f t="shared" si="20"/>
        <v>1</v>
      </c>
      <c r="AC72" s="24">
        <f t="shared" si="20"/>
        <v>4</v>
      </c>
    </row>
    <row r="73" spans="2:29" x14ac:dyDescent="0.2">
      <c r="B73" s="101"/>
      <c r="C73" s="101"/>
      <c r="D73" s="101"/>
      <c r="E73" s="340" t="s">
        <v>463</v>
      </c>
      <c r="F73" s="101"/>
      <c r="G73" s="101"/>
      <c r="H73" s="101"/>
      <c r="I73" s="101"/>
      <c r="J73" s="113"/>
      <c r="K73" s="101"/>
      <c r="L73" s="101"/>
      <c r="M73" s="101"/>
      <c r="P73" s="24"/>
      <c r="Q73" s="24" t="s">
        <v>35</v>
      </c>
      <c r="R73" s="24"/>
      <c r="S73" s="24"/>
      <c r="T73" s="24">
        <f t="shared" ref="T73:AC73" si="21">VLOOKUP(T$13&amp;"Female"&amp;"Rural"&amp;23,URtable,6,FALSE)</f>
        <v>4</v>
      </c>
      <c r="U73" s="24">
        <f t="shared" si="21"/>
        <v>4</v>
      </c>
      <c r="V73" s="24">
        <f t="shared" si="21"/>
        <v>5</v>
      </c>
      <c r="W73" s="24">
        <f t="shared" si="21"/>
        <v>3</v>
      </c>
      <c r="X73" s="24">
        <f t="shared" si="21"/>
        <v>9</v>
      </c>
      <c r="Y73" s="24">
        <f t="shared" si="21"/>
        <v>3</v>
      </c>
      <c r="Z73" s="24">
        <f t="shared" si="21"/>
        <v>7</v>
      </c>
      <c r="AA73" s="24">
        <f t="shared" si="21"/>
        <v>8</v>
      </c>
      <c r="AB73" s="24">
        <f t="shared" si="21"/>
        <v>5</v>
      </c>
      <c r="AC73" s="24">
        <f t="shared" si="21"/>
        <v>7</v>
      </c>
    </row>
    <row r="74" spans="2:29" x14ac:dyDescent="0.2">
      <c r="B74" s="101"/>
      <c r="C74" s="101"/>
      <c r="D74" s="101"/>
      <c r="E74" s="101"/>
      <c r="F74" s="101"/>
      <c r="G74" s="101"/>
      <c r="H74" s="101"/>
      <c r="I74" s="101"/>
      <c r="J74" s="101"/>
      <c r="K74" s="101"/>
      <c r="L74" s="101"/>
      <c r="M74" s="101"/>
      <c r="P74" s="24"/>
      <c r="Q74" s="24" t="s">
        <v>36</v>
      </c>
      <c r="R74" s="24"/>
      <c r="S74" s="24"/>
      <c r="T74" s="24">
        <f t="shared" ref="T74:AC74" si="22">VLOOKUP(T$13&amp;"Female"&amp;"Rural"&amp;24,URtable,6,FALSE)</f>
        <v>4</v>
      </c>
      <c r="U74" s="24">
        <f t="shared" si="22"/>
        <v>6</v>
      </c>
      <c r="V74" s="24">
        <f t="shared" si="22"/>
        <v>6</v>
      </c>
      <c r="W74" s="24">
        <f t="shared" si="22"/>
        <v>1</v>
      </c>
      <c r="X74" s="24">
        <f t="shared" si="22"/>
        <v>5</v>
      </c>
      <c r="Y74" s="24">
        <f t="shared" si="22"/>
        <v>7</v>
      </c>
      <c r="Z74" s="24">
        <f t="shared" si="22"/>
        <v>7</v>
      </c>
      <c r="AA74" s="24">
        <f t="shared" si="22"/>
        <v>9</v>
      </c>
      <c r="AB74" s="24">
        <f t="shared" si="22"/>
        <v>12</v>
      </c>
      <c r="AC74" s="24">
        <f t="shared" si="22"/>
        <v>11</v>
      </c>
    </row>
    <row r="75" spans="2:29" x14ac:dyDescent="0.2">
      <c r="B75" s="101"/>
      <c r="C75" s="101"/>
      <c r="D75" s="101"/>
      <c r="E75" s="101"/>
      <c r="F75" s="101"/>
      <c r="G75" s="101"/>
      <c r="H75" s="101"/>
      <c r="I75" s="101"/>
      <c r="J75" s="101"/>
      <c r="K75" s="101"/>
      <c r="L75" s="101"/>
      <c r="M75" s="101"/>
      <c r="P75" s="24"/>
      <c r="Q75" s="24" t="s">
        <v>26</v>
      </c>
      <c r="R75" s="24"/>
      <c r="S75" s="24"/>
      <c r="T75" s="24">
        <f t="shared" ref="T75:AC75" si="23">VLOOKUP(T$13&amp;"Female"&amp;"Rural"&amp;25,URtable,6,FALSE)</f>
        <v>1</v>
      </c>
      <c r="U75" s="24">
        <f t="shared" si="23"/>
        <v>0</v>
      </c>
      <c r="V75" s="24">
        <f t="shared" si="23"/>
        <v>0</v>
      </c>
      <c r="W75" s="24">
        <f t="shared" si="23"/>
        <v>1</v>
      </c>
      <c r="X75" s="24">
        <f t="shared" si="23"/>
        <v>0</v>
      </c>
      <c r="Y75" s="24">
        <f t="shared" si="23"/>
        <v>1</v>
      </c>
      <c r="Z75" s="24">
        <f t="shared" si="23"/>
        <v>0</v>
      </c>
      <c r="AA75" s="24">
        <f t="shared" si="23"/>
        <v>0</v>
      </c>
      <c r="AB75" s="24">
        <f t="shared" si="23"/>
        <v>1</v>
      </c>
      <c r="AC75" s="24">
        <f t="shared" si="23"/>
        <v>2</v>
      </c>
    </row>
    <row r="76" spans="2:29" x14ac:dyDescent="0.2">
      <c r="B76" s="101"/>
      <c r="C76" s="101"/>
      <c r="D76" s="101"/>
      <c r="E76" s="101"/>
      <c r="F76" s="101"/>
      <c r="G76" s="101"/>
      <c r="H76" s="101"/>
      <c r="I76" s="101"/>
      <c r="J76" s="101"/>
      <c r="K76" s="101"/>
      <c r="L76" s="101"/>
      <c r="M76" s="101"/>
      <c r="P76" s="26"/>
      <c r="Q76" s="26"/>
      <c r="R76" s="26"/>
      <c r="S76" s="26"/>
      <c r="T76" s="26"/>
      <c r="U76" s="26"/>
      <c r="V76" s="26"/>
      <c r="W76" s="26"/>
      <c r="X76" s="26"/>
      <c r="Y76" s="26"/>
      <c r="Z76" s="26"/>
      <c r="AA76" s="26"/>
      <c r="AB76" s="26"/>
      <c r="AC76" s="26"/>
    </row>
    <row r="77" spans="2:29" x14ac:dyDescent="0.2">
      <c r="B77" s="101"/>
      <c r="C77" s="101"/>
      <c r="D77" s="101"/>
      <c r="E77" s="101"/>
      <c r="F77" s="101"/>
      <c r="G77" s="101"/>
      <c r="H77" s="101"/>
      <c r="I77" s="101"/>
      <c r="J77" s="101"/>
      <c r="K77" s="101"/>
      <c r="L77" s="101"/>
      <c r="M77" s="101"/>
      <c r="P77" s="24" t="s">
        <v>0</v>
      </c>
      <c r="Q77" s="24" t="s">
        <v>189</v>
      </c>
      <c r="R77" s="24"/>
      <c r="S77" s="24" t="s">
        <v>22</v>
      </c>
      <c r="T77" s="27">
        <f t="shared" ref="T77:AC77" si="24">IF(T62&lt;5,"-",VLOOKUP(T$13&amp;"AllSex"&amp;"Rural"&amp;22,URtable,7,FALSE))</f>
        <v>31.3185092389602</v>
      </c>
      <c r="U77" s="27">
        <f t="shared" si="24"/>
        <v>24.2792109256449</v>
      </c>
      <c r="V77" s="27">
        <f t="shared" si="24"/>
        <v>22.199200828770199</v>
      </c>
      <c r="W77" s="27">
        <f t="shared" si="24"/>
        <v>33.430232558139501</v>
      </c>
      <c r="X77" s="27">
        <f t="shared" si="24"/>
        <v>24.337866857551901</v>
      </c>
      <c r="Y77" s="27">
        <f t="shared" si="24"/>
        <v>21.195421788893601</v>
      </c>
      <c r="Z77" s="27">
        <f t="shared" si="24"/>
        <v>24.086143383394699</v>
      </c>
      <c r="AA77" s="27">
        <f t="shared" si="24"/>
        <v>22.873481057898498</v>
      </c>
      <c r="AB77" s="27">
        <f t="shared" si="24"/>
        <v>11.160714285714301</v>
      </c>
      <c r="AC77" s="27">
        <f t="shared" si="24"/>
        <v>13.5043889264011</v>
      </c>
    </row>
    <row r="78" spans="2:29" x14ac:dyDescent="0.2">
      <c r="B78" s="101"/>
      <c r="C78" s="101"/>
      <c r="D78" s="101"/>
      <c r="E78" s="101"/>
      <c r="F78" s="101"/>
      <c r="G78" s="101"/>
      <c r="H78" s="101"/>
      <c r="I78" s="101"/>
      <c r="J78" s="101"/>
      <c r="K78" s="101"/>
      <c r="L78" s="101"/>
      <c r="M78" s="101"/>
      <c r="P78" s="24"/>
      <c r="Q78" s="24" t="s">
        <v>35</v>
      </c>
      <c r="R78" s="24"/>
      <c r="S78" s="24"/>
      <c r="T78" s="27">
        <f t="shared" ref="T78:AC78" si="25">IF(T67&lt;5,"-",VLOOKUP(T$13&amp;"AllSex"&amp;"Rural"&amp;23,URtable,7,FALSE))</f>
        <v>19.5337934626905</v>
      </c>
      <c r="U78" s="27">
        <f t="shared" si="25"/>
        <v>19.822915290075301</v>
      </c>
      <c r="V78" s="27">
        <f t="shared" si="25"/>
        <v>18.736616702355501</v>
      </c>
      <c r="W78" s="27">
        <f t="shared" si="25"/>
        <v>13.5135135135135</v>
      </c>
      <c r="X78" s="27">
        <f t="shared" si="25"/>
        <v>25.871459694989099</v>
      </c>
      <c r="Y78" s="27">
        <f t="shared" si="25"/>
        <v>16.359918200408998</v>
      </c>
      <c r="Z78" s="27">
        <f t="shared" si="25"/>
        <v>15.891660333033901</v>
      </c>
      <c r="AA78" s="27">
        <f t="shared" si="25"/>
        <v>17.618040873854799</v>
      </c>
      <c r="AB78" s="27">
        <f t="shared" si="25"/>
        <v>15.8057331704864</v>
      </c>
      <c r="AC78" s="27">
        <f t="shared" si="25"/>
        <v>18.703690381986899</v>
      </c>
    </row>
    <row r="79" spans="2:29" x14ac:dyDescent="0.2">
      <c r="B79" s="101"/>
      <c r="C79" s="101"/>
      <c r="D79" s="101"/>
      <c r="E79" s="101"/>
      <c r="F79" s="101"/>
      <c r="G79" s="101"/>
      <c r="H79" s="101"/>
      <c r="I79" s="101"/>
      <c r="J79" s="101"/>
      <c r="K79" s="101"/>
      <c r="L79" s="101"/>
      <c r="M79" s="101"/>
      <c r="P79" s="24"/>
      <c r="Q79" s="24" t="s">
        <v>36</v>
      </c>
      <c r="R79" s="24"/>
      <c r="S79" s="24"/>
      <c r="T79" s="27">
        <f t="shared" ref="T79:AC79" si="26">IF(T64&lt;5,"-",VLOOKUP(T$13&amp;"AllSex"&amp;"Rural"&amp;24,URtable,7,FALSE))</f>
        <v>14.8271158294289</v>
      </c>
      <c r="U79" s="27">
        <f t="shared" si="26"/>
        <v>11.5160937410031</v>
      </c>
      <c r="V79" s="27">
        <f t="shared" si="26"/>
        <v>18.391573315499102</v>
      </c>
      <c r="W79" s="27">
        <f t="shared" si="26"/>
        <v>12.459371614301199</v>
      </c>
      <c r="X79" s="27">
        <f t="shared" si="26"/>
        <v>15.841165909811</v>
      </c>
      <c r="Y79" s="27">
        <f t="shared" si="26"/>
        <v>15.403573629081899</v>
      </c>
      <c r="Z79" s="27">
        <f t="shared" si="26"/>
        <v>17.736786094359701</v>
      </c>
      <c r="AA79" s="27">
        <f t="shared" si="26"/>
        <v>16.1812297734628</v>
      </c>
      <c r="AB79" s="27">
        <f t="shared" si="26"/>
        <v>15.630514798568001</v>
      </c>
      <c r="AC79" s="27">
        <f t="shared" si="26"/>
        <v>20.842638082477301</v>
      </c>
    </row>
    <row r="80" spans="2:29" x14ac:dyDescent="0.2">
      <c r="B80" s="101"/>
      <c r="C80" s="101"/>
      <c r="D80" s="101"/>
      <c r="E80" s="101"/>
      <c r="F80" s="101"/>
      <c r="G80" s="101"/>
      <c r="H80" s="101"/>
      <c r="I80" s="101"/>
      <c r="J80" s="101"/>
      <c r="K80" s="101"/>
      <c r="L80" s="101"/>
      <c r="M80" s="101"/>
      <c r="P80" s="24"/>
      <c r="Q80" s="24" t="s">
        <v>26</v>
      </c>
      <c r="R80" s="24"/>
      <c r="S80" s="24"/>
      <c r="T80" s="27">
        <f t="shared" ref="T80:AC80" si="27">IF(T65&lt;5,"-",VLOOKUP(T$13&amp;"AllSex"&amp;"Rural"&amp;25,URtable,7,FALSE))</f>
        <v>11.758777087182899</v>
      </c>
      <c r="U80" s="27">
        <f t="shared" si="27"/>
        <v>19.132653061224499</v>
      </c>
      <c r="V80" s="27">
        <f t="shared" si="27"/>
        <v>15.2695067949305</v>
      </c>
      <c r="W80" s="27">
        <f t="shared" si="27"/>
        <v>7.2706121855460202</v>
      </c>
      <c r="X80" s="27">
        <f t="shared" si="27"/>
        <v>12.4653739612188</v>
      </c>
      <c r="Y80" s="27">
        <f t="shared" si="27"/>
        <v>10.438413361169101</v>
      </c>
      <c r="Z80" s="27">
        <f t="shared" si="27"/>
        <v>7.3260073260073302</v>
      </c>
      <c r="AA80" s="27">
        <f t="shared" si="27"/>
        <v>6.9629801555065596</v>
      </c>
      <c r="AB80" s="27">
        <f t="shared" si="27"/>
        <v>7.7846975088967998</v>
      </c>
      <c r="AC80" s="27">
        <f t="shared" si="27"/>
        <v>11.413156256484699</v>
      </c>
    </row>
    <row r="81" spans="2:29" x14ac:dyDescent="0.2">
      <c r="B81" s="101"/>
      <c r="C81" s="101"/>
      <c r="D81" s="101"/>
      <c r="E81" s="101"/>
      <c r="F81" s="101"/>
      <c r="G81" s="101"/>
      <c r="H81" s="101"/>
      <c r="I81" s="101"/>
      <c r="J81" s="101"/>
      <c r="K81" s="101"/>
      <c r="L81" s="101"/>
      <c r="M81" s="101"/>
      <c r="P81" s="26"/>
      <c r="Q81" s="26"/>
      <c r="R81" s="26"/>
      <c r="S81" s="26"/>
      <c r="T81" s="29"/>
      <c r="U81" s="29"/>
      <c r="V81" s="29"/>
      <c r="W81" s="29"/>
      <c r="X81" s="29"/>
      <c r="Y81" s="29"/>
      <c r="Z81" s="29"/>
      <c r="AA81" s="29"/>
      <c r="AB81" s="29"/>
      <c r="AC81" s="29"/>
    </row>
    <row r="82" spans="2:29" x14ac:dyDescent="0.2">
      <c r="B82" s="101"/>
      <c r="C82" s="101"/>
      <c r="D82" s="101"/>
      <c r="E82" s="101"/>
      <c r="F82" s="101"/>
      <c r="G82" s="101"/>
      <c r="H82" s="101"/>
      <c r="I82" s="101"/>
      <c r="J82" s="101"/>
      <c r="K82" s="101"/>
      <c r="L82" s="101"/>
      <c r="M82" s="101"/>
      <c r="P82" s="24" t="s">
        <v>20</v>
      </c>
      <c r="Q82" s="24" t="s">
        <v>189</v>
      </c>
      <c r="R82" s="24"/>
      <c r="S82" s="24" t="s">
        <v>22</v>
      </c>
      <c r="T82" s="27">
        <f>IF(T67&lt;5,"-",VLOOKUP(T$13&amp;ref!$X$2&amp;"Rural"&amp;22,URtable,7,FALSE))</f>
        <v>49.303944315545202</v>
      </c>
      <c r="U82" s="27">
        <f t="shared" ref="U82:AC82" si="28">VLOOKUP(U$13&amp;"Male"&amp;"Rural"&amp;22,URtable,7,FALSE)</f>
        <v>31.108597285067901</v>
      </c>
      <c r="V82" s="27">
        <f t="shared" si="28"/>
        <v>33.176665745092599</v>
      </c>
      <c r="W82" s="27">
        <f t="shared" si="28"/>
        <v>54.436581382689198</v>
      </c>
      <c r="X82" s="27">
        <f t="shared" si="28"/>
        <v>45.418113812449903</v>
      </c>
      <c r="Y82" s="27">
        <f t="shared" si="28"/>
        <v>36.9295700342917</v>
      </c>
      <c r="Z82" s="27">
        <f t="shared" si="28"/>
        <v>26.441036488630399</v>
      </c>
      <c r="AA82" s="27">
        <f t="shared" si="28"/>
        <v>23.9170874302418</v>
      </c>
      <c r="AB82" s="27">
        <f t="shared" si="28"/>
        <v>18.027298480556301</v>
      </c>
      <c r="AC82" s="27">
        <f t="shared" si="28"/>
        <v>14.951407924246199</v>
      </c>
    </row>
    <row r="83" spans="2:29" x14ac:dyDescent="0.2">
      <c r="B83" s="101"/>
      <c r="C83" s="101"/>
      <c r="D83" s="101"/>
      <c r="E83" s="101"/>
      <c r="F83" s="101"/>
      <c r="G83" s="101"/>
      <c r="H83" s="101"/>
      <c r="I83" s="101"/>
      <c r="J83" s="101"/>
      <c r="K83" s="101"/>
      <c r="L83" s="101"/>
      <c r="M83" s="101"/>
      <c r="P83" s="24"/>
      <c r="Q83" s="24" t="s">
        <v>35</v>
      </c>
      <c r="R83" s="24"/>
      <c r="S83" s="24"/>
      <c r="T83" s="27">
        <f>IF(T68&lt;5,"-",VLOOKUP(T$13&amp;ref!$X$2&amp;"Rural"&amp;23,URtable,7,FALSE))</f>
        <v>34.625116526834503</v>
      </c>
      <c r="U83" s="27">
        <f>IF(U68&lt;5,"-",VLOOKUP(U$13&amp;ref!$X$2&amp;"Rural"&amp;23,URtable,7,FALSE))</f>
        <v>35.163646199621297</v>
      </c>
      <c r="V83" s="27">
        <f>IF(V68&lt;5,"-",VLOOKUP(V$13&amp;ref!$X$2&amp;"Rural"&amp;23,URtable,7,FALSE))</f>
        <v>31.5111659131388</v>
      </c>
      <c r="W83" s="27">
        <f>IF(W68&lt;5,"-",VLOOKUP(W$13&amp;ref!$X$2&amp;"Rural"&amp;23,URtable,7,FALSE))</f>
        <v>23.4903965731657</v>
      </c>
      <c r="X83" s="27">
        <f>IF(X68&lt;5,"-",VLOOKUP(X$13&amp;ref!$X$2&amp;"Rural"&amp;23,URtable,7,FALSE))</f>
        <v>40.406855231991102</v>
      </c>
      <c r="Y83" s="27">
        <f>IF(Y68&lt;5,"-",VLOOKUP(Y$13&amp;ref!$X$2&amp;"Rural"&amp;23,URtable,7,FALSE))</f>
        <v>29.296875</v>
      </c>
      <c r="Z83" s="27">
        <f>IF(Z68&lt;5,"-",VLOOKUP(Z$13&amp;ref!$X$2&amp;"Rural"&amp;23,URtable,7,FALSE))</f>
        <v>22.611644997173499</v>
      </c>
      <c r="AA83" s="27">
        <f>IF(AA68&lt;5,"-",VLOOKUP(AA$13&amp;ref!$X$2&amp;"Rural"&amp;23,URtable,7,FALSE))</f>
        <v>24.516873377559801</v>
      </c>
      <c r="AB83" s="27">
        <f>IF(AB68&lt;5,"-",VLOOKUP(AB$13&amp;ref!$X$2&amp;"Rural"&amp;23,URtable,7,FALSE))</f>
        <v>24.741667879493502</v>
      </c>
      <c r="AC83" s="27">
        <f>IF(AC68&lt;5,"-",VLOOKUP(AC$13&amp;ref!$X$2&amp;"Rural"&amp;23,URtable,7,FALSE))</f>
        <v>27.668559778651499</v>
      </c>
    </row>
    <row r="84" spans="2:29" x14ac:dyDescent="0.2">
      <c r="B84" s="101"/>
      <c r="C84" s="101"/>
      <c r="D84" s="101"/>
      <c r="E84" s="101"/>
      <c r="F84" s="101"/>
      <c r="G84" s="101"/>
      <c r="H84" s="101"/>
      <c r="I84" s="101"/>
      <c r="J84" s="101"/>
      <c r="K84" s="101"/>
      <c r="L84" s="101"/>
      <c r="M84" s="101"/>
      <c r="P84" s="24"/>
      <c r="Q84" s="24" t="s">
        <v>36</v>
      </c>
      <c r="R84" s="24"/>
      <c r="S84" s="24"/>
      <c r="T84" s="27">
        <f>IF(T69&lt;5,"-",VLOOKUP(T$13&amp;ref!$X$2&amp;"Rural"&amp;24,URtable,7,FALSE))</f>
        <v>24.043966109457301</v>
      </c>
      <c r="U84" s="27">
        <f>IF(U69&lt;5,"-",VLOOKUP(U$13&amp;ref!$X$2&amp;"Rural"&amp;24,URtable,7,FALSE))</f>
        <v>15.612802498048399</v>
      </c>
      <c r="V84" s="27">
        <f>IF(V69&lt;5,"-",VLOOKUP(V$13&amp;ref!$X$2&amp;"Rural"&amp;24,URtable,7,FALSE))</f>
        <v>29.2112950340798</v>
      </c>
      <c r="W84" s="27">
        <f>IF(W69&lt;5,"-",VLOOKUP(W$13&amp;ref!$X$2&amp;"Rural"&amp;24,URtable,7,FALSE))</f>
        <v>23.226351351351401</v>
      </c>
      <c r="X84" s="27">
        <f>IF(X69&lt;5,"-",VLOOKUP(X$13&amp;ref!$X$2&amp;"Rural"&amp;24,URtable,7,FALSE))</f>
        <v>25.802456393848701</v>
      </c>
      <c r="Y84" s="27">
        <f>IF(Y69&lt;5,"-",VLOOKUP(Y$13&amp;ref!$X$2&amp;"Rural"&amp;24,URtable,7,FALSE))</f>
        <v>23.1761386537686</v>
      </c>
      <c r="Z84" s="27">
        <f>IF(Z69&lt;5,"-",VLOOKUP(Z$13&amp;ref!$X$2&amp;"Rural"&amp;24,URtable,7,FALSE))</f>
        <v>27.955271565495199</v>
      </c>
      <c r="AA84" s="27">
        <f>IF(AA69&lt;5,"-",VLOOKUP(AA$13&amp;ref!$X$2&amp;"Rural"&amp;24,URtable,7,FALSE))</f>
        <v>22.9885057471264</v>
      </c>
      <c r="AB84" s="27">
        <f>IF(AB69&lt;5,"-",VLOOKUP(AB$13&amp;ref!$X$2&amp;"Rural"&amp;24,URtable,7,FALSE))</f>
        <v>18.954509177972898</v>
      </c>
      <c r="AC84" s="27">
        <f>IF(AC69&lt;5,"-",VLOOKUP(AC$13&amp;ref!$X$2&amp;"Rural"&amp;24,URtable,7,FALSE))</f>
        <v>30.5840568271507</v>
      </c>
    </row>
    <row r="85" spans="2:29" x14ac:dyDescent="0.2">
      <c r="B85" s="101"/>
      <c r="C85" s="84"/>
      <c r="D85" s="101"/>
      <c r="E85" s="101"/>
      <c r="F85" s="101"/>
      <c r="G85" s="101"/>
      <c r="H85" s="101"/>
      <c r="I85" s="101"/>
      <c r="J85" s="101"/>
      <c r="K85" s="101"/>
      <c r="L85" s="101"/>
      <c r="M85" s="101"/>
      <c r="P85" s="24"/>
      <c r="Q85" s="24" t="s">
        <v>26</v>
      </c>
      <c r="R85" s="24"/>
      <c r="S85" s="24"/>
      <c r="T85" s="27">
        <f>IF(T70&lt;5,"-",VLOOKUP(T$13&amp;ref!$X$2&amp;"Rural"&amp;25,URtable,7,FALSE))</f>
        <v>18.879798615481398</v>
      </c>
      <c r="U85" s="27">
        <f>IF(U70&lt;5,"-",VLOOKUP(U$13&amp;ref!$X$2&amp;"Rural"&amp;25,URtable,7,FALSE))</f>
        <v>35.810205908683997</v>
      </c>
      <c r="V85" s="27">
        <f>IF(V70&lt;5,"-",VLOOKUP(V$13&amp;ref!$X$2&amp;"Rural"&amp;25,URtable,7,FALSE))</f>
        <v>28.636884306987401</v>
      </c>
      <c r="W85" s="36" t="str">
        <f>IF(W70&lt;5,"-",VLOOKUP(W$13&amp;ref!$X$2&amp;"Rural"&amp;25,URtable,7,FALSE))</f>
        <v>-</v>
      </c>
      <c r="X85" s="27">
        <f>IF(X70&lt;5,"-",VLOOKUP(X$13&amp;ref!$X$2&amp;"Rural"&amp;25,URtable,7,FALSE))</f>
        <v>23.3402489626556</v>
      </c>
      <c r="Y85" s="27">
        <f>IF(Y70&lt;5,"-",VLOOKUP(Y$13&amp;ref!$X$2&amp;"Rural"&amp;25,URtable,7,FALSE))</f>
        <v>17.085672443251202</v>
      </c>
      <c r="Z85" s="27">
        <f>IF(Z70&lt;5,"-",VLOOKUP(Z$13&amp;ref!$X$2&amp;"Rural"&amp;25,URtable,7,FALSE))</f>
        <v>13.7362637362637</v>
      </c>
      <c r="AA85" s="27">
        <f>IF(AA70&lt;5,"-",VLOOKUP(AA$13&amp;ref!$X$2&amp;"Rural"&amp;25,URtable,7,FALSE))</f>
        <v>13.057671381936901</v>
      </c>
      <c r="AB85" s="27">
        <f>IF(AB70&lt;5,"-",VLOOKUP(AB$13&amp;ref!$X$2&amp;"Rural"&amp;25,URtable,7,FALSE))</f>
        <v>12.6528890763391</v>
      </c>
      <c r="AC85" s="27">
        <f>IF(AC70&lt;5,"-",VLOOKUP(AC$13&amp;ref!$X$2&amp;"Rural"&amp;25,URtable,7,FALSE))</f>
        <v>17.8041543026706</v>
      </c>
    </row>
    <row r="86" spans="2:29" x14ac:dyDescent="0.2">
      <c r="B86" s="84"/>
      <c r="C86" s="79" t="s">
        <v>145</v>
      </c>
      <c r="D86" s="84" t="s">
        <v>103</v>
      </c>
      <c r="E86" s="110"/>
      <c r="F86" s="110"/>
      <c r="G86" s="84"/>
      <c r="H86" s="84"/>
      <c r="I86" s="84"/>
      <c r="J86" s="84"/>
      <c r="K86" s="84"/>
      <c r="L86" s="84"/>
      <c r="M86" s="84"/>
      <c r="N86" s="196"/>
      <c r="O86" s="196"/>
      <c r="P86" s="26"/>
      <c r="Q86" s="26"/>
      <c r="R86" s="26"/>
      <c r="S86" s="26"/>
      <c r="T86" s="38"/>
      <c r="U86" s="38"/>
      <c r="V86" s="38"/>
      <c r="W86" s="38"/>
      <c r="X86" s="38"/>
      <c r="Y86" s="38"/>
      <c r="Z86" s="38"/>
      <c r="AA86" s="38"/>
      <c r="AB86" s="38"/>
      <c r="AC86" s="38"/>
    </row>
    <row r="87" spans="2:29" ht="24" customHeight="1" x14ac:dyDescent="0.2">
      <c r="B87" s="84"/>
      <c r="C87" s="101"/>
      <c r="D87" s="556" t="s">
        <v>632</v>
      </c>
      <c r="E87" s="523"/>
      <c r="F87" s="523"/>
      <c r="G87" s="523"/>
      <c r="H87" s="523"/>
      <c r="I87" s="523"/>
      <c r="J87" s="523"/>
      <c r="K87" s="523"/>
      <c r="L87" s="523"/>
      <c r="M87" s="249"/>
      <c r="N87" s="201"/>
      <c r="O87" s="201"/>
      <c r="P87" s="24" t="s">
        <v>8</v>
      </c>
      <c r="Q87" s="24" t="s">
        <v>189</v>
      </c>
      <c r="R87" s="24"/>
      <c r="S87" s="24" t="s">
        <v>22</v>
      </c>
      <c r="T87" s="48" t="str">
        <f>IF(T72&lt;5,"-",VLOOKUP(T$13&amp;ref!$X$3&amp;"Rural"&amp;22,URtable,7,FALSE))</f>
        <v>-</v>
      </c>
      <c r="U87" s="48">
        <f>IF(U72&lt;5,"-",VLOOKUP(U$13&amp;ref!$X$3&amp;"Rural"&amp;22,URtable,7,FALSE))</f>
        <v>16.382699868938399</v>
      </c>
      <c r="V87" s="48" t="str">
        <f>IF(V72&lt;5,"-",VLOOKUP(V$13&amp;ref!$X$3&amp;"Rural"&amp;22,URtable,7,FALSE))</f>
        <v>-</v>
      </c>
      <c r="W87" s="48" t="str">
        <f>IF(W72&lt;5,"-",VLOOKUP(W$13&amp;ref!$X$3&amp;"Rural"&amp;22,URtable,7,FALSE))</f>
        <v>-</v>
      </c>
      <c r="X87" s="48" t="str">
        <f>IF(X72&lt;5,"-",VLOOKUP(X$13&amp;ref!$X$3&amp;"Rural"&amp;22,URtable,7,FALSE))</f>
        <v>-</v>
      </c>
      <c r="Y87" s="48" t="str">
        <f>IF(Y72&lt;5,"-",VLOOKUP(Y$13&amp;ref!$X$3&amp;"Rural"&amp;22,URtable,7,FALSE))</f>
        <v>-</v>
      </c>
      <c r="Z87" s="48">
        <f>IF(Z72&lt;5,"-",VLOOKUP(Z$13&amp;ref!$X$3&amp;"Rural"&amp;22,URtable,7,FALSE))</f>
        <v>21.374045801526702</v>
      </c>
      <c r="AA87" s="48">
        <f>IF(AA72&lt;5,"-",VLOOKUP(AA$13&amp;ref!$X$3&amp;"Rural"&amp;22,URtable,7,FALSE))</f>
        <v>21.665119158155399</v>
      </c>
      <c r="AB87" s="48" t="str">
        <f>IF(AB72&lt;5,"-",VLOOKUP(AB$13&amp;ref!$X$3&amp;"Rural"&amp;22,URtable,7,FALSE))</f>
        <v>-</v>
      </c>
      <c r="AC87" s="48" t="str">
        <f>IF(AC72&lt;5,"-",VLOOKUP(AC$13&amp;ref!$X$3&amp;"Rural"&amp;22,URtable,7,FALSE))</f>
        <v>-</v>
      </c>
    </row>
    <row r="88" spans="2:29" x14ac:dyDescent="0.2">
      <c r="B88" s="84"/>
      <c r="C88" s="79" t="s">
        <v>146</v>
      </c>
      <c r="D88" s="559" t="s">
        <v>149</v>
      </c>
      <c r="E88" s="525"/>
      <c r="F88" s="525"/>
      <c r="G88" s="525"/>
      <c r="H88" s="525"/>
      <c r="I88" s="525"/>
      <c r="J88" s="525"/>
      <c r="K88" s="525"/>
      <c r="L88" s="525"/>
      <c r="M88" s="84"/>
      <c r="N88" s="196"/>
      <c r="O88" s="196"/>
      <c r="P88" s="24"/>
      <c r="Q88" s="24" t="s">
        <v>35</v>
      </c>
      <c r="R88" s="24"/>
      <c r="S88" s="24"/>
      <c r="T88" s="48" t="str">
        <f>IF(T73&lt;5,"-",VLOOKUP(T$13&amp;ref!$X$3&amp;"Rural"&amp;23,URtable,7,FALSE))</f>
        <v>-</v>
      </c>
      <c r="U88" s="48" t="str">
        <f>IF(U73&lt;5,"-",VLOOKUP(U$13&amp;ref!$X$3&amp;"Rural"&amp;23,URtable,7,FALSE))</f>
        <v>-</v>
      </c>
      <c r="V88" s="48">
        <f>IF(V73&lt;5,"-",VLOOKUP(V$13&amp;ref!$X$3&amp;"Rural"&amp;23,URtable,7,FALSE))</f>
        <v>6.5436461196178497</v>
      </c>
      <c r="W88" s="48" t="str">
        <f>IF(W73&lt;5,"-",VLOOKUP(W$13&amp;ref!$X$3&amp;"Rural"&amp;23,URtable,7,FALSE))</f>
        <v>-</v>
      </c>
      <c r="X88" s="48">
        <f>IF(X73&lt;5,"-",VLOOKUP(X$13&amp;ref!$X$3&amp;"Rural"&amp;23,URtable,7,FALSE))</f>
        <v>11.9776417354272</v>
      </c>
      <c r="Y88" s="48" t="str">
        <f>IF(Y73&lt;5,"-",VLOOKUP(Y$13&amp;ref!$X$3&amp;"Rural"&amp;23,URtable,7,FALSE))</f>
        <v>-</v>
      </c>
      <c r="Z88" s="48">
        <f>IF(Z73&lt;5,"-",VLOOKUP(Z$13&amp;ref!$X$3&amp;"Rural"&amp;23,URtable,7,FALSE))</f>
        <v>9.4658553076403003</v>
      </c>
      <c r="AA88" s="48">
        <f>IF(AA73&lt;5,"-",VLOOKUP(AA$13&amp;ref!$X$3&amp;"Rural"&amp;23,URtable,7,FALSE))</f>
        <v>11.026878015162</v>
      </c>
      <c r="AB88" s="48">
        <f>IF(AB73&lt;5,"-",VLOOKUP(AB$13&amp;ref!$X$3&amp;"Rural"&amp;23,URtable,7,FALSE))</f>
        <v>7.0952178231871699</v>
      </c>
      <c r="AC88" s="48">
        <f>IF(AC73&lt;5,"-",VLOOKUP(AC$13&amp;ref!$X$3&amp;"Rural"&amp;23,URtable,7,FALSE))</f>
        <v>9.9544937428896496</v>
      </c>
    </row>
    <row r="89" spans="2:29" x14ac:dyDescent="0.2">
      <c r="B89" s="84"/>
      <c r="C89" s="101"/>
      <c r="D89" s="79"/>
      <c r="E89" s="101"/>
      <c r="F89" s="101"/>
      <c r="G89" s="84"/>
      <c r="H89" s="84"/>
      <c r="I89" s="101"/>
      <c r="J89" s="101"/>
      <c r="K89" s="101"/>
      <c r="L89" s="101"/>
      <c r="M89" s="101"/>
      <c r="P89" s="24"/>
      <c r="Q89" s="24" t="s">
        <v>36</v>
      </c>
      <c r="R89" s="24"/>
      <c r="S89" s="24"/>
      <c r="T89" s="48" t="str">
        <f>IF(T74&lt;5,"-",VLOOKUP(T$13&amp;ref!$X$3&amp;"Rural"&amp;24,URtable,7,FALSE))</f>
        <v>-</v>
      </c>
      <c r="U89" s="48">
        <f>IF(U74&lt;5,"-",VLOOKUP(U$13&amp;ref!$X$3&amp;"Rural"&amp;24,URtable,7,FALSE))</f>
        <v>7.1437075842362203</v>
      </c>
      <c r="V89" s="48">
        <f>IF(V74&lt;5,"-",VLOOKUP(V$13&amp;ref!$X$3&amp;"Rural"&amp;24,URtable,7,FALSE))</f>
        <v>6.8949666743277396</v>
      </c>
      <c r="W89" s="48" t="str">
        <f>IF(W74&lt;5,"-",VLOOKUP(W$13&amp;ref!$X$3&amp;"Rural"&amp;24,URtable,7,FALSE))</f>
        <v>-</v>
      </c>
      <c r="X89" s="48">
        <f>IF(X74&lt;5,"-",VLOOKUP(X$13&amp;ref!$X$3&amp;"Rural"&amp;24,URtable,7,FALSE))</f>
        <v>5.4054054054054097</v>
      </c>
      <c r="Y89" s="48">
        <f>IF(Y74&lt;5,"-",VLOOKUP(Y$13&amp;ref!$X$3&amp;"Rural"&amp;24,URtable,7,FALSE))</f>
        <v>7.3283082077051898</v>
      </c>
      <c r="Z89" s="48">
        <f>IF(Z74&lt;5,"-",VLOOKUP(Z$13&amp;ref!$X$3&amp;"Rural"&amp;24,URtable,7,FALSE))</f>
        <v>7.2023870768597602</v>
      </c>
      <c r="AA89" s="48">
        <f>IF(AA74&lt;5,"-",VLOOKUP(AA$13&amp;ref!$X$3&amp;"Rural"&amp;24,URtable,7,FALSE))</f>
        <v>9.2109303039606996</v>
      </c>
      <c r="AB89" s="48">
        <f>IF(AB74&lt;5,"-",VLOOKUP(AB$13&amp;ref!$X$3&amp;"Rural"&amp;24,URtable,7,FALSE))</f>
        <v>12.233662962585401</v>
      </c>
      <c r="AC89" s="48">
        <f>IF(AC74&lt;5,"-",VLOOKUP(AC$13&amp;ref!$X$3&amp;"Rural"&amp;24,URtable,7,FALSE))</f>
        <v>10.9813317360487</v>
      </c>
    </row>
    <row r="90" spans="2:29" x14ac:dyDescent="0.2">
      <c r="B90" s="501"/>
      <c r="C90" s="501"/>
      <c r="D90" s="501"/>
      <c r="E90" s="501"/>
      <c r="F90" s="501"/>
      <c r="G90" s="501"/>
      <c r="H90" s="501"/>
      <c r="I90" s="501"/>
      <c r="J90" s="501"/>
      <c r="K90" s="501"/>
      <c r="L90" s="501"/>
      <c r="M90" s="501"/>
      <c r="P90" s="24"/>
      <c r="Q90" s="24" t="s">
        <v>26</v>
      </c>
      <c r="R90" s="24"/>
      <c r="S90" s="24"/>
      <c r="T90" s="48" t="str">
        <f>IF(T75&lt;5,"-",VLOOKUP(T$13&amp;ref!$X$3&amp;"Rural"&amp;25,URtable,7,FALSE))</f>
        <v>-</v>
      </c>
      <c r="U90" s="48" t="str">
        <f>IF(U75&lt;5,"-",VLOOKUP(U$13&amp;ref!$X$3&amp;"Rural"&amp;25,URtable,7,FALSE))</f>
        <v>-</v>
      </c>
      <c r="V90" s="48" t="str">
        <f>IF(V75&lt;5,"-",VLOOKUP(V$13&amp;ref!$X$3&amp;"Rural"&amp;25,URtable,7,FALSE))</f>
        <v>-</v>
      </c>
      <c r="W90" s="48" t="str">
        <f>IF(W75&lt;5,"-",VLOOKUP(W$13&amp;ref!$X$3&amp;"Rural"&amp;25,URtable,7,FALSE))</f>
        <v>-</v>
      </c>
      <c r="X90" s="48" t="str">
        <f>IF(X75&lt;5,"-",VLOOKUP(X$13&amp;ref!$X$3&amp;"Rural"&amp;25,URtable,7,FALSE))</f>
        <v>-</v>
      </c>
      <c r="Y90" s="48" t="str">
        <f>IF(Y75&lt;5,"-",VLOOKUP(Y$13&amp;ref!$X$3&amp;"Rural"&amp;25,URtable,7,FALSE))</f>
        <v>-</v>
      </c>
      <c r="Z90" s="48" t="str">
        <f>IF(Z75&lt;5,"-",VLOOKUP(Z$13&amp;ref!$X$3&amp;"Rural"&amp;25,URtable,7,FALSE))</f>
        <v>-</v>
      </c>
      <c r="AA90" s="48" t="str">
        <f>IF(AA75&lt;5,"-",VLOOKUP(AA$13&amp;ref!$X$3&amp;"Rural"&amp;25,URtable,7,FALSE))</f>
        <v>-</v>
      </c>
      <c r="AB90" s="48" t="str">
        <f>IF(AB75&lt;5,"-",VLOOKUP(AB$13&amp;ref!$X$3&amp;"Rural"&amp;25,URtable,7,FALSE))</f>
        <v>-</v>
      </c>
      <c r="AC90" s="48" t="str">
        <f>IF(AC75&lt;5,"-",VLOOKUP(AC$13&amp;ref!$X$3&amp;"Rural"&amp;25,URtable,7,FALSE))</f>
        <v>-</v>
      </c>
    </row>
    <row r="91" spans="2:29" x14ac:dyDescent="0.2">
      <c r="B91" s="501"/>
      <c r="C91" s="501"/>
      <c r="D91" s="501"/>
      <c r="E91" s="501"/>
      <c r="F91" s="501"/>
      <c r="G91" s="501"/>
      <c r="H91" s="501"/>
      <c r="I91" s="501"/>
      <c r="J91" s="501"/>
      <c r="K91" s="501"/>
      <c r="L91" s="501"/>
      <c r="M91" s="501"/>
      <c r="P91" s="26"/>
      <c r="Q91" s="26"/>
      <c r="R91" s="26"/>
      <c r="S91" s="26"/>
      <c r="T91" s="26"/>
      <c r="U91" s="26"/>
      <c r="V91" s="26"/>
      <c r="W91" s="26"/>
      <c r="X91" s="26"/>
      <c r="Y91" s="26"/>
      <c r="Z91" s="26"/>
      <c r="AA91" s="26"/>
      <c r="AB91" s="26"/>
      <c r="AC91" s="26"/>
    </row>
    <row r="92" spans="2:29" x14ac:dyDescent="0.2">
      <c r="P92" s="23" t="s">
        <v>350</v>
      </c>
    </row>
    <row r="93" spans="2:29" x14ac:dyDescent="0.2">
      <c r="P93" s="24"/>
      <c r="Q93" s="24"/>
      <c r="R93" s="24"/>
      <c r="S93" s="24"/>
    </row>
    <row r="94" spans="2:29" x14ac:dyDescent="0.2">
      <c r="P94" s="22" t="s">
        <v>1</v>
      </c>
      <c r="Q94" s="22" t="s">
        <v>37</v>
      </c>
      <c r="R94" s="24"/>
      <c r="S94" s="24"/>
      <c r="T94" s="22">
        <v>2006</v>
      </c>
      <c r="U94" s="22">
        <v>2007</v>
      </c>
      <c r="V94" s="22">
        <v>2008</v>
      </c>
      <c r="W94" s="22">
        <v>2009</v>
      </c>
      <c r="X94" s="22">
        <v>2010</v>
      </c>
      <c r="Y94" s="22">
        <v>2011</v>
      </c>
      <c r="Z94" s="22">
        <v>2012</v>
      </c>
      <c r="AA94" s="22">
        <v>2013</v>
      </c>
      <c r="AB94" s="22">
        <v>2014</v>
      </c>
      <c r="AC94" s="22">
        <v>2015</v>
      </c>
    </row>
    <row r="95" spans="2:29" x14ac:dyDescent="0.2">
      <c r="P95" s="22"/>
      <c r="Q95" s="22"/>
      <c r="R95" s="24"/>
      <c r="S95" s="24"/>
      <c r="T95" s="24"/>
      <c r="U95" s="24"/>
      <c r="V95" s="24"/>
      <c r="W95" s="24"/>
      <c r="X95" s="24"/>
      <c r="Y95" s="24"/>
      <c r="Z95" s="24"/>
      <c r="AA95" s="24"/>
      <c r="AB95" s="24"/>
      <c r="AC95" s="24"/>
    </row>
    <row r="96" spans="2:29" x14ac:dyDescent="0.2">
      <c r="P96" s="24" t="s">
        <v>0</v>
      </c>
      <c r="Q96" s="24" t="s">
        <v>189</v>
      </c>
      <c r="R96" s="24"/>
      <c r="S96" s="24" t="s">
        <v>21</v>
      </c>
      <c r="T96" s="24">
        <f t="shared" ref="T96:AC96" si="29">VLOOKUP(T$13&amp;"AllSex"&amp;"Urban"&amp;22,URtable,6,FALSE)</f>
        <v>96</v>
      </c>
      <c r="U96" s="24">
        <f t="shared" si="29"/>
        <v>77</v>
      </c>
      <c r="V96" s="24">
        <f t="shared" si="29"/>
        <v>104</v>
      </c>
      <c r="W96" s="24">
        <f t="shared" si="29"/>
        <v>93</v>
      </c>
      <c r="X96" s="24">
        <f t="shared" si="29"/>
        <v>94</v>
      </c>
      <c r="Y96" s="24">
        <f t="shared" si="29"/>
        <v>115</v>
      </c>
      <c r="Z96" s="24">
        <f t="shared" si="29"/>
        <v>131</v>
      </c>
      <c r="AA96" s="24">
        <f t="shared" si="29"/>
        <v>96</v>
      </c>
      <c r="AB96" s="24">
        <f t="shared" si="29"/>
        <v>82</v>
      </c>
      <c r="AC96" s="24">
        <f t="shared" si="29"/>
        <v>101</v>
      </c>
    </row>
    <row r="97" spans="16:29" x14ac:dyDescent="0.2">
      <c r="P97" s="24"/>
      <c r="Q97" s="24" t="s">
        <v>35</v>
      </c>
      <c r="R97" s="24"/>
      <c r="S97" s="24"/>
      <c r="T97" s="24">
        <f t="shared" ref="T97:AC97" si="30">VLOOKUP(T$13&amp;"AllSex"&amp;"Urban"&amp;23,URtable,6,FALSE)</f>
        <v>175</v>
      </c>
      <c r="U97" s="24">
        <f t="shared" si="30"/>
        <v>183</v>
      </c>
      <c r="V97" s="24">
        <f t="shared" si="30"/>
        <v>151</v>
      </c>
      <c r="W97" s="24">
        <f t="shared" si="30"/>
        <v>153</v>
      </c>
      <c r="X97" s="24">
        <f t="shared" si="30"/>
        <v>158</v>
      </c>
      <c r="Y97" s="24">
        <f t="shared" si="30"/>
        <v>139</v>
      </c>
      <c r="Z97" s="24">
        <f t="shared" si="30"/>
        <v>161</v>
      </c>
      <c r="AA97" s="24">
        <f t="shared" si="30"/>
        <v>136</v>
      </c>
      <c r="AB97" s="24">
        <f t="shared" si="30"/>
        <v>166</v>
      </c>
      <c r="AC97" s="24">
        <f t="shared" si="30"/>
        <v>144</v>
      </c>
    </row>
    <row r="98" spans="16:29" x14ac:dyDescent="0.2">
      <c r="P98" s="24"/>
      <c r="Q98" s="24" t="s">
        <v>36</v>
      </c>
      <c r="R98" s="24"/>
      <c r="S98" s="24"/>
      <c r="T98" s="24">
        <f t="shared" ref="T98:AC98" si="31">VLOOKUP(T$13&amp;"AllSex"&amp;"Urban"&amp;24,URtable,6,FALSE)</f>
        <v>115</v>
      </c>
      <c r="U98" s="24">
        <f t="shared" si="31"/>
        <v>120</v>
      </c>
      <c r="V98" s="24">
        <f t="shared" si="31"/>
        <v>124</v>
      </c>
      <c r="W98" s="24">
        <f t="shared" si="31"/>
        <v>133</v>
      </c>
      <c r="X98" s="24">
        <f t="shared" si="31"/>
        <v>128</v>
      </c>
      <c r="Y98" s="24">
        <f t="shared" si="31"/>
        <v>120</v>
      </c>
      <c r="Z98" s="24">
        <f t="shared" si="31"/>
        <v>111</v>
      </c>
      <c r="AA98" s="24">
        <f t="shared" si="31"/>
        <v>151</v>
      </c>
      <c r="AB98" s="24">
        <f t="shared" si="31"/>
        <v>129</v>
      </c>
      <c r="AC98" s="24">
        <f t="shared" si="31"/>
        <v>127</v>
      </c>
    </row>
    <row r="99" spans="16:29" x14ac:dyDescent="0.2">
      <c r="P99" s="24"/>
      <c r="Q99" s="24" t="s">
        <v>26</v>
      </c>
      <c r="R99" s="24"/>
      <c r="S99" s="24"/>
      <c r="T99" s="24">
        <f t="shared" ref="T99:AC99" si="32">VLOOKUP(T$13&amp;"AllSex"&amp;"Urban"&amp;25,URtable,6,FALSE)</f>
        <v>44</v>
      </c>
      <c r="U99" s="24">
        <f t="shared" si="32"/>
        <v>38</v>
      </c>
      <c r="V99" s="24">
        <f t="shared" si="32"/>
        <v>41</v>
      </c>
      <c r="W99" s="24">
        <f t="shared" si="32"/>
        <v>49</v>
      </c>
      <c r="X99" s="24">
        <f t="shared" si="32"/>
        <v>48</v>
      </c>
      <c r="Y99" s="24">
        <f t="shared" si="32"/>
        <v>36</v>
      </c>
      <c r="Z99" s="24">
        <f t="shared" si="32"/>
        <v>51</v>
      </c>
      <c r="AA99" s="24">
        <f t="shared" si="32"/>
        <v>49</v>
      </c>
      <c r="AB99" s="24">
        <f t="shared" si="32"/>
        <v>53</v>
      </c>
      <c r="AC99" s="24">
        <f t="shared" si="32"/>
        <v>53</v>
      </c>
    </row>
    <row r="100" spans="16:29" x14ac:dyDescent="0.2">
      <c r="P100" s="26"/>
      <c r="Q100" s="26"/>
      <c r="R100" s="26"/>
      <c r="S100" s="26"/>
      <c r="T100" s="26"/>
      <c r="U100" s="26"/>
      <c r="V100" s="26"/>
      <c r="W100" s="26"/>
      <c r="X100" s="26"/>
      <c r="Y100" s="26"/>
      <c r="Z100" s="26"/>
      <c r="AA100" s="26"/>
      <c r="AB100" s="26"/>
      <c r="AC100" s="26"/>
    </row>
    <row r="101" spans="16:29" x14ac:dyDescent="0.2">
      <c r="P101" s="24" t="s">
        <v>20</v>
      </c>
      <c r="Q101" s="24" t="s">
        <v>189</v>
      </c>
      <c r="R101" s="24"/>
      <c r="S101" s="24" t="s">
        <v>21</v>
      </c>
      <c r="T101" s="24">
        <f t="shared" ref="T101:AC101" si="33">VLOOKUP(T$13&amp;"Male"&amp;"Urban"&amp;22,URtable,6,FALSE)</f>
        <v>75</v>
      </c>
      <c r="U101" s="24">
        <f t="shared" si="33"/>
        <v>59</v>
      </c>
      <c r="V101" s="24">
        <f t="shared" si="33"/>
        <v>69</v>
      </c>
      <c r="W101" s="24">
        <f t="shared" si="33"/>
        <v>75</v>
      </c>
      <c r="X101" s="24">
        <f t="shared" si="33"/>
        <v>60</v>
      </c>
      <c r="Y101" s="24">
        <f t="shared" si="33"/>
        <v>82</v>
      </c>
      <c r="Z101" s="24">
        <f t="shared" si="33"/>
        <v>97</v>
      </c>
      <c r="AA101" s="24">
        <f t="shared" si="33"/>
        <v>65</v>
      </c>
      <c r="AB101" s="24">
        <f t="shared" si="33"/>
        <v>61</v>
      </c>
      <c r="AC101" s="24">
        <f t="shared" si="33"/>
        <v>63</v>
      </c>
    </row>
    <row r="102" spans="16:29" x14ac:dyDescent="0.2">
      <c r="P102" s="24"/>
      <c r="Q102" s="24" t="s">
        <v>35</v>
      </c>
      <c r="R102" s="24"/>
      <c r="S102" s="24"/>
      <c r="T102" s="24">
        <f t="shared" ref="T102:AC102" si="34">VLOOKUP(T$13&amp;"Male"&amp;"Urban"&amp;23,URtable,6,FALSE)</f>
        <v>120</v>
      </c>
      <c r="U102" s="24">
        <f t="shared" si="34"/>
        <v>139</v>
      </c>
      <c r="V102" s="24">
        <f t="shared" si="34"/>
        <v>108</v>
      </c>
      <c r="W102" s="24">
        <f t="shared" si="34"/>
        <v>115</v>
      </c>
      <c r="X102" s="24">
        <f t="shared" si="34"/>
        <v>114</v>
      </c>
      <c r="Y102" s="24">
        <f t="shared" si="34"/>
        <v>109</v>
      </c>
      <c r="Z102" s="24">
        <f t="shared" si="34"/>
        <v>126</v>
      </c>
      <c r="AA102" s="24">
        <f t="shared" si="34"/>
        <v>97</v>
      </c>
      <c r="AB102" s="24">
        <f t="shared" si="34"/>
        <v>122</v>
      </c>
      <c r="AC102" s="24">
        <f t="shared" si="34"/>
        <v>116</v>
      </c>
    </row>
    <row r="103" spans="16:29" x14ac:dyDescent="0.2">
      <c r="P103" s="24"/>
      <c r="Q103" s="24" t="s">
        <v>36</v>
      </c>
      <c r="R103" s="24"/>
      <c r="S103" s="24"/>
      <c r="T103" s="24">
        <f t="shared" ref="T103:AC103" si="35">VLOOKUP(T$13&amp;"Male"&amp;"Urban"&amp;24,URtable,6,FALSE)</f>
        <v>88</v>
      </c>
      <c r="U103" s="24">
        <f t="shared" si="35"/>
        <v>86</v>
      </c>
      <c r="V103" s="24">
        <f t="shared" si="35"/>
        <v>97</v>
      </c>
      <c r="W103" s="24">
        <f t="shared" si="35"/>
        <v>96</v>
      </c>
      <c r="X103" s="24">
        <f t="shared" si="35"/>
        <v>90</v>
      </c>
      <c r="Y103" s="24">
        <f t="shared" si="35"/>
        <v>94</v>
      </c>
      <c r="Z103" s="24">
        <f t="shared" si="35"/>
        <v>76</v>
      </c>
      <c r="AA103" s="24">
        <f t="shared" si="35"/>
        <v>107</v>
      </c>
      <c r="AB103" s="24">
        <f t="shared" si="35"/>
        <v>97</v>
      </c>
      <c r="AC103" s="24">
        <f t="shared" si="35"/>
        <v>93</v>
      </c>
    </row>
    <row r="104" spans="16:29" x14ac:dyDescent="0.2">
      <c r="P104" s="24"/>
      <c r="Q104" s="24" t="s">
        <v>26</v>
      </c>
      <c r="R104" s="24"/>
      <c r="S104" s="24"/>
      <c r="T104" s="24">
        <f t="shared" ref="T104:AC104" si="36">VLOOKUP(T$13&amp;"Male"&amp;"Urban"&amp;25,URtable,6,FALSE)</f>
        <v>27</v>
      </c>
      <c r="U104" s="24">
        <f t="shared" si="36"/>
        <v>30</v>
      </c>
      <c r="V104" s="24">
        <f t="shared" si="36"/>
        <v>26</v>
      </c>
      <c r="W104" s="24">
        <f t="shared" si="36"/>
        <v>37</v>
      </c>
      <c r="X104" s="24">
        <f t="shared" si="36"/>
        <v>34</v>
      </c>
      <c r="Y104" s="24">
        <f t="shared" si="36"/>
        <v>23</v>
      </c>
      <c r="Z104" s="24">
        <f t="shared" si="36"/>
        <v>37</v>
      </c>
      <c r="AA104" s="24">
        <f t="shared" si="36"/>
        <v>41</v>
      </c>
      <c r="AB104" s="24">
        <f t="shared" si="36"/>
        <v>43</v>
      </c>
      <c r="AC104" s="24">
        <f t="shared" si="36"/>
        <v>39</v>
      </c>
    </row>
    <row r="105" spans="16:29" x14ac:dyDescent="0.2">
      <c r="P105" s="26"/>
      <c r="Q105" s="26"/>
      <c r="R105" s="26"/>
      <c r="S105" s="26"/>
      <c r="T105" s="26"/>
      <c r="U105" s="26"/>
      <c r="V105" s="26"/>
      <c r="W105" s="26"/>
      <c r="X105" s="26"/>
      <c r="Y105" s="26"/>
      <c r="Z105" s="26"/>
      <c r="AA105" s="26"/>
      <c r="AB105" s="26"/>
      <c r="AC105" s="26"/>
    </row>
    <row r="106" spans="16:29" x14ac:dyDescent="0.2">
      <c r="P106" s="24" t="s">
        <v>8</v>
      </c>
      <c r="Q106" s="24" t="s">
        <v>189</v>
      </c>
      <c r="R106" s="24"/>
      <c r="S106" s="24" t="s">
        <v>21</v>
      </c>
      <c r="T106" s="24">
        <f t="shared" ref="T106:AC106" si="37">VLOOKUP(T$13&amp;"Female"&amp;"Urban"&amp;22,URtable,6,FALSE)</f>
        <v>21</v>
      </c>
      <c r="U106" s="24">
        <f t="shared" si="37"/>
        <v>18</v>
      </c>
      <c r="V106" s="24">
        <f t="shared" si="37"/>
        <v>35</v>
      </c>
      <c r="W106" s="24">
        <f t="shared" si="37"/>
        <v>18</v>
      </c>
      <c r="X106" s="24">
        <f t="shared" si="37"/>
        <v>34</v>
      </c>
      <c r="Y106" s="24">
        <f t="shared" si="37"/>
        <v>33</v>
      </c>
      <c r="Z106" s="24">
        <f t="shared" si="37"/>
        <v>34</v>
      </c>
      <c r="AA106" s="24">
        <f t="shared" si="37"/>
        <v>31</v>
      </c>
      <c r="AB106" s="24">
        <f t="shared" si="37"/>
        <v>21</v>
      </c>
      <c r="AC106" s="24">
        <f t="shared" si="37"/>
        <v>38</v>
      </c>
    </row>
    <row r="107" spans="16:29" x14ac:dyDescent="0.2">
      <c r="P107" s="24"/>
      <c r="Q107" s="24" t="s">
        <v>35</v>
      </c>
      <c r="R107" s="24"/>
      <c r="S107" s="24"/>
      <c r="T107" s="24">
        <f t="shared" ref="T107:AC107" si="38">VLOOKUP(T$13&amp;"Female"&amp;"Urban"&amp;23,URtable,6,FALSE)</f>
        <v>55</v>
      </c>
      <c r="U107" s="24">
        <f t="shared" si="38"/>
        <v>44</v>
      </c>
      <c r="V107" s="24">
        <f t="shared" si="38"/>
        <v>43</v>
      </c>
      <c r="W107" s="24">
        <f t="shared" si="38"/>
        <v>38</v>
      </c>
      <c r="X107" s="24">
        <f t="shared" si="38"/>
        <v>44</v>
      </c>
      <c r="Y107" s="24">
        <f t="shared" si="38"/>
        <v>30</v>
      </c>
      <c r="Z107" s="24">
        <f t="shared" si="38"/>
        <v>35</v>
      </c>
      <c r="AA107" s="24">
        <f t="shared" si="38"/>
        <v>39</v>
      </c>
      <c r="AB107" s="24">
        <f t="shared" si="38"/>
        <v>44</v>
      </c>
      <c r="AC107" s="24">
        <f t="shared" si="38"/>
        <v>28</v>
      </c>
    </row>
    <row r="108" spans="16:29" x14ac:dyDescent="0.2">
      <c r="P108" s="24"/>
      <c r="Q108" s="24" t="s">
        <v>36</v>
      </c>
      <c r="R108" s="24"/>
      <c r="S108" s="24"/>
      <c r="T108" s="24">
        <f t="shared" ref="T108:AC108" si="39">VLOOKUP(T$13&amp;"Female"&amp;"Urban"&amp;24,URtable,6,FALSE)</f>
        <v>27</v>
      </c>
      <c r="U108" s="24">
        <f t="shared" si="39"/>
        <v>34</v>
      </c>
      <c r="V108" s="24">
        <f t="shared" si="39"/>
        <v>27</v>
      </c>
      <c r="W108" s="24">
        <f t="shared" si="39"/>
        <v>37</v>
      </c>
      <c r="X108" s="24">
        <f t="shared" si="39"/>
        <v>38</v>
      </c>
      <c r="Y108" s="24">
        <f t="shared" si="39"/>
        <v>26</v>
      </c>
      <c r="Z108" s="24">
        <f t="shared" si="39"/>
        <v>35</v>
      </c>
      <c r="AA108" s="24">
        <f t="shared" si="39"/>
        <v>44</v>
      </c>
      <c r="AB108" s="24">
        <f t="shared" si="39"/>
        <v>32</v>
      </c>
      <c r="AC108" s="24">
        <f t="shared" si="39"/>
        <v>34</v>
      </c>
    </row>
    <row r="109" spans="16:29" x14ac:dyDescent="0.2">
      <c r="P109" s="24"/>
      <c r="Q109" s="24" t="s">
        <v>26</v>
      </c>
      <c r="R109" s="24"/>
      <c r="S109" s="24"/>
      <c r="T109" s="24">
        <f t="shared" ref="T109:AC109" si="40">VLOOKUP(T$13&amp;"Female"&amp;"Urban"&amp;25,URtable,6,FALSE)</f>
        <v>17</v>
      </c>
      <c r="U109" s="24">
        <f t="shared" si="40"/>
        <v>8</v>
      </c>
      <c r="V109" s="24">
        <f t="shared" si="40"/>
        <v>15</v>
      </c>
      <c r="W109" s="24">
        <f t="shared" si="40"/>
        <v>12</v>
      </c>
      <c r="X109" s="24">
        <f t="shared" si="40"/>
        <v>14</v>
      </c>
      <c r="Y109" s="24">
        <f t="shared" si="40"/>
        <v>13</v>
      </c>
      <c r="Z109" s="24">
        <f t="shared" si="40"/>
        <v>14</v>
      </c>
      <c r="AA109" s="24">
        <f t="shared" si="40"/>
        <v>8</v>
      </c>
      <c r="AB109" s="24">
        <f t="shared" si="40"/>
        <v>10</v>
      </c>
      <c r="AC109" s="24">
        <f t="shared" si="40"/>
        <v>14</v>
      </c>
    </row>
    <row r="110" spans="16:29" x14ac:dyDescent="0.2">
      <c r="P110" s="26"/>
      <c r="Q110" s="26"/>
      <c r="R110" s="26"/>
      <c r="S110" s="26"/>
      <c r="T110" s="26"/>
      <c r="U110" s="26"/>
      <c r="V110" s="26"/>
      <c r="W110" s="26"/>
      <c r="X110" s="26"/>
      <c r="Y110" s="26"/>
      <c r="Z110" s="26"/>
      <c r="AA110" s="26"/>
      <c r="AB110" s="26"/>
      <c r="AC110" s="26"/>
    </row>
    <row r="111" spans="16:29" x14ac:dyDescent="0.2">
      <c r="P111" s="24" t="s">
        <v>0</v>
      </c>
      <c r="Q111" s="24" t="s">
        <v>189</v>
      </c>
      <c r="R111" s="24"/>
      <c r="S111" s="24" t="s">
        <v>22</v>
      </c>
      <c r="T111" s="27">
        <f t="shared" ref="T111:AC111" si="41">VLOOKUP(T$13&amp;"AllSex"&amp;"Urban"&amp;22,URtable,7,FALSE)</f>
        <v>17.7514792899408</v>
      </c>
      <c r="U111" s="27">
        <f t="shared" si="41"/>
        <v>14.2724745134384</v>
      </c>
      <c r="V111" s="27">
        <f t="shared" si="41"/>
        <v>19.326185122554001</v>
      </c>
      <c r="W111" s="27">
        <f t="shared" si="41"/>
        <v>17.2059721374258</v>
      </c>
      <c r="X111" s="27">
        <f t="shared" si="41"/>
        <v>17.184643510054801</v>
      </c>
      <c r="Y111" s="27">
        <f t="shared" si="41"/>
        <v>20.871522169186399</v>
      </c>
      <c r="Z111" s="27">
        <f t="shared" si="41"/>
        <v>23.693682287615999</v>
      </c>
      <c r="AA111" s="27">
        <f t="shared" si="41"/>
        <v>17.222511257422699</v>
      </c>
      <c r="AB111" s="27">
        <f t="shared" si="41"/>
        <v>14.4490845976282</v>
      </c>
      <c r="AC111" s="27">
        <f t="shared" si="41"/>
        <v>17.372159823870401</v>
      </c>
    </row>
    <row r="112" spans="16:29" x14ac:dyDescent="0.2">
      <c r="P112" s="24"/>
      <c r="Q112" s="24" t="s">
        <v>35</v>
      </c>
      <c r="R112" s="24"/>
      <c r="S112" s="24"/>
      <c r="T112" s="27">
        <f t="shared" ref="T112:AC112" si="42">VLOOKUP(T$13&amp;"AllSex"&amp;"Urban"&amp;23,URtable,7,FALSE)</f>
        <v>17.029972752043602</v>
      </c>
      <c r="U112" s="27">
        <f t="shared" si="42"/>
        <v>17.842169919856499</v>
      </c>
      <c r="V112" s="27">
        <f t="shared" si="42"/>
        <v>14.802325239435</v>
      </c>
      <c r="W112" s="27">
        <f t="shared" si="42"/>
        <v>15.0424728645588</v>
      </c>
      <c r="X112" s="27">
        <f t="shared" si="42"/>
        <v>15.5668091982108</v>
      </c>
      <c r="Y112" s="27">
        <f t="shared" si="42"/>
        <v>13.8018687134474</v>
      </c>
      <c r="Z112" s="27">
        <f t="shared" si="42"/>
        <v>16.103381710159098</v>
      </c>
      <c r="AA112" s="27">
        <f t="shared" si="42"/>
        <v>13.606939539164999</v>
      </c>
      <c r="AB112" s="27">
        <f t="shared" si="42"/>
        <v>16.335206305783299</v>
      </c>
      <c r="AC112" s="27">
        <f t="shared" si="42"/>
        <v>13.8035486623019</v>
      </c>
    </row>
    <row r="113" spans="16:32" x14ac:dyDescent="0.2">
      <c r="P113" s="24"/>
      <c r="Q113" s="24" t="s">
        <v>36</v>
      </c>
      <c r="R113" s="24"/>
      <c r="S113" s="24"/>
      <c r="T113" s="27">
        <f t="shared" ref="T113:AC113" si="43">VLOOKUP(T$13&amp;"AllSex"&amp;"Urban"&amp;24,URtable,7,FALSE)</f>
        <v>13.8659464412747</v>
      </c>
      <c r="U113" s="27">
        <f t="shared" si="43"/>
        <v>14.1096792399586</v>
      </c>
      <c r="V113" s="27">
        <f t="shared" si="43"/>
        <v>14.190727961456201</v>
      </c>
      <c r="W113" s="27">
        <f t="shared" si="43"/>
        <v>14.8871153695475</v>
      </c>
      <c r="X113" s="27">
        <f t="shared" si="43"/>
        <v>14.061452943567399</v>
      </c>
      <c r="Y113" s="27">
        <f t="shared" si="43"/>
        <v>13.0112330311836</v>
      </c>
      <c r="Z113" s="27">
        <f t="shared" si="43"/>
        <v>11.9447314049587</v>
      </c>
      <c r="AA113" s="27">
        <f t="shared" si="43"/>
        <v>16.059387828898402</v>
      </c>
      <c r="AB113" s="27">
        <f t="shared" si="43"/>
        <v>13.511390416339401</v>
      </c>
      <c r="AC113" s="27">
        <f t="shared" si="43"/>
        <v>13.1285147204763</v>
      </c>
    </row>
    <row r="114" spans="16:32" x14ac:dyDescent="0.2">
      <c r="P114" s="24"/>
      <c r="Q114" s="24" t="s">
        <v>26</v>
      </c>
      <c r="R114" s="24"/>
      <c r="S114" s="24"/>
      <c r="T114" s="27">
        <f t="shared" ref="T114:AC114" si="44">VLOOKUP(T$13&amp;"AllSex"&amp;"Urban"&amp;25,URtable,7,FALSE)</f>
        <v>9.7360210652092096</v>
      </c>
      <c r="U114" s="27">
        <f t="shared" si="44"/>
        <v>8.2181708081922196</v>
      </c>
      <c r="V114" s="27">
        <f t="shared" si="44"/>
        <v>8.7336244541484707</v>
      </c>
      <c r="W114" s="27">
        <f t="shared" si="44"/>
        <v>10.2211097204839</v>
      </c>
      <c r="X114" s="27">
        <f t="shared" si="44"/>
        <v>9.7733797568871807</v>
      </c>
      <c r="Y114" s="27">
        <f t="shared" si="44"/>
        <v>7.1536443843891604</v>
      </c>
      <c r="Z114" s="27">
        <f t="shared" si="44"/>
        <v>9.7896191646191593</v>
      </c>
      <c r="AA114" s="27">
        <f t="shared" si="44"/>
        <v>9.0799592328360994</v>
      </c>
      <c r="AB114" s="27">
        <f t="shared" si="44"/>
        <v>9.4587118305284399</v>
      </c>
      <c r="AC114" s="27">
        <f t="shared" si="44"/>
        <v>9.1735179575941199</v>
      </c>
    </row>
    <row r="115" spans="16:32" x14ac:dyDescent="0.2">
      <c r="P115" s="26"/>
      <c r="Q115" s="26"/>
      <c r="R115" s="26"/>
      <c r="S115" s="26"/>
      <c r="T115" s="29"/>
      <c r="U115" s="29"/>
      <c r="V115" s="29"/>
      <c r="W115" s="29"/>
      <c r="X115" s="29"/>
      <c r="Y115" s="29"/>
      <c r="Z115" s="29"/>
      <c r="AA115" s="29"/>
      <c r="AB115" s="29"/>
      <c r="AC115" s="29"/>
    </row>
    <row r="116" spans="16:32" x14ac:dyDescent="0.2">
      <c r="P116" s="24" t="s">
        <v>20</v>
      </c>
      <c r="Q116" s="24" t="s">
        <v>189</v>
      </c>
      <c r="R116" s="24"/>
      <c r="S116" s="24" t="s">
        <v>22</v>
      </c>
      <c r="T116" s="27">
        <f t="shared" ref="T116:AC116" si="45">VLOOKUP(T$13&amp;"Male"&amp;"Urban"&amp;22,URtable,7,FALSE)</f>
        <v>27.703900709219901</v>
      </c>
      <c r="U116" s="27">
        <f t="shared" si="45"/>
        <v>21.889956591103001</v>
      </c>
      <c r="V116" s="27">
        <f t="shared" si="45"/>
        <v>25.6801518478544</v>
      </c>
      <c r="W116" s="27">
        <f t="shared" si="45"/>
        <v>27.764409728649198</v>
      </c>
      <c r="X116" s="27">
        <f t="shared" si="45"/>
        <v>21.909004600890999</v>
      </c>
      <c r="Y116" s="27">
        <f t="shared" si="45"/>
        <v>29.6157180005779</v>
      </c>
      <c r="Z116" s="27">
        <f t="shared" si="45"/>
        <v>34.8469607702256</v>
      </c>
      <c r="AA116" s="27">
        <f t="shared" si="45"/>
        <v>23.076649980473601</v>
      </c>
      <c r="AB116" s="27">
        <f t="shared" si="45"/>
        <v>21.114572516441701</v>
      </c>
      <c r="AC116" s="27">
        <f t="shared" si="45"/>
        <v>21.0864544632995</v>
      </c>
    </row>
    <row r="117" spans="16:32" x14ac:dyDescent="0.2">
      <c r="P117" s="24"/>
      <c r="Q117" s="24" t="s">
        <v>35</v>
      </c>
      <c r="R117" s="24"/>
      <c r="S117" s="24"/>
      <c r="T117" s="27">
        <f t="shared" ref="T117:AC117" si="46">VLOOKUP(T$13&amp;"Male"&amp;"Urban"&amp;23,URtable,7,FALSE)</f>
        <v>24.344721252941699</v>
      </c>
      <c r="U117" s="27">
        <f t="shared" si="46"/>
        <v>28.263521756811699</v>
      </c>
      <c r="V117" s="27">
        <f t="shared" si="46"/>
        <v>22.086341233972099</v>
      </c>
      <c r="W117" s="27">
        <f t="shared" si="46"/>
        <v>23.603300357128202</v>
      </c>
      <c r="X117" s="27">
        <f t="shared" si="46"/>
        <v>23.487720454920101</v>
      </c>
      <c r="Y117" s="27">
        <f t="shared" si="46"/>
        <v>22.672435310758001</v>
      </c>
      <c r="Z117" s="27">
        <f t="shared" si="46"/>
        <v>26.4106648780079</v>
      </c>
      <c r="AA117" s="27">
        <f t="shared" si="46"/>
        <v>20.331167470132002</v>
      </c>
      <c r="AB117" s="27">
        <f t="shared" si="46"/>
        <v>25.058538388859201</v>
      </c>
      <c r="AC117" s="27">
        <f t="shared" si="46"/>
        <v>23.059796437658999</v>
      </c>
    </row>
    <row r="118" spans="16:32" x14ac:dyDescent="0.2">
      <c r="P118" s="24"/>
      <c r="Q118" s="24" t="s">
        <v>36</v>
      </c>
      <c r="R118" s="24"/>
      <c r="S118" s="24"/>
      <c r="T118" s="27">
        <f t="shared" ref="T118:AC118" si="47">VLOOKUP(T$13&amp;"Male"&amp;"Urban"&amp;24,URtable,7,FALSE)</f>
        <v>21.816198527406598</v>
      </c>
      <c r="U118" s="27">
        <f t="shared" si="47"/>
        <v>20.821732077573099</v>
      </c>
      <c r="V118" s="27">
        <f t="shared" si="47"/>
        <v>22.907072853937901</v>
      </c>
      <c r="W118" s="27">
        <f t="shared" si="47"/>
        <v>22.204746264514</v>
      </c>
      <c r="X118" s="27">
        <f t="shared" si="47"/>
        <v>20.462916647719499</v>
      </c>
      <c r="Y118" s="27">
        <f t="shared" si="47"/>
        <v>21.131668277768998</v>
      </c>
      <c r="Z118" s="27">
        <f t="shared" si="47"/>
        <v>17.001856781727501</v>
      </c>
      <c r="AA118" s="27">
        <f t="shared" si="47"/>
        <v>23.696682464455002</v>
      </c>
      <c r="AB118" s="27">
        <f t="shared" si="47"/>
        <v>21.191069165902</v>
      </c>
      <c r="AC118" s="27">
        <f t="shared" si="47"/>
        <v>20.066456652138299</v>
      </c>
    </row>
    <row r="119" spans="16:32" x14ac:dyDescent="0.2">
      <c r="P119" s="24"/>
      <c r="Q119" s="24" t="s">
        <v>26</v>
      </c>
      <c r="R119" s="24"/>
      <c r="S119" s="24"/>
      <c r="T119" s="27">
        <f t="shared" ref="T119:AC119" si="48">VLOOKUP(T$13&amp;"Male"&amp;"Urban"&amp;25,URtable,7,FALSE)</f>
        <v>13.7028014616322</v>
      </c>
      <c r="U119" s="27">
        <f t="shared" si="48"/>
        <v>14.8089643597591</v>
      </c>
      <c r="V119" s="27">
        <f t="shared" si="48"/>
        <v>12.59323839969</v>
      </c>
      <c r="W119" s="27">
        <f t="shared" si="48"/>
        <v>17.466012084592101</v>
      </c>
      <c r="X119" s="27">
        <f t="shared" si="48"/>
        <v>15.6099352646802</v>
      </c>
      <c r="Y119" s="27">
        <f t="shared" si="48"/>
        <v>10.2660239242992</v>
      </c>
      <c r="Z119" s="27">
        <f t="shared" si="48"/>
        <v>15.8716540837337</v>
      </c>
      <c r="AA119" s="27">
        <f t="shared" si="48"/>
        <v>16.9072164948454</v>
      </c>
      <c r="AB119" s="27">
        <f t="shared" si="48"/>
        <v>16.969888314456</v>
      </c>
      <c r="AC119" s="27">
        <f t="shared" si="48"/>
        <v>14.884359972521199</v>
      </c>
    </row>
    <row r="120" spans="16:32" x14ac:dyDescent="0.2">
      <c r="P120" s="26"/>
      <c r="Q120" s="26"/>
      <c r="R120" s="26"/>
      <c r="S120" s="26"/>
      <c r="T120" s="29"/>
      <c r="U120" s="29"/>
      <c r="V120" s="29"/>
      <c r="W120" s="29"/>
      <c r="X120" s="29"/>
      <c r="Y120" s="29"/>
      <c r="Z120" s="29"/>
      <c r="AA120" s="29"/>
      <c r="AB120" s="29"/>
      <c r="AC120" s="29"/>
    </row>
    <row r="121" spans="16:32" x14ac:dyDescent="0.2">
      <c r="P121" s="24" t="s">
        <v>8</v>
      </c>
      <c r="Q121" s="24" t="s">
        <v>189</v>
      </c>
      <c r="R121" s="24"/>
      <c r="S121" s="24" t="s">
        <v>22</v>
      </c>
      <c r="T121" s="27">
        <f t="shared" ref="T121:AC121" si="49">VLOOKUP(T$13&amp;"Female"&amp;"Urban"&amp;22,URtable,7,FALSE)</f>
        <v>7.7757618395230903</v>
      </c>
      <c r="U121" s="27">
        <f t="shared" si="49"/>
        <v>6.6671605304096602</v>
      </c>
      <c r="V121" s="27">
        <f t="shared" si="49"/>
        <v>12.990387113536</v>
      </c>
      <c r="W121" s="27">
        <f t="shared" si="49"/>
        <v>6.6575433664977597</v>
      </c>
      <c r="X121" s="27">
        <f t="shared" si="49"/>
        <v>12.4469175574755</v>
      </c>
      <c r="Y121" s="27">
        <f t="shared" si="49"/>
        <v>12.039401678219599</v>
      </c>
      <c r="Z121" s="27">
        <f t="shared" si="49"/>
        <v>12.3857054387818</v>
      </c>
      <c r="AA121" s="27">
        <f t="shared" si="49"/>
        <v>11.2416594139832</v>
      </c>
      <c r="AB121" s="27">
        <f t="shared" si="49"/>
        <v>7.53714736917666</v>
      </c>
      <c r="AC121" s="27">
        <f t="shared" si="49"/>
        <v>13.445616021513001</v>
      </c>
    </row>
    <row r="122" spans="16:32" x14ac:dyDescent="0.2">
      <c r="P122" s="24"/>
      <c r="Q122" s="24" t="s">
        <v>35</v>
      </c>
      <c r="R122" s="24"/>
      <c r="S122" s="24"/>
      <c r="T122" s="27">
        <f t="shared" ref="T122:AC122" si="50">VLOOKUP(T$13&amp;"Female"&amp;"Urban"&amp;23,URtable,7,FALSE)</f>
        <v>10.28671891073</v>
      </c>
      <c r="U122" s="27">
        <f t="shared" si="50"/>
        <v>8.2418611621024205</v>
      </c>
      <c r="V122" s="27">
        <f t="shared" si="50"/>
        <v>8.0962512473875492</v>
      </c>
      <c r="W122" s="27">
        <f t="shared" si="50"/>
        <v>7.1707584020531003</v>
      </c>
      <c r="X122" s="27">
        <f t="shared" si="50"/>
        <v>8.3076864981213294</v>
      </c>
      <c r="Y122" s="27">
        <f t="shared" si="50"/>
        <v>5.6996295240809296</v>
      </c>
      <c r="Z122" s="27">
        <f t="shared" si="50"/>
        <v>6.6956172402578797</v>
      </c>
      <c r="AA122" s="27">
        <f t="shared" si="50"/>
        <v>7.4655436447166901</v>
      </c>
      <c r="AB122" s="27">
        <f t="shared" si="50"/>
        <v>8.3122378811349993</v>
      </c>
      <c r="AC122" s="27">
        <f t="shared" si="50"/>
        <v>5.18364928909953</v>
      </c>
    </row>
    <row r="123" spans="16:32" x14ac:dyDescent="0.2">
      <c r="P123" s="24"/>
      <c r="Q123" s="24" t="s">
        <v>36</v>
      </c>
      <c r="R123" s="24"/>
      <c r="S123" s="24"/>
      <c r="T123" s="27">
        <f t="shared" ref="T123:AC123" si="51">VLOOKUP(T$13&amp;"Female"&amp;"Urban"&amp;24,URtable,7,FALSE)</f>
        <v>6.3378793925025203</v>
      </c>
      <c r="U123" s="27">
        <f t="shared" si="51"/>
        <v>7.7724945135332799</v>
      </c>
      <c r="V123" s="27">
        <f t="shared" si="51"/>
        <v>5.9950707196305304</v>
      </c>
      <c r="W123" s="27">
        <f t="shared" si="51"/>
        <v>8.0255081014250695</v>
      </c>
      <c r="X123" s="27">
        <f t="shared" si="51"/>
        <v>8.0768576772657692</v>
      </c>
      <c r="Y123" s="27">
        <f t="shared" si="51"/>
        <v>5.4457104557640701</v>
      </c>
      <c r="Z123" s="27">
        <f t="shared" si="51"/>
        <v>7.2571949904619704</v>
      </c>
      <c r="AA123" s="27">
        <f t="shared" si="51"/>
        <v>9.0029259509340491</v>
      </c>
      <c r="AB123" s="27">
        <f t="shared" si="51"/>
        <v>6.4386317907444699</v>
      </c>
      <c r="AC123" s="27">
        <f t="shared" si="51"/>
        <v>6.7480400912970104</v>
      </c>
    </row>
    <row r="124" spans="16:32" x14ac:dyDescent="0.2">
      <c r="P124" s="24"/>
      <c r="Q124" s="24" t="s">
        <v>26</v>
      </c>
      <c r="R124" s="24"/>
      <c r="S124" s="24"/>
      <c r="T124" s="27">
        <f t="shared" ref="T124:AC124" si="52">VLOOKUP(T$13&amp;"Female"&amp;"Urban"&amp;25,URtable,7,FALSE)</f>
        <v>6.6695437247440097</v>
      </c>
      <c r="U124" s="27">
        <f t="shared" si="52"/>
        <v>3.0790547301978299</v>
      </c>
      <c r="V124" s="27">
        <f t="shared" si="52"/>
        <v>5.7038558065252101</v>
      </c>
      <c r="W124" s="27">
        <f t="shared" si="52"/>
        <v>4.4843049327354301</v>
      </c>
      <c r="X124" s="27">
        <f t="shared" si="52"/>
        <v>5.1223884965789797</v>
      </c>
      <c r="Y124" s="27">
        <f t="shared" si="52"/>
        <v>4.6566608159902598</v>
      </c>
      <c r="Z124" s="27">
        <f t="shared" si="52"/>
        <v>4.8641512056146201</v>
      </c>
      <c r="AA124" s="27">
        <f t="shared" si="52"/>
        <v>2.6923335801305801</v>
      </c>
      <c r="AB124" s="27">
        <f t="shared" si="52"/>
        <v>3.2577534532186601</v>
      </c>
      <c r="AC124" s="27">
        <f t="shared" si="52"/>
        <v>4.4341684350552697</v>
      </c>
    </row>
    <row r="125" spans="16:32" x14ac:dyDescent="0.2">
      <c r="P125" s="137"/>
      <c r="Q125" s="137"/>
      <c r="R125" s="137"/>
      <c r="S125" s="137"/>
      <c r="T125" s="137"/>
      <c r="U125" s="137"/>
      <c r="V125" s="137"/>
      <c r="W125" s="137"/>
      <c r="X125" s="137"/>
      <c r="Y125" s="137"/>
      <c r="Z125" s="137"/>
      <c r="AA125" s="137"/>
      <c r="AB125" s="137"/>
      <c r="AC125" s="137"/>
      <c r="AD125" s="137"/>
      <c r="AE125" s="137"/>
      <c r="AF125" s="137"/>
    </row>
    <row r="126" spans="16:32" x14ac:dyDescent="0.2">
      <c r="P126" s="138" t="s">
        <v>145</v>
      </c>
      <c r="Q126" s="138" t="s">
        <v>103</v>
      </c>
      <c r="R126" s="138"/>
      <c r="S126" s="138"/>
      <c r="T126" s="51"/>
    </row>
    <row r="127" spans="16:32" x14ac:dyDescent="0.2">
      <c r="P127" s="138"/>
      <c r="Q127" s="138" t="s">
        <v>558</v>
      </c>
      <c r="R127" s="138"/>
      <c r="S127" s="138"/>
      <c r="T127" s="51"/>
    </row>
    <row r="128" spans="16:32" x14ac:dyDescent="0.2">
      <c r="P128" s="138" t="s">
        <v>146</v>
      </c>
      <c r="Q128" s="138" t="s">
        <v>149</v>
      </c>
      <c r="R128" s="138"/>
      <c r="S128" s="138"/>
      <c r="T128" s="51"/>
    </row>
    <row r="129" spans="16:32" x14ac:dyDescent="0.2">
      <c r="P129" s="55"/>
      <c r="Q129" s="55"/>
      <c r="R129" s="55"/>
      <c r="S129" s="55"/>
      <c r="T129" s="55"/>
      <c r="U129" s="100"/>
      <c r="V129" s="100"/>
      <c r="W129" s="100"/>
      <c r="X129" s="100"/>
      <c r="Y129" s="100"/>
      <c r="Z129" s="100"/>
      <c r="AA129" s="100"/>
      <c r="AB129" s="100"/>
      <c r="AC129" s="100"/>
      <c r="AD129" s="137"/>
      <c r="AE129" s="137"/>
      <c r="AF129" s="137"/>
    </row>
    <row r="130" spans="16:32" x14ac:dyDescent="0.2">
      <c r="P130" s="51"/>
      <c r="Q130" s="51"/>
      <c r="R130" s="51"/>
      <c r="S130" s="51"/>
      <c r="T130" s="51"/>
    </row>
  </sheetData>
  <mergeCells count="5">
    <mergeCell ref="C54:L54"/>
    <mergeCell ref="D87:L87"/>
    <mergeCell ref="C4:L4"/>
    <mergeCell ref="D88:L88"/>
    <mergeCell ref="C5:L5"/>
  </mergeCells>
  <hyperlinks>
    <hyperlink ref="P1" location="'Key findings'!A1" display="Back to Key Findings"/>
  </hyperlinks>
  <pageMargins left="0.7" right="0.7" top="0.75" bottom="0.75" header="0.3" footer="0.3"/>
  <pageSetup paperSize="9" scale="2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F177"/>
  <sheetViews>
    <sheetView showGridLines="0" zoomScaleNormal="100" workbookViewId="0">
      <selection activeCell="Q173" sqref="Q173"/>
    </sheetView>
  </sheetViews>
  <sheetFormatPr defaultRowHeight="12.75" x14ac:dyDescent="0.2"/>
  <cols>
    <col min="1" max="1" width="9.140625" style="180"/>
    <col min="2" max="2" width="2.42578125" style="180" customWidth="1"/>
    <col min="3" max="11" width="9.140625" style="180"/>
    <col min="12" max="12" width="9.140625" style="180" customWidth="1"/>
    <col min="13" max="13" width="3.85546875" style="180" customWidth="1"/>
    <col min="14" max="16" width="9.140625" style="180"/>
    <col min="17" max="17" width="15.7109375" style="180" customWidth="1"/>
    <col min="18" max="18" width="14.28515625" style="180" customWidth="1"/>
    <col min="19" max="19" width="9.42578125" style="180" customWidth="1"/>
    <col min="20" max="20" width="17.42578125" style="259" customWidth="1"/>
    <col min="21" max="21" width="16.28515625" style="259" customWidth="1"/>
    <col min="22" max="22" width="14.7109375" style="259" customWidth="1"/>
    <col min="23" max="48" width="9.140625" style="180"/>
    <col min="49" max="52" width="9.140625" style="480"/>
    <col min="53" max="16384" width="9.140625" style="180"/>
  </cols>
  <sheetData>
    <row r="1" spans="2:58" x14ac:dyDescent="0.2">
      <c r="Q1" s="131" t="s">
        <v>505</v>
      </c>
      <c r="R1" s="344"/>
    </row>
    <row r="2" spans="2:58" ht="23.25" x14ac:dyDescent="0.35">
      <c r="C2" s="264" t="s">
        <v>364</v>
      </c>
      <c r="Q2" s="400" t="s">
        <v>524</v>
      </c>
    </row>
    <row r="3" spans="2:58" ht="100.5" customHeight="1" x14ac:dyDescent="0.2">
      <c r="C3" s="575" t="s">
        <v>635</v>
      </c>
      <c r="D3" s="576"/>
      <c r="E3" s="576"/>
      <c r="F3" s="576"/>
      <c r="G3" s="576"/>
      <c r="H3" s="576"/>
      <c r="I3" s="576"/>
      <c r="J3" s="576"/>
      <c r="K3" s="576"/>
      <c r="L3" s="576"/>
      <c r="M3" s="576"/>
      <c r="Q3" s="350" t="s">
        <v>525</v>
      </c>
    </row>
    <row r="4" spans="2:58" ht="43.5" customHeight="1" x14ac:dyDescent="0.25">
      <c r="C4" s="263" t="s">
        <v>526</v>
      </c>
      <c r="Q4" s="578" t="s">
        <v>647</v>
      </c>
      <c r="R4" s="525"/>
      <c r="S4" s="525"/>
      <c r="T4" s="525"/>
      <c r="U4" s="525"/>
      <c r="V4" s="525"/>
    </row>
    <row r="5" spans="2:58" ht="15" x14ac:dyDescent="0.25">
      <c r="R5" s="267"/>
      <c r="S5" s="268"/>
    </row>
    <row r="6" spans="2:58" x14ac:dyDescent="0.2">
      <c r="B6" s="71"/>
      <c r="C6" s="71"/>
      <c r="D6" s="71"/>
      <c r="E6" s="71"/>
      <c r="F6" s="71"/>
      <c r="G6" s="71"/>
      <c r="H6" s="71"/>
      <c r="I6" s="71"/>
      <c r="J6" s="71"/>
      <c r="K6" s="71"/>
      <c r="L6" s="71"/>
      <c r="M6" s="71"/>
      <c r="Q6" s="391" t="s">
        <v>365</v>
      </c>
      <c r="R6" s="391" t="s">
        <v>37</v>
      </c>
      <c r="S6" s="391"/>
      <c r="T6" s="256" t="s">
        <v>0</v>
      </c>
      <c r="U6" s="256" t="s">
        <v>20</v>
      </c>
      <c r="V6" s="256" t="s">
        <v>8</v>
      </c>
      <c r="AC6" s="256"/>
      <c r="AD6" s="256"/>
      <c r="AE6" s="256"/>
      <c r="AF6" s="256"/>
      <c r="AG6" s="256"/>
      <c r="AH6" s="256"/>
    </row>
    <row r="7" spans="2:58" ht="15" x14ac:dyDescent="0.25">
      <c r="B7" s="71"/>
      <c r="C7" s="95" t="s">
        <v>420</v>
      </c>
      <c r="D7" s="71"/>
      <c r="E7" s="71"/>
      <c r="F7" s="71"/>
      <c r="G7" s="71"/>
      <c r="H7" s="71"/>
      <c r="I7" s="71"/>
      <c r="J7" s="71"/>
      <c r="K7" s="71"/>
      <c r="L7" s="71"/>
      <c r="M7" s="71"/>
      <c r="Q7" s="255"/>
      <c r="R7" s="255"/>
      <c r="S7" s="255"/>
      <c r="T7" s="286"/>
      <c r="U7" s="286"/>
      <c r="V7" s="286"/>
    </row>
    <row r="8" spans="2:58" x14ac:dyDescent="0.2">
      <c r="B8" s="71"/>
      <c r="C8" s="71"/>
      <c r="D8" s="71"/>
      <c r="E8" s="71"/>
      <c r="F8" s="71"/>
      <c r="G8" s="71"/>
      <c r="H8" s="71"/>
      <c r="I8" s="71"/>
      <c r="J8" s="71"/>
      <c r="K8" s="71"/>
      <c r="L8" s="71"/>
      <c r="M8" s="71"/>
      <c r="Q8" s="255" t="s">
        <v>3</v>
      </c>
      <c r="R8" s="255" t="s">
        <v>9</v>
      </c>
      <c r="S8" s="255" t="s">
        <v>21</v>
      </c>
      <c r="T8" s="401">
        <f>VLOOKUP(ref!$X$1&amp;ref!W1&amp;19,MPAO5yr,5,FALSE)</f>
        <v>547</v>
      </c>
      <c r="U8" s="401">
        <f>VLOOKUP(ref!$X$2&amp;ref!W1&amp;19,MPAO5yr,5,FALSE)</f>
        <v>373</v>
      </c>
      <c r="V8" s="401">
        <f>VLOOKUP(ref!$X$3&amp;ref!W1&amp;19,MPAO5yr,5,FALSE)</f>
        <v>174</v>
      </c>
    </row>
    <row r="9" spans="2:58" x14ac:dyDescent="0.2">
      <c r="B9" s="71"/>
      <c r="C9" s="71"/>
      <c r="D9" s="71"/>
      <c r="E9" s="71"/>
      <c r="F9" s="71"/>
      <c r="G9" s="71"/>
      <c r="H9" s="71"/>
      <c r="I9" s="71"/>
      <c r="J9" s="71"/>
      <c r="K9" s="71"/>
      <c r="L9" s="71"/>
      <c r="M9" s="71"/>
      <c r="Q9" s="255" t="s">
        <v>79</v>
      </c>
      <c r="R9" s="255" t="s">
        <v>9</v>
      </c>
      <c r="S9" s="255" t="s">
        <v>21</v>
      </c>
      <c r="T9" s="401">
        <f>VLOOKUP(ref!$X$1&amp;ref!W2&amp;19,MPAO5yr,5,FALSE)</f>
        <v>124</v>
      </c>
      <c r="U9" s="401">
        <f>VLOOKUP(ref!$X$2&amp;ref!W2&amp;19,MPAO5yr,5,FALSE)</f>
        <v>89</v>
      </c>
      <c r="V9" s="401">
        <f>VLOOKUP(ref!$X$3&amp;ref!W2&amp;19,MPAO5yr,5,FALSE)</f>
        <v>35</v>
      </c>
    </row>
    <row r="10" spans="2:58" x14ac:dyDescent="0.2">
      <c r="B10" s="71"/>
      <c r="C10" s="71"/>
      <c r="D10" s="71"/>
      <c r="E10" s="71"/>
      <c r="F10" s="71"/>
      <c r="G10" s="71"/>
      <c r="H10" s="71"/>
      <c r="I10" s="71"/>
      <c r="J10" s="71"/>
      <c r="K10" s="71"/>
      <c r="L10" s="71"/>
      <c r="M10" s="71"/>
      <c r="Q10" s="255" t="s">
        <v>78</v>
      </c>
      <c r="R10" s="255" t="s">
        <v>9</v>
      </c>
      <c r="S10" s="255" t="s">
        <v>21</v>
      </c>
      <c r="T10" s="401">
        <f>VLOOKUP(ref!$X$1&amp;ref!W3&amp;19,MPAO5yr,5,FALSE)</f>
        <v>126</v>
      </c>
      <c r="U10" s="401">
        <f>VLOOKUP(ref!$X$2&amp;ref!W3&amp;19,MPAO5yr,5,FALSE)</f>
        <v>84</v>
      </c>
      <c r="V10" s="401">
        <f>VLOOKUP(ref!$X$3&amp;ref!W3&amp;19,MPAO5yr,5,FALSE)</f>
        <v>42</v>
      </c>
      <c r="BA10" s="480"/>
      <c r="BB10" s="483" t="s">
        <v>373</v>
      </c>
      <c r="BC10" s="481" t="s">
        <v>9</v>
      </c>
      <c r="BD10" s="482" t="s">
        <v>0</v>
      </c>
      <c r="BE10" s="483" t="s">
        <v>374</v>
      </c>
      <c r="BF10" s="482" t="s">
        <v>375</v>
      </c>
    </row>
    <row r="11" spans="2:58" x14ac:dyDescent="0.2">
      <c r="B11" s="71"/>
      <c r="C11" s="71"/>
      <c r="D11" s="71"/>
      <c r="E11" s="71"/>
      <c r="F11" s="71"/>
      <c r="G11" s="71"/>
      <c r="H11" s="71"/>
      <c r="I11" s="71"/>
      <c r="J11" s="71"/>
      <c r="K11" s="71"/>
      <c r="L11" s="71"/>
      <c r="M11" s="71"/>
      <c r="Q11" s="255" t="s">
        <v>45</v>
      </c>
      <c r="R11" s="255" t="s">
        <v>9</v>
      </c>
      <c r="S11" s="255" t="s">
        <v>21</v>
      </c>
      <c r="T11" s="401">
        <f>VLOOKUP(ref!$X$1&amp;ref!W4&amp;19,MPAO5yr,5,FALSE)</f>
        <v>1795</v>
      </c>
      <c r="U11" s="401">
        <f>VLOOKUP(ref!$X$2&amp;ref!W4&amp;19,MPAO5yr,5,FALSE)</f>
        <v>1364</v>
      </c>
      <c r="V11" s="401">
        <f>VLOOKUP(ref!$X$3&amp;ref!W4&amp;19,MPAO5yr,5,FALSE)</f>
        <v>431</v>
      </c>
      <c r="BA11" s="480"/>
      <c r="BB11" s="480"/>
      <c r="BC11" s="484"/>
      <c r="BD11" s="480"/>
      <c r="BE11" s="480"/>
      <c r="BF11" s="480"/>
    </row>
    <row r="12" spans="2:58" x14ac:dyDescent="0.2">
      <c r="B12" s="71"/>
      <c r="C12" s="71"/>
      <c r="D12" s="71"/>
      <c r="E12" s="71"/>
      <c r="F12" s="71"/>
      <c r="G12" s="71"/>
      <c r="H12" s="71"/>
      <c r="I12" s="71"/>
      <c r="J12" s="71"/>
      <c r="K12" s="71"/>
      <c r="L12" s="71"/>
      <c r="M12" s="71"/>
      <c r="Q12" s="273"/>
      <c r="R12" s="274"/>
      <c r="S12" s="274"/>
      <c r="T12" s="277"/>
      <c r="U12" s="277"/>
      <c r="V12" s="277"/>
      <c r="BA12" s="486"/>
      <c r="BB12" s="514" t="s">
        <v>3</v>
      </c>
      <c r="BC12" s="484"/>
      <c r="BD12" s="480">
        <f>VLOOKUP(ref!$X$1&amp;ref!W1&amp;19,MPAO5yr,7,FALSE)</f>
        <v>1.4</v>
      </c>
      <c r="BE12" s="480">
        <f>VLOOKUP(ref!$X$2&amp;ref!W1&amp;19,MPAO5yr,7,FALSE)</f>
        <v>2.4</v>
      </c>
      <c r="BF12" s="480">
        <f>VLOOKUP(ref!$X$3&amp;ref!W1&amp;19,MPAO5yr,7,FALSE)</f>
        <v>1.5</v>
      </c>
    </row>
    <row r="13" spans="2:58" x14ac:dyDescent="0.2">
      <c r="B13" s="71"/>
      <c r="C13" s="71"/>
      <c r="D13" s="71"/>
      <c r="E13" s="71"/>
      <c r="F13" s="71"/>
      <c r="G13" s="71"/>
      <c r="H13" s="71"/>
      <c r="I13" s="71"/>
      <c r="J13" s="71"/>
      <c r="K13" s="71"/>
      <c r="L13" s="71"/>
      <c r="M13" s="71"/>
      <c r="Q13" s="255" t="s">
        <v>3</v>
      </c>
      <c r="R13" s="286" t="s">
        <v>189</v>
      </c>
      <c r="S13" s="257" t="s">
        <v>21</v>
      </c>
      <c r="T13" s="260">
        <f>VLOOKUP(ref!$X$1&amp;ref!W1&amp;22,MPAO5yr,5,FALSE)</f>
        <v>230</v>
      </c>
      <c r="U13" s="260">
        <f>VLOOKUP(ref!$X$2&amp;ref!W1&amp;22,MPAO5yr,5,FALSE)</f>
        <v>139</v>
      </c>
      <c r="V13" s="260">
        <f>VLOOKUP(ref!$X$3&amp;ref!W1&amp;22,MPAO5yr,5,FALSE)</f>
        <v>91</v>
      </c>
      <c r="W13" s="184"/>
      <c r="X13" s="184"/>
      <c r="AE13" s="184"/>
      <c r="BA13" s="486"/>
      <c r="BB13" s="514" t="s">
        <v>79</v>
      </c>
      <c r="BC13" s="484"/>
      <c r="BD13" s="480">
        <f>VLOOKUP(ref!$X$1&amp;ref!W2&amp;19,MPAO5yr,7,FALSE)</f>
        <v>1.5</v>
      </c>
      <c r="BE13" s="480">
        <f>VLOOKUP(ref!$X$2&amp;ref!W2&amp;19,MPAO5yr,7,FALSE)</f>
        <v>2.6</v>
      </c>
      <c r="BF13" s="480">
        <f>VLOOKUP(ref!$X$3&amp;ref!W2&amp;19,MPAO5yr,7,FALSE)</f>
        <v>1.5</v>
      </c>
    </row>
    <row r="14" spans="2:58" x14ac:dyDescent="0.2">
      <c r="B14" s="71"/>
      <c r="C14" s="71"/>
      <c r="D14" s="71"/>
      <c r="E14" s="71"/>
      <c r="F14" s="71"/>
      <c r="G14" s="71"/>
      <c r="H14" s="71"/>
      <c r="I14" s="71"/>
      <c r="J14" s="71"/>
      <c r="K14" s="71"/>
      <c r="L14" s="71"/>
      <c r="M14" s="71"/>
      <c r="Q14" s="255" t="s">
        <v>79</v>
      </c>
      <c r="R14" s="286" t="s">
        <v>189</v>
      </c>
      <c r="S14" s="257" t="s">
        <v>21</v>
      </c>
      <c r="T14" s="260">
        <f>VLOOKUP(ref!$X$1&amp;ref!W2&amp;22,MPAO5yr,5,FALSE)</f>
        <v>57</v>
      </c>
      <c r="U14" s="260">
        <f>VLOOKUP(ref!$X$2&amp;ref!W2&amp;22,MPAO5yr,5,FALSE)</f>
        <v>40</v>
      </c>
      <c r="V14" s="260">
        <f>VLOOKUP(ref!$X$3&amp;ref!W2&amp;22,MPAO5yr,5,FALSE)</f>
        <v>17</v>
      </c>
      <c r="W14" s="184"/>
      <c r="X14" s="184"/>
      <c r="AE14" s="184"/>
      <c r="BA14" s="486"/>
      <c r="BB14" s="514" t="s">
        <v>78</v>
      </c>
      <c r="BC14" s="480"/>
      <c r="BD14" s="480">
        <f>VLOOKUP(ref!$X$1&amp;ref!W3&amp;19,MPAO5yr,7,FALSE)</f>
        <v>0.8</v>
      </c>
      <c r="BE14" s="480">
        <f>VLOOKUP(ref!$X$2&amp;ref!W3&amp;19,MPAO5yr,7,FALSE)</f>
        <v>1.3</v>
      </c>
      <c r="BF14" s="480">
        <f>VLOOKUP(ref!$X$3&amp;ref!W3&amp;19,MPAO5yr,7,FALSE)</f>
        <v>0.9</v>
      </c>
    </row>
    <row r="15" spans="2:58" x14ac:dyDescent="0.2">
      <c r="B15" s="71"/>
      <c r="C15" s="71"/>
      <c r="D15" s="71"/>
      <c r="E15" s="71"/>
      <c r="F15" s="71"/>
      <c r="G15" s="71"/>
      <c r="H15" s="71"/>
      <c r="I15" s="71"/>
      <c r="J15" s="71"/>
      <c r="K15" s="71"/>
      <c r="L15" s="71"/>
      <c r="M15" s="71"/>
      <c r="Q15" s="255" t="s">
        <v>78</v>
      </c>
      <c r="R15" s="286" t="s">
        <v>189</v>
      </c>
      <c r="S15" s="257" t="s">
        <v>21</v>
      </c>
      <c r="T15" s="260">
        <f>VLOOKUP(ref!$X$1&amp;ref!W3&amp;22,MPAO5yr,5,FALSE)</f>
        <v>27</v>
      </c>
      <c r="U15" s="260">
        <f>VLOOKUP(ref!$X$2&amp;ref!W3&amp;22,MPAO5yr,5,FALSE)</f>
        <v>22</v>
      </c>
      <c r="V15" s="260">
        <f>VLOOKUP(ref!$X$3&amp;ref!W3&amp;22,MPAO5yr,5,FALSE)</f>
        <v>5</v>
      </c>
      <c r="W15" s="184"/>
      <c r="X15" s="184"/>
      <c r="AE15" s="184"/>
      <c r="BA15" s="486"/>
      <c r="BB15" s="514" t="s">
        <v>45</v>
      </c>
      <c r="BC15" s="480"/>
      <c r="BD15" s="480">
        <f>VLOOKUP(ref!$X$1&amp;ref!W4&amp;19,MPAO5yr,7,FALSE)</f>
        <v>0.5</v>
      </c>
      <c r="BE15" s="480">
        <f>VLOOKUP(ref!$X$2&amp;ref!W4&amp;19,MPAO5yr,7,FALSE)</f>
        <v>0.9</v>
      </c>
      <c r="BF15" s="480">
        <f>VLOOKUP(ref!$X$3&amp;ref!W4&amp;19,MPAO5yr,7,FALSE)</f>
        <v>0.5</v>
      </c>
    </row>
    <row r="16" spans="2:58" x14ac:dyDescent="0.2">
      <c r="B16" s="71"/>
      <c r="C16" s="71"/>
      <c r="D16" s="71"/>
      <c r="E16" s="71"/>
      <c r="F16" s="71"/>
      <c r="G16" s="71"/>
      <c r="H16" s="71"/>
      <c r="I16" s="71"/>
      <c r="J16" s="71"/>
      <c r="K16" s="71"/>
      <c r="L16" s="71"/>
      <c r="M16" s="71"/>
      <c r="Q16" s="255" t="s">
        <v>45</v>
      </c>
      <c r="R16" s="286" t="s">
        <v>189</v>
      </c>
      <c r="S16" s="257" t="s">
        <v>21</v>
      </c>
      <c r="T16" s="260">
        <f>VLOOKUP(ref!$X$1&amp;ref!W4&amp;22,MPAO5yr,5,FALSE)</f>
        <v>277</v>
      </c>
      <c r="U16" s="260">
        <f>VLOOKUP(ref!$X$2&amp;ref!W4&amp;22,MPAO5yr,5,FALSE)</f>
        <v>213</v>
      </c>
      <c r="V16" s="260">
        <f>VLOOKUP(ref!$X$3&amp;ref!W4&amp;22,MPAO5yr,5,FALSE)</f>
        <v>64</v>
      </c>
      <c r="W16" s="184"/>
      <c r="X16" s="184"/>
      <c r="AE16" s="184"/>
      <c r="BA16" s="480"/>
      <c r="BB16" s="480"/>
      <c r="BC16" s="480"/>
      <c r="BD16" s="480"/>
      <c r="BE16" s="480"/>
      <c r="BF16" s="480"/>
    </row>
    <row r="17" spans="2:34" x14ac:dyDescent="0.2">
      <c r="B17" s="71"/>
      <c r="C17" s="71"/>
      <c r="D17" s="71"/>
      <c r="E17" s="71"/>
      <c r="F17" s="71"/>
      <c r="G17" s="71"/>
      <c r="H17" s="71"/>
      <c r="I17" s="71"/>
      <c r="J17" s="71"/>
      <c r="K17" s="71"/>
      <c r="L17" s="71"/>
      <c r="M17" s="71"/>
      <c r="Q17" s="272"/>
      <c r="R17" s="272"/>
      <c r="S17" s="316"/>
      <c r="T17" s="277"/>
      <c r="U17" s="277"/>
      <c r="V17" s="277"/>
    </row>
    <row r="18" spans="2:34" x14ac:dyDescent="0.2">
      <c r="B18" s="71"/>
      <c r="C18" s="71"/>
      <c r="D18" s="71"/>
      <c r="E18" s="71"/>
      <c r="F18" s="71"/>
      <c r="G18" s="71"/>
      <c r="H18" s="71"/>
      <c r="I18" s="71"/>
      <c r="J18" s="71"/>
      <c r="K18" s="71"/>
      <c r="L18" s="71"/>
      <c r="M18" s="71"/>
      <c r="Q18" s="255" t="s">
        <v>3</v>
      </c>
      <c r="R18" s="286" t="s">
        <v>35</v>
      </c>
      <c r="S18" s="257" t="s">
        <v>21</v>
      </c>
      <c r="T18" s="260">
        <f>VLOOKUP(ref!X$1&amp;ref!$W1&amp;23,MPAO5yr,5,FALSE)</f>
        <v>232</v>
      </c>
      <c r="U18" s="260">
        <f>VLOOKUP(ref!X$2&amp;ref!$W1&amp;23,MPAO5yr,5,FALSE)</f>
        <v>171</v>
      </c>
      <c r="V18" s="260">
        <f>VLOOKUP(ref!$X$3&amp;ref!$W1&amp;23,MPAO5yr,5,FALSE)</f>
        <v>61</v>
      </c>
    </row>
    <row r="19" spans="2:34" x14ac:dyDescent="0.2">
      <c r="B19" s="71"/>
      <c r="C19" s="71"/>
      <c r="D19" s="71"/>
      <c r="E19" s="71"/>
      <c r="F19" s="71"/>
      <c r="G19" s="71"/>
      <c r="H19" s="71"/>
      <c r="I19" s="71"/>
      <c r="J19" s="71"/>
      <c r="K19" s="71"/>
      <c r="L19" s="71"/>
      <c r="M19" s="71"/>
      <c r="Q19" s="255" t="s">
        <v>79</v>
      </c>
      <c r="R19" s="286" t="s">
        <v>35</v>
      </c>
      <c r="S19" s="257" t="s">
        <v>21</v>
      </c>
      <c r="T19" s="260">
        <f>VLOOKUP(ref!X$1&amp;ref!$W2&amp;23,MPAO5yr,5,FALSE)</f>
        <v>34</v>
      </c>
      <c r="U19" s="260">
        <f>VLOOKUP(ref!X$2&amp;ref!$W2&amp;23,MPAO5yr,5,FALSE)</f>
        <v>29</v>
      </c>
      <c r="V19" s="260">
        <f>VLOOKUP(ref!$X$3&amp;ref!$W2&amp;23,MPAO5yr,5,FALSE)</f>
        <v>5</v>
      </c>
    </row>
    <row r="20" spans="2:34" x14ac:dyDescent="0.2">
      <c r="B20" s="71"/>
      <c r="C20" s="84" t="s">
        <v>101</v>
      </c>
      <c r="D20" s="71"/>
      <c r="E20" s="71"/>
      <c r="F20" s="71"/>
      <c r="G20" s="71"/>
      <c r="H20" s="71"/>
      <c r="I20" s="71"/>
      <c r="J20" s="71"/>
      <c r="K20" s="71"/>
      <c r="L20" s="71"/>
      <c r="M20" s="71"/>
      <c r="Q20" s="255" t="s">
        <v>78</v>
      </c>
      <c r="R20" s="286" t="s">
        <v>35</v>
      </c>
      <c r="S20" s="257" t="s">
        <v>21</v>
      </c>
      <c r="T20" s="260">
        <f>VLOOKUP(ref!X$1&amp;ref!$W3&amp;23,MPAO5yr,5,FALSE)</f>
        <v>45</v>
      </c>
      <c r="U20" s="260">
        <f>VLOOKUP(ref!X$2&amp;ref!$W3&amp;23,MPAO5yr,5,FALSE)</f>
        <v>33</v>
      </c>
      <c r="V20" s="260">
        <f>VLOOKUP(ref!$X$3&amp;ref!$W3&amp;23,MPAO5yr,5,FALSE)</f>
        <v>12</v>
      </c>
    </row>
    <row r="21" spans="2:34" ht="23.25" customHeight="1" x14ac:dyDescent="0.2">
      <c r="B21" s="71"/>
      <c r="C21" s="559" t="s">
        <v>624</v>
      </c>
      <c r="D21" s="525"/>
      <c r="E21" s="525"/>
      <c r="F21" s="525"/>
      <c r="G21" s="525"/>
      <c r="H21" s="525"/>
      <c r="I21" s="525"/>
      <c r="J21" s="525"/>
      <c r="K21" s="525"/>
      <c r="L21" s="525"/>
      <c r="M21" s="71"/>
      <c r="Q21" s="255" t="s">
        <v>45</v>
      </c>
      <c r="R21" s="286" t="s">
        <v>35</v>
      </c>
      <c r="S21" s="257" t="s">
        <v>21</v>
      </c>
      <c r="T21" s="260">
        <f>VLOOKUP(ref!X$1&amp;ref!$W4&amp;23,MPAO5yr,5,FALSE)</f>
        <v>560</v>
      </c>
      <c r="U21" s="260">
        <f>VLOOKUP(ref!X$2&amp;ref!$W4&amp;23,MPAO5yr,5,FALSE)</f>
        <v>431</v>
      </c>
      <c r="V21" s="260">
        <f>VLOOKUP(ref!$X$3&amp;ref!$W4&amp;23,MPAO5yr,5,FALSE)</f>
        <v>129</v>
      </c>
    </row>
    <row r="22" spans="2:34" x14ac:dyDescent="0.2">
      <c r="B22" s="71"/>
      <c r="C22" s="84" t="s">
        <v>291</v>
      </c>
      <c r="D22" s="249"/>
      <c r="E22" s="249"/>
      <c r="F22" s="249"/>
      <c r="G22" s="218"/>
      <c r="H22" s="218"/>
      <c r="I22" s="218"/>
      <c r="J22" s="218"/>
      <c r="K22" s="249"/>
      <c r="L22" s="249"/>
      <c r="M22" s="71"/>
      <c r="Q22" s="316"/>
      <c r="R22" s="316"/>
      <c r="S22" s="316"/>
      <c r="T22" s="277"/>
      <c r="U22" s="277"/>
      <c r="V22" s="402"/>
    </row>
    <row r="23" spans="2:34" ht="12.75" customHeight="1" x14ac:dyDescent="0.2">
      <c r="B23" s="71"/>
      <c r="C23" s="84" t="s">
        <v>363</v>
      </c>
      <c r="D23" s="71"/>
      <c r="E23" s="71"/>
      <c r="F23" s="71"/>
      <c r="G23" s="71"/>
      <c r="H23" s="71"/>
      <c r="I23" s="71"/>
      <c r="J23" s="71"/>
      <c r="K23" s="71"/>
      <c r="L23" s="71"/>
      <c r="M23" s="71"/>
      <c r="Q23" s="286" t="s">
        <v>3</v>
      </c>
      <c r="R23" s="286" t="s">
        <v>36</v>
      </c>
      <c r="S23" s="286" t="s">
        <v>21</v>
      </c>
      <c r="T23" s="260">
        <f>VLOOKUP(ref!X$1&amp;ref!$W1&amp;24,MPAO5yr,5,FALSE)</f>
        <v>65</v>
      </c>
      <c r="U23" s="401">
        <f>VLOOKUP(ref!X$2&amp;ref!$W1&amp;24,MPAO5yr,5,FALSE)</f>
        <v>51</v>
      </c>
      <c r="V23" s="401">
        <f>VLOOKUP(ref!$X$3&amp;ref!$W1&amp;24,MPAO5yr,5,FALSE)</f>
        <v>14</v>
      </c>
      <c r="W23" s="184"/>
      <c r="X23" s="184"/>
      <c r="AE23" s="184"/>
      <c r="AF23" s="184"/>
      <c r="AG23" s="184"/>
      <c r="AH23" s="184"/>
    </row>
    <row r="24" spans="2:34" x14ac:dyDescent="0.2">
      <c r="B24" s="71"/>
      <c r="C24" s="71"/>
      <c r="D24" s="71"/>
      <c r="E24" s="71"/>
      <c r="F24" s="71"/>
      <c r="G24" s="71"/>
      <c r="H24" s="71"/>
      <c r="I24" s="71"/>
      <c r="J24" s="71"/>
      <c r="K24" s="71"/>
      <c r="L24" s="71"/>
      <c r="M24" s="71"/>
      <c r="Q24" s="286" t="s">
        <v>79</v>
      </c>
      <c r="R24" s="286" t="s">
        <v>36</v>
      </c>
      <c r="S24" s="286" t="s">
        <v>21</v>
      </c>
      <c r="T24" s="260">
        <f>VLOOKUP(ref!X$1&amp;ref!$W2&amp;24,MPAO5yr,5,FALSE)</f>
        <v>22</v>
      </c>
      <c r="U24" s="401">
        <f>VLOOKUP(ref!X$2&amp;ref!$W2&amp;24,MPAO5yr,5,FALSE)</f>
        <v>16</v>
      </c>
      <c r="V24" s="401">
        <f>VLOOKUP(ref!$X$3&amp;ref!$W2&amp;24,MPAO5yr,5,FALSE)</f>
        <v>6</v>
      </c>
      <c r="W24" s="184"/>
      <c r="X24" s="184"/>
      <c r="AE24" s="184"/>
      <c r="AF24" s="184"/>
      <c r="AG24" s="184"/>
      <c r="AH24" s="184"/>
    </row>
    <row r="25" spans="2:34" x14ac:dyDescent="0.2">
      <c r="Q25" s="286" t="s">
        <v>78</v>
      </c>
      <c r="R25" s="286" t="s">
        <v>36</v>
      </c>
      <c r="S25" s="286" t="s">
        <v>21</v>
      </c>
      <c r="T25" s="260">
        <f>VLOOKUP(ref!X$1&amp;ref!$W3&amp;24,MPAO5yr,5,FALSE)</f>
        <v>39</v>
      </c>
      <c r="U25" s="401">
        <f>VLOOKUP(ref!X$2&amp;ref!$W3&amp;24,MPAO5yr,5,FALSE)</f>
        <v>23</v>
      </c>
      <c r="V25" s="401">
        <f>VLOOKUP(ref!$X$3&amp;ref!$W3&amp;24,MPAO5yr,5,FALSE)</f>
        <v>16</v>
      </c>
      <c r="W25" s="184"/>
      <c r="X25" s="184"/>
      <c r="AE25" s="184"/>
      <c r="AF25" s="184"/>
      <c r="AG25" s="184"/>
      <c r="AH25" s="184"/>
    </row>
    <row r="26" spans="2:34" x14ac:dyDescent="0.2">
      <c r="B26" s="71"/>
      <c r="C26" s="71"/>
      <c r="D26" s="71"/>
      <c r="E26" s="71"/>
      <c r="F26" s="71"/>
      <c r="G26" s="71"/>
      <c r="H26" s="71"/>
      <c r="I26" s="71"/>
      <c r="J26" s="71"/>
      <c r="K26" s="71"/>
      <c r="L26" s="71"/>
      <c r="M26" s="71"/>
      <c r="Q26" s="286" t="s">
        <v>45</v>
      </c>
      <c r="R26" s="286" t="s">
        <v>36</v>
      </c>
      <c r="S26" s="286" t="s">
        <v>21</v>
      </c>
      <c r="T26" s="260">
        <f>VLOOKUP(ref!X$1&amp;ref!$W4&amp;24,MPAO5yr,5,FALSE)</f>
        <v>687</v>
      </c>
      <c r="U26" s="401">
        <f>VLOOKUP(ref!X$2&amp;ref!$W4&amp;24,MPAO5yr,5,FALSE)</f>
        <v>505</v>
      </c>
      <c r="V26" s="401">
        <f>VLOOKUP(ref!$X$3&amp;ref!$W4&amp;24,MPAO5yr,5,FALSE)</f>
        <v>182</v>
      </c>
      <c r="W26" s="184"/>
      <c r="X26" s="184"/>
      <c r="AE26" s="184"/>
      <c r="AF26" s="184"/>
      <c r="AG26" s="184"/>
      <c r="AH26" s="184"/>
    </row>
    <row r="27" spans="2:34" ht="15" x14ac:dyDescent="0.25">
      <c r="B27" s="71"/>
      <c r="C27" s="91" t="s">
        <v>571</v>
      </c>
      <c r="D27" s="71"/>
      <c r="E27" s="71"/>
      <c r="F27" s="71"/>
      <c r="G27" s="71"/>
      <c r="H27" s="71"/>
      <c r="I27" s="71"/>
      <c r="J27" s="71"/>
      <c r="K27" s="71"/>
      <c r="L27" s="71"/>
      <c r="M27" s="71"/>
      <c r="Q27" s="316"/>
      <c r="R27" s="316"/>
      <c r="S27" s="316"/>
      <c r="T27" s="277"/>
      <c r="U27" s="277"/>
      <c r="V27" s="277"/>
    </row>
    <row r="28" spans="2:34" x14ac:dyDescent="0.2">
      <c r="B28" s="71"/>
      <c r="C28" s="71"/>
      <c r="D28" s="71"/>
      <c r="E28" s="71"/>
      <c r="F28" s="71"/>
      <c r="G28" s="71"/>
      <c r="H28" s="71"/>
      <c r="I28" s="71"/>
      <c r="J28" s="71"/>
      <c r="K28" s="71"/>
      <c r="L28" s="71"/>
      <c r="M28" s="71"/>
      <c r="Q28" s="286" t="s">
        <v>3</v>
      </c>
      <c r="R28" s="286" t="s">
        <v>26</v>
      </c>
      <c r="S28" s="286" t="s">
        <v>21</v>
      </c>
      <c r="T28" s="403">
        <f>VLOOKUP(ref!X$1&amp;ref!$W1&amp;25,MPAO5yr,5,FALSE)</f>
        <v>1</v>
      </c>
      <c r="U28" s="403">
        <f>VLOOKUP(ref!X$2&amp;ref!$W1&amp;25,MPAO5yr,5,FALSE)</f>
        <v>1</v>
      </c>
      <c r="V28" s="403">
        <f>VLOOKUP(ref!$X$3&amp;ref!$W1&amp;25,MPAO5yr,5,FALSE)</f>
        <v>0</v>
      </c>
    </row>
    <row r="29" spans="2:34" x14ac:dyDescent="0.2">
      <c r="B29" s="71"/>
      <c r="C29" s="71"/>
      <c r="D29" s="71"/>
      <c r="E29" s="71"/>
      <c r="F29" s="71"/>
      <c r="G29" s="71"/>
      <c r="H29" s="71"/>
      <c r="I29" s="71"/>
      <c r="J29" s="71"/>
      <c r="K29" s="71"/>
      <c r="L29" s="71"/>
      <c r="M29" s="71"/>
      <c r="Q29" s="286" t="s">
        <v>79</v>
      </c>
      <c r="R29" s="286" t="s">
        <v>26</v>
      </c>
      <c r="S29" s="286" t="s">
        <v>21</v>
      </c>
      <c r="T29" s="403">
        <f>VLOOKUP(ref!X$1&amp;ref!$W2&amp;25,MPAO5yr,5,FALSE)</f>
        <v>3</v>
      </c>
      <c r="U29" s="403">
        <f>VLOOKUP(ref!X$2&amp;ref!$W2&amp;25,MPAO5yr,5,FALSE)</f>
        <v>2</v>
      </c>
      <c r="V29" s="403">
        <f>VLOOKUP(ref!$X$3&amp;ref!$W2&amp;25,MPAO5yr,5,FALSE)</f>
        <v>1</v>
      </c>
    </row>
    <row r="30" spans="2:34" x14ac:dyDescent="0.2">
      <c r="B30" s="71"/>
      <c r="C30" s="71"/>
      <c r="D30" s="71"/>
      <c r="E30" s="71"/>
      <c r="F30" s="71"/>
      <c r="G30" s="71"/>
      <c r="H30" s="71"/>
      <c r="I30" s="71"/>
      <c r="J30" s="71"/>
      <c r="K30" s="71"/>
      <c r="L30" s="71"/>
      <c r="M30" s="71"/>
      <c r="Q30" s="286" t="s">
        <v>78</v>
      </c>
      <c r="R30" s="286" t="s">
        <v>26</v>
      </c>
      <c r="S30" s="286" t="s">
        <v>21</v>
      </c>
      <c r="T30" s="260">
        <f>VLOOKUP(ref!X$1&amp;ref!$W3&amp;25,MPAO5yr,5,FALSE)</f>
        <v>15</v>
      </c>
      <c r="U30" s="260">
        <f>VLOOKUP(ref!X$2&amp;ref!$W3&amp;25,MPAO5yr,5,FALSE)</f>
        <v>6</v>
      </c>
      <c r="V30" s="403">
        <f>VLOOKUP(ref!$X$3&amp;ref!$W3&amp;25,MPAO5yr,5,FALSE)</f>
        <v>9</v>
      </c>
    </row>
    <row r="31" spans="2:34" x14ac:dyDescent="0.2">
      <c r="B31" s="71"/>
      <c r="C31" s="71"/>
      <c r="D31" s="71"/>
      <c r="E31" s="71"/>
      <c r="F31" s="71"/>
      <c r="G31" s="71"/>
      <c r="H31" s="71"/>
      <c r="I31" s="71"/>
      <c r="J31" s="71"/>
      <c r="K31" s="71"/>
      <c r="L31" s="71"/>
      <c r="M31" s="71"/>
      <c r="Q31" s="286" t="s">
        <v>45</v>
      </c>
      <c r="R31" s="286" t="s">
        <v>26</v>
      </c>
      <c r="S31" s="286" t="s">
        <v>21</v>
      </c>
      <c r="T31" s="260">
        <f>VLOOKUP(ref!X$1&amp;ref!$W4&amp;25,MPAO5yr,5,FALSE)</f>
        <v>263</v>
      </c>
      <c r="U31" s="260">
        <f>VLOOKUP(ref!X$2&amp;ref!$W4&amp;25,MPAO5yr,5,FALSE)</f>
        <v>210</v>
      </c>
      <c r="V31" s="403">
        <f>VLOOKUP(ref!$X$3&amp;ref!$W4&amp;25,MPAO5yr,5,FALSE)</f>
        <v>53</v>
      </c>
    </row>
    <row r="32" spans="2:34" x14ac:dyDescent="0.2">
      <c r="B32" s="71"/>
      <c r="C32" s="71"/>
      <c r="D32" s="71"/>
      <c r="E32" s="71"/>
      <c r="F32" s="71"/>
      <c r="G32" s="71"/>
      <c r="H32" s="71"/>
      <c r="I32" s="71"/>
      <c r="J32" s="71"/>
      <c r="K32" s="71"/>
      <c r="L32" s="71"/>
      <c r="M32" s="71"/>
      <c r="Q32" s="272"/>
      <c r="R32" s="272"/>
      <c r="S32" s="272"/>
      <c r="T32" s="277"/>
      <c r="U32" s="277"/>
      <c r="V32" s="277"/>
    </row>
    <row r="33" spans="2:31" x14ac:dyDescent="0.2">
      <c r="B33" s="71"/>
      <c r="C33" s="71"/>
      <c r="D33" s="71"/>
      <c r="E33" s="71"/>
      <c r="F33" s="71"/>
      <c r="G33" s="71"/>
      <c r="H33" s="71"/>
      <c r="I33" s="71"/>
      <c r="J33" s="71"/>
      <c r="K33" s="71"/>
      <c r="L33" s="71"/>
      <c r="M33" s="71"/>
      <c r="Q33" s="255" t="s">
        <v>3</v>
      </c>
      <c r="R33" s="255" t="s">
        <v>9</v>
      </c>
      <c r="S33" s="257" t="s">
        <v>22</v>
      </c>
      <c r="T33" s="396">
        <f>IF(T8&lt;20,"-",VLOOKUP(ref!$X$1&amp;ref!$W1&amp;19,MPAO5yr,6,FALSE))</f>
        <v>16.549286770976799</v>
      </c>
      <c r="U33" s="396">
        <f>IF(U8&lt;20,"-",VLOOKUP(ref!$X$2&amp;ref!$W1&amp;19,MPAO5yr,6,FALSE))</f>
        <v>24.059501426314299</v>
      </c>
      <c r="V33" s="396">
        <f>IF(V8&lt;20,"-",VLOOKUP(ref!$X$3&amp;ref!$W1&amp;19,MPAO5yr,6,FALSE))</f>
        <v>9.8967768313879692</v>
      </c>
    </row>
    <row r="34" spans="2:31" x14ac:dyDescent="0.2">
      <c r="B34" s="71"/>
      <c r="C34" s="71"/>
      <c r="D34" s="71"/>
      <c r="E34" s="71"/>
      <c r="F34" s="71"/>
      <c r="G34" s="71"/>
      <c r="H34" s="71"/>
      <c r="I34" s="71"/>
      <c r="J34" s="71"/>
      <c r="K34" s="71"/>
      <c r="L34" s="71"/>
      <c r="M34" s="71"/>
      <c r="Q34" s="255" t="s">
        <v>79</v>
      </c>
      <c r="R34" s="255" t="s">
        <v>9</v>
      </c>
      <c r="S34" s="257" t="s">
        <v>22</v>
      </c>
      <c r="T34" s="396">
        <f>IF(T9&lt;20,"-",VLOOKUP(ref!$X$1&amp;ref!$W2&amp;19,MPAO5yr,6,FALSE))</f>
        <v>8.4864283101509699</v>
      </c>
      <c r="U34" s="396">
        <f>IF(U9&lt;20,"-",VLOOKUP(ref!$X$2&amp;ref!$W2&amp;19,MPAO5yr,6,FALSE))</f>
        <v>12.5975011470462</v>
      </c>
      <c r="V34" s="396">
        <f>IF(V9&lt;20,"-",VLOOKUP(ref!$X$3&amp;ref!$W2&amp;19,MPAO5yr,6,FALSE))</f>
        <v>4.5874906779750102</v>
      </c>
    </row>
    <row r="35" spans="2:31" x14ac:dyDescent="0.2">
      <c r="B35" s="71"/>
      <c r="C35" s="71"/>
      <c r="D35" s="71"/>
      <c r="E35" s="71"/>
      <c r="F35" s="71"/>
      <c r="G35" s="71"/>
      <c r="H35" s="71"/>
      <c r="I35" s="71"/>
      <c r="J35" s="71"/>
      <c r="K35" s="71"/>
      <c r="L35" s="71"/>
      <c r="M35" s="71"/>
      <c r="Q35" s="255" t="s">
        <v>78</v>
      </c>
      <c r="R35" s="255" t="s">
        <v>9</v>
      </c>
      <c r="S35" s="257" t="s">
        <v>22</v>
      </c>
      <c r="T35" s="396">
        <f>IF(T10&lt;20,"-",VLOOKUP(ref!$X$1&amp;ref!$W3&amp;19,MPAO5yr,6,FALSE))</f>
        <v>4.5972527191759998</v>
      </c>
      <c r="U35" s="396">
        <f>IF(U10&lt;20,"-",VLOOKUP(ref!$X$2&amp;ref!$W3&amp;19,MPAO5yr,6,FALSE))</f>
        <v>6.1339845000132698</v>
      </c>
      <c r="V35" s="396">
        <f>IF(V10&lt;20,"-",VLOOKUP(ref!$X$3&amp;ref!$W3&amp;19,MPAO5yr,6,FALSE))</f>
        <v>3.1105831097302099</v>
      </c>
    </row>
    <row r="36" spans="2:31" x14ac:dyDescent="0.2">
      <c r="B36" s="71"/>
      <c r="C36" s="71"/>
      <c r="D36" s="71"/>
      <c r="E36" s="71"/>
      <c r="F36" s="71"/>
      <c r="G36" s="71"/>
      <c r="H36" s="71"/>
      <c r="I36" s="71"/>
      <c r="J36" s="71"/>
      <c r="K36" s="71"/>
      <c r="L36" s="71"/>
      <c r="M36" s="71"/>
      <c r="Q36" s="255" t="s">
        <v>45</v>
      </c>
      <c r="R36" s="255" t="s">
        <v>9</v>
      </c>
      <c r="S36" s="257" t="s">
        <v>22</v>
      </c>
      <c r="T36" s="396">
        <f>IF(T11&lt;20,"-",VLOOKUP(ref!$X$1&amp;ref!$W4&amp;19,MPAO5yr,6,FALSE))</f>
        <v>11.1600009876536</v>
      </c>
      <c r="U36" s="396">
        <f>IF(U11&lt;20,"-",VLOOKUP(ref!$X$2&amp;ref!$W4&amp;19,MPAO5yr,6,FALSE))</f>
        <v>17.313193556336898</v>
      </c>
      <c r="V36" s="396">
        <f>IF(V11&lt;20,"-",VLOOKUP(ref!$X$3&amp;ref!$W4&amp;19,MPAO5yr,6,FALSE))</f>
        <v>5.2243694506756597</v>
      </c>
      <c r="AC36" s="184"/>
      <c r="AD36" s="184"/>
      <c r="AE36" s="184"/>
    </row>
    <row r="37" spans="2:31" x14ac:dyDescent="0.2">
      <c r="B37" s="71"/>
      <c r="C37" s="71"/>
      <c r="D37" s="71"/>
      <c r="E37" s="71"/>
      <c r="F37" s="71"/>
      <c r="G37" s="71"/>
      <c r="H37" s="71"/>
      <c r="I37" s="71"/>
      <c r="J37" s="71"/>
      <c r="K37" s="71"/>
      <c r="L37" s="71"/>
      <c r="M37" s="71"/>
      <c r="Q37" s="272"/>
      <c r="R37" s="272"/>
      <c r="S37" s="316"/>
      <c r="T37" s="277"/>
      <c r="U37" s="277"/>
      <c r="V37" s="277"/>
      <c r="AC37" s="184"/>
      <c r="AD37" s="184"/>
      <c r="AE37" s="184"/>
    </row>
    <row r="38" spans="2:31" x14ac:dyDescent="0.2">
      <c r="B38" s="71"/>
      <c r="C38" s="71"/>
      <c r="D38" s="71"/>
      <c r="E38" s="71"/>
      <c r="F38" s="71"/>
      <c r="G38" s="71"/>
      <c r="H38" s="71"/>
      <c r="I38" s="71"/>
      <c r="J38" s="71"/>
      <c r="K38" s="71"/>
      <c r="L38" s="71"/>
      <c r="M38" s="71"/>
      <c r="Q38" s="255" t="s">
        <v>3</v>
      </c>
      <c r="R38" s="286" t="s">
        <v>189</v>
      </c>
      <c r="S38" s="257" t="s">
        <v>22</v>
      </c>
      <c r="T38" s="396">
        <f>IF(T13&lt;20,"-",VLOOKUP(ref!$X$1&amp;ref!$W1&amp;22,MPAO5yr,6,FALSE))</f>
        <v>35.659467588644802</v>
      </c>
      <c r="U38" s="396">
        <f>IF(U13&lt;20,"-",VLOOKUP(ref!$X$2&amp;ref!$W1&amp;22,MPAO5yr,6,FALSE))</f>
        <v>43.151620514094098</v>
      </c>
      <c r="V38" s="396">
        <f>IF(V13&lt;20,"-",VLOOKUP(ref!$X$3&amp;ref!$W1&amp;22,MPAO5yr,6,FALSE))</f>
        <v>28.184718307678001</v>
      </c>
      <c r="AC38" s="184"/>
      <c r="AD38" s="184"/>
      <c r="AE38" s="184"/>
    </row>
    <row r="39" spans="2:31" x14ac:dyDescent="0.2">
      <c r="B39" s="71"/>
      <c r="C39" s="71"/>
      <c r="D39" s="76"/>
      <c r="E39" s="76"/>
      <c r="F39" s="76"/>
      <c r="G39" s="76"/>
      <c r="H39" s="76"/>
      <c r="I39" s="76"/>
      <c r="J39" s="76"/>
      <c r="K39" s="71"/>
      <c r="L39" s="71"/>
      <c r="M39" s="71"/>
      <c r="Q39" s="255" t="s">
        <v>79</v>
      </c>
      <c r="R39" s="286" t="s">
        <v>189</v>
      </c>
      <c r="S39" s="257" t="s">
        <v>22</v>
      </c>
      <c r="T39" s="396">
        <f>IF(T14&lt;20,"-",VLOOKUP(ref!$X$1&amp;ref!$W2&amp;22,MPAO5yr,6,FALSE))</f>
        <v>21.053409174854099</v>
      </c>
      <c r="U39" s="396">
        <f>IF(U14&lt;20,"-",VLOOKUP(ref!$X$2&amp;ref!$W2&amp;22,MPAO5yr,6,FALSE))</f>
        <v>29.757476565987201</v>
      </c>
      <c r="V39" s="396" t="str">
        <f>IF(V14&lt;20,"-",VLOOKUP(ref!$X$3&amp;ref!$W2&amp;22,MPAO5yr,6,FALSE))</f>
        <v>-</v>
      </c>
      <c r="AC39" s="184"/>
      <c r="AD39" s="184"/>
      <c r="AE39" s="184"/>
    </row>
    <row r="40" spans="2:31" x14ac:dyDescent="0.2">
      <c r="B40" s="71"/>
      <c r="C40" s="71"/>
      <c r="D40" s="71"/>
      <c r="E40" s="71"/>
      <c r="F40" s="71"/>
      <c r="G40" s="71"/>
      <c r="H40" s="71"/>
      <c r="I40" s="71"/>
      <c r="J40" s="71"/>
      <c r="K40" s="71"/>
      <c r="L40" s="71"/>
      <c r="M40" s="71"/>
      <c r="Q40" s="255" t="s">
        <v>78</v>
      </c>
      <c r="R40" s="286" t="s">
        <v>189</v>
      </c>
      <c r="S40" s="257" t="s">
        <v>22</v>
      </c>
      <c r="T40" s="396">
        <f>IF(T15&lt;20,"-",VLOOKUP(ref!$X$1&amp;ref!$W3&amp;22,MPAO5yr,6,FALSE))</f>
        <v>5.7617208339557404</v>
      </c>
      <c r="U40" s="396">
        <f>IF(U15&lt;20,"-",VLOOKUP(ref!$X$2&amp;ref!$W3&amp;22,MPAO5yr,6,FALSE))</f>
        <v>8.8914036293093002</v>
      </c>
      <c r="V40" s="396" t="str">
        <f>IF(V15&lt;20,"-",VLOOKUP(ref!$X$3&amp;ref!$W3&amp;22,MPAO5yr,6,FALSE))</f>
        <v>-</v>
      </c>
      <c r="AC40" s="184"/>
      <c r="AD40" s="184"/>
      <c r="AE40" s="184"/>
    </row>
    <row r="41" spans="2:31" x14ac:dyDescent="0.2">
      <c r="B41" s="71"/>
      <c r="C41" s="71"/>
      <c r="D41" s="71"/>
      <c r="E41" s="71"/>
      <c r="F41" s="71"/>
      <c r="G41" s="71"/>
      <c r="H41" s="71"/>
      <c r="I41" s="71"/>
      <c r="J41" s="71"/>
      <c r="K41" s="71"/>
      <c r="L41" s="71"/>
      <c r="M41" s="71"/>
      <c r="Q41" s="255" t="s">
        <v>45</v>
      </c>
      <c r="R41" s="286" t="s">
        <v>189</v>
      </c>
      <c r="S41" s="257" t="s">
        <v>22</v>
      </c>
      <c r="T41" s="396">
        <f>IF(T16&lt;20,"-",VLOOKUP(ref!$X$1&amp;ref!$W4&amp;22,MPAO5yr,6,FALSE))</f>
        <v>15.4688110794661</v>
      </c>
      <c r="U41" s="396">
        <f>IF(U16&lt;20,"-",VLOOKUP(ref!$X$2&amp;ref!$W4&amp;22,MPAO5yr,6,FALSE))</f>
        <v>23.212222924522099</v>
      </c>
      <c r="V41" s="396">
        <f>IF(V16&lt;20,"-",VLOOKUP(ref!$X$3&amp;ref!$W4&amp;22,MPAO5yr,6,FALSE))</f>
        <v>7.3304546027237203</v>
      </c>
      <c r="AB41" s="184"/>
      <c r="AC41" s="184"/>
      <c r="AD41" s="184"/>
      <c r="AE41" s="184"/>
    </row>
    <row r="42" spans="2:31" x14ac:dyDescent="0.2">
      <c r="B42" s="71"/>
      <c r="C42" s="71"/>
      <c r="D42" s="71"/>
      <c r="E42" s="71"/>
      <c r="F42" s="71"/>
      <c r="G42" s="71"/>
      <c r="H42" s="71"/>
      <c r="I42" s="71"/>
      <c r="J42" s="71"/>
      <c r="K42" s="71"/>
      <c r="L42" s="71"/>
      <c r="M42" s="71"/>
      <c r="Q42" s="316"/>
      <c r="R42" s="316"/>
      <c r="S42" s="316"/>
      <c r="T42" s="277"/>
      <c r="U42" s="277"/>
      <c r="V42" s="277"/>
      <c r="AB42" s="184"/>
      <c r="AC42" s="184"/>
      <c r="AD42" s="184"/>
      <c r="AE42" s="184"/>
    </row>
    <row r="43" spans="2:31" x14ac:dyDescent="0.2">
      <c r="B43" s="71"/>
      <c r="C43" s="71"/>
      <c r="D43" s="71"/>
      <c r="E43" s="71"/>
      <c r="F43" s="71"/>
      <c r="G43" s="71"/>
      <c r="H43" s="71"/>
      <c r="I43" s="71"/>
      <c r="J43" s="71"/>
      <c r="K43" s="71"/>
      <c r="L43" s="71"/>
      <c r="M43" s="71"/>
      <c r="Q43" s="255" t="s">
        <v>3</v>
      </c>
      <c r="R43" s="286" t="s">
        <v>35</v>
      </c>
      <c r="S43" s="257" t="s">
        <v>22</v>
      </c>
      <c r="T43" s="396">
        <f>IF(T18&lt;20,"-",VLOOKUP(ref!$X$1&amp;ref!$W1&amp;23,MPAO5yr,6,FALSE))</f>
        <v>27.4627713724283</v>
      </c>
      <c r="U43" s="396">
        <f>IF(U18&lt;20,"-",VLOOKUP(ref!$X$2&amp;ref!$W1&amp;23,MPAO5yr,6,FALSE))</f>
        <v>43.852900446222499</v>
      </c>
      <c r="V43" s="396">
        <f>IF(V18&lt;20,"-",VLOOKUP(ref!$X$3&amp;ref!$W1&amp;23,MPAO5yr,6,FALSE))</f>
        <v>13.410719781910901</v>
      </c>
      <c r="AB43" s="184"/>
      <c r="AC43" s="184"/>
      <c r="AD43" s="184"/>
      <c r="AE43" s="184"/>
    </row>
    <row r="44" spans="2:31" x14ac:dyDescent="0.2">
      <c r="B44" s="71"/>
      <c r="C44" s="71"/>
      <c r="D44" s="71"/>
      <c r="E44" s="71"/>
      <c r="F44" s="71"/>
      <c r="G44" s="71"/>
      <c r="H44" s="71"/>
      <c r="I44" s="71"/>
      <c r="J44" s="71"/>
      <c r="K44" s="71"/>
      <c r="L44" s="71"/>
      <c r="M44" s="71"/>
      <c r="Q44" s="255" t="s">
        <v>79</v>
      </c>
      <c r="R44" s="286" t="s">
        <v>35</v>
      </c>
      <c r="S44" s="257" t="s">
        <v>22</v>
      </c>
      <c r="T44" s="396">
        <f>IF(T19&lt;20,"-",VLOOKUP(ref!$X$1&amp;ref!$W2&amp;23,MPAO5yr,6,FALSE))</f>
        <v>8.8226898824506303</v>
      </c>
      <c r="U44" s="396">
        <f>IF(U19&lt;20,"-",VLOOKUP(ref!$X$2&amp;ref!$W2&amp;23,MPAO5yr,6,FALSE))</f>
        <v>15.4716175842936</v>
      </c>
      <c r="V44" s="396" t="str">
        <f>IF(V19&lt;20,"-",VLOOKUP(ref!$X$3&amp;ref!$W2&amp;23,MPAO5yr,6,FALSE))</f>
        <v>-</v>
      </c>
      <c r="AB44" s="184"/>
      <c r="AC44" s="184"/>
      <c r="AD44" s="184"/>
      <c r="AE44" s="184"/>
    </row>
    <row r="45" spans="2:31" x14ac:dyDescent="0.2">
      <c r="B45" s="71"/>
      <c r="C45" s="71"/>
      <c r="D45" s="71"/>
      <c r="E45" s="71"/>
      <c r="F45" s="71"/>
      <c r="G45" s="71"/>
      <c r="H45" s="71"/>
      <c r="I45" s="71"/>
      <c r="J45" s="71"/>
      <c r="K45" s="71"/>
      <c r="L45" s="71"/>
      <c r="M45" s="71"/>
      <c r="Q45" s="255" t="s">
        <v>78</v>
      </c>
      <c r="R45" s="286" t="s">
        <v>35</v>
      </c>
      <c r="S45" s="257" t="s">
        <v>22</v>
      </c>
      <c r="T45" s="396">
        <f>IF(T20&lt;20,"-",VLOOKUP(ref!$X$1&amp;ref!$W3&amp;23,MPAO5yr,6,FALSE))</f>
        <v>4.7593865679534604</v>
      </c>
      <c r="U45" s="396">
        <f>IF(U20&lt;20,"-",VLOOKUP(ref!$X$2&amp;ref!$W3&amp;23,MPAO5yr,6,FALSE))</f>
        <v>7.3837066207235997</v>
      </c>
      <c r="V45" s="396" t="str">
        <f>IF(V20&lt;20,"-",VLOOKUP(ref!$X$3&amp;ref!$W3&amp;23,MPAO5yr,6,FALSE))</f>
        <v>-</v>
      </c>
    </row>
    <row r="46" spans="2:31" x14ac:dyDescent="0.2">
      <c r="B46" s="71"/>
      <c r="C46" s="71"/>
      <c r="D46" s="71"/>
      <c r="E46" s="71"/>
      <c r="F46" s="71"/>
      <c r="G46" s="71"/>
      <c r="H46" s="71"/>
      <c r="I46" s="71"/>
      <c r="J46" s="71"/>
      <c r="K46" s="71"/>
      <c r="L46" s="71"/>
      <c r="M46" s="71"/>
      <c r="Q46" s="255" t="s">
        <v>45</v>
      </c>
      <c r="R46" s="286" t="s">
        <v>35</v>
      </c>
      <c r="S46" s="257" t="s">
        <v>22</v>
      </c>
      <c r="T46" s="396">
        <f>IF(T21&lt;20,"-",VLOOKUP(ref!$X$1&amp;ref!$W4&amp;23,MPAO5yr,6,FALSE))</f>
        <v>15.4851839971684</v>
      </c>
      <c r="U46" s="396">
        <f>IF(U21&lt;20,"-",VLOOKUP(ref!$X$2&amp;ref!$W4&amp;23,MPAO5yr,6,FALSE))</f>
        <v>24.524447630915599</v>
      </c>
      <c r="V46" s="396">
        <f>IF(V21&lt;20,"-",VLOOKUP(ref!$X$3&amp;ref!$W4&amp;23,MPAO5yr,6,FALSE))</f>
        <v>6.9395132657672196</v>
      </c>
    </row>
    <row r="47" spans="2:31" x14ac:dyDescent="0.2">
      <c r="B47" s="71"/>
      <c r="C47" s="71"/>
      <c r="D47" s="71"/>
      <c r="E47" s="71"/>
      <c r="F47" s="71"/>
      <c r="G47" s="71"/>
      <c r="H47" s="71"/>
      <c r="I47" s="71"/>
      <c r="J47" s="71"/>
      <c r="K47" s="71"/>
      <c r="L47" s="71"/>
      <c r="M47" s="71"/>
      <c r="Q47" s="316"/>
      <c r="R47" s="316"/>
      <c r="S47" s="316"/>
      <c r="T47" s="277"/>
      <c r="U47" s="277"/>
      <c r="V47" s="277"/>
    </row>
    <row r="48" spans="2:31" x14ac:dyDescent="0.2">
      <c r="B48" s="71"/>
      <c r="C48" s="71"/>
      <c r="D48" s="71"/>
      <c r="E48" s="71"/>
      <c r="F48" s="71"/>
      <c r="G48" s="71"/>
      <c r="H48" s="71"/>
      <c r="I48" s="71"/>
      <c r="J48" s="71"/>
      <c r="K48" s="71"/>
      <c r="L48" s="71"/>
      <c r="M48" s="71"/>
      <c r="Q48" s="394" t="s">
        <v>3</v>
      </c>
      <c r="R48" s="394" t="s">
        <v>36</v>
      </c>
      <c r="S48" s="394" t="s">
        <v>22</v>
      </c>
      <c r="T48" s="396">
        <f>IF(T23&lt;20,"-",VLOOKUP(ref!$X$1&amp;ref!$W1&amp;24,MPAO5yr,6,FALSE))</f>
        <v>10.2201257861635</v>
      </c>
      <c r="U48" s="396">
        <f>IF(U23&lt;20,"-",VLOOKUP(ref!$X$2&amp;ref!$W1&amp;24,MPAO5yr,6,FALSE))</f>
        <v>17.061421116017701</v>
      </c>
      <c r="V48" s="396" t="str">
        <f>IF(V23&lt;20,"-",VLOOKUP(ref!$X$3&amp;ref!$W1&amp;24,MPAO5yr,6,FALSE))</f>
        <v>-</v>
      </c>
    </row>
    <row r="49" spans="2:23" x14ac:dyDescent="0.2">
      <c r="B49" s="71"/>
      <c r="C49" s="71"/>
      <c r="D49" s="71"/>
      <c r="E49" s="71"/>
      <c r="F49" s="71"/>
      <c r="G49" s="71"/>
      <c r="H49" s="71"/>
      <c r="I49" s="71"/>
      <c r="J49" s="71"/>
      <c r="K49" s="71"/>
      <c r="L49" s="71"/>
      <c r="M49" s="71"/>
      <c r="Q49" s="286" t="s">
        <v>79</v>
      </c>
      <c r="R49" s="286" t="s">
        <v>36</v>
      </c>
      <c r="S49" s="286" t="s">
        <v>22</v>
      </c>
      <c r="T49" s="396">
        <f>IF(T24&lt;20,"-",VLOOKUP(ref!$X$1&amp;ref!$W2&amp;24,MPAO5yr,6,FALSE))</f>
        <v>8.4869994599182199</v>
      </c>
      <c r="U49" s="396" t="str">
        <f>IF(U24&lt;20,"-",VLOOKUP(ref!$X$2&amp;ref!$W2&amp;24,MPAO5yr,6,FALSE))</f>
        <v>-</v>
      </c>
      <c r="V49" s="396" t="str">
        <f>IF(V24&lt;20,"-",VLOOKUP(ref!$X$3&amp;ref!$W2&amp;24,MPAO5yr,6,FALSE))</f>
        <v>-</v>
      </c>
    </row>
    <row r="50" spans="2:23" x14ac:dyDescent="0.2">
      <c r="B50" s="71"/>
      <c r="C50" s="71"/>
      <c r="D50" s="71"/>
      <c r="E50" s="71"/>
      <c r="F50" s="71"/>
      <c r="G50" s="71"/>
      <c r="H50" s="71"/>
      <c r="I50" s="71"/>
      <c r="J50" s="71"/>
      <c r="K50" s="71"/>
      <c r="L50" s="71"/>
      <c r="M50" s="71"/>
      <c r="Q50" s="286" t="s">
        <v>78</v>
      </c>
      <c r="R50" s="286" t="s">
        <v>36</v>
      </c>
      <c r="S50" s="286" t="s">
        <v>22</v>
      </c>
      <c r="T50" s="396">
        <f>IF(T25&lt;20,"-",VLOOKUP(ref!$X$1&amp;ref!$W3&amp;24,MPAO5yr,6,FALSE))</f>
        <v>6.9128099686264797</v>
      </c>
      <c r="U50" s="396">
        <f>IF(U25&lt;20,"-",VLOOKUP(ref!$X$2&amp;ref!$W3&amp;24,MPAO5yr,6,FALSE))</f>
        <v>8.9808668488871497</v>
      </c>
      <c r="V50" s="396" t="str">
        <f>IF(V25&lt;20,"-",VLOOKUP(ref!$X$3&amp;ref!$W3&amp;24,MPAO5yr,6,FALSE))</f>
        <v>-</v>
      </c>
    </row>
    <row r="51" spans="2:23" x14ac:dyDescent="0.2">
      <c r="B51" s="71"/>
      <c r="C51" s="71"/>
      <c r="D51" s="71"/>
      <c r="E51" s="71"/>
      <c r="F51" s="71"/>
      <c r="G51" s="71"/>
      <c r="H51" s="71"/>
      <c r="I51" s="71"/>
      <c r="J51" s="71"/>
      <c r="K51" s="71"/>
      <c r="L51" s="71"/>
      <c r="M51" s="71"/>
      <c r="Q51" s="286" t="s">
        <v>45</v>
      </c>
      <c r="R51" s="286" t="s">
        <v>36</v>
      </c>
      <c r="S51" s="286" t="s">
        <v>22</v>
      </c>
      <c r="T51" s="396">
        <f>IF(T26&lt;20,"-",VLOOKUP(ref!$X$1&amp;ref!$W4&amp;24,MPAO5yr,6,FALSE))</f>
        <v>16.212963290735999</v>
      </c>
      <c r="U51" s="396">
        <f>IF(U26&lt;20,"-",VLOOKUP(ref!$X$2&amp;ref!$W4&amp;24,MPAO5yr,6,FALSE))</f>
        <v>24.256688601758</v>
      </c>
      <c r="V51" s="396">
        <f>IF(V26&lt;20,"-",VLOOKUP(ref!$X$3&amp;ref!$W4&amp;24,MPAO5yr,6,FALSE))</f>
        <v>8.4437124498364593</v>
      </c>
    </row>
    <row r="52" spans="2:23" x14ac:dyDescent="0.2">
      <c r="B52" s="71"/>
      <c r="C52" s="71"/>
      <c r="D52" s="71"/>
      <c r="E52" s="71"/>
      <c r="F52" s="71"/>
      <c r="G52" s="71"/>
      <c r="H52" s="71"/>
      <c r="I52" s="71"/>
      <c r="J52" s="71"/>
      <c r="K52" s="71"/>
      <c r="L52" s="71"/>
      <c r="M52" s="71"/>
      <c r="Q52" s="316"/>
      <c r="R52" s="316"/>
      <c r="S52" s="316"/>
      <c r="T52" s="277"/>
      <c r="U52" s="277"/>
      <c r="V52" s="277"/>
    </row>
    <row r="53" spans="2:23" x14ac:dyDescent="0.2">
      <c r="B53" s="71"/>
      <c r="C53" s="71"/>
      <c r="D53" s="71"/>
      <c r="E53" s="71"/>
      <c r="F53" s="71"/>
      <c r="G53" s="71"/>
      <c r="H53" s="71"/>
      <c r="I53" s="71"/>
      <c r="J53" s="71"/>
      <c r="K53" s="71"/>
      <c r="L53" s="71"/>
      <c r="M53" s="71"/>
      <c r="Q53" s="286" t="s">
        <v>3</v>
      </c>
      <c r="R53" s="286" t="s">
        <v>26</v>
      </c>
      <c r="S53" s="286" t="s">
        <v>22</v>
      </c>
      <c r="T53" s="396" t="str">
        <f>IF(T28&lt;20,"-",VLOOKUP(ref!$X$1&amp;ref!$W1&amp;25,MPAO5yr,6,FALSE))</f>
        <v>-</v>
      </c>
      <c r="U53" s="396" t="str">
        <f>IF(U28&lt;20,"-",VLOOKUP(ref!$X$2&amp;ref!$W1&amp;25,MPAO5yr,6,FALSE))</f>
        <v>-</v>
      </c>
      <c r="V53" s="396" t="str">
        <f>IF(V28&lt;20,"-",VLOOKUP(ref!$X$3&amp;ref!$W1&amp;25,MPAO5yr,6,FALSE))</f>
        <v>-</v>
      </c>
    </row>
    <row r="54" spans="2:23" x14ac:dyDescent="0.2">
      <c r="B54" s="71"/>
      <c r="C54" s="71"/>
      <c r="D54" s="71"/>
      <c r="E54" s="71"/>
      <c r="F54" s="71"/>
      <c r="G54" s="71"/>
      <c r="H54" s="71"/>
      <c r="I54" s="71"/>
      <c r="J54" s="71"/>
      <c r="K54" s="71"/>
      <c r="L54" s="71"/>
      <c r="M54" s="71"/>
      <c r="Q54" s="286" t="s">
        <v>79</v>
      </c>
      <c r="R54" s="286" t="s">
        <v>26</v>
      </c>
      <c r="S54" s="286" t="s">
        <v>22</v>
      </c>
      <c r="T54" s="396" t="str">
        <f>IF(T29&lt;20,"-",VLOOKUP(ref!$X$1&amp;ref!$W2&amp;25,MPAO5yr,6,FALSE))</f>
        <v>-</v>
      </c>
      <c r="U54" s="396" t="str">
        <f>IF(U29&lt;20,"-",VLOOKUP(ref!$X$2&amp;ref!$W2&amp;25,MPAO5yr,6,FALSE))</f>
        <v>-</v>
      </c>
      <c r="V54" s="396" t="str">
        <f>IF(V29&lt;20,"-",VLOOKUP(ref!$X$3&amp;ref!$W2&amp;25,MPAO5yr,6,FALSE))</f>
        <v>-</v>
      </c>
    </row>
    <row r="55" spans="2:23" ht="13.5" customHeight="1" x14ac:dyDescent="0.2">
      <c r="B55" s="71"/>
      <c r="C55" s="84" t="s">
        <v>101</v>
      </c>
      <c r="D55" s="71"/>
      <c r="E55" s="71"/>
      <c r="F55" s="71"/>
      <c r="G55" s="71"/>
      <c r="H55" s="71"/>
      <c r="I55" s="71"/>
      <c r="J55" s="71"/>
      <c r="K55" s="71"/>
      <c r="L55" s="71"/>
      <c r="M55" s="71"/>
      <c r="Q55" s="286" t="s">
        <v>78</v>
      </c>
      <c r="R55" s="286" t="s">
        <v>26</v>
      </c>
      <c r="S55" s="286" t="s">
        <v>22</v>
      </c>
      <c r="T55" s="396" t="str">
        <f>IF(T30&lt;20,"-",VLOOKUP(ref!$X$1&amp;ref!$W3&amp;25,MPAO5yr,6,FALSE))</f>
        <v>-</v>
      </c>
      <c r="U55" s="396" t="str">
        <f>IF(U30&lt;20,"-",VLOOKUP(ref!$X$2&amp;ref!$W3&amp;25,MPAO5yr,6,FALSE))</f>
        <v>-</v>
      </c>
      <c r="V55" s="396" t="str">
        <f>IF(V30&lt;20,"-",VLOOKUP(ref!$X$3&amp;ref!$W3&amp;25,MPAO5yr,6,FALSE))</f>
        <v>-</v>
      </c>
    </row>
    <row r="56" spans="2:23" ht="13.5" customHeight="1" x14ac:dyDescent="0.2">
      <c r="B56" s="71"/>
      <c r="C56" s="556" t="s">
        <v>625</v>
      </c>
      <c r="D56" s="525"/>
      <c r="E56" s="525"/>
      <c r="F56" s="525"/>
      <c r="G56" s="525"/>
      <c r="H56" s="525"/>
      <c r="I56" s="525"/>
      <c r="J56" s="525"/>
      <c r="K56" s="525"/>
      <c r="L56" s="525"/>
      <c r="M56" s="525"/>
      <c r="Q56" s="286" t="s">
        <v>45</v>
      </c>
      <c r="R56" s="286" t="s">
        <v>26</v>
      </c>
      <c r="S56" s="286" t="s">
        <v>22</v>
      </c>
      <c r="T56" s="396">
        <f>IF(T31&lt;20,"-",VLOOKUP(ref!$X$1&amp;ref!$W4&amp;25,MPAO5yr,6,FALSE))</f>
        <v>9.7434111571319502</v>
      </c>
      <c r="U56" s="396">
        <f>IF(U31&lt;20,"-",VLOOKUP(ref!$X$2&amp;ref!$W4&amp;25,MPAO5yr,6,FALSE))</f>
        <v>16.8838791114256</v>
      </c>
      <c r="V56" s="396">
        <f>IF(V31&lt;20,"-",VLOOKUP(ref!$X$3&amp;ref!$W4&amp;25,MPAO5yr,6,FALSE))</f>
        <v>3.6414354126158601</v>
      </c>
    </row>
    <row r="57" spans="2:23" ht="24" customHeight="1" x14ac:dyDescent="0.2">
      <c r="B57" s="71"/>
      <c r="C57" s="556" t="s">
        <v>572</v>
      </c>
      <c r="D57" s="523"/>
      <c r="E57" s="523"/>
      <c r="F57" s="523"/>
      <c r="G57" s="523"/>
      <c r="H57" s="523"/>
      <c r="I57" s="523"/>
      <c r="J57" s="523"/>
      <c r="K57" s="523"/>
      <c r="L57" s="523"/>
      <c r="M57" s="71"/>
      <c r="Q57" s="275" t="s">
        <v>101</v>
      </c>
      <c r="R57" s="194"/>
      <c r="S57" s="194"/>
      <c r="T57" s="278"/>
      <c r="U57" s="278"/>
      <c r="V57" s="278"/>
      <c r="W57" s="196"/>
    </row>
    <row r="58" spans="2:23" ht="24" customHeight="1" x14ac:dyDescent="0.2">
      <c r="B58" s="71"/>
      <c r="C58" s="507" t="s">
        <v>363</v>
      </c>
      <c r="D58" s="71"/>
      <c r="E58" s="71"/>
      <c r="F58" s="71"/>
      <c r="G58" s="71"/>
      <c r="H58" s="71"/>
      <c r="I58" s="71"/>
      <c r="J58" s="71"/>
      <c r="K58" s="71"/>
      <c r="L58" s="463"/>
      <c r="M58" s="71"/>
      <c r="N58" s="275"/>
      <c r="P58" s="275"/>
      <c r="Q58" s="568" t="s">
        <v>628</v>
      </c>
      <c r="R58" s="577"/>
      <c r="S58" s="577"/>
      <c r="T58" s="577"/>
      <c r="U58" s="577"/>
      <c r="V58" s="577"/>
    </row>
    <row r="59" spans="2:23" ht="23.25" customHeight="1" x14ac:dyDescent="0.2">
      <c r="M59" s="201"/>
      <c r="N59" s="201"/>
      <c r="O59" s="201"/>
      <c r="P59" s="201"/>
      <c r="Q59" s="568" t="s">
        <v>467</v>
      </c>
      <c r="R59" s="577"/>
      <c r="S59" s="577"/>
      <c r="T59" s="577"/>
      <c r="U59" s="577"/>
      <c r="V59" s="577"/>
    </row>
    <row r="60" spans="2:23" ht="24.75" customHeight="1" x14ac:dyDescent="0.2">
      <c r="Q60" s="537" t="s">
        <v>583</v>
      </c>
      <c r="R60" s="530"/>
      <c r="S60" s="530"/>
      <c r="T60" s="530"/>
      <c r="U60" s="530"/>
      <c r="V60" s="530"/>
      <c r="W60" s="197"/>
    </row>
    <row r="61" spans="2:23" ht="12.75" customHeight="1" x14ac:dyDescent="0.2">
      <c r="Q61" s="194" t="s">
        <v>102</v>
      </c>
      <c r="W61" s="193"/>
    </row>
    <row r="62" spans="2:23" x14ac:dyDescent="0.2">
      <c r="P62" s="344"/>
      <c r="Q62" s="183"/>
      <c r="R62" s="183"/>
      <c r="S62" s="183"/>
      <c r="T62" s="270"/>
      <c r="U62" s="270"/>
      <c r="V62" s="270"/>
    </row>
    <row r="63" spans="2:23" x14ac:dyDescent="0.2">
      <c r="O63" s="344"/>
      <c r="P63" s="344"/>
      <c r="Q63" s="193"/>
      <c r="R63" s="193"/>
      <c r="S63" s="193"/>
      <c r="T63" s="269"/>
      <c r="U63" s="269"/>
      <c r="V63" s="269"/>
    </row>
    <row r="64" spans="2:23" x14ac:dyDescent="0.2">
      <c r="O64" s="344"/>
      <c r="P64" s="344"/>
      <c r="Q64" s="193"/>
      <c r="R64" s="193"/>
      <c r="S64" s="193"/>
      <c r="T64" s="269"/>
      <c r="U64" s="269"/>
      <c r="V64" s="269"/>
    </row>
    <row r="65" spans="2:55" x14ac:dyDescent="0.2">
      <c r="O65" s="344"/>
      <c r="P65" s="344"/>
      <c r="Q65" s="193"/>
      <c r="R65" s="193"/>
      <c r="S65" s="193"/>
      <c r="T65" s="269"/>
      <c r="U65" s="269"/>
      <c r="V65" s="269"/>
    </row>
    <row r="68" spans="2:55" ht="15.75" x14ac:dyDescent="0.25">
      <c r="C68" s="263" t="s">
        <v>5</v>
      </c>
      <c r="Q68" s="268" t="s">
        <v>376</v>
      </c>
      <c r="R68" s="262"/>
      <c r="S68" s="262"/>
    </row>
    <row r="70" spans="2:55" x14ac:dyDescent="0.2">
      <c r="B70" s="71"/>
      <c r="C70" s="71"/>
      <c r="D70" s="71"/>
      <c r="E70" s="71"/>
      <c r="F70" s="71"/>
      <c r="G70" s="71"/>
      <c r="H70" s="71"/>
      <c r="I70" s="71"/>
      <c r="J70" s="71"/>
      <c r="K70" s="71"/>
      <c r="L70" s="71"/>
      <c r="M70" s="71"/>
      <c r="Q70" s="391" t="s">
        <v>365</v>
      </c>
      <c r="R70" s="488" t="s">
        <v>5</v>
      </c>
      <c r="S70" s="488"/>
      <c r="T70" s="489" t="s">
        <v>0</v>
      </c>
      <c r="U70" s="489" t="s">
        <v>20</v>
      </c>
      <c r="V70" s="489" t="s">
        <v>8</v>
      </c>
    </row>
    <row r="71" spans="2:55" ht="15" x14ac:dyDescent="0.25">
      <c r="B71" s="71"/>
      <c r="C71" s="95" t="s">
        <v>421</v>
      </c>
      <c r="D71" s="71"/>
      <c r="E71" s="71"/>
      <c r="F71" s="71"/>
      <c r="G71" s="71"/>
      <c r="H71" s="71"/>
      <c r="I71" s="71"/>
      <c r="J71" s="71"/>
      <c r="K71" s="71"/>
      <c r="L71" s="71"/>
      <c r="M71" s="71"/>
      <c r="O71" s="344" t="s">
        <v>192</v>
      </c>
      <c r="Q71" s="286"/>
      <c r="R71" s="488" t="s">
        <v>528</v>
      </c>
      <c r="S71" s="286"/>
      <c r="T71" s="286"/>
      <c r="U71" s="286"/>
      <c r="V71" s="286"/>
    </row>
    <row r="72" spans="2:55" x14ac:dyDescent="0.2">
      <c r="B72" s="71"/>
      <c r="C72" s="71"/>
      <c r="D72" s="71"/>
      <c r="E72" s="71"/>
      <c r="F72" s="71"/>
      <c r="G72" s="71"/>
      <c r="H72" s="71"/>
      <c r="I72" s="71"/>
      <c r="J72" s="71"/>
      <c r="K72" s="71"/>
      <c r="L72" s="71"/>
      <c r="M72" s="71"/>
      <c r="Q72" s="286"/>
      <c r="R72" s="488"/>
      <c r="S72" s="286"/>
      <c r="T72" s="286"/>
      <c r="U72" s="286"/>
      <c r="V72" s="286"/>
    </row>
    <row r="73" spans="2:55" x14ac:dyDescent="0.2">
      <c r="B73" s="71"/>
      <c r="C73" s="71"/>
      <c r="D73" s="71"/>
      <c r="E73" s="71"/>
      <c r="F73" s="71"/>
      <c r="G73" s="71"/>
      <c r="H73" s="71"/>
      <c r="I73" s="71"/>
      <c r="J73" s="71"/>
      <c r="K73" s="71"/>
      <c r="L73" s="71"/>
      <c r="M73" s="71"/>
      <c r="Q73" s="255" t="s">
        <v>3</v>
      </c>
      <c r="R73" s="255">
        <v>1</v>
      </c>
      <c r="S73" s="255" t="s">
        <v>367</v>
      </c>
      <c r="T73" s="401">
        <f>VLOOKUP(ref!$X$1&amp;ref!$W$1&amp;19&amp;ref!$Y1,MPAOdep5yr,6,FALSE)</f>
        <v>21</v>
      </c>
      <c r="U73" s="401">
        <f>VLOOKUP(ref!$X$2&amp;ref!$W$1&amp;19&amp;ref!$Y1,MPAOdep5yr,6,FALSE)</f>
        <v>16</v>
      </c>
      <c r="V73" s="401">
        <f>VLOOKUP(ref!$X$3&amp;ref!$W$1&amp;19&amp;ref!$Y1,MPAOdep5yr,6,FALSE)</f>
        <v>5</v>
      </c>
    </row>
    <row r="74" spans="2:55" x14ac:dyDescent="0.2">
      <c r="B74" s="71"/>
      <c r="C74" s="71"/>
      <c r="D74" s="71"/>
      <c r="E74" s="71"/>
      <c r="F74" s="71"/>
      <c r="G74" s="71"/>
      <c r="H74" s="71"/>
      <c r="I74" s="71"/>
      <c r="J74" s="71"/>
      <c r="K74" s="71"/>
      <c r="L74" s="71"/>
      <c r="M74" s="71"/>
      <c r="Q74" s="255"/>
      <c r="R74" s="255">
        <v>2</v>
      </c>
      <c r="S74" s="255" t="s">
        <v>21</v>
      </c>
      <c r="T74" s="401">
        <f>VLOOKUP(ref!$X$1&amp;ref!$W$1&amp;19&amp;ref!$Y2,MPAOdep5yr,6,FALSE)</f>
        <v>55</v>
      </c>
      <c r="U74" s="401">
        <f>VLOOKUP(ref!$X$2&amp;ref!$W$1&amp;19&amp;ref!$Y2,MPAOdep5yr,6,FALSE)</f>
        <v>39</v>
      </c>
      <c r="V74" s="401">
        <f>VLOOKUP(ref!$X$3&amp;ref!$W$1&amp;19&amp;ref!$Y2,MPAOdep5yr,6,FALSE)</f>
        <v>16</v>
      </c>
    </row>
    <row r="75" spans="2:55" x14ac:dyDescent="0.2">
      <c r="B75" s="71"/>
      <c r="C75" s="71"/>
      <c r="D75" s="71"/>
      <c r="E75" s="71"/>
      <c r="F75" s="71"/>
      <c r="G75" s="71"/>
      <c r="H75" s="71"/>
      <c r="I75" s="71"/>
      <c r="J75" s="71"/>
      <c r="K75" s="71"/>
      <c r="L75" s="71"/>
      <c r="M75" s="71"/>
      <c r="Q75" s="255"/>
      <c r="R75" s="255">
        <v>3</v>
      </c>
      <c r="S75" s="255" t="s">
        <v>21</v>
      </c>
      <c r="T75" s="401">
        <f>VLOOKUP(ref!$X$1&amp;ref!$W$1&amp;19&amp;ref!$Y3,MPAOdep5yr,6,FALSE)</f>
        <v>78</v>
      </c>
      <c r="U75" s="401">
        <f>VLOOKUP(ref!$X$2&amp;ref!$W$1&amp;19&amp;ref!$Y3,MPAOdep5yr,6,FALSE)</f>
        <v>61</v>
      </c>
      <c r="V75" s="401">
        <f>VLOOKUP(ref!$X$3&amp;ref!$W$1&amp;19&amp;ref!$Y3,MPAOdep5yr,6,FALSE)</f>
        <v>17</v>
      </c>
      <c r="BA75" s="485" t="s">
        <v>373</v>
      </c>
      <c r="BB75" s="485" t="s">
        <v>9</v>
      </c>
      <c r="BC75" s="485" t="s">
        <v>0</v>
      </c>
    </row>
    <row r="76" spans="2:55" x14ac:dyDescent="0.2">
      <c r="B76" s="71"/>
      <c r="C76" s="71"/>
      <c r="D76" s="71"/>
      <c r="E76" s="71"/>
      <c r="F76" s="71"/>
      <c r="G76" s="71"/>
      <c r="H76" s="71"/>
      <c r="I76" s="71"/>
      <c r="J76" s="71"/>
      <c r="K76" s="71"/>
      <c r="L76" s="71"/>
      <c r="M76" s="71"/>
      <c r="Q76" s="255"/>
      <c r="R76" s="255">
        <v>4</v>
      </c>
      <c r="S76" s="255" t="s">
        <v>21</v>
      </c>
      <c r="T76" s="401">
        <f>VLOOKUP(ref!$X$1&amp;ref!$W$1&amp;19&amp;ref!$Y4,MPAOdep5yr,6,FALSE)</f>
        <v>130</v>
      </c>
      <c r="U76" s="401">
        <f>VLOOKUP(ref!$X$2&amp;ref!$W$1&amp;19&amp;ref!$Y4,MPAOdep5yr,6,FALSE)</f>
        <v>87</v>
      </c>
      <c r="V76" s="401">
        <f>VLOOKUP(ref!$X$3&amp;ref!$W$1&amp;19&amp;ref!$Y4,MPAOdep5yr,6,FALSE)</f>
        <v>43</v>
      </c>
      <c r="BA76" s="480"/>
      <c r="BB76" s="480"/>
      <c r="BC76" s="480"/>
    </row>
    <row r="77" spans="2:55" x14ac:dyDescent="0.2">
      <c r="B77" s="71"/>
      <c r="C77" s="71"/>
      <c r="D77" s="71"/>
      <c r="E77" s="71"/>
      <c r="F77" s="71"/>
      <c r="G77" s="71"/>
      <c r="H77" s="71"/>
      <c r="I77" s="71"/>
      <c r="J77" s="71"/>
      <c r="K77" s="71"/>
      <c r="L77" s="71"/>
      <c r="M77" s="71"/>
      <c r="Q77" s="257"/>
      <c r="R77" s="255">
        <v>5</v>
      </c>
      <c r="S77" s="255" t="s">
        <v>21</v>
      </c>
      <c r="T77" s="401">
        <f>VLOOKUP(ref!$X$1&amp;ref!$W$1&amp;19&amp;ref!$Y5,MPAOdep5yr,6,FALSE)</f>
        <v>255</v>
      </c>
      <c r="U77" s="401">
        <f>VLOOKUP(ref!$X$2&amp;ref!$W$1&amp;19&amp;ref!$Y5,MPAOdep5yr,6,FALSE)</f>
        <v>166</v>
      </c>
      <c r="V77" s="401">
        <f>VLOOKUP(ref!$X$3&amp;ref!$W$1&amp;19&amp;ref!$Y5,MPAOdep5yr,6,FALSE)</f>
        <v>89</v>
      </c>
      <c r="BA77" s="480" t="s">
        <v>3</v>
      </c>
      <c r="BB77" s="480"/>
      <c r="BC77" s="486">
        <f>IF(T73&lt;20, "-",VLOOKUP(ref!$X$1&amp;ref!$W$1&amp;19&amp;ref!$Y1,MPAOdep5yr,8,FALSE))</f>
        <v>3.3</v>
      </c>
    </row>
    <row r="78" spans="2:55" x14ac:dyDescent="0.2">
      <c r="B78" s="71"/>
      <c r="C78" s="71"/>
      <c r="D78" s="71"/>
      <c r="E78" s="71"/>
      <c r="F78" s="71"/>
      <c r="G78" s="71"/>
      <c r="H78" s="71"/>
      <c r="I78" s="71"/>
      <c r="J78" s="71"/>
      <c r="K78" s="71"/>
      <c r="L78" s="71"/>
      <c r="M78" s="71"/>
      <c r="Q78" s="272"/>
      <c r="R78" s="272"/>
      <c r="S78" s="272"/>
      <c r="T78" s="277"/>
      <c r="U78" s="277"/>
      <c r="V78" s="277"/>
      <c r="BA78" s="480"/>
      <c r="BB78" s="480"/>
      <c r="BC78" s="486">
        <f>IF(T74&lt;20, "-",VLOOKUP(ref!$X$1&amp;ref!$W$1&amp;19&amp;ref!$Y2,MPAOdep5yr,8,FALSE))</f>
        <v>3.8</v>
      </c>
    </row>
    <row r="79" spans="2:55" x14ac:dyDescent="0.2">
      <c r="B79" s="71"/>
      <c r="C79" s="71"/>
      <c r="D79" s="71"/>
      <c r="E79" s="71"/>
      <c r="F79" s="71"/>
      <c r="G79" s="71"/>
      <c r="H79" s="71"/>
      <c r="I79" s="71"/>
      <c r="J79" s="71"/>
      <c r="K79" s="71"/>
      <c r="L79" s="71"/>
      <c r="M79" s="71"/>
      <c r="Q79" s="255" t="s">
        <v>79</v>
      </c>
      <c r="R79" s="255">
        <v>1</v>
      </c>
      <c r="S79" s="255" t="s">
        <v>21</v>
      </c>
      <c r="T79" s="404">
        <f>VLOOKUP(ref!$X$1&amp;ref!$W$2&amp;19&amp;ref!$Y1,MPAOdep5yr,6,FALSE)</f>
        <v>4</v>
      </c>
      <c r="U79" s="404">
        <f>VLOOKUP(ref!$X$2&amp;ref!$W$2&amp;19&amp;ref!$Y1,MPAOdep5yr,6,FALSE)</f>
        <v>3</v>
      </c>
      <c r="V79" s="404">
        <f>VLOOKUP(ref!$X$3&amp;ref!$W$2&amp;19&amp;ref!$Y1,MPAOdep5yr,6,FALSE)</f>
        <v>1</v>
      </c>
      <c r="BA79" s="480"/>
      <c r="BB79" s="480"/>
      <c r="BC79" s="486">
        <f>IF(T75&lt;20, "-",VLOOKUP(ref!$X$1&amp;ref!$W$1&amp;19&amp;ref!$Y3,MPAOdep5yr,8,FALSE))</f>
        <v>3.2</v>
      </c>
    </row>
    <row r="80" spans="2:55" x14ac:dyDescent="0.2">
      <c r="B80" s="71"/>
      <c r="C80" s="71"/>
      <c r="D80" s="71"/>
      <c r="E80" s="71"/>
      <c r="F80" s="71"/>
      <c r="G80" s="71"/>
      <c r="H80" s="71"/>
      <c r="I80" s="71"/>
      <c r="J80" s="71"/>
      <c r="K80" s="71"/>
      <c r="L80" s="71"/>
      <c r="M80" s="71"/>
      <c r="Q80" s="255"/>
      <c r="R80" s="255">
        <v>2</v>
      </c>
      <c r="S80" s="255" t="s">
        <v>21</v>
      </c>
      <c r="T80" s="401">
        <f>VLOOKUP(ref!$X$1&amp;ref!$W$2&amp;19&amp;ref!$Y2,MPAOdep5yr,6,FALSE)</f>
        <v>9</v>
      </c>
      <c r="U80" s="404">
        <f>VLOOKUP(ref!$X$2&amp;ref!$W$2&amp;19&amp;ref!$Y2,MPAOdep5yr,6,FALSE)</f>
        <v>7</v>
      </c>
      <c r="V80" s="404">
        <f>VLOOKUP(ref!$X$3&amp;ref!$W$2&amp;19&amp;ref!$Y2,MPAOdep5yr,6,FALSE)</f>
        <v>2</v>
      </c>
      <c r="BA80" s="480"/>
      <c r="BB80" s="480"/>
      <c r="BC80" s="486">
        <f>IF(T76&lt;20, "-",VLOOKUP(ref!$X$1&amp;ref!$W$1&amp;19&amp;ref!$Y4,MPAOdep5yr,8,FALSE))</f>
        <v>2.9</v>
      </c>
    </row>
    <row r="81" spans="2:55" x14ac:dyDescent="0.2">
      <c r="B81" s="71"/>
      <c r="C81" s="71"/>
      <c r="D81" s="71"/>
      <c r="E81" s="71"/>
      <c r="F81" s="71"/>
      <c r="G81" s="71"/>
      <c r="H81" s="71"/>
      <c r="I81" s="71"/>
      <c r="J81" s="71"/>
      <c r="K81" s="71"/>
      <c r="L81" s="71"/>
      <c r="M81" s="71"/>
      <c r="Q81" s="255"/>
      <c r="R81" s="255">
        <v>3</v>
      </c>
      <c r="S81" s="255" t="s">
        <v>21</v>
      </c>
      <c r="T81" s="401">
        <f>VLOOKUP(ref!$X$1&amp;ref!$W$2&amp;19&amp;ref!$Y3,MPAOdep5yr,6,FALSE)</f>
        <v>11</v>
      </c>
      <c r="U81" s="404">
        <f>VLOOKUP(ref!$X$2&amp;ref!$W$2&amp;19&amp;ref!$Y3,MPAOdep5yr,6,FALSE)</f>
        <v>9</v>
      </c>
      <c r="V81" s="404">
        <f>VLOOKUP(ref!$X$3&amp;ref!$W$2&amp;19&amp;ref!$Y3,MPAOdep5yr,6,FALSE)</f>
        <v>2</v>
      </c>
      <c r="BA81" s="480"/>
      <c r="BB81" s="480"/>
      <c r="BC81" s="486">
        <f>IF(T77&lt;20, "-",VLOOKUP(ref!$X$1&amp;ref!$W$1&amp;19&amp;ref!$Y5,MPAOdep5yr,8,FALSE))</f>
        <v>2.4</v>
      </c>
    </row>
    <row r="82" spans="2:55" x14ac:dyDescent="0.2">
      <c r="B82" s="71"/>
      <c r="C82" s="71"/>
      <c r="D82" s="71"/>
      <c r="E82" s="71"/>
      <c r="F82" s="71"/>
      <c r="G82" s="71"/>
      <c r="H82" s="71"/>
      <c r="I82" s="71"/>
      <c r="J82" s="71"/>
      <c r="K82" s="71"/>
      <c r="L82" s="71"/>
      <c r="M82" s="71"/>
      <c r="Q82" s="255"/>
      <c r="R82" s="255">
        <v>4</v>
      </c>
      <c r="S82" s="255" t="s">
        <v>21</v>
      </c>
      <c r="T82" s="401">
        <f>VLOOKUP(ref!$X$1&amp;ref!$W$2&amp;19&amp;ref!$Y4,MPAOdep5yr,6,FALSE)</f>
        <v>24</v>
      </c>
      <c r="U82" s="401">
        <f>VLOOKUP(ref!$X$2&amp;ref!$W$2&amp;19&amp;ref!$Y4,MPAOdep5yr,6,FALSE)</f>
        <v>17</v>
      </c>
      <c r="V82" s="401">
        <f>VLOOKUP(ref!$X$3&amp;ref!$W$2&amp;19&amp;ref!$Y4,MPAOdep5yr,6,FALSE)</f>
        <v>7</v>
      </c>
      <c r="AB82" s="184"/>
      <c r="AC82" s="184"/>
      <c r="BA82" s="480"/>
      <c r="BB82" s="480"/>
      <c r="BC82" s="486"/>
    </row>
    <row r="83" spans="2:55" x14ac:dyDescent="0.2">
      <c r="B83" s="71"/>
      <c r="C83" s="71"/>
      <c r="D83" s="71"/>
      <c r="E83" s="71"/>
      <c r="F83" s="71"/>
      <c r="G83" s="71"/>
      <c r="H83" s="71"/>
      <c r="I83" s="71"/>
      <c r="J83" s="71"/>
      <c r="K83" s="71"/>
      <c r="L83" s="71"/>
      <c r="M83" s="71"/>
      <c r="Q83" s="257"/>
      <c r="R83" s="255">
        <v>5</v>
      </c>
      <c r="S83" s="255" t="s">
        <v>21</v>
      </c>
      <c r="T83" s="401">
        <f>VLOOKUP(ref!$X$1&amp;ref!$W$2&amp;19&amp;ref!$Y5,MPAOdep5yr,6,FALSE)</f>
        <v>70</v>
      </c>
      <c r="U83" s="401">
        <f>VLOOKUP(ref!$X$2&amp;ref!$W$2&amp;19&amp;ref!$Y5,MPAOdep5yr,6,FALSE)</f>
        <v>47</v>
      </c>
      <c r="V83" s="401">
        <f>VLOOKUP(ref!$X$3&amp;ref!$W$2&amp;19&amp;ref!$Y5,MPAOdep5yr,6,FALSE)</f>
        <v>23</v>
      </c>
      <c r="AB83" s="184"/>
      <c r="AC83" s="184"/>
      <c r="BA83" s="480" t="s">
        <v>79</v>
      </c>
      <c r="BB83" s="480"/>
      <c r="BC83" s="487" t="str">
        <f>IF(T79&lt;20,"-",VLOOKUP(ref!$X$1&amp;ref!$W$2&amp;19&amp;ref!$Y1,MPAOdep5yr,8,FALSE))</f>
        <v>-</v>
      </c>
    </row>
    <row r="84" spans="2:55" x14ac:dyDescent="0.2">
      <c r="B84" s="71"/>
      <c r="C84" s="71"/>
      <c r="D84" s="71"/>
      <c r="E84" s="71"/>
      <c r="F84" s="71"/>
      <c r="G84" s="71"/>
      <c r="H84" s="71"/>
      <c r="I84" s="71"/>
      <c r="J84" s="71"/>
      <c r="K84" s="71"/>
      <c r="L84" s="71"/>
      <c r="M84" s="71"/>
      <c r="Q84" s="272"/>
      <c r="R84" s="272"/>
      <c r="S84" s="272"/>
      <c r="T84" s="277"/>
      <c r="U84" s="277"/>
      <c r="V84" s="277"/>
      <c r="AB84" s="184"/>
      <c r="AC84" s="184"/>
      <c r="BA84" s="480"/>
      <c r="BB84" s="480"/>
      <c r="BC84" s="487" t="str">
        <f>IF(T80&lt;20,"-",VLOOKUP(ref!$X$1&amp;ref!$W$2&amp;19&amp;ref!$Y2,MPAOdep5yr,8,FALSE))</f>
        <v>-</v>
      </c>
    </row>
    <row r="85" spans="2:55" x14ac:dyDescent="0.2">
      <c r="B85" s="71"/>
      <c r="C85" s="71"/>
      <c r="D85" s="71"/>
      <c r="E85" s="71"/>
      <c r="F85" s="71"/>
      <c r="G85" s="71"/>
      <c r="H85" s="71"/>
      <c r="I85" s="71"/>
      <c r="J85" s="71"/>
      <c r="K85" s="71"/>
      <c r="L85" s="71"/>
      <c r="M85" s="71"/>
      <c r="Q85" s="255" t="s">
        <v>78</v>
      </c>
      <c r="R85" s="255">
        <v>1</v>
      </c>
      <c r="S85" s="255" t="s">
        <v>21</v>
      </c>
      <c r="T85" s="401">
        <f>VLOOKUP(ref!$X$1&amp;ref!$W$3&amp;19&amp;ref!$Y1,MPAOdep5yr,6,FALSE)</f>
        <v>18</v>
      </c>
      <c r="U85" s="401">
        <f>VLOOKUP(ref!$X$2&amp;ref!$W$3&amp;19&amp;ref!$Y1,MPAOdep5yr,6,FALSE)</f>
        <v>10</v>
      </c>
      <c r="V85" s="401">
        <f>VLOOKUP(ref!$X$3&amp;ref!$W$3&amp;19&amp;ref!$Y1,MPAOdep5yr,6,FALSE)</f>
        <v>8</v>
      </c>
      <c r="AB85" s="184"/>
      <c r="AC85" s="184"/>
      <c r="BA85" s="480"/>
      <c r="BB85" s="480"/>
      <c r="BC85" s="487" t="str">
        <f>IF(T81&lt;20,"-",VLOOKUP(ref!$X$1&amp;ref!$W$2&amp;19&amp;ref!$Y3,MPAOdep5yr,8,FALSE))</f>
        <v>-</v>
      </c>
    </row>
    <row r="86" spans="2:55" x14ac:dyDescent="0.2">
      <c r="B86" s="71"/>
      <c r="C86" s="71"/>
      <c r="D86" s="71"/>
      <c r="E86" s="71"/>
      <c r="F86" s="71"/>
      <c r="G86" s="71"/>
      <c r="H86" s="71"/>
      <c r="I86" s="71"/>
      <c r="J86" s="71"/>
      <c r="K86" s="71"/>
      <c r="L86" s="71"/>
      <c r="M86" s="71"/>
      <c r="Q86" s="255"/>
      <c r="R86" s="255">
        <v>2</v>
      </c>
      <c r="S86" s="255" t="s">
        <v>21</v>
      </c>
      <c r="T86" s="401">
        <f>VLOOKUP(ref!$X$1&amp;ref!$W$3&amp;19&amp;ref!$Y2,MPAOdep5yr,6,FALSE)</f>
        <v>21</v>
      </c>
      <c r="U86" s="401">
        <f>VLOOKUP(ref!$X$2&amp;ref!$W$3&amp;19&amp;ref!$Y2,MPAOdep5yr,6,FALSE)</f>
        <v>12</v>
      </c>
      <c r="V86" s="401">
        <f>VLOOKUP(ref!$X$3&amp;ref!$W$3&amp;19&amp;ref!$Y2,MPAOdep5yr,6,FALSE)</f>
        <v>9</v>
      </c>
      <c r="AB86" s="184"/>
      <c r="AC86" s="184"/>
      <c r="BA86" s="480"/>
      <c r="BB86" s="480"/>
      <c r="BC86" s="487">
        <f>IF(T82&lt;20,"-",VLOOKUP(ref!$X$1&amp;ref!$W$2&amp;19&amp;ref!$Y4,MPAOdep5yr,8,FALSE))</f>
        <v>3.3</v>
      </c>
    </row>
    <row r="87" spans="2:55" x14ac:dyDescent="0.2">
      <c r="B87" s="71"/>
      <c r="C87" s="71"/>
      <c r="D87" s="71"/>
      <c r="E87" s="71"/>
      <c r="F87" s="71"/>
      <c r="G87" s="71"/>
      <c r="H87" s="71"/>
      <c r="I87" s="71"/>
      <c r="J87" s="71"/>
      <c r="K87" s="71"/>
      <c r="L87" s="71"/>
      <c r="M87" s="71"/>
      <c r="Q87" s="255"/>
      <c r="R87" s="255">
        <v>3</v>
      </c>
      <c r="S87" s="255" t="s">
        <v>21</v>
      </c>
      <c r="T87" s="401">
        <f>VLOOKUP(ref!$X$1&amp;ref!$W$3&amp;19&amp;ref!$Y3,MPAOdep5yr,6,FALSE)</f>
        <v>25</v>
      </c>
      <c r="U87" s="401">
        <f>VLOOKUP(ref!$X$2&amp;ref!$W$3&amp;19&amp;ref!$Y3,MPAOdep5yr,6,FALSE)</f>
        <v>19</v>
      </c>
      <c r="V87" s="401">
        <f>VLOOKUP(ref!$X$3&amp;ref!$W$3&amp;19&amp;ref!$Y3,MPAOdep5yr,6,FALSE)</f>
        <v>6</v>
      </c>
      <c r="AB87" s="184"/>
      <c r="AC87" s="184"/>
      <c r="BA87" s="480"/>
      <c r="BB87" s="480"/>
      <c r="BC87" s="487">
        <f>IF(T83&lt;20,"-",VLOOKUP(ref!$X$1&amp;ref!$W$2&amp;19&amp;ref!$Y5,MPAOdep5yr,8,FALSE))</f>
        <v>2</v>
      </c>
    </row>
    <row r="88" spans="2:55" x14ac:dyDescent="0.2">
      <c r="B88" s="71"/>
      <c r="C88" s="71"/>
      <c r="D88" s="71"/>
      <c r="E88" s="71"/>
      <c r="F88" s="71"/>
      <c r="G88" s="71"/>
      <c r="H88" s="71"/>
      <c r="I88" s="71"/>
      <c r="J88" s="71"/>
      <c r="K88" s="71"/>
      <c r="L88" s="71"/>
      <c r="M88" s="71"/>
      <c r="Q88" s="255"/>
      <c r="R88" s="255">
        <v>4</v>
      </c>
      <c r="S88" s="255" t="s">
        <v>21</v>
      </c>
      <c r="T88" s="401">
        <f>VLOOKUP(ref!$X$1&amp;ref!$W$3&amp;19&amp;ref!$Y4,MPAOdep5yr,6,FALSE)</f>
        <v>27</v>
      </c>
      <c r="U88" s="401">
        <f>VLOOKUP(ref!$X$2&amp;ref!$W$3&amp;19&amp;ref!$Y4,MPAOdep5yr,6,FALSE)</f>
        <v>22</v>
      </c>
      <c r="V88" s="401">
        <f>VLOOKUP(ref!$X$3&amp;ref!$W$3&amp;19&amp;ref!$Y4,MPAOdep5yr,6,FALSE)</f>
        <v>5</v>
      </c>
      <c r="AB88" s="276"/>
      <c r="AC88" s="276"/>
      <c r="BA88" s="480"/>
      <c r="BB88" s="480"/>
      <c r="BC88" s="486"/>
    </row>
    <row r="89" spans="2:55" x14ac:dyDescent="0.2">
      <c r="B89" s="71"/>
      <c r="C89" s="71"/>
      <c r="D89" s="71"/>
      <c r="E89" s="71"/>
      <c r="F89" s="71"/>
      <c r="G89" s="71"/>
      <c r="H89" s="71"/>
      <c r="I89" s="71"/>
      <c r="J89" s="71"/>
      <c r="K89" s="71"/>
      <c r="L89" s="71"/>
      <c r="M89" s="71"/>
      <c r="Q89" s="255"/>
      <c r="R89" s="255">
        <v>5</v>
      </c>
      <c r="S89" s="255" t="s">
        <v>21</v>
      </c>
      <c r="T89" s="401">
        <f>VLOOKUP(ref!$X$1&amp;ref!$W$3&amp;19&amp;ref!$Y5,MPAOdep5yr,6,FALSE)</f>
        <v>27</v>
      </c>
      <c r="U89" s="401">
        <f>VLOOKUP(ref!$X$2&amp;ref!$W$3&amp;19&amp;ref!$Y5,MPAOdep5yr,6,FALSE)</f>
        <v>17</v>
      </c>
      <c r="V89" s="401">
        <f>VLOOKUP(ref!$X$3&amp;ref!$W$3&amp;19&amp;ref!$Y5,MPAOdep5yr,6,FALSE)</f>
        <v>10</v>
      </c>
      <c r="AB89" s="184"/>
      <c r="AC89" s="184"/>
      <c r="BA89" s="480" t="s">
        <v>78</v>
      </c>
      <c r="BB89" s="480"/>
      <c r="BC89" s="487" t="str">
        <f>IF(T85&lt;20,"-",VLOOKUP(ref!$X$1&amp;ref!$W$3&amp;19&amp;ref!$Y1,MPAOdep5yr,8,FALSE))</f>
        <v>-</v>
      </c>
    </row>
    <row r="90" spans="2:55" x14ac:dyDescent="0.2">
      <c r="B90" s="71"/>
      <c r="C90" s="71"/>
      <c r="D90" s="71"/>
      <c r="E90" s="71"/>
      <c r="F90" s="71"/>
      <c r="G90" s="71"/>
      <c r="H90" s="71"/>
      <c r="I90" s="71"/>
      <c r="J90" s="71"/>
      <c r="K90" s="71"/>
      <c r="L90" s="71"/>
      <c r="M90" s="71"/>
      <c r="Q90" s="316"/>
      <c r="R90" s="316"/>
      <c r="S90" s="316"/>
      <c r="T90" s="277"/>
      <c r="U90" s="277"/>
      <c r="V90" s="277"/>
      <c r="AB90" s="184"/>
      <c r="AC90" s="184"/>
      <c r="BA90" s="480"/>
      <c r="BB90" s="480"/>
      <c r="BC90" s="487">
        <f>IF(T86&lt;20,"-",VLOOKUP(ref!$X$1&amp;ref!$W$3&amp;19&amp;ref!$Y2,MPAOdep5yr,8,FALSE))</f>
        <v>1.5</v>
      </c>
    </row>
    <row r="91" spans="2:55" x14ac:dyDescent="0.2">
      <c r="B91" s="71"/>
      <c r="C91" s="71"/>
      <c r="D91" s="71"/>
      <c r="E91" s="71"/>
      <c r="F91" s="71"/>
      <c r="G91" s="71"/>
      <c r="H91" s="71"/>
      <c r="I91" s="71"/>
      <c r="J91" s="71"/>
      <c r="K91" s="71"/>
      <c r="L91" s="71"/>
      <c r="M91" s="71"/>
      <c r="Q91" s="255" t="s">
        <v>45</v>
      </c>
      <c r="R91" s="255">
        <v>1</v>
      </c>
      <c r="S91" s="255" t="s">
        <v>21</v>
      </c>
      <c r="T91" s="401">
        <f>VLOOKUP(ref!$X$1&amp;ref!$W$4&amp;19&amp;ref!$Y1,MPAOdep5yr,6,FALSE)</f>
        <v>300</v>
      </c>
      <c r="U91" s="401">
        <f>VLOOKUP(ref!$X$2&amp;ref!$W$4&amp;19&amp;ref!$Y1,MPAOdep5yr,6,FALSE)</f>
        <v>233</v>
      </c>
      <c r="V91" s="401">
        <f>VLOOKUP(ref!$X$3&amp;ref!$W$4&amp;19&amp;ref!$Y1,MPAOdep5yr,6,FALSE)</f>
        <v>67</v>
      </c>
      <c r="AB91" s="184"/>
      <c r="AC91" s="184"/>
      <c r="BA91" s="480"/>
      <c r="BB91" s="480"/>
      <c r="BC91" s="487">
        <f>IF(T87&lt;20,"-",VLOOKUP(ref!$X$1&amp;ref!$W$3&amp;19&amp;ref!$Y3,MPAOdep5yr,8,FALSE))</f>
        <v>1.5</v>
      </c>
    </row>
    <row r="92" spans="2:55" x14ac:dyDescent="0.2">
      <c r="B92" s="71"/>
      <c r="C92" s="71"/>
      <c r="D92" s="71"/>
      <c r="E92" s="71"/>
      <c r="F92" s="71"/>
      <c r="G92" s="71"/>
      <c r="H92" s="71"/>
      <c r="I92" s="71"/>
      <c r="J92" s="71"/>
      <c r="K92" s="71"/>
      <c r="L92" s="71"/>
      <c r="M92" s="71"/>
      <c r="Q92" s="255"/>
      <c r="R92" s="255">
        <v>2</v>
      </c>
      <c r="S92" s="255" t="s">
        <v>21</v>
      </c>
      <c r="T92" s="401">
        <f>VLOOKUP(ref!$X$1&amp;ref!$W$4&amp;19&amp;ref!$Y2,MPAOdep5yr,6,FALSE)</f>
        <v>325</v>
      </c>
      <c r="U92" s="401">
        <f>VLOOKUP(ref!$X$2&amp;ref!$W$4&amp;19&amp;ref!$Y2,MPAOdep5yr,6,FALSE)</f>
        <v>241</v>
      </c>
      <c r="V92" s="401">
        <f>VLOOKUP(ref!$X$3&amp;ref!$W$4&amp;19&amp;ref!$Y2,MPAOdep5yr,6,FALSE)</f>
        <v>84</v>
      </c>
      <c r="AB92" s="184"/>
      <c r="AC92" s="184"/>
      <c r="BA92" s="480"/>
      <c r="BB92" s="480"/>
      <c r="BC92" s="487">
        <f>IF(T88&lt;20,"-",VLOOKUP(ref!$X$1&amp;ref!$W$3&amp;19&amp;ref!$Y4,MPAOdep5yr,8,FALSE))</f>
        <v>1.7</v>
      </c>
    </row>
    <row r="93" spans="2:55" ht="22.5" customHeight="1" x14ac:dyDescent="0.2">
      <c r="B93" s="71"/>
      <c r="C93" s="71"/>
      <c r="D93" s="71"/>
      <c r="E93" s="71"/>
      <c r="F93" s="71"/>
      <c r="G93" s="71"/>
      <c r="H93" s="71"/>
      <c r="I93" s="71"/>
      <c r="J93" s="71"/>
      <c r="K93" s="71"/>
      <c r="L93" s="71"/>
      <c r="M93" s="71"/>
      <c r="Q93" s="255"/>
      <c r="R93" s="255">
        <v>3</v>
      </c>
      <c r="S93" s="255" t="s">
        <v>21</v>
      </c>
      <c r="T93" s="401">
        <f>VLOOKUP(ref!$X$1&amp;ref!$W$4&amp;19&amp;ref!$Y3,MPAOdep5yr,6,FALSE)</f>
        <v>389</v>
      </c>
      <c r="U93" s="401">
        <f>VLOOKUP(ref!$X$2&amp;ref!$W$4&amp;19&amp;ref!$Y3,MPAOdep5yr,6,FALSE)</f>
        <v>299</v>
      </c>
      <c r="V93" s="401">
        <f>VLOOKUP(ref!$X$3&amp;ref!$W$4&amp;19&amp;ref!$Y3,MPAOdep5yr,6,FALSE)</f>
        <v>90</v>
      </c>
      <c r="AB93" s="184"/>
      <c r="AC93" s="184"/>
      <c r="BA93" s="480"/>
      <c r="BB93" s="480"/>
      <c r="BC93" s="487">
        <f>IF(T89&lt;20,"-",VLOOKUP(ref!$X$1&amp;ref!$W$3&amp;19&amp;ref!$Y5,MPAOdep5yr,8,FALSE))</f>
        <v>2.2000000000000002</v>
      </c>
    </row>
    <row r="94" spans="2:55" ht="12.75" customHeight="1" x14ac:dyDescent="0.2">
      <c r="B94" s="71"/>
      <c r="C94" s="71"/>
      <c r="D94" s="71"/>
      <c r="E94" s="71"/>
      <c r="F94" s="71"/>
      <c r="G94" s="71"/>
      <c r="H94" s="71"/>
      <c r="I94" s="71"/>
      <c r="J94" s="71"/>
      <c r="K94" s="71"/>
      <c r="L94" s="71"/>
      <c r="M94" s="71"/>
      <c r="Q94" s="255"/>
      <c r="R94" s="255">
        <v>4</v>
      </c>
      <c r="S94" s="255" t="s">
        <v>21</v>
      </c>
      <c r="T94" s="401">
        <f>VLOOKUP(ref!$X$1&amp;ref!$W$4&amp;19&amp;ref!$Y4,MPAOdep5yr,6,FALSE)</f>
        <v>381</v>
      </c>
      <c r="U94" s="401">
        <f>VLOOKUP(ref!$X$2&amp;ref!$W$4&amp;19&amp;ref!$Y4,MPAOdep5yr,6,FALSE)</f>
        <v>292</v>
      </c>
      <c r="V94" s="401">
        <f>VLOOKUP(ref!$X$3&amp;ref!$W$4&amp;19&amp;ref!$Y4,MPAOdep5yr,6,FALSE)</f>
        <v>89</v>
      </c>
      <c r="AB94" s="184"/>
      <c r="AC94" s="184"/>
      <c r="BA94" s="480"/>
      <c r="BB94" s="480"/>
      <c r="BC94" s="486"/>
    </row>
    <row r="95" spans="2:55" ht="23.25" customHeight="1" x14ac:dyDescent="0.2">
      <c r="B95" s="71"/>
      <c r="C95" s="71"/>
      <c r="D95" s="71"/>
      <c r="E95" s="71"/>
      <c r="F95" s="71"/>
      <c r="G95" s="71"/>
      <c r="H95" s="71"/>
      <c r="I95" s="71"/>
      <c r="J95" s="71"/>
      <c r="K95" s="71"/>
      <c r="L95" s="71"/>
      <c r="M95" s="71"/>
      <c r="Q95" s="257"/>
      <c r="R95" s="255">
        <v>5</v>
      </c>
      <c r="S95" s="255" t="s">
        <v>21</v>
      </c>
      <c r="T95" s="401">
        <f>VLOOKUP(ref!$X$1&amp;ref!$W$4&amp;19&amp;ref!$Y5,MPAOdep5yr,6,FALSE)</f>
        <v>333</v>
      </c>
      <c r="U95" s="401">
        <f>VLOOKUP(ref!$X$2&amp;ref!$W$4&amp;19&amp;ref!$Y5,MPAOdep5yr,6,FALSE)</f>
        <v>245</v>
      </c>
      <c r="V95" s="401">
        <f>VLOOKUP(ref!$X$3&amp;ref!$W$4&amp;19&amp;ref!$Y5,MPAOdep5yr,6,FALSE)</f>
        <v>88</v>
      </c>
      <c r="AB95" s="184"/>
      <c r="AC95" s="184"/>
      <c r="BA95" s="480" t="s">
        <v>45</v>
      </c>
      <c r="BB95" s="480"/>
      <c r="BC95" s="486">
        <f>IF(T91&lt;20,"-",VLOOKUP(ref!$X$1&amp;ref!$W$4&amp;19&amp;ref!$Y1,MPAOdep5yr,8,FALSE))</f>
        <v>0.9</v>
      </c>
    </row>
    <row r="96" spans="2:55" ht="9.75" customHeight="1" x14ac:dyDescent="0.2">
      <c r="B96" s="71"/>
      <c r="C96" s="71"/>
      <c r="D96" s="71"/>
      <c r="E96" s="71"/>
      <c r="F96" s="71"/>
      <c r="G96" s="71"/>
      <c r="H96" s="71"/>
      <c r="I96" s="71"/>
      <c r="J96" s="71"/>
      <c r="K96" s="71"/>
      <c r="L96" s="71"/>
      <c r="M96" s="71"/>
      <c r="Q96" s="316"/>
      <c r="R96" s="316"/>
      <c r="S96" s="316"/>
      <c r="T96" s="277"/>
      <c r="U96" s="277"/>
      <c r="V96" s="277"/>
      <c r="AB96" s="184"/>
      <c r="AC96" s="184"/>
      <c r="BA96" s="480"/>
      <c r="BB96" s="480"/>
      <c r="BC96" s="486">
        <f>IF(T92&lt;20,"-",VLOOKUP(ref!$X$1&amp;ref!$W$4&amp;19&amp;ref!$Y2,MPAOdep5yr,8,FALSE))</f>
        <v>0.9</v>
      </c>
    </row>
    <row r="97" spans="2:55" ht="12" customHeight="1" x14ac:dyDescent="0.2">
      <c r="B97" s="71"/>
      <c r="C97" s="71"/>
      <c r="D97" s="71"/>
      <c r="E97" s="71"/>
      <c r="F97" s="71"/>
      <c r="G97" s="71"/>
      <c r="H97" s="71"/>
      <c r="I97" s="71"/>
      <c r="J97" s="71"/>
      <c r="K97" s="71"/>
      <c r="L97" s="71"/>
      <c r="M97" s="71"/>
      <c r="Q97" s="255" t="s">
        <v>3</v>
      </c>
      <c r="R97" s="255">
        <v>1</v>
      </c>
      <c r="S97" s="255" t="s">
        <v>22</v>
      </c>
      <c r="T97" s="396">
        <f>IF(T73&lt;20,"-",VLOOKUP(ref!$X$1&amp;ref!$W$1&amp;19&amp;ref!Y1,MPAOdep5yr,7,FALSE))</f>
        <v>7.7795828057365997</v>
      </c>
      <c r="U97" s="396" t="str">
        <f>IF(U73&lt;20,"-",VLOOKUP(ref!$X$2&amp;ref!$W$1&amp;19&amp;ref!$Y1,MPAOdep5yr,7,FALSE))</f>
        <v>-</v>
      </c>
      <c r="V97" s="396" t="str">
        <f>IF(V73&lt;20,"-",VLOOKUP(ref!$X$3&amp;ref!$W$1&amp;19&amp;ref!$Y1,MPAOdep5yr,7,FALSE))</f>
        <v>-</v>
      </c>
      <c r="AB97" s="184"/>
      <c r="AC97" s="184"/>
      <c r="BA97" s="480"/>
      <c r="BB97" s="480"/>
      <c r="BC97" s="486">
        <f>IF(T93&lt;20,"-",VLOOKUP(ref!$X$1&amp;ref!$W$4&amp;19&amp;ref!$Y3,MPAOdep5yr,8,FALSE))</f>
        <v>1.1000000000000001</v>
      </c>
    </row>
    <row r="98" spans="2:55" x14ac:dyDescent="0.2">
      <c r="B98" s="71"/>
      <c r="C98" s="71"/>
      <c r="D98" s="71"/>
      <c r="E98" s="71"/>
      <c r="F98" s="71"/>
      <c r="G98" s="71"/>
      <c r="H98" s="71"/>
      <c r="I98" s="71"/>
      <c r="J98" s="71"/>
      <c r="K98" s="71"/>
      <c r="L98" s="71"/>
      <c r="M98" s="71"/>
      <c r="Q98" s="255"/>
      <c r="R98" s="255">
        <v>2</v>
      </c>
      <c r="S98" s="255" t="s">
        <v>22</v>
      </c>
      <c r="T98" s="396">
        <f>IF(T74&lt;20,"-",VLOOKUP(ref!$X$1&amp;ref!$W$1&amp;19&amp;ref!Y2,MPAOdep5yr,7,FALSE))</f>
        <v>14.338014713266899</v>
      </c>
      <c r="U98" s="396">
        <f>IF(U74&lt;20,"-",VLOOKUP(ref!$X$2&amp;ref!$W$1&amp;19&amp;ref!$Y2,MPAOdep5yr,7,FALSE))</f>
        <v>20.532354732703698</v>
      </c>
      <c r="V98" s="396" t="str">
        <f>IF(V74&lt;20,"-",VLOOKUP(ref!$X$3&amp;ref!$W$1&amp;19&amp;ref!$Y2,MPAOdep5yr,7,FALSE))</f>
        <v>-</v>
      </c>
      <c r="AB98" s="184"/>
      <c r="AC98" s="184"/>
      <c r="BA98" s="480"/>
      <c r="BB98" s="480"/>
      <c r="BC98" s="486">
        <f>IF(T94&lt;20,"-",VLOOKUP(ref!$X$1&amp;ref!$W$4&amp;19&amp;ref!$Y4,MPAOdep5yr,8,FALSE))</f>
        <v>1.3</v>
      </c>
    </row>
    <row r="99" spans="2:55" ht="14.25" customHeight="1" x14ac:dyDescent="0.2">
      <c r="B99" s="71"/>
      <c r="C99" s="84" t="s">
        <v>145</v>
      </c>
      <c r="D99" s="71"/>
      <c r="E99" s="71"/>
      <c r="F99" s="71"/>
      <c r="G99" s="71"/>
      <c r="H99" s="71"/>
      <c r="I99" s="71"/>
      <c r="J99" s="71"/>
      <c r="K99" s="71"/>
      <c r="L99" s="71"/>
      <c r="M99" s="71"/>
      <c r="Q99" s="255"/>
      <c r="R99" s="255">
        <v>3</v>
      </c>
      <c r="S99" s="255" t="s">
        <v>22</v>
      </c>
      <c r="T99" s="396">
        <f>IF(T75&lt;20,"-",VLOOKUP(ref!$X$1&amp;ref!$W$1&amp;19&amp;ref!Y3,MPAOdep5yr,7,FALSE))</f>
        <v>14.1975181045838</v>
      </c>
      <c r="U99" s="396">
        <f>IF(U75&lt;20,"-",VLOOKUP(ref!$X$2&amp;ref!$W$1&amp;19&amp;ref!$Y3,MPAOdep5yr,7,FALSE))</f>
        <v>22.4373834047753</v>
      </c>
      <c r="V99" s="396" t="str">
        <f>IF(V75&lt;20,"-",VLOOKUP(ref!$X$3&amp;ref!$W$1&amp;19&amp;ref!$Y3,MPAOdep5yr,7,FALSE))</f>
        <v>-</v>
      </c>
      <c r="BA99" s="480"/>
      <c r="BB99" s="480"/>
      <c r="BC99" s="486">
        <f>IF(T95&lt;20,"-",VLOOKUP(ref!$X$1&amp;ref!$W$4&amp;19&amp;ref!$Y5,MPAOdep5yr,8,FALSE))</f>
        <v>1.9</v>
      </c>
    </row>
    <row r="100" spans="2:55" ht="22.5" customHeight="1" x14ac:dyDescent="0.2">
      <c r="B100" s="71"/>
      <c r="C100" s="572" t="s">
        <v>624</v>
      </c>
      <c r="D100" s="523"/>
      <c r="E100" s="523"/>
      <c r="F100" s="523"/>
      <c r="G100" s="523"/>
      <c r="H100" s="523"/>
      <c r="I100" s="523"/>
      <c r="J100" s="523"/>
      <c r="K100" s="523"/>
      <c r="L100" s="523"/>
      <c r="M100" s="71"/>
      <c r="Q100" s="255"/>
      <c r="R100" s="255">
        <v>4</v>
      </c>
      <c r="S100" s="255" t="s">
        <v>22</v>
      </c>
      <c r="T100" s="396">
        <f>IF(T76&lt;20,"-",VLOOKUP(ref!$X$1&amp;ref!$W$1&amp;19&amp;ref!Y4,MPAOdep5yr,7,FALSE))</f>
        <v>16.626450520389501</v>
      </c>
      <c r="U100" s="396">
        <f>IF(U76&lt;20,"-",VLOOKUP(ref!$X$2&amp;ref!$W$1&amp;19&amp;ref!$Y4,MPAOdep5yr,7,FALSE))</f>
        <v>23.445197123389999</v>
      </c>
      <c r="V100" s="396">
        <f>IF(V76&lt;20,"-",VLOOKUP(ref!$X$3&amp;ref!$W$1&amp;19&amp;ref!$Y4,MPAOdep5yr,7,FALSE))</f>
        <v>10.4274235908835</v>
      </c>
      <c r="BA100" s="480"/>
      <c r="BB100" s="480"/>
      <c r="BC100" s="486"/>
    </row>
    <row r="101" spans="2:55" ht="12" customHeight="1" x14ac:dyDescent="0.2">
      <c r="B101" s="71"/>
      <c r="C101" s="84" t="s">
        <v>368</v>
      </c>
      <c r="D101" s="71"/>
      <c r="E101" s="71"/>
      <c r="F101" s="71"/>
      <c r="G101" s="71"/>
      <c r="H101" s="71"/>
      <c r="I101" s="71"/>
      <c r="J101" s="71"/>
      <c r="K101" s="71"/>
      <c r="L101" s="71"/>
      <c r="M101" s="71"/>
      <c r="Q101" s="257"/>
      <c r="R101" s="255">
        <v>5</v>
      </c>
      <c r="S101" s="255" t="s">
        <v>22</v>
      </c>
      <c r="T101" s="396">
        <f>IF(T77&lt;20,"-",VLOOKUP(ref!$X$1&amp;ref!$W$1&amp;19&amp;ref!Y5,MPAOdep5yr,7,FALSE))</f>
        <v>19.541871373493201</v>
      </c>
      <c r="U101" s="396">
        <f>IF(U77&lt;20,"-",VLOOKUP(ref!$X$2&amp;ref!$W$1&amp;19&amp;ref!$Y5,MPAOdep5yr,7,FALSE))</f>
        <v>29.0102287596713</v>
      </c>
      <c r="V101" s="396">
        <f>IF(V77&lt;20,"-",VLOOKUP(ref!$X$3&amp;ref!$W$1&amp;19&amp;ref!$Y5,MPAOdep5yr,7,FALSE))</f>
        <v>12.142321436677101</v>
      </c>
    </row>
    <row r="102" spans="2:55" ht="22.5" customHeight="1" x14ac:dyDescent="0.2">
      <c r="B102" s="71"/>
      <c r="C102" s="579" t="s">
        <v>626</v>
      </c>
      <c r="D102" s="525"/>
      <c r="E102" s="525"/>
      <c r="F102" s="525"/>
      <c r="G102" s="525"/>
      <c r="H102" s="525"/>
      <c r="I102" s="525"/>
      <c r="J102" s="525"/>
      <c r="K102" s="525"/>
      <c r="L102" s="525"/>
      <c r="M102" s="71"/>
      <c r="Q102" s="272"/>
      <c r="R102" s="272"/>
      <c r="S102" s="272"/>
      <c r="T102" s="402"/>
      <c r="U102" s="402"/>
      <c r="V102" s="402"/>
    </row>
    <row r="103" spans="2:55" ht="12" customHeight="1" x14ac:dyDescent="0.2">
      <c r="B103" s="71"/>
      <c r="C103" s="84" t="s">
        <v>291</v>
      </c>
      <c r="D103" s="502"/>
      <c r="E103" s="502"/>
      <c r="F103" s="71"/>
      <c r="G103" s="71"/>
      <c r="H103" s="71"/>
      <c r="I103" s="71"/>
      <c r="J103" s="71"/>
      <c r="K103" s="71"/>
      <c r="L103" s="71"/>
      <c r="M103" s="71"/>
      <c r="Q103" s="257" t="s">
        <v>79</v>
      </c>
      <c r="R103" s="257">
        <v>1</v>
      </c>
      <c r="S103" s="257" t="s">
        <v>22</v>
      </c>
      <c r="T103" s="299" t="str">
        <f>IF(T79&lt;20,"-",VLOOKUP(ref!$X$1&amp;ref!$W$2&amp;19&amp;ref!$Y1,MPAOdep5yr,7,FALSE))</f>
        <v>-</v>
      </c>
      <c r="U103" s="299" t="str">
        <f>IF(U79&lt;20, "-",VLOOKUP(ref!$X$2&amp;ref!$W$2&amp;19&amp;ref!$Y1,MPAOdep5yr,7,FALSE))</f>
        <v>-</v>
      </c>
      <c r="V103" s="299" t="str">
        <f>IF(V79&lt;20,"-",VLOOKUP(ref!$X$3&amp;ref!$W$2&amp;19&amp;ref!$Y1,MPAOdep5yr,7,FALSE))</f>
        <v>-</v>
      </c>
    </row>
    <row r="104" spans="2:55" x14ac:dyDescent="0.2">
      <c r="B104" s="71"/>
      <c r="C104" s="503" t="s">
        <v>102</v>
      </c>
      <c r="D104" s="71"/>
      <c r="E104" s="71"/>
      <c r="F104" s="71"/>
      <c r="G104" s="71"/>
      <c r="H104" s="71"/>
      <c r="I104" s="71"/>
      <c r="J104" s="71"/>
      <c r="K104" s="71"/>
      <c r="L104" s="71"/>
      <c r="M104" s="71"/>
      <c r="Q104" s="255"/>
      <c r="R104" s="255">
        <v>2</v>
      </c>
      <c r="S104" s="255" t="s">
        <v>22</v>
      </c>
      <c r="T104" s="299" t="str">
        <f>IF(T80&lt;20,"-",VLOOKUP(ref!$X$1&amp;ref!$W$2&amp;19&amp;ref!$Y2,MPAOdep5yr,7,FALSE))</f>
        <v>-</v>
      </c>
      <c r="U104" s="299" t="str">
        <f>IF(U80&lt;20, "-",VLOOKUP(ref!$X$2&amp;ref!$W$2&amp;19&amp;ref!$Y2,MPAOdep5yr,7,FALSE))</f>
        <v>-</v>
      </c>
      <c r="V104" s="299" t="str">
        <f>IF(V80&lt;20,"-",VLOOKUP(ref!$X$3&amp;ref!$W$2&amp;19&amp;ref!$Y2,MPAOdep5yr,7,FALSE))</f>
        <v>-</v>
      </c>
    </row>
    <row r="105" spans="2:55" ht="13.5" customHeight="1" x14ac:dyDescent="0.2">
      <c r="B105" s="71"/>
      <c r="C105" s="71"/>
      <c r="D105" s="71"/>
      <c r="E105" s="71"/>
      <c r="F105" s="71"/>
      <c r="G105" s="71"/>
      <c r="H105" s="71"/>
      <c r="I105" s="71"/>
      <c r="J105" s="71"/>
      <c r="K105" s="71"/>
      <c r="L105" s="71"/>
      <c r="M105" s="71"/>
      <c r="Q105" s="255"/>
      <c r="R105" s="255">
        <v>3</v>
      </c>
      <c r="S105" s="255" t="s">
        <v>22</v>
      </c>
      <c r="T105" s="299" t="str">
        <f>IF(T81&lt;20,"-",VLOOKUP(ref!$X$1&amp;ref!$W$2&amp;19&amp;ref!$Y3,MPAOdep5yr,7,FALSE))</f>
        <v>-</v>
      </c>
      <c r="U105" s="299" t="str">
        <f>IF(U81&lt;20, "-",VLOOKUP(ref!$X$2&amp;ref!$W$2&amp;19&amp;ref!$Y3,MPAOdep5yr,7,FALSE))</f>
        <v>-</v>
      </c>
      <c r="V105" s="299" t="str">
        <f>IF(V81&lt;20,"-",VLOOKUP(ref!$X$3&amp;ref!$W$2&amp;19&amp;ref!$Y3,MPAOdep5yr,7,FALSE))</f>
        <v>-</v>
      </c>
    </row>
    <row r="106" spans="2:55" x14ac:dyDescent="0.2">
      <c r="Q106" s="255"/>
      <c r="R106" s="255">
        <v>4</v>
      </c>
      <c r="S106" s="255" t="s">
        <v>22</v>
      </c>
      <c r="T106" s="299">
        <f>IF(T82&lt;20,"-",VLOOKUP(ref!$X$1&amp;ref!$W$2&amp;19&amp;ref!$Y4,MPAOdep5yr,7,FALSE))</f>
        <v>8.2962613812423207</v>
      </c>
      <c r="U106" s="299" t="str">
        <f>IF(U82&lt;20, "-",VLOOKUP(ref!$X$2&amp;ref!$W$2&amp;19&amp;ref!$Y4,MPAOdep5yr,7,FALSE))</f>
        <v>-</v>
      </c>
      <c r="V106" s="299" t="str">
        <f>IF(V82&lt;20,"-",VLOOKUP(ref!$X$3&amp;ref!$W$2&amp;19&amp;ref!$Y4,MPAOdep5yr,7,FALSE))</f>
        <v>-</v>
      </c>
    </row>
    <row r="107" spans="2:55" x14ac:dyDescent="0.2">
      <c r="Q107" s="257"/>
      <c r="R107" s="255">
        <v>5</v>
      </c>
      <c r="S107" s="255" t="s">
        <v>22</v>
      </c>
      <c r="T107" s="299">
        <f>IF(T83&lt;20,"-",VLOOKUP(ref!$X$1&amp;ref!$W$2&amp;19&amp;ref!$Y5,MPAOdep5yr,7,FALSE))</f>
        <v>8.4839207707021398</v>
      </c>
      <c r="U107" s="299">
        <f>IF(U83&lt;20, "-",VLOOKUP(ref!$X$2&amp;ref!$W$2&amp;19&amp;ref!$Y5,MPAOdep5yr,7,FALSE))</f>
        <v>12.2695312258111</v>
      </c>
      <c r="V107" s="299">
        <f>IF(V83&lt;20,"-",VLOOKUP(ref!$X$3&amp;ref!$W$2&amp;19&amp;ref!$Y5,MPAOdep5yr,7,FALSE))</f>
        <v>5.0975472668551198</v>
      </c>
    </row>
    <row r="108" spans="2:55" x14ac:dyDescent="0.2">
      <c r="Q108" s="272"/>
      <c r="R108" s="272"/>
      <c r="S108" s="272"/>
      <c r="T108" s="277"/>
      <c r="U108" s="277"/>
      <c r="V108" s="277"/>
    </row>
    <row r="109" spans="2:55" x14ac:dyDescent="0.2">
      <c r="Q109" s="255" t="s">
        <v>78</v>
      </c>
      <c r="R109" s="255">
        <v>1</v>
      </c>
      <c r="S109" s="255" t="s">
        <v>22</v>
      </c>
      <c r="T109" s="396" t="str">
        <f>IF(T85&lt;20,"-",VLOOKUP(ref!$X$1&amp;ref!$W$3&amp;19&amp;ref!$Y1,MPAOdep5yr,7,FALSE))</f>
        <v>-</v>
      </c>
      <c r="U109" s="396" t="str">
        <f>IF(U85&lt;20,"-",VLOOKUP(ref!$X$2&amp;ref!$W$3&amp;19&amp;ref!$Y1,MPAOdep5yr,7,FALSE))</f>
        <v>-</v>
      </c>
      <c r="V109" s="396" t="str">
        <f>IF(V85&lt;20,"-",VLOOKUP(ref!$X$3&amp;ref!$W$3&amp;19&amp;ref!$Y1,MPAOdep5yr,7,FALSE))</f>
        <v>-</v>
      </c>
    </row>
    <row r="110" spans="2:55" x14ac:dyDescent="0.2">
      <c r="Q110" s="255"/>
      <c r="R110" s="255">
        <v>2</v>
      </c>
      <c r="S110" s="255" t="s">
        <v>22</v>
      </c>
      <c r="T110" s="396">
        <f>IF(T86&lt;20,"-",VLOOKUP(ref!$X$1&amp;ref!$W$3&amp;19&amp;ref!$Y2,MPAOdep5yr,7,FALSE))</f>
        <v>3.5950175039168499</v>
      </c>
      <c r="U110" s="396" t="str">
        <f>IF(U86&lt;20,"-",VLOOKUP(ref!$X$2&amp;ref!$W$3&amp;19&amp;ref!$Y2,MPAOdep5yr,7,FALSE))</f>
        <v>-</v>
      </c>
      <c r="V110" s="396" t="str">
        <f>IF(V86&lt;20,"-",VLOOKUP(ref!$X$3&amp;ref!$W$3&amp;19&amp;ref!$Y2,MPAOdep5yr,7,FALSE))</f>
        <v>-</v>
      </c>
    </row>
    <row r="111" spans="2:55" x14ac:dyDescent="0.2">
      <c r="Q111" s="255"/>
      <c r="R111" s="255">
        <v>3</v>
      </c>
      <c r="S111" s="255" t="s">
        <v>22</v>
      </c>
      <c r="T111" s="396">
        <f>IF(T87&lt;20,"-",VLOOKUP(ref!$X$1&amp;ref!$W$3&amp;19&amp;ref!$Y3,MPAOdep5yr,7,FALSE))</f>
        <v>3.9439658666930799</v>
      </c>
      <c r="U111" s="396" t="str">
        <f>IF(U87&lt;20,"-",VLOOKUP(ref!$X$2&amp;ref!$W$3&amp;19&amp;ref!$Y3,MPAOdep5yr,7,FALSE))</f>
        <v>-</v>
      </c>
      <c r="V111" s="396" t="str">
        <f>IF(V87&lt;20,"-",VLOOKUP(ref!$X$3&amp;ref!$W$3&amp;19&amp;ref!$Y3,MPAOdep5yr,7,FALSE))</f>
        <v>-</v>
      </c>
    </row>
    <row r="112" spans="2:55" x14ac:dyDescent="0.2">
      <c r="Q112" s="255"/>
      <c r="R112" s="255">
        <v>4</v>
      </c>
      <c r="S112" s="255" t="s">
        <v>22</v>
      </c>
      <c r="T112" s="396">
        <f>IF(T88&lt;20,"-",VLOOKUP(ref!$X$1&amp;ref!$W$3&amp;19&amp;ref!$Y4,MPAOdep5yr,7,FALSE))</f>
        <v>4.4433723369779496</v>
      </c>
      <c r="U112" s="396">
        <f>IF(U88&lt;20,"-",VLOOKUP(ref!$X$2&amp;ref!$W$3&amp;19&amp;ref!$Y4,MPAOdep5yr,7,FALSE))</f>
        <v>7.3561267850007104</v>
      </c>
      <c r="V112" s="396" t="str">
        <f>IF(V88&lt;20,"-",VLOOKUP(ref!$X$3&amp;ref!$W$3&amp;19&amp;ref!$Y4,MPAOdep5yr,7,FALSE))</f>
        <v>-</v>
      </c>
    </row>
    <row r="113" spans="2:23" x14ac:dyDescent="0.2">
      <c r="Q113" s="255"/>
      <c r="R113" s="255">
        <v>5</v>
      </c>
      <c r="S113" s="255" t="s">
        <v>22</v>
      </c>
      <c r="T113" s="396">
        <f>IF(T89&lt;20,"-",VLOOKUP(ref!$X$1&amp;ref!$W$3&amp;19&amp;ref!$Y5,MPAOdep5yr,7,FALSE))</f>
        <v>5.7082941208747799</v>
      </c>
      <c r="U113" s="396" t="str">
        <f>IF(U89&lt;20,"-",VLOOKUP(ref!$X$2&amp;ref!$W$3&amp;19&amp;ref!$Y5,MPAOdep5yr,7,FALSE))</f>
        <v>-</v>
      </c>
      <c r="V113" s="396" t="str">
        <f>IF(V89&lt;20,"-",VLOOKUP(ref!$X$3&amp;ref!$W$3&amp;19&amp;ref!$Y5,MPAOdep5yr,7,FALSE))</f>
        <v>-</v>
      </c>
    </row>
    <row r="114" spans="2:23" ht="15.75" x14ac:dyDescent="0.25">
      <c r="C114" s="263" t="s">
        <v>527</v>
      </c>
      <c r="D114" s="263"/>
      <c r="E114" s="263"/>
      <c r="Q114" s="272"/>
      <c r="R114" s="272"/>
      <c r="S114" s="272"/>
      <c r="T114" s="277"/>
      <c r="U114" s="277"/>
      <c r="V114" s="277"/>
    </row>
    <row r="115" spans="2:23" x14ac:dyDescent="0.2">
      <c r="Q115" s="255" t="s">
        <v>45</v>
      </c>
      <c r="R115" s="255">
        <v>1</v>
      </c>
      <c r="S115" s="255" t="s">
        <v>22</v>
      </c>
      <c r="T115" s="396">
        <f>IF(T91&lt;20,"-",VLOOKUP(ref!$X$1&amp;ref!$W$4&amp;19&amp;ref!$Y1,MPAOdep5yr,7,FALSE))</f>
        <v>7.54136866576094</v>
      </c>
      <c r="U115" s="396">
        <f>IF(U91&lt;20,"-",VLOOKUP(ref!$X$2&amp;ref!$W$4&amp;19&amp;ref!$Y1,MPAOdep5yr,7,FALSE))</f>
        <v>12.213353228232201</v>
      </c>
      <c r="V115" s="396">
        <f>IF(V91&lt;20,"-",VLOOKUP(ref!$X$3&amp;ref!$W$4&amp;19&amp;ref!$Y1,MPAOdep5yr,7,FALSE))</f>
        <v>3.0044165636540399</v>
      </c>
    </row>
    <row r="116" spans="2:23" x14ac:dyDescent="0.2">
      <c r="B116" s="71"/>
      <c r="C116" s="71"/>
      <c r="D116" s="71"/>
      <c r="E116" s="71"/>
      <c r="F116" s="71"/>
      <c r="G116" s="71"/>
      <c r="H116" s="71"/>
      <c r="I116" s="71"/>
      <c r="J116" s="71"/>
      <c r="K116" s="71"/>
      <c r="L116" s="71"/>
      <c r="M116" s="71"/>
      <c r="Q116" s="255"/>
      <c r="R116" s="255">
        <v>2</v>
      </c>
      <c r="S116" s="255" t="s">
        <v>22</v>
      </c>
      <c r="T116" s="396">
        <f>IF(T92&lt;20,"-",VLOOKUP(ref!$X$1&amp;ref!$W$4&amp;19&amp;ref!$Y2,MPAOdep5yr,7,FALSE))</f>
        <v>8.7325820210108507</v>
      </c>
      <c r="U116" s="396">
        <f>IF(U92&lt;20,"-",VLOOKUP(ref!$X$2&amp;ref!$W$4&amp;19&amp;ref!$Y2,MPAOdep5yr,7,FALSE))</f>
        <v>13.425956501226599</v>
      </c>
      <c r="V116" s="396">
        <f>IF(V92&lt;20,"-",VLOOKUP(ref!$X$3&amp;ref!$W$4&amp;19&amp;ref!$Y2,MPAOdep5yr,7,FALSE))</f>
        <v>4.2083590419492198</v>
      </c>
    </row>
    <row r="117" spans="2:23" ht="15" x14ac:dyDescent="0.25">
      <c r="B117" s="71"/>
      <c r="C117" s="95" t="s">
        <v>422</v>
      </c>
      <c r="D117" s="71"/>
      <c r="E117" s="71"/>
      <c r="F117" s="71"/>
      <c r="G117" s="71"/>
      <c r="H117" s="71"/>
      <c r="I117" s="71"/>
      <c r="J117" s="71"/>
      <c r="K117" s="71"/>
      <c r="L117" s="71"/>
      <c r="M117" s="71"/>
      <c r="Q117" s="255"/>
      <c r="R117" s="255">
        <v>3</v>
      </c>
      <c r="S117" s="255" t="s">
        <v>22</v>
      </c>
      <c r="T117" s="396">
        <f>IF(T93&lt;20,"-",VLOOKUP(ref!$X$1&amp;ref!$W$4&amp;19&amp;ref!$Y3,MPAOdep5yr,7,FALSE))</f>
        <v>11.1910436800566</v>
      </c>
      <c r="U117" s="396">
        <f>IF(U93&lt;20,"-",VLOOKUP(ref!$X$2&amp;ref!$W$4&amp;19&amp;ref!$Y3,MPAOdep5yr,7,FALSE))</f>
        <v>17.292212500909599</v>
      </c>
      <c r="V117" s="396">
        <f>IF(V93&lt;20,"-",VLOOKUP(ref!$X$3&amp;ref!$W$4&amp;19&amp;ref!$Y3,MPAOdep5yr,7,FALSE))</f>
        <v>5.29159959023829</v>
      </c>
    </row>
    <row r="118" spans="2:23" x14ac:dyDescent="0.2">
      <c r="B118" s="71"/>
      <c r="C118" s="71"/>
      <c r="D118" s="71"/>
      <c r="E118" s="71"/>
      <c r="F118" s="71"/>
      <c r="G118" s="71"/>
      <c r="H118" s="71"/>
      <c r="I118" s="71"/>
      <c r="J118" s="71"/>
      <c r="K118" s="71"/>
      <c r="L118" s="71"/>
      <c r="M118" s="71"/>
      <c r="Q118" s="255"/>
      <c r="R118" s="255">
        <v>4</v>
      </c>
      <c r="S118" s="255" t="s">
        <v>22</v>
      </c>
      <c r="T118" s="396">
        <f>IF(T94&lt;20,"-",VLOOKUP(ref!$X$1&amp;ref!$W$4&amp;19&amp;ref!$Y4,MPAOdep5yr,7,FALSE))</f>
        <v>13.0556051312088</v>
      </c>
      <c r="U118" s="396">
        <f>IF(U94&lt;20,"-",VLOOKUP(ref!$X$2&amp;ref!$W$4&amp;19&amp;ref!$Y4,MPAOdep5yr,7,FALSE))</f>
        <v>20.2181668169038</v>
      </c>
      <c r="V118" s="396">
        <f>IF(V94&lt;20,"-",VLOOKUP(ref!$X$3&amp;ref!$W$4&amp;19&amp;ref!$Y4,MPAOdep5yr,7,FALSE))</f>
        <v>6.1975537896373698</v>
      </c>
    </row>
    <row r="119" spans="2:23" x14ac:dyDescent="0.2">
      <c r="B119" s="71"/>
      <c r="C119" s="71"/>
      <c r="D119" s="71"/>
      <c r="E119" s="71"/>
      <c r="F119" s="71"/>
      <c r="G119" s="71"/>
      <c r="H119" s="71"/>
      <c r="I119" s="71"/>
      <c r="J119" s="71"/>
      <c r="K119" s="71"/>
      <c r="L119" s="71"/>
      <c r="M119" s="71"/>
      <c r="Q119" s="257"/>
      <c r="R119" s="255">
        <v>5</v>
      </c>
      <c r="S119" s="255" t="s">
        <v>22</v>
      </c>
      <c r="T119" s="396">
        <f>IF(T95&lt;20,"-",VLOOKUP(ref!$X$1&amp;ref!$W$4&amp;19&amp;ref!$Y5,MPAOdep5yr,7,FALSE))</f>
        <v>17.937049989001501</v>
      </c>
      <c r="U119" s="396">
        <f>IF(U95&lt;20,"-",VLOOKUP(ref!$X$2&amp;ref!$W$4&amp;19&amp;ref!$Y5,MPAOdep5yr,7,FALSE))</f>
        <v>26.503788792396399</v>
      </c>
      <c r="V119" s="396">
        <f>IF(V95&lt;20,"-",VLOOKUP(ref!$X$3&amp;ref!$W$4&amp;19&amp;ref!$Y5,MPAOdep5yr,7,FALSE))</f>
        <v>9.4877808606256604</v>
      </c>
    </row>
    <row r="120" spans="2:23" ht="12" customHeight="1" x14ac:dyDescent="0.2">
      <c r="B120" s="71"/>
      <c r="C120" s="71"/>
      <c r="D120" s="71"/>
      <c r="E120" s="71"/>
      <c r="F120" s="71"/>
      <c r="G120" s="71"/>
      <c r="H120" s="71"/>
      <c r="I120" s="71"/>
      <c r="J120" s="71"/>
      <c r="K120" s="71"/>
      <c r="L120" s="71"/>
      <c r="M120" s="71"/>
      <c r="Q120" s="257"/>
      <c r="R120" s="255"/>
      <c r="S120" s="255"/>
      <c r="T120" s="396"/>
      <c r="U120" s="396"/>
      <c r="V120" s="396"/>
    </row>
    <row r="121" spans="2:23" ht="13.5" customHeight="1" x14ac:dyDescent="0.2">
      <c r="B121" s="71"/>
      <c r="C121" s="71"/>
      <c r="D121" s="71"/>
      <c r="E121" s="71"/>
      <c r="F121" s="71"/>
      <c r="G121" s="71"/>
      <c r="H121" s="71"/>
      <c r="I121" s="71"/>
      <c r="J121" s="71"/>
      <c r="K121" s="71"/>
      <c r="L121" s="71"/>
      <c r="M121" s="71"/>
      <c r="Q121" s="271" t="s">
        <v>101</v>
      </c>
      <c r="R121" s="255"/>
      <c r="S121" s="255"/>
    </row>
    <row r="122" spans="2:23" x14ac:dyDescent="0.2">
      <c r="B122" s="71"/>
      <c r="C122" s="71"/>
      <c r="D122" s="71"/>
      <c r="E122" s="71"/>
      <c r="F122" s="71"/>
      <c r="G122" s="71"/>
      <c r="H122" s="71"/>
      <c r="I122" s="71"/>
      <c r="J122" s="71"/>
      <c r="K122" s="71"/>
      <c r="L122" s="71"/>
      <c r="M122" s="71"/>
      <c r="Q122" s="194" t="s">
        <v>368</v>
      </c>
      <c r="R122" s="189"/>
      <c r="S122" s="189"/>
      <c r="T122" s="187"/>
      <c r="U122" s="187"/>
      <c r="V122" s="187"/>
      <c r="W122" s="193"/>
    </row>
    <row r="123" spans="2:23" ht="21.75" customHeight="1" x14ac:dyDescent="0.2">
      <c r="B123" s="71"/>
      <c r="C123" s="71"/>
      <c r="D123" s="71"/>
      <c r="E123" s="71"/>
      <c r="F123" s="71"/>
      <c r="G123" s="71"/>
      <c r="H123" s="71"/>
      <c r="I123" s="71"/>
      <c r="J123" s="71"/>
      <c r="K123" s="71"/>
      <c r="L123" s="71"/>
      <c r="M123" s="71"/>
      <c r="Q123" s="574" t="s">
        <v>467</v>
      </c>
      <c r="R123" s="523"/>
      <c r="S123" s="523"/>
      <c r="T123" s="523"/>
      <c r="U123" s="523"/>
      <c r="V123" s="523"/>
      <c r="W123" s="193"/>
    </row>
    <row r="124" spans="2:23" ht="23.25" customHeight="1" x14ac:dyDescent="0.2">
      <c r="B124" s="71"/>
      <c r="C124" s="71"/>
      <c r="D124" s="71"/>
      <c r="E124" s="71"/>
      <c r="F124" s="71"/>
      <c r="G124" s="71"/>
      <c r="H124" s="71"/>
      <c r="I124" s="71"/>
      <c r="J124" s="71"/>
      <c r="K124" s="71"/>
      <c r="L124" s="71"/>
      <c r="M124" s="71"/>
      <c r="Q124" s="574" t="s">
        <v>627</v>
      </c>
      <c r="R124" s="523"/>
      <c r="S124" s="523"/>
      <c r="T124" s="523"/>
      <c r="U124" s="523"/>
      <c r="V124" s="523"/>
    </row>
    <row r="125" spans="2:23" ht="23.25" customHeight="1" x14ac:dyDescent="0.2">
      <c r="B125" s="71"/>
      <c r="C125" s="71"/>
      <c r="D125" s="71"/>
      <c r="E125" s="71"/>
      <c r="F125" s="71"/>
      <c r="G125" s="71"/>
      <c r="H125" s="71"/>
      <c r="I125" s="71"/>
      <c r="J125" s="71"/>
      <c r="K125" s="71"/>
      <c r="L125" s="71"/>
      <c r="M125" s="71"/>
      <c r="Q125" s="573" t="s">
        <v>582</v>
      </c>
      <c r="R125" s="525"/>
      <c r="S125" s="525"/>
      <c r="T125" s="525"/>
      <c r="U125" s="525"/>
      <c r="V125" s="525"/>
    </row>
    <row r="126" spans="2:23" ht="15.75" customHeight="1" x14ac:dyDescent="0.2">
      <c r="B126" s="71"/>
      <c r="C126" s="71"/>
      <c r="D126" s="71"/>
      <c r="E126" s="71"/>
      <c r="F126" s="71"/>
      <c r="G126" s="71"/>
      <c r="H126" s="71"/>
      <c r="I126" s="71"/>
      <c r="J126" s="71"/>
      <c r="K126" s="71"/>
      <c r="L126" s="71"/>
      <c r="M126" s="71"/>
      <c r="Q126" s="271" t="s">
        <v>102</v>
      </c>
      <c r="R126" s="281"/>
      <c r="S126" s="281"/>
      <c r="T126" s="187"/>
      <c r="U126" s="187"/>
      <c r="V126" s="187"/>
    </row>
    <row r="127" spans="2:23" ht="36.75" customHeight="1" x14ac:dyDescent="0.2">
      <c r="B127" s="71"/>
      <c r="C127" s="71"/>
      <c r="D127" s="71"/>
      <c r="E127" s="71"/>
      <c r="F127" s="71"/>
      <c r="G127" s="71"/>
      <c r="H127" s="71"/>
      <c r="I127" s="71"/>
      <c r="J127" s="71"/>
      <c r="K127" s="71"/>
      <c r="L127" s="71"/>
      <c r="M127" s="71"/>
      <c r="Q127" s="183"/>
      <c r="R127" s="183"/>
      <c r="S127" s="183"/>
      <c r="T127" s="183"/>
      <c r="U127" s="183"/>
      <c r="V127" s="183"/>
    </row>
    <row r="128" spans="2:23" ht="12.75" customHeight="1" x14ac:dyDescent="0.2">
      <c r="B128" s="71"/>
      <c r="C128" s="71"/>
      <c r="D128" s="71"/>
      <c r="E128" s="71"/>
      <c r="F128" s="71"/>
      <c r="G128" s="71"/>
      <c r="H128" s="71"/>
      <c r="I128" s="71"/>
      <c r="J128" s="71"/>
      <c r="K128" s="71"/>
      <c r="L128" s="71"/>
      <c r="M128" s="71"/>
      <c r="T128" s="180"/>
      <c r="U128" s="180"/>
      <c r="V128" s="180"/>
    </row>
    <row r="129" spans="2:22" x14ac:dyDescent="0.2">
      <c r="B129" s="71"/>
      <c r="C129" s="71"/>
      <c r="D129" s="71"/>
      <c r="E129" s="71"/>
      <c r="F129" s="71"/>
      <c r="G129" s="71"/>
      <c r="H129" s="71"/>
      <c r="I129" s="71"/>
      <c r="J129" s="71"/>
      <c r="K129" s="71"/>
      <c r="L129" s="71"/>
      <c r="M129" s="71"/>
      <c r="T129" s="180"/>
      <c r="U129" s="180"/>
      <c r="V129" s="180"/>
    </row>
    <row r="130" spans="2:22" x14ac:dyDescent="0.2">
      <c r="B130" s="71"/>
      <c r="C130" s="71"/>
      <c r="D130" s="71"/>
      <c r="E130" s="71"/>
      <c r="F130" s="71"/>
      <c r="G130" s="71"/>
      <c r="H130" s="71"/>
      <c r="I130" s="71"/>
      <c r="J130" s="71"/>
      <c r="K130" s="71"/>
      <c r="L130" s="71"/>
      <c r="M130" s="71"/>
    </row>
    <row r="131" spans="2:22" x14ac:dyDescent="0.2">
      <c r="B131" s="71"/>
      <c r="C131" s="71"/>
      <c r="D131" s="71"/>
      <c r="E131" s="71"/>
      <c r="F131" s="71"/>
      <c r="G131" s="71"/>
      <c r="H131" s="71"/>
      <c r="I131" s="71"/>
      <c r="J131" s="71"/>
      <c r="K131" s="71"/>
      <c r="L131" s="71"/>
      <c r="M131" s="71"/>
      <c r="T131" s="180"/>
      <c r="U131" s="180"/>
      <c r="V131" s="180"/>
    </row>
    <row r="132" spans="2:22" x14ac:dyDescent="0.2">
      <c r="B132" s="71"/>
      <c r="C132" s="71"/>
      <c r="D132" s="71"/>
      <c r="E132" s="71"/>
      <c r="F132" s="71"/>
      <c r="G132" s="71"/>
      <c r="H132" s="71"/>
      <c r="I132" s="71"/>
      <c r="J132" s="71"/>
      <c r="K132" s="71"/>
      <c r="L132" s="71"/>
      <c r="M132" s="71"/>
      <c r="T132" s="180"/>
      <c r="U132" s="180"/>
      <c r="V132" s="180"/>
    </row>
    <row r="133" spans="2:22" ht="15" x14ac:dyDescent="0.25">
      <c r="B133" s="71"/>
      <c r="C133" s="71"/>
      <c r="D133" s="71"/>
      <c r="E133" s="71"/>
      <c r="F133" s="71"/>
      <c r="G133" s="71"/>
      <c r="H133" s="71"/>
      <c r="I133" s="71"/>
      <c r="J133" s="71"/>
      <c r="K133" s="71"/>
      <c r="L133" s="71"/>
      <c r="M133" s="71"/>
      <c r="Q133" s="268" t="s">
        <v>423</v>
      </c>
      <c r="R133" s="255"/>
      <c r="S133" s="255"/>
    </row>
    <row r="134" spans="2:22" x14ac:dyDescent="0.2">
      <c r="B134" s="71"/>
      <c r="C134" s="71"/>
      <c r="D134" s="71"/>
      <c r="E134" s="71"/>
      <c r="F134" s="71"/>
      <c r="G134" s="71"/>
      <c r="H134" s="71"/>
      <c r="I134" s="71"/>
      <c r="J134" s="71"/>
      <c r="K134" s="71"/>
      <c r="L134" s="71"/>
      <c r="M134" s="71"/>
    </row>
    <row r="135" spans="2:22" ht="18.75" customHeight="1" x14ac:dyDescent="0.2">
      <c r="B135" s="71"/>
      <c r="C135" s="71"/>
      <c r="D135" s="71"/>
      <c r="E135" s="71"/>
      <c r="F135" s="71"/>
      <c r="G135" s="71"/>
      <c r="H135" s="71"/>
      <c r="I135" s="71"/>
      <c r="J135" s="71"/>
      <c r="K135" s="71"/>
      <c r="L135" s="71"/>
      <c r="M135" s="71"/>
      <c r="O135" s="344" t="s">
        <v>192</v>
      </c>
      <c r="P135" s="344"/>
      <c r="Q135" s="391" t="s">
        <v>365</v>
      </c>
      <c r="R135" s="391" t="s">
        <v>37</v>
      </c>
      <c r="S135" s="391"/>
      <c r="T135" s="256"/>
      <c r="U135" s="256" t="s">
        <v>50</v>
      </c>
      <c r="V135" s="256" t="s">
        <v>366</v>
      </c>
    </row>
    <row r="136" spans="2:22" x14ac:dyDescent="0.2">
      <c r="B136" s="71"/>
      <c r="C136" s="71"/>
      <c r="D136" s="71"/>
      <c r="E136" s="71"/>
      <c r="F136" s="71"/>
      <c r="G136" s="71"/>
      <c r="H136" s="71"/>
      <c r="I136" s="71"/>
      <c r="J136" s="71"/>
      <c r="K136" s="71"/>
      <c r="L136" s="71"/>
      <c r="M136" s="71"/>
      <c r="Q136" s="286"/>
      <c r="R136" s="286"/>
      <c r="S136" s="286"/>
      <c r="T136" s="260"/>
      <c r="U136" s="260"/>
      <c r="V136" s="260"/>
    </row>
    <row r="137" spans="2:22" x14ac:dyDescent="0.2">
      <c r="B137" s="71"/>
      <c r="C137" s="71"/>
      <c r="D137" s="71"/>
      <c r="E137" s="71"/>
      <c r="F137" s="71"/>
      <c r="G137" s="71"/>
      <c r="H137" s="71"/>
      <c r="I137" s="71"/>
      <c r="J137" s="71"/>
      <c r="K137" s="71"/>
      <c r="L137" s="71"/>
      <c r="M137" s="71"/>
      <c r="Q137" s="286" t="s">
        <v>3</v>
      </c>
      <c r="R137" s="286" t="s">
        <v>9</v>
      </c>
      <c r="S137" s="257" t="s">
        <v>366</v>
      </c>
      <c r="T137" s="260"/>
      <c r="U137" s="260" t="s">
        <v>43</v>
      </c>
      <c r="V137" s="395">
        <f>IFERROR(VLOOKUP(ref!$X$1&amp;ref!$W$1&amp;19&amp;$U137,mpaopercmethods,8,FALSE),"0.0")</f>
        <v>85.9</v>
      </c>
    </row>
    <row r="138" spans="2:22" x14ac:dyDescent="0.2">
      <c r="B138" s="71"/>
      <c r="C138" s="71"/>
      <c r="D138" s="71"/>
      <c r="E138" s="71"/>
      <c r="F138" s="71"/>
      <c r="G138" s="71"/>
      <c r="H138" s="71"/>
      <c r="I138" s="71"/>
      <c r="J138" s="71"/>
      <c r="K138" s="71"/>
      <c r="L138" s="71"/>
      <c r="M138" s="71"/>
      <c r="Q138" s="286"/>
      <c r="R138" s="286"/>
      <c r="S138" s="257" t="s">
        <v>366</v>
      </c>
      <c r="T138" s="260"/>
      <c r="U138" s="260" t="s">
        <v>46</v>
      </c>
      <c r="V138" s="395">
        <f>IFERROR(VLOOKUP(ref!$X$1&amp;ref!$W$1&amp;19&amp;$U138,mpaopercmethods,8,FALSE),"0.0")</f>
        <v>3.3</v>
      </c>
    </row>
    <row r="139" spans="2:22" x14ac:dyDescent="0.2">
      <c r="B139" s="71"/>
      <c r="C139" s="71"/>
      <c r="D139" s="71"/>
      <c r="E139" s="71"/>
      <c r="F139" s="71"/>
      <c r="G139" s="71"/>
      <c r="H139" s="71"/>
      <c r="I139" s="71"/>
      <c r="J139" s="71"/>
      <c r="K139" s="71"/>
      <c r="L139" s="71"/>
      <c r="M139" s="71"/>
      <c r="Q139" s="286"/>
      <c r="R139" s="286"/>
      <c r="S139" s="257" t="s">
        <v>366</v>
      </c>
      <c r="T139" s="260"/>
      <c r="U139" s="260" t="s">
        <v>47</v>
      </c>
      <c r="V139" s="395">
        <f>IFERROR(VLOOKUP(ref!$X$1&amp;ref!$W$1&amp;19&amp;$U139,mpaopercmethods,8,FALSE),"0.0")</f>
        <v>3.5</v>
      </c>
    </row>
    <row r="140" spans="2:22" x14ac:dyDescent="0.2">
      <c r="B140" s="71"/>
      <c r="C140" s="71"/>
      <c r="D140" s="71"/>
      <c r="E140" s="71"/>
      <c r="F140" s="71"/>
      <c r="G140" s="71"/>
      <c r="H140" s="71"/>
      <c r="I140" s="71"/>
      <c r="J140" s="71"/>
      <c r="K140" s="71"/>
      <c r="L140" s="71"/>
      <c r="M140" s="71"/>
      <c r="Q140" s="286"/>
      <c r="R140" s="286"/>
      <c r="S140" s="257" t="s">
        <v>366</v>
      </c>
      <c r="T140" s="260"/>
      <c r="U140" s="260" t="s">
        <v>42</v>
      </c>
      <c r="V140" s="395">
        <f>IFERROR(VLOOKUP(ref!$X$1&amp;ref!$W$1&amp;19&amp;$U140,mpaopercmethods,8,FALSE),"0.0")</f>
        <v>2</v>
      </c>
    </row>
    <row r="141" spans="2:22" x14ac:dyDescent="0.2">
      <c r="B141" s="71"/>
      <c r="C141" s="71"/>
      <c r="D141" s="71"/>
      <c r="E141" s="71"/>
      <c r="F141" s="71"/>
      <c r="G141" s="71"/>
      <c r="H141" s="71"/>
      <c r="I141" s="71"/>
      <c r="J141" s="71"/>
      <c r="K141" s="71"/>
      <c r="L141" s="71"/>
      <c r="M141" s="71"/>
      <c r="Q141" s="286"/>
      <c r="R141" s="286"/>
      <c r="S141" s="257" t="s">
        <v>366</v>
      </c>
      <c r="T141" s="260"/>
      <c r="U141" s="260" t="s">
        <v>44</v>
      </c>
      <c r="V141" s="395">
        <f>IFERROR(VLOOKUP(ref!$X$1&amp;ref!$W$1&amp;19&amp;$U141,mpaopercmethods,8,FALSE),"0.0")</f>
        <v>1.1000000000000001</v>
      </c>
    </row>
    <row r="142" spans="2:22" x14ac:dyDescent="0.2">
      <c r="B142" s="71"/>
      <c r="C142" s="71"/>
      <c r="D142" s="71"/>
      <c r="E142" s="71"/>
      <c r="F142" s="71"/>
      <c r="G142" s="71"/>
      <c r="H142" s="71"/>
      <c r="I142" s="71"/>
      <c r="J142" s="71"/>
      <c r="K142" s="71"/>
      <c r="L142" s="71"/>
      <c r="M142" s="71"/>
      <c r="Q142" s="286"/>
      <c r="R142" s="286"/>
      <c r="S142" s="257" t="s">
        <v>366</v>
      </c>
      <c r="T142" s="260"/>
      <c r="U142" s="260" t="s">
        <v>49</v>
      </c>
      <c r="V142" s="395">
        <f>IFERROR(VLOOKUP(ref!$X$1&amp;ref!$W$1&amp;19&amp;$U142,mpaopercmethods,8,FALSE),"0.0")</f>
        <v>0.5</v>
      </c>
    </row>
    <row r="143" spans="2:22" x14ac:dyDescent="0.2">
      <c r="B143" s="71"/>
      <c r="C143" s="71"/>
      <c r="D143" s="71"/>
      <c r="E143" s="71"/>
      <c r="F143" s="71"/>
      <c r="G143" s="71"/>
      <c r="H143" s="71"/>
      <c r="I143" s="71"/>
      <c r="J143" s="71"/>
      <c r="K143" s="71"/>
      <c r="L143" s="71"/>
      <c r="M143" s="71"/>
      <c r="Q143" s="286"/>
      <c r="R143" s="286"/>
      <c r="S143" s="257" t="s">
        <v>366</v>
      </c>
      <c r="T143" s="260"/>
      <c r="U143" s="260" t="s">
        <v>48</v>
      </c>
      <c r="V143" s="395">
        <f>IFERROR(VLOOKUP(ref!$X$1&amp;ref!$W$1&amp;19&amp;$U143,mpaopercmethods,8,FALSE),"0.0")</f>
        <v>0.7</v>
      </c>
    </row>
    <row r="144" spans="2:22" x14ac:dyDescent="0.2">
      <c r="B144" s="71"/>
      <c r="C144" s="71"/>
      <c r="D144" s="71"/>
      <c r="E144" s="71"/>
      <c r="F144" s="71"/>
      <c r="G144" s="71"/>
      <c r="H144" s="71"/>
      <c r="I144" s="71"/>
      <c r="J144" s="71"/>
      <c r="K144" s="71"/>
      <c r="L144" s="71"/>
      <c r="M144" s="71"/>
      <c r="Q144" s="286"/>
      <c r="R144" s="286"/>
      <c r="S144" s="257" t="s">
        <v>366</v>
      </c>
      <c r="T144" s="260"/>
      <c r="U144" s="260" t="s">
        <v>45</v>
      </c>
      <c r="V144" s="395">
        <f>IFERROR(VLOOKUP(ref!$X$1&amp;ref!$W$1&amp;19&amp;$U144,mpaopercmethods,8,FALSE),"0.0")</f>
        <v>2.9</v>
      </c>
    </row>
    <row r="145" spans="2:22" x14ac:dyDescent="0.2">
      <c r="B145" s="71"/>
      <c r="C145" s="71"/>
      <c r="D145" s="71"/>
      <c r="E145" s="71"/>
      <c r="F145" s="71"/>
      <c r="G145" s="71"/>
      <c r="H145" s="71"/>
      <c r="I145" s="71"/>
      <c r="J145" s="71"/>
      <c r="K145" s="71"/>
      <c r="L145" s="71"/>
      <c r="M145" s="71"/>
      <c r="Q145" s="316"/>
      <c r="R145" s="316"/>
      <c r="S145" s="272"/>
      <c r="T145" s="277"/>
      <c r="U145" s="277"/>
      <c r="V145" s="316"/>
    </row>
    <row r="146" spans="2:22" x14ac:dyDescent="0.2">
      <c r="B146" s="71"/>
      <c r="C146" s="71"/>
      <c r="D146" s="71"/>
      <c r="E146" s="71"/>
      <c r="F146" s="71"/>
      <c r="G146" s="71"/>
      <c r="H146" s="71"/>
      <c r="I146" s="71"/>
      <c r="J146" s="71"/>
      <c r="K146" s="71"/>
      <c r="L146" s="71"/>
      <c r="M146" s="71"/>
      <c r="Q146" s="286" t="s">
        <v>79</v>
      </c>
      <c r="R146" s="286" t="s">
        <v>9</v>
      </c>
      <c r="S146" s="257" t="s">
        <v>366</v>
      </c>
      <c r="T146" s="260"/>
      <c r="U146" s="260" t="s">
        <v>43</v>
      </c>
      <c r="V146" s="396">
        <f>IFERROR(VLOOKUP(ref!$X$1&amp;ref!$W$2&amp;19&amp;$U146,mpaopercmethods,8,FALSE),"0.0")</f>
        <v>85.5</v>
      </c>
    </row>
    <row r="147" spans="2:22" x14ac:dyDescent="0.2">
      <c r="B147" s="71"/>
      <c r="C147" s="71"/>
      <c r="D147" s="71"/>
      <c r="E147" s="71"/>
      <c r="F147" s="71"/>
      <c r="G147" s="71"/>
      <c r="H147" s="71"/>
      <c r="I147" s="71"/>
      <c r="J147" s="71"/>
      <c r="K147" s="71"/>
      <c r="L147" s="71"/>
      <c r="M147" s="71"/>
      <c r="Q147" s="286"/>
      <c r="R147" s="286"/>
      <c r="S147" s="257" t="s">
        <v>366</v>
      </c>
      <c r="T147" s="260"/>
      <c r="U147" s="260" t="s">
        <v>46</v>
      </c>
      <c r="V147" s="396">
        <f>IFERROR(VLOOKUP(ref!$X$1&amp;ref!$W$2&amp;19&amp;$U147,mpaopercmethods,8,FALSE),"0.0")</f>
        <v>0.8</v>
      </c>
    </row>
    <row r="148" spans="2:22" x14ac:dyDescent="0.2">
      <c r="B148" s="71"/>
      <c r="C148" s="71"/>
      <c r="D148" s="71"/>
      <c r="E148" s="71"/>
      <c r="F148" s="71"/>
      <c r="G148" s="71"/>
      <c r="H148" s="71"/>
      <c r="I148" s="71"/>
      <c r="J148" s="71"/>
      <c r="K148" s="71"/>
      <c r="L148" s="71"/>
      <c r="M148" s="71"/>
      <c r="Q148" s="286"/>
      <c r="R148" s="286"/>
      <c r="S148" s="257" t="s">
        <v>366</v>
      </c>
      <c r="T148" s="260"/>
      <c r="U148" s="260" t="s">
        <v>47</v>
      </c>
      <c r="V148" s="396">
        <f>IFERROR(VLOOKUP(ref!$X$1&amp;ref!$W$2&amp;19&amp;$U148,mpaopercmethods,8,FALSE),"0.0")</f>
        <v>5.6</v>
      </c>
    </row>
    <row r="149" spans="2:22" x14ac:dyDescent="0.2">
      <c r="B149" s="71"/>
      <c r="C149" s="71"/>
      <c r="D149" s="71"/>
      <c r="E149" s="71"/>
      <c r="F149" s="71"/>
      <c r="G149" s="71"/>
      <c r="H149" s="71"/>
      <c r="I149" s="71"/>
      <c r="J149" s="71"/>
      <c r="K149" s="71"/>
      <c r="L149" s="71"/>
      <c r="M149" s="71"/>
      <c r="Q149" s="286"/>
      <c r="R149" s="286"/>
      <c r="S149" s="257" t="s">
        <v>366</v>
      </c>
      <c r="T149" s="260"/>
      <c r="U149" s="260" t="s">
        <v>42</v>
      </c>
      <c r="V149" s="396" t="str">
        <f>IFERROR(VLOOKUP(ref!$X$1&amp;ref!$W$2&amp;19&amp;$U149,mpaopercmethods,8,FALSE),"0.0")</f>
        <v>0.0</v>
      </c>
    </row>
    <row r="150" spans="2:22" x14ac:dyDescent="0.2">
      <c r="B150" s="71"/>
      <c r="C150" s="71"/>
      <c r="D150" s="71"/>
      <c r="E150" s="71"/>
      <c r="F150" s="71"/>
      <c r="G150" s="71"/>
      <c r="H150" s="71"/>
      <c r="I150" s="71"/>
      <c r="J150" s="71"/>
      <c r="K150" s="71"/>
      <c r="L150" s="71"/>
      <c r="M150" s="71"/>
      <c r="Q150" s="286"/>
      <c r="R150" s="286"/>
      <c r="S150" s="257" t="s">
        <v>366</v>
      </c>
      <c r="T150" s="260"/>
      <c r="U150" s="260" t="s">
        <v>44</v>
      </c>
      <c r="V150" s="396">
        <f>IFERROR(VLOOKUP(ref!$X$1&amp;ref!$W$2&amp;19&amp;$U150,mpaopercmethods,8,FALSE),"0.0")</f>
        <v>4</v>
      </c>
    </row>
    <row r="151" spans="2:22" x14ac:dyDescent="0.2">
      <c r="B151" s="71"/>
      <c r="C151" s="71"/>
      <c r="D151" s="71"/>
      <c r="E151" s="71"/>
      <c r="F151" s="71"/>
      <c r="G151" s="71"/>
      <c r="H151" s="71"/>
      <c r="I151" s="71"/>
      <c r="J151" s="71"/>
      <c r="K151" s="71"/>
      <c r="L151" s="71"/>
      <c r="M151" s="71"/>
      <c r="Q151" s="286"/>
      <c r="R151" s="286"/>
      <c r="S151" s="257" t="s">
        <v>366</v>
      </c>
      <c r="T151" s="260"/>
      <c r="U151" s="260" t="s">
        <v>49</v>
      </c>
      <c r="V151" s="396">
        <f>IFERROR(VLOOKUP(ref!$X$1&amp;ref!$W$2&amp;19&amp;$U151,mpaopercmethods,8,FALSE),"0.0")</f>
        <v>0.8</v>
      </c>
    </row>
    <row r="152" spans="2:22" x14ac:dyDescent="0.2">
      <c r="B152" s="71"/>
      <c r="C152" s="71"/>
      <c r="D152" s="71"/>
      <c r="E152" s="71"/>
      <c r="F152" s="71"/>
      <c r="G152" s="71"/>
      <c r="H152" s="71"/>
      <c r="I152" s="71"/>
      <c r="J152" s="71"/>
      <c r="K152" s="71"/>
      <c r="L152" s="71"/>
      <c r="M152" s="71"/>
      <c r="Q152" s="286"/>
      <c r="R152" s="286"/>
      <c r="S152" s="257" t="s">
        <v>366</v>
      </c>
      <c r="T152" s="260"/>
      <c r="U152" s="260" t="s">
        <v>48</v>
      </c>
      <c r="V152" s="396">
        <f>IFERROR(VLOOKUP(ref!$X$1&amp;ref!$W$2&amp;19&amp;$U152,mpaopercmethods,8,FALSE),"0.0")</f>
        <v>0.8</v>
      </c>
    </row>
    <row r="153" spans="2:22" x14ac:dyDescent="0.2">
      <c r="B153" s="71"/>
      <c r="C153" s="71"/>
      <c r="D153" s="71"/>
      <c r="E153" s="71"/>
      <c r="F153" s="71"/>
      <c r="G153" s="71"/>
      <c r="H153" s="71"/>
      <c r="I153" s="71"/>
      <c r="J153" s="71"/>
      <c r="K153" s="71"/>
      <c r="L153" s="71"/>
      <c r="M153" s="71"/>
      <c r="Q153" s="286"/>
      <c r="R153" s="286"/>
      <c r="S153" s="257" t="s">
        <v>366</v>
      </c>
      <c r="T153" s="286"/>
      <c r="U153" s="260" t="s">
        <v>45</v>
      </c>
      <c r="V153" s="396">
        <f>IFERROR(VLOOKUP(ref!$X$1&amp;ref!$W$2&amp;19&amp;$U153,mpaopercmethods,8,FALSE),"0.0")</f>
        <v>2.4</v>
      </c>
    </row>
    <row r="154" spans="2:22" x14ac:dyDescent="0.2">
      <c r="B154" s="71"/>
      <c r="C154" s="71"/>
      <c r="D154" s="71"/>
      <c r="E154" s="71"/>
      <c r="F154" s="71"/>
      <c r="G154" s="71"/>
      <c r="H154" s="71"/>
      <c r="I154" s="71"/>
      <c r="J154" s="71"/>
      <c r="K154" s="71"/>
      <c r="L154" s="71"/>
      <c r="M154" s="71"/>
      <c r="Q154" s="316"/>
      <c r="R154" s="316"/>
      <c r="S154" s="316"/>
      <c r="T154" s="277"/>
      <c r="U154" s="277"/>
      <c r="V154" s="316"/>
    </row>
    <row r="155" spans="2:22" x14ac:dyDescent="0.2">
      <c r="B155" s="71"/>
      <c r="C155" s="71"/>
      <c r="D155" s="71"/>
      <c r="E155" s="71"/>
      <c r="F155" s="71"/>
      <c r="G155" s="71"/>
      <c r="H155" s="71"/>
      <c r="I155" s="71"/>
      <c r="J155" s="71"/>
      <c r="K155" s="71"/>
      <c r="L155" s="71"/>
      <c r="M155" s="71"/>
      <c r="Q155" s="286" t="s">
        <v>78</v>
      </c>
      <c r="R155" s="286" t="s">
        <v>9</v>
      </c>
      <c r="S155" s="257" t="s">
        <v>366</v>
      </c>
      <c r="T155" s="260"/>
      <c r="U155" s="260" t="s">
        <v>43</v>
      </c>
      <c r="V155" s="395">
        <f>IFERROR(VLOOKUP(ref!$X$1&amp;ref!$W$3&amp;19&amp;$U155,mpaopercmethods,8,FALSE),"0.0")</f>
        <v>65.900000000000006</v>
      </c>
    </row>
    <row r="156" spans="2:22" x14ac:dyDescent="0.2">
      <c r="B156" s="71"/>
      <c r="C156" s="71"/>
      <c r="D156" s="71"/>
      <c r="E156" s="71"/>
      <c r="F156" s="71"/>
      <c r="G156" s="71"/>
      <c r="H156" s="71"/>
      <c r="I156" s="71"/>
      <c r="J156" s="71"/>
      <c r="K156" s="71"/>
      <c r="L156" s="71"/>
      <c r="M156" s="71"/>
      <c r="Q156" s="286"/>
      <c r="R156" s="286"/>
      <c r="S156" s="257" t="s">
        <v>366</v>
      </c>
      <c r="T156" s="260"/>
      <c r="U156" s="260" t="s">
        <v>46</v>
      </c>
      <c r="V156" s="395">
        <f>IFERROR(VLOOKUP(ref!$X$1&amp;ref!$W$3&amp;19&amp;$U156,mpaopercmethods,8,FALSE),"0.0")</f>
        <v>4.8</v>
      </c>
    </row>
    <row r="157" spans="2:22" x14ac:dyDescent="0.2">
      <c r="B157" s="71"/>
      <c r="C157" s="71"/>
      <c r="D157" s="71"/>
      <c r="E157" s="71"/>
      <c r="F157" s="71"/>
      <c r="G157" s="71"/>
      <c r="H157" s="71"/>
      <c r="I157" s="71"/>
      <c r="J157" s="71"/>
      <c r="K157" s="71"/>
      <c r="L157" s="71"/>
      <c r="M157" s="71"/>
      <c r="Q157" s="286"/>
      <c r="R157" s="286"/>
      <c r="S157" s="257" t="s">
        <v>366</v>
      </c>
      <c r="T157" s="260"/>
      <c r="U157" s="260" t="s">
        <v>47</v>
      </c>
      <c r="V157" s="395">
        <f>IFERROR(VLOOKUP(ref!$X$1&amp;ref!$W$3&amp;19&amp;$U157,mpaopercmethods,8,FALSE),"0.0")</f>
        <v>7.9</v>
      </c>
    </row>
    <row r="158" spans="2:22" x14ac:dyDescent="0.2">
      <c r="B158" s="71"/>
      <c r="C158" s="71"/>
      <c r="D158" s="71"/>
      <c r="E158" s="71"/>
      <c r="F158" s="71"/>
      <c r="G158" s="71"/>
      <c r="H158" s="71"/>
      <c r="I158" s="71"/>
      <c r="J158" s="71"/>
      <c r="K158" s="71"/>
      <c r="L158" s="71"/>
      <c r="M158" s="71"/>
      <c r="Q158" s="286"/>
      <c r="R158" s="286"/>
      <c r="S158" s="257" t="s">
        <v>366</v>
      </c>
      <c r="T158" s="260"/>
      <c r="U158" s="260" t="s">
        <v>42</v>
      </c>
      <c r="V158" s="395">
        <f>IFERROR(VLOOKUP(ref!$X$1&amp;ref!$W$3&amp;19&amp;$U158,mpaopercmethods,8,FALSE),"0.0")</f>
        <v>0.8</v>
      </c>
    </row>
    <row r="159" spans="2:22" x14ac:dyDescent="0.2">
      <c r="B159" s="71"/>
      <c r="C159" s="71"/>
      <c r="D159" s="71"/>
      <c r="E159" s="71"/>
      <c r="F159" s="71"/>
      <c r="G159" s="71"/>
      <c r="H159" s="71"/>
      <c r="I159" s="71"/>
      <c r="J159" s="71"/>
      <c r="K159" s="71"/>
      <c r="L159" s="71"/>
      <c r="M159" s="71"/>
      <c r="Q159" s="286"/>
      <c r="R159" s="286"/>
      <c r="S159" s="257" t="s">
        <v>366</v>
      </c>
      <c r="T159" s="260"/>
      <c r="U159" s="260" t="s">
        <v>44</v>
      </c>
      <c r="V159" s="395">
        <f>IFERROR(VLOOKUP(ref!$X$1&amp;ref!$W$3&amp;19&amp;$U159,mpaopercmethods,8,FALSE),"0.0")</f>
        <v>11.9</v>
      </c>
    </row>
    <row r="160" spans="2:22" x14ac:dyDescent="0.2">
      <c r="B160" s="71"/>
      <c r="C160" s="71"/>
      <c r="D160" s="71"/>
      <c r="E160" s="71"/>
      <c r="F160" s="71"/>
      <c r="G160" s="71"/>
      <c r="H160" s="71"/>
      <c r="I160" s="71"/>
      <c r="J160" s="71"/>
      <c r="K160" s="71"/>
      <c r="L160" s="71"/>
      <c r="M160" s="71"/>
      <c r="Q160" s="286"/>
      <c r="R160" s="286"/>
      <c r="S160" s="257" t="s">
        <v>366</v>
      </c>
      <c r="T160" s="260"/>
      <c r="U160" s="260" t="s">
        <v>49</v>
      </c>
      <c r="V160" s="395">
        <f>IFERROR(VLOOKUP(ref!$X$1&amp;ref!$W$3&amp;19&amp;$U160,mpaopercmethods,8,FALSE),"0.0")</f>
        <v>3.2</v>
      </c>
    </row>
    <row r="161" spans="2:23" x14ac:dyDescent="0.2">
      <c r="B161" s="71"/>
      <c r="C161" s="71"/>
      <c r="D161" s="71"/>
      <c r="E161" s="71"/>
      <c r="F161" s="71"/>
      <c r="G161" s="71"/>
      <c r="H161" s="71"/>
      <c r="I161" s="71"/>
      <c r="J161" s="71"/>
      <c r="K161" s="71"/>
      <c r="L161" s="71"/>
      <c r="M161" s="71"/>
      <c r="Q161" s="286"/>
      <c r="R161" s="286"/>
      <c r="S161" s="257" t="s">
        <v>366</v>
      </c>
      <c r="T161" s="260"/>
      <c r="U161" s="260" t="s">
        <v>48</v>
      </c>
      <c r="V161" s="395">
        <f>IFERROR(VLOOKUP(ref!$X$1&amp;ref!$W$3&amp;19&amp;$U161,mpaopercmethods,8,FALSE),"0.0")</f>
        <v>1.6</v>
      </c>
    </row>
    <row r="162" spans="2:23" x14ac:dyDescent="0.2">
      <c r="B162" s="71"/>
      <c r="C162" s="71"/>
      <c r="D162" s="71"/>
      <c r="E162" s="71"/>
      <c r="F162" s="71"/>
      <c r="G162" s="71"/>
      <c r="H162" s="71"/>
      <c r="I162" s="71"/>
      <c r="J162" s="71"/>
      <c r="K162" s="71"/>
      <c r="L162" s="71"/>
      <c r="M162" s="71"/>
      <c r="Q162" s="286"/>
      <c r="R162" s="286"/>
      <c r="S162" s="257" t="s">
        <v>366</v>
      </c>
      <c r="T162" s="260"/>
      <c r="U162" s="260" t="s">
        <v>45</v>
      </c>
      <c r="V162" s="395">
        <f>IFERROR(VLOOKUP(ref!$X$1&amp;ref!$W$3&amp;19&amp;$U162,mpaopercmethods,8,FALSE),"0.0")</f>
        <v>4</v>
      </c>
    </row>
    <row r="163" spans="2:23" x14ac:dyDescent="0.2">
      <c r="B163" s="71"/>
      <c r="C163" s="71"/>
      <c r="D163" s="71"/>
      <c r="E163" s="71"/>
      <c r="F163" s="71"/>
      <c r="G163" s="71"/>
      <c r="H163" s="71"/>
      <c r="I163" s="71"/>
      <c r="J163" s="71"/>
      <c r="K163" s="71"/>
      <c r="L163" s="71"/>
      <c r="M163" s="71"/>
      <c r="Q163" s="316"/>
      <c r="R163" s="316"/>
      <c r="S163" s="316"/>
      <c r="T163" s="277"/>
      <c r="U163" s="277"/>
      <c r="V163" s="316"/>
    </row>
    <row r="164" spans="2:23" x14ac:dyDescent="0.2">
      <c r="B164" s="71"/>
      <c r="C164" s="71"/>
      <c r="D164" s="71"/>
      <c r="E164" s="71"/>
      <c r="F164" s="71"/>
      <c r="G164" s="71"/>
      <c r="H164" s="71"/>
      <c r="I164" s="71"/>
      <c r="J164" s="71"/>
      <c r="K164" s="71"/>
      <c r="L164" s="71"/>
      <c r="M164" s="71"/>
      <c r="Q164" s="286" t="s">
        <v>45</v>
      </c>
      <c r="R164" s="286" t="s">
        <v>9</v>
      </c>
      <c r="S164" s="257" t="s">
        <v>366</v>
      </c>
      <c r="T164" s="260"/>
      <c r="U164" s="260" t="s">
        <v>43</v>
      </c>
      <c r="V164" s="395">
        <f>IFERROR(VLOOKUP(ref!$X$1&amp;ref!$W$4&amp;19&amp;$U164,mpaopercmethods,8,FALSE),"0.0")</f>
        <v>51.1</v>
      </c>
    </row>
    <row r="165" spans="2:23" x14ac:dyDescent="0.2">
      <c r="B165" s="71"/>
      <c r="C165" s="71"/>
      <c r="D165" s="71"/>
      <c r="E165" s="71"/>
      <c r="F165" s="71"/>
      <c r="G165" s="71"/>
      <c r="H165" s="71"/>
      <c r="I165" s="71"/>
      <c r="J165" s="71"/>
      <c r="K165" s="71"/>
      <c r="L165" s="71"/>
      <c r="M165" s="71"/>
      <c r="Q165" s="286"/>
      <c r="R165" s="286"/>
      <c r="S165" s="257" t="s">
        <v>366</v>
      </c>
      <c r="T165" s="260"/>
      <c r="U165" s="260" t="s">
        <v>46</v>
      </c>
      <c r="V165" s="395">
        <f>IFERROR(VLOOKUP(ref!$X$1&amp;ref!$W$4&amp;19&amp;$U165,mpaopercmethods,8,FALSE),"0.0")</f>
        <v>11</v>
      </c>
    </row>
    <row r="166" spans="2:23" x14ac:dyDescent="0.2">
      <c r="B166" s="71"/>
      <c r="C166" s="71"/>
      <c r="D166" s="71"/>
      <c r="E166" s="71"/>
      <c r="F166" s="71"/>
      <c r="G166" s="71"/>
      <c r="H166" s="71"/>
      <c r="I166" s="71"/>
      <c r="J166" s="71"/>
      <c r="K166" s="71"/>
      <c r="L166" s="71"/>
      <c r="M166" s="71"/>
      <c r="Q166" s="286"/>
      <c r="R166" s="286"/>
      <c r="S166" s="257" t="s">
        <v>366</v>
      </c>
      <c r="T166" s="260"/>
      <c r="U166" s="260" t="s">
        <v>47</v>
      </c>
      <c r="V166" s="395">
        <f>IFERROR(VLOOKUP(ref!$X$1&amp;ref!$W$4&amp;19&amp;$U166,mpaopercmethods,8,FALSE),"0.0")</f>
        <v>14.8</v>
      </c>
    </row>
    <row r="167" spans="2:23" x14ac:dyDescent="0.2">
      <c r="B167" s="71"/>
      <c r="C167" s="71"/>
      <c r="D167" s="71"/>
      <c r="E167" s="71"/>
      <c r="F167" s="71"/>
      <c r="G167" s="71"/>
      <c r="H167" s="71"/>
      <c r="I167" s="71"/>
      <c r="J167" s="71"/>
      <c r="K167" s="71"/>
      <c r="L167" s="71"/>
      <c r="M167" s="71"/>
      <c r="Q167" s="286"/>
      <c r="R167" s="286"/>
      <c r="S167" s="257" t="s">
        <v>366</v>
      </c>
      <c r="T167" s="260"/>
      <c r="U167" s="260" t="s">
        <v>42</v>
      </c>
      <c r="V167" s="395">
        <f>IFERROR(VLOOKUP(ref!$X$1&amp;ref!$W$4&amp;19&amp;$U167,mpaopercmethods,8,FALSE),"0.0")</f>
        <v>11.2</v>
      </c>
    </row>
    <row r="168" spans="2:23" x14ac:dyDescent="0.2">
      <c r="B168" s="71"/>
      <c r="C168" s="71"/>
      <c r="D168" s="71"/>
      <c r="E168" s="71"/>
      <c r="F168" s="71"/>
      <c r="G168" s="71"/>
      <c r="H168" s="71"/>
      <c r="I168" s="71"/>
      <c r="J168" s="71"/>
      <c r="K168" s="71"/>
      <c r="L168" s="71"/>
      <c r="M168" s="71"/>
      <c r="Q168" s="286"/>
      <c r="R168" s="286"/>
      <c r="S168" s="257" t="s">
        <v>366</v>
      </c>
      <c r="T168" s="260"/>
      <c r="U168" s="260" t="s">
        <v>44</v>
      </c>
      <c r="V168" s="395">
        <f>IFERROR(VLOOKUP(ref!$X$1&amp;ref!$W$4&amp;19&amp;$U168,mpaopercmethods,8,FALSE),"0.0")</f>
        <v>2.9</v>
      </c>
    </row>
    <row r="169" spans="2:23" x14ac:dyDescent="0.2">
      <c r="B169" s="71"/>
      <c r="C169" s="71"/>
      <c r="D169" s="71"/>
      <c r="E169" s="71"/>
      <c r="F169" s="71"/>
      <c r="G169" s="71"/>
      <c r="H169" s="71"/>
      <c r="I169" s="71"/>
      <c r="J169" s="71"/>
      <c r="K169" s="71"/>
      <c r="L169" s="71"/>
      <c r="M169" s="71"/>
      <c r="Q169" s="286"/>
      <c r="R169" s="286"/>
      <c r="S169" s="257" t="s">
        <v>366</v>
      </c>
      <c r="T169" s="260"/>
      <c r="U169" s="260" t="s">
        <v>49</v>
      </c>
      <c r="V169" s="395">
        <f>IFERROR(VLOOKUP(ref!$X$1&amp;ref!$W$4&amp;19&amp;$U169,mpaopercmethods,8,FALSE),"0.0")</f>
        <v>2.6</v>
      </c>
    </row>
    <row r="170" spans="2:23" x14ac:dyDescent="0.2">
      <c r="B170" s="71"/>
      <c r="C170" s="71"/>
      <c r="D170" s="71"/>
      <c r="E170" s="71"/>
      <c r="F170" s="71"/>
      <c r="G170" s="71"/>
      <c r="H170" s="71"/>
      <c r="I170" s="71"/>
      <c r="J170" s="71"/>
      <c r="K170" s="71"/>
      <c r="L170" s="71"/>
      <c r="M170" s="71"/>
      <c r="Q170" s="286"/>
      <c r="R170" s="286"/>
      <c r="S170" s="257" t="s">
        <v>366</v>
      </c>
      <c r="T170" s="260"/>
      <c r="U170" s="260" t="s">
        <v>48</v>
      </c>
      <c r="V170" s="395">
        <f>IFERROR(VLOOKUP(ref!$X$1&amp;ref!$W$4&amp;19&amp;$U170,mpaopercmethods,8,FALSE),"0.0")</f>
        <v>2.2999999999999998</v>
      </c>
    </row>
    <row r="171" spans="2:23" x14ac:dyDescent="0.2">
      <c r="B171" s="71"/>
      <c r="C171" s="71"/>
      <c r="D171" s="71"/>
      <c r="E171" s="71"/>
      <c r="F171" s="71"/>
      <c r="G171" s="71"/>
      <c r="H171" s="71"/>
      <c r="I171" s="71"/>
      <c r="J171" s="71"/>
      <c r="K171" s="71"/>
      <c r="L171" s="71"/>
      <c r="M171" s="71"/>
      <c r="Q171" s="286"/>
      <c r="R171" s="286"/>
      <c r="S171" s="257" t="s">
        <v>366</v>
      </c>
      <c r="T171" s="260"/>
      <c r="U171" s="260" t="s">
        <v>45</v>
      </c>
      <c r="V171" s="395">
        <f>IFERROR(VLOOKUP(ref!$X$1&amp;ref!$W$4&amp;19&amp;$U171,mpaopercmethods,8,FALSE),"0.0")</f>
        <v>4</v>
      </c>
    </row>
    <row r="172" spans="2:23" x14ac:dyDescent="0.2">
      <c r="B172" s="71"/>
      <c r="C172" s="71"/>
      <c r="D172" s="71"/>
      <c r="E172" s="71"/>
      <c r="F172" s="71"/>
      <c r="G172" s="71"/>
      <c r="H172" s="71"/>
      <c r="I172" s="71"/>
      <c r="J172" s="71"/>
      <c r="K172" s="71"/>
      <c r="L172" s="71"/>
      <c r="M172" s="71"/>
      <c r="W172" s="193"/>
    </row>
    <row r="173" spans="2:23" x14ac:dyDescent="0.2">
      <c r="B173" s="71"/>
      <c r="C173" s="71"/>
      <c r="D173" s="84"/>
      <c r="E173" s="84"/>
      <c r="F173" s="84"/>
      <c r="G173" s="84"/>
      <c r="H173" s="71"/>
      <c r="I173" s="71"/>
      <c r="J173" s="71"/>
      <c r="K173" s="71"/>
      <c r="L173" s="71"/>
      <c r="M173" s="71"/>
      <c r="Q173" s="196" t="s">
        <v>466</v>
      </c>
      <c r="W173" s="193"/>
    </row>
    <row r="174" spans="2:23" x14ac:dyDescent="0.2">
      <c r="B174" s="71"/>
      <c r="C174" s="84" t="s">
        <v>466</v>
      </c>
      <c r="D174" s="84"/>
      <c r="E174" s="84"/>
      <c r="F174" s="84"/>
      <c r="G174" s="84"/>
      <c r="H174" s="71"/>
      <c r="I174" s="71"/>
      <c r="J174" s="71"/>
      <c r="K174" s="71"/>
      <c r="L174" s="71"/>
      <c r="M174" s="71"/>
      <c r="Q174" s="196" t="s">
        <v>102</v>
      </c>
      <c r="W174" s="193"/>
    </row>
    <row r="175" spans="2:23" x14ac:dyDescent="0.2">
      <c r="B175" s="71"/>
      <c r="C175" s="84" t="s">
        <v>102</v>
      </c>
      <c r="D175" s="71"/>
      <c r="E175" s="71"/>
      <c r="F175" s="71"/>
      <c r="G175" s="71"/>
      <c r="H175" s="71"/>
      <c r="I175" s="71"/>
      <c r="J175" s="71"/>
      <c r="K175" s="71"/>
      <c r="L175" s="71"/>
      <c r="M175" s="71"/>
      <c r="Q175" s="183"/>
      <c r="R175" s="183"/>
      <c r="S175" s="183"/>
      <c r="T175" s="270"/>
      <c r="U175" s="270"/>
      <c r="V175" s="270"/>
      <c r="W175" s="193"/>
    </row>
    <row r="176" spans="2:23" x14ac:dyDescent="0.2">
      <c r="B176" s="71"/>
      <c r="C176" s="71"/>
      <c r="D176" s="71"/>
      <c r="E176" s="71"/>
      <c r="F176" s="71"/>
      <c r="G176" s="71"/>
      <c r="H176" s="71"/>
      <c r="I176" s="71"/>
      <c r="J176" s="71"/>
      <c r="K176" s="71"/>
      <c r="L176" s="71"/>
      <c r="M176" s="71"/>
    </row>
    <row r="177" spans="2:13" x14ac:dyDescent="0.2">
      <c r="B177" s="71"/>
      <c r="C177" s="71"/>
      <c r="D177" s="71"/>
      <c r="E177" s="71"/>
      <c r="F177" s="71"/>
      <c r="G177" s="71"/>
      <c r="H177" s="71"/>
      <c r="I177" s="71"/>
      <c r="J177" s="71"/>
      <c r="K177" s="71"/>
      <c r="L177" s="71"/>
      <c r="M177" s="71"/>
    </row>
  </sheetData>
  <mergeCells count="13">
    <mergeCell ref="C100:L100"/>
    <mergeCell ref="Q125:V125"/>
    <mergeCell ref="Q60:V60"/>
    <mergeCell ref="Q124:V124"/>
    <mergeCell ref="C3:M3"/>
    <mergeCell ref="C21:L21"/>
    <mergeCell ref="Q58:V58"/>
    <mergeCell ref="Q59:V59"/>
    <mergeCell ref="Q123:V123"/>
    <mergeCell ref="Q4:V4"/>
    <mergeCell ref="C102:L102"/>
    <mergeCell ref="C56:M56"/>
    <mergeCell ref="C57:L57"/>
  </mergeCells>
  <hyperlinks>
    <hyperlink ref="Q1" location="'Key findings'!A1" display="Back to Key Findings"/>
    <hyperlink ref="O71" location="'Ethnic group'!A1" display="Back to top"/>
    <hyperlink ref="O135" location="'Ethnic group'!A1" display="Back to top"/>
    <hyperlink ref="Q2" location="'Ethnic group'!A85" display="See Ethnic group by deprivation"/>
    <hyperlink ref="Q3" location="'Ethnic group'!A150" display="See Ethnic group by methods used"/>
  </hyperlinks>
  <pageMargins left="0.7" right="0.7" top="0.75" bottom="0.75" header="0.3" footer="0.3"/>
  <pageSetup paperSize="9" scale="48" orientation="landscape" r:id="rId1"/>
  <rowBreaks count="1" manualBreakCount="1">
    <brk id="131" max="26"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89"/>
  <sheetViews>
    <sheetView zoomScaleNormal="100" workbookViewId="0">
      <selection activeCell="R12" sqref="R12"/>
    </sheetView>
  </sheetViews>
  <sheetFormatPr defaultRowHeight="12.75" x14ac:dyDescent="0.2"/>
  <cols>
    <col min="1" max="1" width="9.140625" style="12"/>
    <col min="2" max="2" width="1.7109375" style="12" customWidth="1"/>
    <col min="3" max="3" width="8" style="12" customWidth="1"/>
    <col min="4" max="12" width="9.140625" style="12"/>
    <col min="13" max="13" width="2.5703125" style="12" customWidth="1"/>
    <col min="14" max="14" width="3" style="12" customWidth="1"/>
    <col min="15" max="15" width="21.140625" style="12" customWidth="1"/>
    <col min="16" max="16" width="26.7109375" style="12" customWidth="1"/>
    <col min="17" max="17" width="13.85546875" style="41" customWidth="1"/>
    <col min="18" max="18" width="19.42578125" style="41" customWidth="1"/>
    <col min="19" max="19" width="4.28515625" style="12" customWidth="1"/>
    <col min="20" max="20" width="14.7109375" style="12" customWidth="1"/>
    <col min="21" max="16384" width="9.140625" style="12"/>
  </cols>
  <sheetData>
    <row r="1" spans="2:18" x14ac:dyDescent="0.2">
      <c r="O1" s="131"/>
      <c r="P1" s="131" t="s">
        <v>505</v>
      </c>
    </row>
    <row r="2" spans="2:18" ht="23.25" x14ac:dyDescent="0.35">
      <c r="B2" s="115"/>
      <c r="C2" s="120" t="s">
        <v>354</v>
      </c>
      <c r="P2" s="131" t="s">
        <v>529</v>
      </c>
      <c r="Q2" s="12"/>
    </row>
    <row r="4" spans="2:18" ht="183" customHeight="1" x14ac:dyDescent="0.25">
      <c r="B4" s="177"/>
      <c r="C4" s="549" t="s">
        <v>594</v>
      </c>
      <c r="D4" s="550"/>
      <c r="E4" s="550"/>
      <c r="F4" s="550"/>
      <c r="G4" s="550"/>
      <c r="H4" s="550"/>
      <c r="I4" s="550"/>
      <c r="J4" s="550"/>
      <c r="K4" s="550"/>
      <c r="L4" s="550"/>
      <c r="P4" s="114"/>
    </row>
    <row r="5" spans="2:18" ht="15" x14ac:dyDescent="0.25">
      <c r="P5" s="132" t="s">
        <v>378</v>
      </c>
    </row>
    <row r="6" spans="2:18" x14ac:dyDescent="0.2">
      <c r="B6" s="71"/>
      <c r="C6" s="71"/>
      <c r="D6" s="71"/>
      <c r="E6" s="71"/>
      <c r="F6" s="71"/>
      <c r="G6" s="71"/>
      <c r="H6" s="71"/>
      <c r="I6" s="71"/>
      <c r="J6" s="71"/>
      <c r="K6" s="71"/>
      <c r="L6" s="71"/>
      <c r="M6" s="71"/>
      <c r="N6" s="71"/>
    </row>
    <row r="7" spans="2:18" ht="15" x14ac:dyDescent="0.25">
      <c r="B7" s="71"/>
      <c r="C7" s="95" t="s">
        <v>378</v>
      </c>
      <c r="D7" s="95"/>
      <c r="E7" s="95"/>
      <c r="F7" s="95"/>
      <c r="G7" s="95"/>
      <c r="H7" s="95"/>
      <c r="I7" s="71"/>
      <c r="J7" s="71"/>
      <c r="K7" s="71"/>
      <c r="L7" s="71"/>
      <c r="M7" s="71"/>
      <c r="N7" s="71"/>
      <c r="P7" s="23" t="s">
        <v>153</v>
      </c>
      <c r="Q7" s="73" t="s">
        <v>20</v>
      </c>
      <c r="R7" s="73" t="s">
        <v>8</v>
      </c>
    </row>
    <row r="8" spans="2:18" x14ac:dyDescent="0.2">
      <c r="B8" s="71"/>
      <c r="C8" s="71"/>
      <c r="D8" s="71"/>
      <c r="E8" s="71"/>
      <c r="F8" s="71"/>
      <c r="G8" s="71"/>
      <c r="H8" s="71"/>
      <c r="I8" s="71"/>
      <c r="J8" s="71"/>
      <c r="K8" s="71"/>
      <c r="L8" s="71"/>
      <c r="M8" s="71"/>
      <c r="N8" s="71"/>
    </row>
    <row r="9" spans="2:18" x14ac:dyDescent="0.2">
      <c r="B9" s="71"/>
      <c r="C9" s="71"/>
      <c r="D9" s="71"/>
      <c r="E9" s="71"/>
      <c r="F9" s="71"/>
      <c r="G9" s="71"/>
      <c r="H9" s="71"/>
      <c r="I9" s="71"/>
      <c r="J9" s="71"/>
      <c r="K9" s="71"/>
      <c r="L9" s="71"/>
      <c r="M9" s="71"/>
      <c r="N9" s="71"/>
      <c r="P9" s="24" t="s">
        <v>154</v>
      </c>
      <c r="Q9" s="27">
        <v>32.5269244790708</v>
      </c>
      <c r="R9" s="27">
        <v>13.53546973057953</v>
      </c>
    </row>
    <row r="10" spans="2:18" x14ac:dyDescent="0.2">
      <c r="B10" s="71"/>
      <c r="C10" s="71"/>
      <c r="D10" s="71"/>
      <c r="E10" s="71"/>
      <c r="F10" s="71"/>
      <c r="G10" s="71"/>
      <c r="H10" s="71"/>
      <c r="I10" s="71"/>
      <c r="J10" s="71"/>
      <c r="K10" s="71"/>
      <c r="L10" s="71"/>
      <c r="M10" s="71"/>
      <c r="N10" s="71"/>
      <c r="P10" s="24" t="s">
        <v>155</v>
      </c>
      <c r="Q10" s="27">
        <v>28.678102825747363</v>
      </c>
      <c r="R10" s="27">
        <v>4.9360106955630192</v>
      </c>
    </row>
    <row r="11" spans="2:18" x14ac:dyDescent="0.2">
      <c r="B11" s="71"/>
      <c r="C11" s="71"/>
      <c r="D11" s="71"/>
      <c r="E11" s="71"/>
      <c r="F11" s="71"/>
      <c r="G11" s="71"/>
      <c r="H11" s="71"/>
      <c r="I11" s="71"/>
      <c r="J11" s="71"/>
      <c r="K11" s="71"/>
      <c r="L11" s="71"/>
      <c r="M11" s="71"/>
      <c r="N11" s="71"/>
      <c r="P11" s="24" t="s">
        <v>156</v>
      </c>
      <c r="Q11" s="27">
        <v>26.813539187500822</v>
      </c>
      <c r="R11" s="27">
        <v>4.9243048454630811</v>
      </c>
    </row>
    <row r="12" spans="2:18" x14ac:dyDescent="0.2">
      <c r="B12" s="71"/>
      <c r="C12" s="71"/>
      <c r="D12" s="71"/>
      <c r="E12" s="71"/>
      <c r="F12" s="71"/>
      <c r="G12" s="71"/>
      <c r="H12" s="71"/>
      <c r="I12" s="71"/>
      <c r="J12" s="71"/>
      <c r="K12" s="71"/>
      <c r="L12" s="71"/>
      <c r="M12" s="71"/>
      <c r="N12" s="71"/>
      <c r="P12" s="24" t="s">
        <v>157</v>
      </c>
      <c r="Q12" s="27">
        <v>23.902260971353062</v>
      </c>
      <c r="R12" s="27">
        <v>5.8132948760465766</v>
      </c>
    </row>
    <row r="13" spans="2:18" x14ac:dyDescent="0.2">
      <c r="B13" s="71"/>
      <c r="C13" s="71"/>
      <c r="D13" s="71"/>
      <c r="E13" s="71"/>
      <c r="F13" s="71"/>
      <c r="G13" s="71"/>
      <c r="H13" s="71"/>
      <c r="I13" s="71"/>
      <c r="J13" s="71"/>
      <c r="K13" s="71"/>
      <c r="L13" s="71"/>
      <c r="M13" s="71"/>
      <c r="N13" s="71"/>
      <c r="P13" s="24" t="s">
        <v>158</v>
      </c>
      <c r="Q13" s="27">
        <v>23.598398488624124</v>
      </c>
      <c r="R13" s="27">
        <v>5.6266516133234248</v>
      </c>
    </row>
    <row r="14" spans="2:18" x14ac:dyDescent="0.2">
      <c r="B14" s="71"/>
      <c r="C14" s="71"/>
      <c r="D14" s="71"/>
      <c r="E14" s="71"/>
      <c r="F14" s="71"/>
      <c r="G14" s="71"/>
      <c r="H14" s="71"/>
      <c r="I14" s="71"/>
      <c r="J14" s="71"/>
      <c r="K14" s="71"/>
      <c r="L14" s="71"/>
      <c r="M14" s="71"/>
      <c r="N14" s="71"/>
      <c r="P14" s="24" t="s">
        <v>159</v>
      </c>
      <c r="Q14" s="27">
        <v>23.24004525885471</v>
      </c>
      <c r="R14" s="27">
        <v>3.2881735746820508</v>
      </c>
    </row>
    <row r="15" spans="2:18" x14ac:dyDescent="0.2">
      <c r="B15" s="71"/>
      <c r="C15" s="71"/>
      <c r="D15" s="71"/>
      <c r="E15" s="71"/>
      <c r="F15" s="71"/>
      <c r="G15" s="71"/>
      <c r="H15" s="71"/>
      <c r="I15" s="71"/>
      <c r="J15" s="71"/>
      <c r="K15" s="71"/>
      <c r="L15" s="71"/>
      <c r="M15" s="71"/>
      <c r="N15" s="71"/>
      <c r="P15" s="24" t="s">
        <v>160</v>
      </c>
      <c r="Q15" s="27">
        <v>22.105191161687365</v>
      </c>
      <c r="R15" s="27">
        <v>8.8265610503198957</v>
      </c>
    </row>
    <row r="16" spans="2:18" x14ac:dyDescent="0.2">
      <c r="B16" s="71"/>
      <c r="C16" s="71"/>
      <c r="D16" s="71"/>
      <c r="E16" s="71"/>
      <c r="F16" s="71"/>
      <c r="G16" s="71"/>
      <c r="H16" s="71"/>
      <c r="I16" s="71"/>
      <c r="J16" s="71"/>
      <c r="K16" s="71"/>
      <c r="L16" s="71"/>
      <c r="M16" s="71"/>
      <c r="N16" s="71"/>
      <c r="P16" s="24" t="s">
        <v>161</v>
      </c>
      <c r="Q16" s="27">
        <v>20.189599814100678</v>
      </c>
      <c r="R16" s="27">
        <v>7.4136010233717702</v>
      </c>
    </row>
    <row r="17" spans="2:18" x14ac:dyDescent="0.2">
      <c r="B17" s="71"/>
      <c r="C17" s="71"/>
      <c r="D17" s="71"/>
      <c r="E17" s="71"/>
      <c r="F17" s="71"/>
      <c r="G17" s="71"/>
      <c r="H17" s="71"/>
      <c r="I17" s="71"/>
      <c r="J17" s="71"/>
      <c r="K17" s="71"/>
      <c r="L17" s="71"/>
      <c r="M17" s="71"/>
      <c r="N17" s="71"/>
      <c r="P17" s="24" t="s">
        <v>162</v>
      </c>
      <c r="Q17" s="27">
        <v>19.344822932420925</v>
      </c>
      <c r="R17" s="27">
        <v>6.2371712897658629</v>
      </c>
    </row>
    <row r="18" spans="2:18" x14ac:dyDescent="0.2">
      <c r="B18" s="71"/>
      <c r="C18" s="71"/>
      <c r="D18" s="71"/>
      <c r="E18" s="71"/>
      <c r="F18" s="71"/>
      <c r="G18" s="71"/>
      <c r="H18" s="71"/>
      <c r="I18" s="71"/>
      <c r="J18" s="71"/>
      <c r="K18" s="71"/>
      <c r="L18" s="71"/>
      <c r="M18" s="71"/>
      <c r="N18" s="71"/>
      <c r="P18" s="24" t="s">
        <v>163</v>
      </c>
      <c r="Q18" s="27">
        <v>18.728969156976273</v>
      </c>
      <c r="R18" s="27">
        <v>3.9826748228813091</v>
      </c>
    </row>
    <row r="19" spans="2:18" x14ac:dyDescent="0.2">
      <c r="B19" s="71"/>
      <c r="C19" s="71"/>
      <c r="D19" s="71"/>
      <c r="E19" s="71"/>
      <c r="F19" s="71"/>
      <c r="G19" s="71"/>
      <c r="H19" s="71"/>
      <c r="I19" s="71"/>
      <c r="J19" s="71"/>
      <c r="K19" s="71"/>
      <c r="L19" s="71"/>
      <c r="M19" s="71"/>
      <c r="N19" s="71"/>
      <c r="P19" s="24" t="s">
        <v>164</v>
      </c>
      <c r="Q19" s="27">
        <v>18.470550057415927</v>
      </c>
      <c r="R19" s="27">
        <v>5.4570045150420174</v>
      </c>
    </row>
    <row r="20" spans="2:18" x14ac:dyDescent="0.2">
      <c r="B20" s="71"/>
      <c r="C20" s="71"/>
      <c r="D20" s="71"/>
      <c r="E20" s="71"/>
      <c r="F20" s="71"/>
      <c r="G20" s="71"/>
      <c r="H20" s="71"/>
      <c r="I20" s="71"/>
      <c r="J20" s="71"/>
      <c r="K20" s="71"/>
      <c r="L20" s="71"/>
      <c r="M20" s="71"/>
      <c r="N20" s="71"/>
      <c r="P20" s="24" t="s">
        <v>165</v>
      </c>
      <c r="Q20" s="27">
        <v>17.854885048083794</v>
      </c>
      <c r="R20" s="27">
        <v>5.0725239739804584</v>
      </c>
    </row>
    <row r="21" spans="2:18" x14ac:dyDescent="0.2">
      <c r="B21" s="71"/>
      <c r="C21" s="71"/>
      <c r="D21" s="71"/>
      <c r="E21" s="71"/>
      <c r="F21" s="71"/>
      <c r="G21" s="71"/>
      <c r="H21" s="71"/>
      <c r="I21" s="71"/>
      <c r="J21" s="71"/>
      <c r="K21" s="71"/>
      <c r="L21" s="71"/>
      <c r="M21" s="71"/>
      <c r="N21" s="71"/>
      <c r="P21" s="24" t="s">
        <v>166</v>
      </c>
      <c r="Q21" s="27">
        <v>17.33945697822023</v>
      </c>
      <c r="R21" s="27">
        <v>4.897676135002202</v>
      </c>
    </row>
    <row r="22" spans="2:18" x14ac:dyDescent="0.2">
      <c r="B22" s="71"/>
      <c r="C22" s="71"/>
      <c r="D22" s="71"/>
      <c r="E22" s="71"/>
      <c r="F22" s="71"/>
      <c r="G22" s="71"/>
      <c r="H22" s="71"/>
      <c r="I22" s="71"/>
      <c r="J22" s="71"/>
      <c r="K22" s="71"/>
      <c r="L22" s="71"/>
      <c r="M22" s="71"/>
      <c r="N22" s="71"/>
      <c r="P22" s="24" t="s">
        <v>167</v>
      </c>
      <c r="Q22" s="27">
        <v>16.741711753077677</v>
      </c>
      <c r="R22" s="27">
        <v>5.507712883037704</v>
      </c>
    </row>
    <row r="23" spans="2:18" x14ac:dyDescent="0.2">
      <c r="B23" s="71"/>
      <c r="C23" s="71"/>
      <c r="D23" s="71"/>
      <c r="E23" s="71"/>
      <c r="F23" s="71"/>
      <c r="G23" s="71"/>
      <c r="H23" s="71"/>
      <c r="I23" s="71"/>
      <c r="J23" s="71"/>
      <c r="K23" s="71"/>
      <c r="L23" s="71"/>
      <c r="M23" s="71"/>
      <c r="N23" s="71"/>
      <c r="P23" s="24" t="s">
        <v>185</v>
      </c>
      <c r="Q23" s="27">
        <v>16.592327788403477</v>
      </c>
      <c r="R23" s="27">
        <v>4.2863258218409577</v>
      </c>
    </row>
    <row r="24" spans="2:18" x14ac:dyDescent="0.2">
      <c r="B24" s="71"/>
      <c r="C24" s="71"/>
      <c r="D24" s="71"/>
      <c r="E24" s="71"/>
      <c r="F24" s="71"/>
      <c r="G24" s="71"/>
      <c r="H24" s="71"/>
      <c r="I24" s="71"/>
      <c r="J24" s="71"/>
      <c r="K24" s="71"/>
      <c r="L24" s="71"/>
      <c r="M24" s="71"/>
      <c r="N24" s="71"/>
      <c r="P24" s="22" t="s">
        <v>152</v>
      </c>
      <c r="Q24" s="342">
        <v>16.3</v>
      </c>
      <c r="R24" s="342">
        <v>6</v>
      </c>
    </row>
    <row r="25" spans="2:18" x14ac:dyDescent="0.2">
      <c r="B25" s="71"/>
      <c r="C25" s="71"/>
      <c r="D25" s="71"/>
      <c r="E25" s="71"/>
      <c r="F25" s="71"/>
      <c r="G25" s="71"/>
      <c r="H25" s="71"/>
      <c r="I25" s="71"/>
      <c r="J25" s="71"/>
      <c r="K25" s="71"/>
      <c r="L25" s="71"/>
      <c r="M25" s="71"/>
      <c r="N25" s="71"/>
      <c r="P25" s="24" t="s">
        <v>168</v>
      </c>
      <c r="Q25" s="27">
        <v>16.0732233524542</v>
      </c>
      <c r="R25" s="27">
        <v>3.8498179177596699</v>
      </c>
    </row>
    <row r="26" spans="2:18" x14ac:dyDescent="0.2">
      <c r="B26" s="71"/>
      <c r="C26" s="71"/>
      <c r="D26" s="71"/>
      <c r="E26" s="71"/>
      <c r="F26" s="71"/>
      <c r="G26" s="71"/>
      <c r="H26" s="71"/>
      <c r="I26" s="71"/>
      <c r="J26" s="71"/>
      <c r="K26" s="71"/>
      <c r="L26" s="71"/>
      <c r="M26" s="71"/>
      <c r="N26" s="71"/>
      <c r="P26" s="24" t="s">
        <v>169</v>
      </c>
      <c r="Q26" s="27">
        <v>15.727361632951702</v>
      </c>
      <c r="R26" s="27">
        <v>4.8503025623435754</v>
      </c>
    </row>
    <row r="27" spans="2:18" x14ac:dyDescent="0.2">
      <c r="B27" s="71"/>
      <c r="C27" s="71"/>
      <c r="D27" s="71"/>
      <c r="E27" s="71"/>
      <c r="F27" s="71"/>
      <c r="G27" s="71"/>
      <c r="H27" s="71"/>
      <c r="I27" s="71"/>
      <c r="J27" s="71"/>
      <c r="K27" s="71"/>
      <c r="L27" s="71"/>
      <c r="M27" s="71"/>
      <c r="N27" s="71"/>
      <c r="P27" s="24" t="s">
        <v>170</v>
      </c>
      <c r="Q27" s="27">
        <v>15.224320908893558</v>
      </c>
      <c r="R27" s="27">
        <v>4.3992494520672647</v>
      </c>
    </row>
    <row r="28" spans="2:18" x14ac:dyDescent="0.2">
      <c r="B28" s="71"/>
      <c r="C28" s="71"/>
      <c r="D28" s="71"/>
      <c r="E28" s="71"/>
      <c r="F28" s="71"/>
      <c r="G28" s="71"/>
      <c r="H28" s="71"/>
      <c r="I28" s="71"/>
      <c r="J28" s="71"/>
      <c r="K28" s="71"/>
      <c r="L28" s="71"/>
      <c r="M28" s="71"/>
      <c r="N28" s="71"/>
      <c r="P28" s="24" t="s">
        <v>171</v>
      </c>
      <c r="Q28" s="27">
        <v>14.871246395242283</v>
      </c>
      <c r="R28" s="27">
        <v>5.2028897242116114</v>
      </c>
    </row>
    <row r="29" spans="2:18" x14ac:dyDescent="0.2">
      <c r="B29" s="71"/>
      <c r="C29" s="71"/>
      <c r="D29" s="71"/>
      <c r="E29" s="71"/>
      <c r="F29" s="71"/>
      <c r="G29" s="71"/>
      <c r="H29" s="71"/>
      <c r="I29" s="71"/>
      <c r="J29" s="71"/>
      <c r="K29" s="71"/>
      <c r="L29" s="71"/>
      <c r="M29" s="71"/>
      <c r="N29" s="71"/>
      <c r="P29" s="24" t="s">
        <v>172</v>
      </c>
      <c r="Q29" s="27">
        <v>14.454997487284965</v>
      </c>
      <c r="R29" s="27">
        <v>2.2779671678274811</v>
      </c>
    </row>
    <row r="30" spans="2:18" x14ac:dyDescent="0.2">
      <c r="B30" s="71"/>
      <c r="C30" s="71"/>
      <c r="D30" s="71"/>
      <c r="E30" s="71"/>
      <c r="F30" s="71"/>
      <c r="G30" s="71"/>
      <c r="H30" s="71"/>
      <c r="I30" s="71"/>
      <c r="J30" s="71"/>
      <c r="K30" s="71"/>
      <c r="L30" s="71"/>
      <c r="M30" s="71"/>
      <c r="N30" s="71"/>
      <c r="P30" s="24" t="s">
        <v>173</v>
      </c>
      <c r="Q30" s="27">
        <v>14.310484368195601</v>
      </c>
      <c r="R30" s="27">
        <v>5.9076662532142619</v>
      </c>
    </row>
    <row r="31" spans="2:18" x14ac:dyDescent="0.2">
      <c r="B31" s="71"/>
      <c r="C31" s="71"/>
      <c r="D31" s="71"/>
      <c r="E31" s="71"/>
      <c r="F31" s="71"/>
      <c r="G31" s="71"/>
      <c r="H31" s="71"/>
      <c r="I31" s="71"/>
      <c r="J31" s="71"/>
      <c r="K31" s="71"/>
      <c r="L31" s="71"/>
      <c r="M31" s="71"/>
      <c r="N31" s="71"/>
      <c r="P31" s="24" t="s">
        <v>174</v>
      </c>
      <c r="Q31" s="27">
        <v>13.621931305362999</v>
      </c>
      <c r="R31" s="27">
        <v>4.1824096681842544</v>
      </c>
    </row>
    <row r="32" spans="2:18" x14ac:dyDescent="0.2">
      <c r="B32" s="71"/>
      <c r="C32" s="84" t="s">
        <v>148</v>
      </c>
      <c r="D32" s="84" t="s">
        <v>108</v>
      </c>
      <c r="E32" s="84"/>
      <c r="F32" s="84"/>
      <c r="G32" s="84"/>
      <c r="H32" s="84"/>
      <c r="I32" s="84"/>
      <c r="J32" s="84"/>
      <c r="K32" s="84"/>
      <c r="L32" s="84"/>
      <c r="M32" s="84"/>
      <c r="N32" s="71"/>
      <c r="P32" s="24" t="s">
        <v>175</v>
      </c>
      <c r="Q32" s="27">
        <v>13.573847537520694</v>
      </c>
      <c r="R32" s="27">
        <v>5.0754276970398164</v>
      </c>
    </row>
    <row r="33" spans="2:19" x14ac:dyDescent="0.2">
      <c r="B33" s="71"/>
      <c r="C33" s="84" t="s">
        <v>187</v>
      </c>
      <c r="D33" s="84" t="s">
        <v>188</v>
      </c>
      <c r="E33" s="84"/>
      <c r="F33" s="84"/>
      <c r="G33" s="84"/>
      <c r="H33" s="84"/>
      <c r="I33" s="71"/>
      <c r="J33" s="71"/>
      <c r="K33" s="71"/>
      <c r="L33" s="71"/>
      <c r="M33" s="71"/>
      <c r="N33" s="71"/>
      <c r="P33" s="24" t="s">
        <v>176</v>
      </c>
      <c r="Q33" s="27">
        <v>13.365678539437207</v>
      </c>
      <c r="R33" s="27">
        <v>4.0789923096589895</v>
      </c>
    </row>
    <row r="34" spans="2:19" x14ac:dyDescent="0.2">
      <c r="B34" s="71"/>
      <c r="C34" s="71"/>
      <c r="D34" s="84" t="s">
        <v>186</v>
      </c>
      <c r="E34" s="84"/>
      <c r="F34" s="84"/>
      <c r="G34" s="84"/>
      <c r="H34" s="84"/>
      <c r="I34" s="71"/>
      <c r="J34" s="71"/>
      <c r="K34" s="71"/>
      <c r="L34" s="71"/>
      <c r="M34" s="71"/>
      <c r="N34" s="71"/>
      <c r="P34" s="24" t="s">
        <v>177</v>
      </c>
      <c r="Q34" s="27">
        <v>12.340525209388005</v>
      </c>
      <c r="R34" s="27">
        <v>5.5558413918344494</v>
      </c>
    </row>
    <row r="35" spans="2:19" x14ac:dyDescent="0.2">
      <c r="B35" s="71"/>
      <c r="C35" s="71"/>
      <c r="D35" s="71"/>
      <c r="E35" s="71"/>
      <c r="F35" s="71"/>
      <c r="G35" s="71"/>
      <c r="H35" s="71"/>
      <c r="I35" s="71"/>
      <c r="J35" s="71"/>
      <c r="K35" s="71"/>
      <c r="L35" s="71"/>
      <c r="M35" s="71"/>
      <c r="N35" s="71"/>
      <c r="P35" s="24" t="s">
        <v>178</v>
      </c>
      <c r="Q35" s="27">
        <v>11.144881598245831</v>
      </c>
      <c r="R35" s="27">
        <v>2.8226502608694668</v>
      </c>
    </row>
    <row r="36" spans="2:19" x14ac:dyDescent="0.2">
      <c r="P36" s="24" t="s">
        <v>179</v>
      </c>
      <c r="Q36" s="27">
        <v>10.7558759174901</v>
      </c>
      <c r="R36" s="27">
        <v>2.6361985674957893</v>
      </c>
    </row>
    <row r="37" spans="2:19" x14ac:dyDescent="0.2">
      <c r="P37" s="24" t="s">
        <v>180</v>
      </c>
      <c r="Q37" s="27">
        <v>9.4806436789880788</v>
      </c>
      <c r="R37" s="27">
        <v>3.1030069136526488</v>
      </c>
    </row>
    <row r="38" spans="2:19" x14ac:dyDescent="0.2">
      <c r="P38" s="24" t="s">
        <v>181</v>
      </c>
      <c r="Q38" s="27">
        <v>8.5715596223186932</v>
      </c>
      <c r="R38" s="27">
        <v>2.1624744746057991</v>
      </c>
    </row>
    <row r="39" spans="2:19" x14ac:dyDescent="0.2">
      <c r="P39" s="24" t="s">
        <v>182</v>
      </c>
      <c r="Q39" s="27">
        <v>7.4250817410929253</v>
      </c>
      <c r="R39" s="27">
        <v>1.9940535139367623</v>
      </c>
    </row>
    <row r="40" spans="2:19" x14ac:dyDescent="0.2">
      <c r="P40" s="24" t="s">
        <v>183</v>
      </c>
      <c r="Q40" s="27">
        <v>6.28569867184396</v>
      </c>
      <c r="R40" s="27">
        <v>1.5544911647114148</v>
      </c>
    </row>
    <row r="41" spans="2:19" x14ac:dyDescent="0.2">
      <c r="P41" s="24" t="s">
        <v>184</v>
      </c>
      <c r="Q41" s="27">
        <v>3.5367144741241474</v>
      </c>
      <c r="R41" s="27">
        <v>1.1968799281554729</v>
      </c>
    </row>
    <row r="42" spans="2:19" ht="3.75" customHeight="1" x14ac:dyDescent="0.2">
      <c r="P42" s="24"/>
      <c r="Q42" s="27"/>
      <c r="R42" s="27"/>
    </row>
    <row r="43" spans="2:19" ht="26.25" customHeight="1" x14ac:dyDescent="0.2">
      <c r="P43" s="580" t="s">
        <v>390</v>
      </c>
      <c r="Q43" s="525"/>
      <c r="R43" s="525"/>
    </row>
    <row r="44" spans="2:19" x14ac:dyDescent="0.2">
      <c r="P44" s="51" t="s">
        <v>470</v>
      </c>
      <c r="Q44" s="51"/>
      <c r="R44" s="51"/>
    </row>
    <row r="45" spans="2:19" x14ac:dyDescent="0.2">
      <c r="C45" s="180"/>
      <c r="D45" s="180"/>
      <c r="E45" s="180"/>
      <c r="F45" s="180"/>
      <c r="G45" s="180"/>
      <c r="H45" s="180"/>
      <c r="I45" s="180"/>
      <c r="J45" s="180"/>
      <c r="K45" s="180"/>
      <c r="L45" s="180"/>
      <c r="M45" s="180"/>
      <c r="N45" s="180"/>
      <c r="P45" s="51" t="s">
        <v>471</v>
      </c>
      <c r="Q45" s="51"/>
      <c r="R45" s="51"/>
    </row>
    <row r="46" spans="2:19" ht="18" customHeight="1" x14ac:dyDescent="0.2">
      <c r="P46" s="55"/>
      <c r="Q46" s="55"/>
      <c r="R46" s="55"/>
      <c r="S46" s="20"/>
    </row>
    <row r="47" spans="2:19" ht="11.25" customHeight="1" x14ac:dyDescent="0.2">
      <c r="P47" s="138"/>
      <c r="Q47" s="138"/>
      <c r="R47" s="138"/>
      <c r="S47" s="33"/>
    </row>
    <row r="48" spans="2:19" ht="27.75" customHeight="1" x14ac:dyDescent="0.25">
      <c r="P48" s="546" t="s">
        <v>377</v>
      </c>
      <c r="Q48" s="552"/>
      <c r="R48" s="552"/>
      <c r="S48" s="552"/>
    </row>
    <row r="50" spans="2:18" x14ac:dyDescent="0.2">
      <c r="B50" s="71"/>
      <c r="C50" s="71"/>
      <c r="D50" s="71"/>
      <c r="E50" s="71"/>
      <c r="F50" s="71"/>
      <c r="G50" s="71"/>
      <c r="H50" s="71"/>
      <c r="I50" s="71"/>
      <c r="J50" s="71"/>
      <c r="K50" s="71"/>
      <c r="L50" s="71"/>
      <c r="M50" s="71"/>
      <c r="N50" s="71"/>
      <c r="P50" s="23" t="s">
        <v>153</v>
      </c>
      <c r="Q50" s="73" t="s">
        <v>20</v>
      </c>
      <c r="R50" s="73" t="s">
        <v>8</v>
      </c>
    </row>
    <row r="51" spans="2:18" ht="15" x14ac:dyDescent="0.25">
      <c r="B51" s="71"/>
      <c r="C51" s="95" t="s">
        <v>377</v>
      </c>
      <c r="D51" s="71"/>
      <c r="E51" s="71"/>
      <c r="F51" s="71"/>
      <c r="G51" s="71"/>
      <c r="H51" s="71"/>
      <c r="I51" s="71"/>
      <c r="J51" s="71"/>
      <c r="K51" s="71"/>
      <c r="L51" s="71"/>
      <c r="M51" s="71"/>
      <c r="N51" s="71"/>
    </row>
    <row r="52" spans="2:18" x14ac:dyDescent="0.2">
      <c r="B52" s="71"/>
      <c r="C52" s="71"/>
      <c r="D52" s="71"/>
      <c r="E52" s="71"/>
      <c r="F52" s="71"/>
      <c r="G52" s="71"/>
      <c r="H52" s="71"/>
      <c r="I52" s="71"/>
      <c r="J52" s="71"/>
      <c r="K52" s="71"/>
      <c r="L52" s="71"/>
      <c r="M52" s="71"/>
      <c r="N52" s="71"/>
      <c r="P52" s="24" t="s">
        <v>166</v>
      </c>
      <c r="Q52" s="27">
        <v>29.02516896794792</v>
      </c>
      <c r="R52" s="27">
        <v>0</v>
      </c>
    </row>
    <row r="53" spans="2:18" x14ac:dyDescent="0.2">
      <c r="B53" s="71"/>
      <c r="C53" s="71"/>
      <c r="D53" s="71"/>
      <c r="E53" s="71"/>
      <c r="F53" s="71"/>
      <c r="G53" s="71"/>
      <c r="H53" s="71"/>
      <c r="I53" s="71"/>
      <c r="J53" s="71"/>
      <c r="K53" s="71"/>
      <c r="L53" s="71"/>
      <c r="M53" s="71"/>
      <c r="N53" s="71"/>
      <c r="P53" s="24" t="s">
        <v>155</v>
      </c>
      <c r="Q53" s="27">
        <v>27.492506074956989</v>
      </c>
      <c r="R53" s="27">
        <v>5.6380379627889496</v>
      </c>
    </row>
    <row r="54" spans="2:18" x14ac:dyDescent="0.2">
      <c r="B54" s="71"/>
      <c r="C54" s="71"/>
      <c r="D54" s="71"/>
      <c r="E54" s="71"/>
      <c r="F54" s="71"/>
      <c r="G54" s="71"/>
      <c r="H54" s="71"/>
      <c r="I54" s="71"/>
      <c r="J54" s="71"/>
      <c r="K54" s="71"/>
      <c r="L54" s="71"/>
      <c r="M54" s="71"/>
      <c r="N54" s="71"/>
      <c r="P54" s="24" t="s">
        <v>156</v>
      </c>
      <c r="Q54" s="27">
        <v>25.842956434216074</v>
      </c>
      <c r="R54" s="27">
        <v>1.4466127562312845</v>
      </c>
    </row>
    <row r="55" spans="2:18" x14ac:dyDescent="0.2">
      <c r="B55" s="71"/>
      <c r="C55" s="71"/>
      <c r="D55" s="71"/>
      <c r="E55" s="71"/>
      <c r="F55" s="71"/>
      <c r="G55" s="71"/>
      <c r="H55" s="71"/>
      <c r="I55" s="71"/>
      <c r="J55" s="71"/>
      <c r="K55" s="71"/>
      <c r="L55" s="71"/>
      <c r="M55" s="71"/>
      <c r="N55" s="71"/>
      <c r="P55" s="24" t="s">
        <v>159</v>
      </c>
      <c r="Q55" s="27">
        <v>22.351410832078983</v>
      </c>
      <c r="R55" s="27">
        <v>3.1468883257977915</v>
      </c>
    </row>
    <row r="56" spans="2:18" x14ac:dyDescent="0.2">
      <c r="B56" s="71"/>
      <c r="C56" s="71"/>
      <c r="D56" s="71"/>
      <c r="E56" s="71"/>
      <c r="F56" s="71"/>
      <c r="G56" s="71"/>
      <c r="H56" s="71"/>
      <c r="I56" s="71"/>
      <c r="J56" s="71"/>
      <c r="K56" s="71"/>
      <c r="L56" s="71"/>
      <c r="M56" s="71"/>
      <c r="N56" s="71"/>
      <c r="P56" s="22" t="s">
        <v>152</v>
      </c>
      <c r="Q56" s="342">
        <v>20.334787221501827</v>
      </c>
      <c r="R56" s="342">
        <v>13.23918799646955</v>
      </c>
    </row>
    <row r="57" spans="2:18" x14ac:dyDescent="0.2">
      <c r="B57" s="71"/>
      <c r="C57" s="71"/>
      <c r="D57" s="71"/>
      <c r="E57" s="71"/>
      <c r="F57" s="71"/>
      <c r="G57" s="71"/>
      <c r="H57" s="71"/>
      <c r="I57" s="71"/>
      <c r="J57" s="71"/>
      <c r="K57" s="71"/>
      <c r="L57" s="71"/>
      <c r="M57" s="71"/>
      <c r="N57" s="71"/>
      <c r="P57" s="24" t="s">
        <v>160</v>
      </c>
      <c r="Q57" s="27">
        <v>19.312602291325696</v>
      </c>
      <c r="R57" s="27">
        <v>7.4444252972600378</v>
      </c>
    </row>
    <row r="58" spans="2:18" x14ac:dyDescent="0.2">
      <c r="B58" s="71"/>
      <c r="C58" s="71"/>
      <c r="D58" s="71"/>
      <c r="E58" s="71"/>
      <c r="F58" s="71"/>
      <c r="G58" s="71"/>
      <c r="H58" s="71"/>
      <c r="I58" s="71"/>
      <c r="J58" s="71"/>
      <c r="K58" s="71"/>
      <c r="L58" s="71"/>
      <c r="M58" s="71"/>
      <c r="N58" s="71"/>
      <c r="P58" s="24" t="s">
        <v>162</v>
      </c>
      <c r="Q58" s="27">
        <v>18.935010835033978</v>
      </c>
      <c r="R58" s="27">
        <v>6.9002938897897605</v>
      </c>
    </row>
    <row r="59" spans="2:18" x14ac:dyDescent="0.2">
      <c r="B59" s="71"/>
      <c r="C59" s="71"/>
      <c r="D59" s="71"/>
      <c r="E59" s="71"/>
      <c r="F59" s="71"/>
      <c r="G59" s="71"/>
      <c r="H59" s="71"/>
      <c r="I59" s="71"/>
      <c r="J59" s="71"/>
      <c r="K59" s="71"/>
      <c r="L59" s="71"/>
      <c r="M59" s="71"/>
      <c r="N59" s="71"/>
      <c r="P59" s="24" t="s">
        <v>169</v>
      </c>
      <c r="Q59" s="27">
        <v>16.804653021703341</v>
      </c>
      <c r="R59" s="27">
        <v>6.1098067528755733</v>
      </c>
    </row>
    <row r="60" spans="2:18" x14ac:dyDescent="0.2">
      <c r="B60" s="71"/>
      <c r="C60" s="71"/>
      <c r="D60" s="71"/>
      <c r="E60" s="71"/>
      <c r="F60" s="71"/>
      <c r="G60" s="71"/>
      <c r="H60" s="71"/>
      <c r="I60" s="71"/>
      <c r="J60" s="71"/>
      <c r="K60" s="71"/>
      <c r="L60" s="71"/>
      <c r="M60" s="71"/>
      <c r="N60" s="71"/>
      <c r="P60" s="24" t="s">
        <v>167</v>
      </c>
      <c r="Q60" s="27">
        <v>16.511572119743168</v>
      </c>
      <c r="R60" s="27">
        <v>6.3118238212175894</v>
      </c>
    </row>
    <row r="61" spans="2:18" x14ac:dyDescent="0.2">
      <c r="B61" s="71"/>
      <c r="C61" s="71"/>
      <c r="D61" s="71"/>
      <c r="E61" s="71"/>
      <c r="F61" s="71"/>
      <c r="G61" s="71"/>
      <c r="H61" s="71"/>
      <c r="I61" s="71"/>
      <c r="J61" s="71"/>
      <c r="K61" s="71"/>
      <c r="L61" s="71"/>
      <c r="M61" s="71"/>
      <c r="N61" s="71"/>
      <c r="P61" s="24" t="s">
        <v>168</v>
      </c>
      <c r="Q61" s="27">
        <v>16.106714303494424</v>
      </c>
      <c r="R61" s="27">
        <v>3.459848458637512</v>
      </c>
    </row>
    <row r="62" spans="2:18" x14ac:dyDescent="0.2">
      <c r="B62" s="71"/>
      <c r="C62" s="71"/>
      <c r="D62" s="71"/>
      <c r="E62" s="71"/>
      <c r="F62" s="71"/>
      <c r="G62" s="71"/>
      <c r="H62" s="71"/>
      <c r="I62" s="71"/>
      <c r="J62" s="71"/>
      <c r="K62" s="71"/>
      <c r="L62" s="71"/>
      <c r="M62" s="71"/>
      <c r="N62" s="71"/>
      <c r="P62" s="24" t="s">
        <v>289</v>
      </c>
      <c r="Q62" s="27">
        <v>15.767007688585291</v>
      </c>
      <c r="R62" s="27">
        <v>3.1735839157951391</v>
      </c>
    </row>
    <row r="63" spans="2:18" x14ac:dyDescent="0.2">
      <c r="B63" s="71"/>
      <c r="C63" s="71"/>
      <c r="D63" s="71"/>
      <c r="E63" s="71"/>
      <c r="F63" s="71"/>
      <c r="G63" s="71"/>
      <c r="H63" s="71"/>
      <c r="I63" s="71"/>
      <c r="J63" s="71"/>
      <c r="K63" s="71"/>
      <c r="L63" s="71"/>
      <c r="M63" s="71"/>
      <c r="N63" s="71"/>
      <c r="P63" s="24" t="s">
        <v>165</v>
      </c>
      <c r="Q63" s="27">
        <v>15.292887839250454</v>
      </c>
      <c r="R63" s="27">
        <v>3.4440493917200996</v>
      </c>
    </row>
    <row r="64" spans="2:18" x14ac:dyDescent="0.2">
      <c r="B64" s="71"/>
      <c r="C64" s="71"/>
      <c r="D64" s="71"/>
      <c r="E64" s="71"/>
      <c r="F64" s="71"/>
      <c r="G64" s="71"/>
      <c r="H64" s="71"/>
      <c r="I64" s="71"/>
      <c r="J64" s="71"/>
      <c r="K64" s="71"/>
      <c r="L64" s="71"/>
      <c r="M64" s="71"/>
      <c r="N64" s="71"/>
      <c r="P64" s="24" t="s">
        <v>163</v>
      </c>
      <c r="Q64" s="27">
        <v>14.669961221813347</v>
      </c>
      <c r="R64" s="27">
        <v>2.0366372526874352</v>
      </c>
    </row>
    <row r="65" spans="2:18" x14ac:dyDescent="0.2">
      <c r="B65" s="71"/>
      <c r="C65" s="71"/>
      <c r="D65" s="71"/>
      <c r="E65" s="71"/>
      <c r="F65" s="71"/>
      <c r="G65" s="71"/>
      <c r="H65" s="71"/>
      <c r="I65" s="71"/>
      <c r="J65" s="71"/>
      <c r="K65" s="71"/>
      <c r="L65" s="71"/>
      <c r="M65" s="71"/>
      <c r="N65" s="71"/>
      <c r="P65" s="24" t="s">
        <v>158</v>
      </c>
      <c r="Q65" s="27">
        <v>13.548693035004016</v>
      </c>
      <c r="R65" s="27">
        <v>3.0744319986882425</v>
      </c>
    </row>
    <row r="66" spans="2:18" x14ac:dyDescent="0.2">
      <c r="B66" s="71"/>
      <c r="C66" s="71"/>
      <c r="D66" s="71"/>
      <c r="E66" s="71"/>
      <c r="F66" s="71"/>
      <c r="G66" s="71"/>
      <c r="H66" s="71"/>
      <c r="I66" s="71"/>
      <c r="J66" s="71"/>
      <c r="K66" s="71"/>
      <c r="L66" s="71"/>
      <c r="M66" s="71"/>
      <c r="N66" s="71"/>
      <c r="P66" s="24" t="s">
        <v>161</v>
      </c>
      <c r="Q66" s="27">
        <v>13.40170658215246</v>
      </c>
      <c r="R66" s="27">
        <v>4.1116229489473479</v>
      </c>
    </row>
    <row r="67" spans="2:18" x14ac:dyDescent="0.2">
      <c r="B67" s="71"/>
      <c r="C67" s="71"/>
      <c r="D67" s="71"/>
      <c r="E67" s="71"/>
      <c r="F67" s="71"/>
      <c r="G67" s="71"/>
      <c r="H67" s="71"/>
      <c r="I67" s="71"/>
      <c r="J67" s="71"/>
      <c r="K67" s="71"/>
      <c r="L67" s="71"/>
      <c r="M67" s="71"/>
      <c r="N67" s="71"/>
      <c r="P67" s="24" t="s">
        <v>154</v>
      </c>
      <c r="Q67" s="27">
        <v>13.17676109640681</v>
      </c>
      <c r="R67" s="27">
        <v>8.8277579647120508</v>
      </c>
    </row>
    <row r="68" spans="2:18" x14ac:dyDescent="0.2">
      <c r="B68" s="71"/>
      <c r="C68" s="71"/>
      <c r="D68" s="71"/>
      <c r="E68" s="71"/>
      <c r="F68" s="71"/>
      <c r="G68" s="71"/>
      <c r="H68" s="71"/>
      <c r="I68" s="71"/>
      <c r="J68" s="71"/>
      <c r="K68" s="71"/>
      <c r="L68" s="71"/>
      <c r="M68" s="71"/>
      <c r="N68" s="71"/>
      <c r="P68" s="24" t="s">
        <v>157</v>
      </c>
      <c r="Q68" s="27">
        <v>12.088731287651362</v>
      </c>
      <c r="R68" s="27">
        <v>1.4175750960407127</v>
      </c>
    </row>
    <row r="69" spans="2:18" x14ac:dyDescent="0.2">
      <c r="B69" s="71"/>
      <c r="C69" s="71"/>
      <c r="D69" s="71"/>
      <c r="E69" s="71"/>
      <c r="F69" s="71"/>
      <c r="G69" s="71"/>
      <c r="H69" s="71"/>
      <c r="I69" s="71"/>
      <c r="J69" s="71"/>
      <c r="K69" s="71"/>
      <c r="L69" s="71"/>
      <c r="M69" s="71"/>
      <c r="N69" s="71"/>
      <c r="P69" s="24" t="s">
        <v>175</v>
      </c>
      <c r="Q69" s="27">
        <v>11.038649798835131</v>
      </c>
      <c r="R69" s="27">
        <v>5.2281310354159745</v>
      </c>
    </row>
    <row r="70" spans="2:18" x14ac:dyDescent="0.2">
      <c r="B70" s="71"/>
      <c r="C70" s="71"/>
      <c r="D70" s="71"/>
      <c r="E70" s="71"/>
      <c r="F70" s="71"/>
      <c r="G70" s="71"/>
      <c r="H70" s="71"/>
      <c r="I70" s="71"/>
      <c r="J70" s="71"/>
      <c r="K70" s="71"/>
      <c r="L70" s="71"/>
      <c r="M70" s="71"/>
      <c r="N70" s="71"/>
      <c r="P70" s="24" t="s">
        <v>173</v>
      </c>
      <c r="Q70" s="27">
        <v>10.946378841293605</v>
      </c>
      <c r="R70" s="27">
        <v>6.485117508622646</v>
      </c>
    </row>
    <row r="71" spans="2:18" x14ac:dyDescent="0.2">
      <c r="B71" s="71"/>
      <c r="C71" s="71"/>
      <c r="D71" s="71"/>
      <c r="E71" s="71"/>
      <c r="F71" s="71"/>
      <c r="G71" s="71"/>
      <c r="H71" s="71"/>
      <c r="I71" s="71"/>
      <c r="J71" s="71"/>
      <c r="K71" s="71"/>
      <c r="L71" s="71"/>
      <c r="M71" s="71"/>
      <c r="N71" s="71"/>
      <c r="P71" s="24" t="s">
        <v>171</v>
      </c>
      <c r="Q71" s="27">
        <v>10.833062506770663</v>
      </c>
      <c r="R71" s="27">
        <v>3.6917758093132647</v>
      </c>
    </row>
    <row r="72" spans="2:18" x14ac:dyDescent="0.2">
      <c r="B72" s="71"/>
      <c r="C72" s="71"/>
      <c r="D72" s="71"/>
      <c r="E72" s="71"/>
      <c r="F72" s="71"/>
      <c r="G72" s="71"/>
      <c r="H72" s="71"/>
      <c r="I72" s="71"/>
      <c r="J72" s="71"/>
      <c r="K72" s="71"/>
      <c r="L72" s="71"/>
      <c r="M72" s="71"/>
      <c r="N72" s="71"/>
      <c r="P72" s="24" t="s">
        <v>174</v>
      </c>
      <c r="Q72" s="27">
        <v>8.9161088483958295</v>
      </c>
      <c r="R72" s="27">
        <v>2.8701735126630394</v>
      </c>
    </row>
    <row r="73" spans="2:18" x14ac:dyDescent="0.2">
      <c r="B73" s="71"/>
      <c r="C73" s="71"/>
      <c r="D73" s="71"/>
      <c r="E73" s="71"/>
      <c r="F73" s="71"/>
      <c r="G73" s="71"/>
      <c r="H73" s="71"/>
      <c r="I73" s="71"/>
      <c r="J73" s="71"/>
      <c r="K73" s="71"/>
      <c r="L73" s="71"/>
      <c r="M73" s="71"/>
      <c r="N73" s="71"/>
      <c r="P73" s="24" t="s">
        <v>172</v>
      </c>
      <c r="Q73" s="27">
        <v>8.7466106883582615</v>
      </c>
      <c r="R73" s="27">
        <v>1.5266895873663382</v>
      </c>
    </row>
    <row r="74" spans="2:18" x14ac:dyDescent="0.2">
      <c r="B74" s="71"/>
      <c r="C74" s="71"/>
      <c r="D74" s="71"/>
      <c r="E74" s="71"/>
      <c r="F74" s="71"/>
      <c r="G74" s="71"/>
      <c r="H74" s="71"/>
      <c r="I74" s="71"/>
      <c r="J74" s="71"/>
      <c r="K74" s="71"/>
      <c r="L74" s="71"/>
      <c r="M74" s="71"/>
      <c r="N74" s="71"/>
      <c r="P74" s="24" t="s">
        <v>177</v>
      </c>
      <c r="Q74" s="27">
        <v>8.406734833636385</v>
      </c>
      <c r="R74" s="27">
        <v>3.3376723073328662</v>
      </c>
    </row>
    <row r="75" spans="2:18" x14ac:dyDescent="0.2">
      <c r="B75" s="71"/>
      <c r="C75" s="71"/>
      <c r="D75" s="71"/>
      <c r="E75" s="71"/>
      <c r="F75" s="71"/>
      <c r="G75" s="71"/>
      <c r="H75" s="71"/>
      <c r="I75" s="71"/>
      <c r="J75" s="71"/>
      <c r="K75" s="71"/>
      <c r="L75" s="71"/>
      <c r="M75" s="71"/>
      <c r="N75" s="71"/>
      <c r="P75" s="24" t="s">
        <v>176</v>
      </c>
      <c r="Q75" s="27">
        <v>8.3654910003508096</v>
      </c>
      <c r="R75" s="27">
        <v>1.9768482825424527</v>
      </c>
    </row>
    <row r="76" spans="2:18" x14ac:dyDescent="0.2">
      <c r="B76" s="71"/>
      <c r="C76" s="71"/>
      <c r="D76" s="71"/>
      <c r="E76" s="71"/>
      <c r="F76" s="71"/>
      <c r="G76" s="71"/>
      <c r="H76" s="71"/>
      <c r="I76" s="71"/>
      <c r="J76" s="71"/>
      <c r="K76" s="71"/>
      <c r="L76" s="71"/>
      <c r="M76" s="71"/>
      <c r="N76" s="71"/>
      <c r="P76" s="24" t="s">
        <v>164</v>
      </c>
      <c r="Q76" s="27">
        <v>8.0538788909652883</v>
      </c>
      <c r="R76" s="27">
        <v>3.1114352487525423</v>
      </c>
    </row>
    <row r="77" spans="2:18" x14ac:dyDescent="0.2">
      <c r="B77" s="71"/>
      <c r="C77" s="84" t="s">
        <v>101</v>
      </c>
      <c r="D77" s="84" t="s">
        <v>103</v>
      </c>
      <c r="E77" s="84"/>
      <c r="F77" s="84"/>
      <c r="G77" s="84"/>
      <c r="H77" s="84"/>
      <c r="I77" s="84"/>
      <c r="J77" s="84"/>
      <c r="K77" s="84"/>
      <c r="L77" s="84"/>
      <c r="M77" s="84"/>
      <c r="N77" s="84"/>
      <c r="O77" s="196"/>
      <c r="P77" s="24" t="s">
        <v>179</v>
      </c>
      <c r="Q77" s="27">
        <v>7.893088357383732</v>
      </c>
      <c r="R77" s="27">
        <v>2.0162841078726932</v>
      </c>
    </row>
    <row r="78" spans="2:18" x14ac:dyDescent="0.2">
      <c r="B78" s="71"/>
      <c r="C78" s="84" t="s">
        <v>187</v>
      </c>
      <c r="D78" s="84" t="s">
        <v>188</v>
      </c>
      <c r="E78" s="84"/>
      <c r="F78" s="84"/>
      <c r="G78" s="84"/>
      <c r="H78" s="71"/>
      <c r="I78" s="71"/>
      <c r="J78" s="71"/>
      <c r="K78" s="71"/>
      <c r="L78" s="71"/>
      <c r="M78" s="71"/>
      <c r="N78" s="71"/>
      <c r="P78" s="24" t="s">
        <v>180</v>
      </c>
      <c r="Q78" s="27">
        <v>5.9192200557103059</v>
      </c>
      <c r="R78" s="27">
        <v>2.2816860016738447</v>
      </c>
    </row>
    <row r="79" spans="2:18" x14ac:dyDescent="0.2">
      <c r="B79" s="71"/>
      <c r="C79" s="84"/>
      <c r="D79" s="84" t="s">
        <v>186</v>
      </c>
      <c r="E79" s="84"/>
      <c r="F79" s="84"/>
      <c r="G79" s="84"/>
      <c r="H79" s="71"/>
      <c r="I79" s="71"/>
      <c r="J79" s="71"/>
      <c r="K79" s="71"/>
      <c r="L79" s="71"/>
      <c r="M79" s="71"/>
      <c r="N79" s="71"/>
      <c r="P79" s="24" t="s">
        <v>181</v>
      </c>
      <c r="Q79" s="27">
        <v>5.9044534092445931</v>
      </c>
      <c r="R79" s="27">
        <v>1.5258889603667682</v>
      </c>
    </row>
    <row r="80" spans="2:18" x14ac:dyDescent="0.2">
      <c r="B80" s="71"/>
      <c r="C80" s="71"/>
      <c r="D80" s="71"/>
      <c r="E80" s="71"/>
      <c r="F80" s="71"/>
      <c r="G80" s="71"/>
      <c r="H80" s="71"/>
      <c r="I80" s="71"/>
      <c r="J80" s="71"/>
      <c r="K80" s="71"/>
      <c r="L80" s="71"/>
      <c r="M80" s="71"/>
      <c r="N80" s="71"/>
      <c r="P80" s="24" t="s">
        <v>170</v>
      </c>
      <c r="Q80" s="27">
        <v>5.8447061573979369</v>
      </c>
      <c r="R80" s="27">
        <v>6.1519532451553367</v>
      </c>
    </row>
    <row r="81" spans="15:20" x14ac:dyDescent="0.2">
      <c r="P81" s="24" t="s">
        <v>182</v>
      </c>
      <c r="Q81" s="27">
        <v>5.5244781735759476</v>
      </c>
      <c r="R81" s="27">
        <v>1.647362325812026</v>
      </c>
    </row>
    <row r="82" spans="15:20" x14ac:dyDescent="0.2">
      <c r="O82" s="196"/>
      <c r="P82" s="24" t="s">
        <v>183</v>
      </c>
      <c r="Q82" s="27">
        <v>4.2662844075837469</v>
      </c>
      <c r="R82" s="27">
        <v>0.70894457648537179</v>
      </c>
    </row>
    <row r="83" spans="15:20" x14ac:dyDescent="0.2">
      <c r="P83" s="24" t="s">
        <v>184</v>
      </c>
      <c r="Q83" s="27">
        <v>3.9157800829804872</v>
      </c>
      <c r="R83" s="27">
        <v>2.1529612606187127</v>
      </c>
    </row>
    <row r="84" spans="15:20" x14ac:dyDescent="0.2">
      <c r="P84" s="24" t="s">
        <v>178</v>
      </c>
      <c r="Q84" s="27">
        <v>3.5299142583826639</v>
      </c>
      <c r="R84" s="27">
        <v>0.90843353355208412</v>
      </c>
    </row>
    <row r="85" spans="15:20" x14ac:dyDescent="0.2">
      <c r="P85" s="24"/>
      <c r="Q85" s="27"/>
      <c r="R85" s="27"/>
      <c r="T85" s="51"/>
    </row>
    <row r="86" spans="15:20" x14ac:dyDescent="0.2">
      <c r="P86" s="51" t="s">
        <v>144</v>
      </c>
      <c r="Q86" s="27"/>
      <c r="R86" s="27"/>
      <c r="S86" s="51"/>
      <c r="T86" s="51"/>
    </row>
    <row r="87" spans="15:20" x14ac:dyDescent="0.2">
      <c r="P87" s="51" t="s">
        <v>470</v>
      </c>
      <c r="Q87" s="51"/>
      <c r="R87" s="51"/>
      <c r="S87" s="51"/>
    </row>
    <row r="88" spans="15:20" x14ac:dyDescent="0.2">
      <c r="P88" s="51" t="s">
        <v>471</v>
      </c>
      <c r="Q88" s="51"/>
      <c r="R88" s="51"/>
    </row>
    <row r="89" spans="15:20" x14ac:dyDescent="0.2">
      <c r="P89" s="20"/>
      <c r="Q89" s="40"/>
      <c r="R89" s="40"/>
      <c r="S89" s="20"/>
    </row>
  </sheetData>
  <sortState ref="P7:R41">
    <sortCondition descending="1" ref="Q40:Q72"/>
  </sortState>
  <mergeCells count="3">
    <mergeCell ref="C4:L4"/>
    <mergeCell ref="P48:S48"/>
    <mergeCell ref="P43:R43"/>
  </mergeCells>
  <hyperlinks>
    <hyperlink ref="P1" location="'Key findings'!A1" display="Back to Key Findings"/>
    <hyperlink ref="P2" location="About!A1" display="About the statistics"/>
  </hyperlinks>
  <pageMargins left="0.7" right="0.7" top="0.75" bottom="0.75" header="0.3" footer="0.3"/>
  <pageSetup paperSize="9" scale="62" orientation="landscape" r:id="rId1"/>
  <rowBreaks count="1" manualBreakCount="1">
    <brk id="46"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81"/>
  <sheetViews>
    <sheetView showGridLines="0" zoomScaleNormal="100" workbookViewId="0">
      <selection activeCell="E54" sqref="E54"/>
    </sheetView>
  </sheetViews>
  <sheetFormatPr defaultRowHeight="12.75" x14ac:dyDescent="0.2"/>
  <cols>
    <col min="1" max="1" width="9.140625" style="12"/>
    <col min="2" max="2" width="2.28515625" style="12" customWidth="1"/>
    <col min="3" max="3" width="27.5703125" style="102" customWidth="1"/>
    <col min="4" max="4" width="4" style="12" customWidth="1"/>
    <col min="5" max="5" width="95.28515625" style="121" customWidth="1"/>
    <col min="6" max="6" width="2.28515625" style="12" customWidth="1"/>
    <col min="7" max="7" width="3.5703125" style="12" customWidth="1"/>
    <col min="8" max="16384" width="9.140625" style="12"/>
  </cols>
  <sheetData>
    <row r="1" spans="2:15" x14ac:dyDescent="0.2">
      <c r="H1" s="131" t="s">
        <v>505</v>
      </c>
    </row>
    <row r="2" spans="2:15" ht="36.75" customHeight="1" x14ac:dyDescent="0.35">
      <c r="C2" s="581" t="s">
        <v>288</v>
      </c>
      <c r="D2" s="582"/>
      <c r="E2" s="582"/>
      <c r="H2" s="131" t="s">
        <v>473</v>
      </c>
    </row>
    <row r="4" spans="2:15" ht="14.25" x14ac:dyDescent="0.2">
      <c r="B4" s="71"/>
      <c r="C4" s="144"/>
      <c r="D4" s="145"/>
      <c r="E4" s="134"/>
      <c r="F4" s="144"/>
      <c r="G4" s="505"/>
      <c r="H4" s="102"/>
      <c r="I4" s="102"/>
      <c r="J4" s="102"/>
      <c r="K4" s="102"/>
      <c r="L4" s="102"/>
      <c r="M4" s="102"/>
      <c r="N4" s="102"/>
      <c r="O4" s="102"/>
    </row>
    <row r="5" spans="2:15" x14ac:dyDescent="0.2">
      <c r="B5" s="71"/>
      <c r="C5" s="106" t="s">
        <v>588</v>
      </c>
      <c r="D5" s="105"/>
      <c r="E5" s="106" t="s">
        <v>198</v>
      </c>
      <c r="F5" s="71"/>
      <c r="G5" s="71"/>
    </row>
    <row r="6" spans="2:15" x14ac:dyDescent="0.2">
      <c r="B6" s="71"/>
      <c r="C6" s="106"/>
      <c r="D6" s="105"/>
      <c r="E6" s="106" t="s">
        <v>199</v>
      </c>
      <c r="F6" s="71"/>
      <c r="G6" s="71"/>
    </row>
    <row r="7" spans="2:15" ht="24" x14ac:dyDescent="0.2">
      <c r="B7" s="71"/>
      <c r="C7" s="106"/>
      <c r="D7" s="105"/>
      <c r="E7" s="106" t="s">
        <v>200</v>
      </c>
      <c r="F7" s="71"/>
      <c r="G7" s="71"/>
    </row>
    <row r="8" spans="2:15" x14ac:dyDescent="0.2">
      <c r="B8" s="71"/>
      <c r="C8" s="106"/>
      <c r="D8" s="105"/>
      <c r="E8" s="106"/>
      <c r="F8" s="71"/>
      <c r="G8" s="71"/>
    </row>
    <row r="9" spans="2:15" ht="84" x14ac:dyDescent="0.2">
      <c r="B9" s="71"/>
      <c r="C9" s="161" t="s">
        <v>202</v>
      </c>
      <c r="D9" s="105"/>
      <c r="E9" s="106" t="s">
        <v>472</v>
      </c>
      <c r="F9" s="71"/>
      <c r="G9" s="71"/>
    </row>
    <row r="10" spans="2:15" ht="9" customHeight="1" x14ac:dyDescent="0.2">
      <c r="B10" s="71"/>
      <c r="C10" s="161"/>
      <c r="D10" s="105"/>
      <c r="E10" s="106"/>
      <c r="F10" s="71"/>
      <c r="G10" s="71"/>
    </row>
    <row r="11" spans="2:15" ht="36" x14ac:dyDescent="0.2">
      <c r="B11" s="71"/>
      <c r="C11" s="106"/>
      <c r="D11" s="105"/>
      <c r="E11" s="106" t="s">
        <v>203</v>
      </c>
      <c r="F11" s="71"/>
      <c r="G11" s="71"/>
    </row>
    <row r="12" spans="2:15" ht="6.75" customHeight="1" x14ac:dyDescent="0.2">
      <c r="B12" s="71"/>
      <c r="C12" s="106"/>
      <c r="D12" s="105"/>
      <c r="E12" s="106"/>
      <c r="F12" s="71"/>
      <c r="G12" s="71"/>
    </row>
    <row r="13" spans="2:15" ht="24" x14ac:dyDescent="0.2">
      <c r="B13" s="71"/>
      <c r="C13" s="106"/>
      <c r="D13" s="105"/>
      <c r="E13" s="106" t="s">
        <v>204</v>
      </c>
      <c r="F13" s="71"/>
      <c r="G13" s="71"/>
    </row>
    <row r="14" spans="2:15" x14ac:dyDescent="0.2">
      <c r="B14" s="71"/>
      <c r="C14" s="106"/>
      <c r="D14" s="105"/>
      <c r="E14" s="521" t="s">
        <v>658</v>
      </c>
      <c r="F14" s="71"/>
      <c r="G14" s="71"/>
    </row>
    <row r="15" spans="2:15" x14ac:dyDescent="0.2">
      <c r="B15" s="71"/>
      <c r="C15" s="106"/>
      <c r="D15" s="105"/>
      <c r="E15" s="106"/>
      <c r="F15" s="71"/>
      <c r="G15" s="71"/>
    </row>
    <row r="16" spans="2:15" ht="44.25" customHeight="1" x14ac:dyDescent="0.2">
      <c r="B16" s="71"/>
      <c r="C16" s="161" t="s">
        <v>201</v>
      </c>
      <c r="D16" s="105"/>
      <c r="E16" s="161" t="s">
        <v>589</v>
      </c>
      <c r="F16" s="71"/>
      <c r="G16" s="71"/>
    </row>
    <row r="17" spans="2:7" x14ac:dyDescent="0.2">
      <c r="B17" s="71"/>
      <c r="C17" s="106"/>
      <c r="D17" s="105"/>
      <c r="E17" s="106"/>
      <c r="F17" s="71"/>
      <c r="G17" s="71"/>
    </row>
    <row r="18" spans="2:7" s="177" customFormat="1" ht="27.75" customHeight="1" x14ac:dyDescent="0.2">
      <c r="B18" s="516"/>
      <c r="C18" s="161" t="s">
        <v>205</v>
      </c>
      <c r="D18" s="490"/>
      <c r="E18" s="161" t="s">
        <v>206</v>
      </c>
      <c r="F18" s="516"/>
      <c r="G18" s="516"/>
    </row>
    <row r="19" spans="2:7" ht="15" customHeight="1" x14ac:dyDescent="0.2">
      <c r="B19" s="71"/>
      <c r="C19" s="106"/>
      <c r="D19" s="105"/>
      <c r="E19" s="106" t="s">
        <v>649</v>
      </c>
      <c r="F19" s="71"/>
      <c r="G19" s="71"/>
    </row>
    <row r="20" spans="2:7" x14ac:dyDescent="0.2">
      <c r="B20" s="71"/>
      <c r="C20" s="106"/>
      <c r="D20" s="105"/>
      <c r="E20" s="106"/>
      <c r="F20" s="71"/>
      <c r="G20" s="71"/>
    </row>
    <row r="21" spans="2:7" x14ac:dyDescent="0.2">
      <c r="B21" s="71"/>
      <c r="C21" s="106"/>
      <c r="D21" s="105"/>
      <c r="E21" s="106" t="s">
        <v>207</v>
      </c>
      <c r="F21" s="71"/>
      <c r="G21" s="71"/>
    </row>
    <row r="22" spans="2:7" x14ac:dyDescent="0.2">
      <c r="B22" s="71"/>
      <c r="C22" s="106"/>
      <c r="D22" s="105"/>
      <c r="E22" s="106" t="s">
        <v>208</v>
      </c>
      <c r="F22" s="71"/>
      <c r="G22" s="71"/>
    </row>
    <row r="23" spans="2:7" x14ac:dyDescent="0.2">
      <c r="B23" s="71"/>
      <c r="C23" s="106"/>
      <c r="D23" s="105"/>
      <c r="E23" s="106" t="s">
        <v>209</v>
      </c>
      <c r="F23" s="71"/>
      <c r="G23" s="71"/>
    </row>
    <row r="24" spans="2:7" x14ac:dyDescent="0.2">
      <c r="B24" s="71"/>
      <c r="C24" s="106"/>
      <c r="D24" s="105"/>
      <c r="E24" s="106" t="s">
        <v>210</v>
      </c>
      <c r="F24" s="71"/>
      <c r="G24" s="71"/>
    </row>
    <row r="25" spans="2:7" x14ac:dyDescent="0.2">
      <c r="B25" s="71"/>
      <c r="C25" s="106"/>
      <c r="D25" s="105"/>
      <c r="E25" s="106"/>
      <c r="F25" s="71"/>
      <c r="G25" s="71"/>
    </row>
    <row r="26" spans="2:7" ht="24" x14ac:dyDescent="0.2">
      <c r="B26" s="71"/>
      <c r="C26" s="106"/>
      <c r="D26" s="105"/>
      <c r="E26" s="106" t="s">
        <v>496</v>
      </c>
      <c r="F26" s="71"/>
      <c r="G26" s="71"/>
    </row>
    <row r="27" spans="2:7" x14ac:dyDescent="0.2">
      <c r="B27" s="71"/>
      <c r="C27" s="106"/>
      <c r="D27" s="105"/>
      <c r="E27" s="106" t="s">
        <v>345</v>
      </c>
      <c r="F27" s="71"/>
      <c r="G27" s="71"/>
    </row>
    <row r="28" spans="2:7" x14ac:dyDescent="0.2">
      <c r="B28" s="71"/>
      <c r="C28" s="106"/>
      <c r="D28" s="105"/>
      <c r="E28" s="106" t="s">
        <v>211</v>
      </c>
      <c r="F28" s="71"/>
      <c r="G28" s="71"/>
    </row>
    <row r="29" spans="2:7" x14ac:dyDescent="0.2">
      <c r="B29" s="71"/>
      <c r="C29" s="106"/>
      <c r="D29" s="105"/>
      <c r="E29" s="106" t="s">
        <v>212</v>
      </c>
      <c r="F29" s="71"/>
      <c r="G29" s="71"/>
    </row>
    <row r="30" spans="2:7" x14ac:dyDescent="0.2">
      <c r="B30" s="71"/>
      <c r="C30" s="106"/>
      <c r="D30" s="105"/>
      <c r="E30" s="106" t="s">
        <v>213</v>
      </c>
      <c r="F30" s="71"/>
      <c r="G30" s="71"/>
    </row>
    <row r="31" spans="2:7" x14ac:dyDescent="0.2">
      <c r="B31" s="71"/>
      <c r="C31" s="106"/>
      <c r="D31" s="105"/>
      <c r="E31" s="106"/>
      <c r="F31" s="71"/>
      <c r="G31" s="71"/>
    </row>
    <row r="32" spans="2:7" ht="45" customHeight="1" x14ac:dyDescent="0.2">
      <c r="B32" s="71"/>
      <c r="C32" s="161" t="s">
        <v>303</v>
      </c>
      <c r="D32" s="105"/>
      <c r="E32" s="161" t="s">
        <v>590</v>
      </c>
      <c r="F32" s="71"/>
      <c r="G32" s="71"/>
    </row>
    <row r="33" spans="2:7" ht="48" x14ac:dyDescent="0.2">
      <c r="B33" s="71"/>
      <c r="C33" s="106"/>
      <c r="D33" s="105"/>
      <c r="E33" s="161" t="s">
        <v>630</v>
      </c>
      <c r="F33" s="71"/>
      <c r="G33" s="71"/>
    </row>
    <row r="34" spans="2:7" ht="24.75" customHeight="1" x14ac:dyDescent="0.2">
      <c r="B34" s="71"/>
      <c r="C34" s="106"/>
      <c r="D34" s="105"/>
      <c r="E34" s="491" t="s">
        <v>634</v>
      </c>
      <c r="F34" s="71"/>
      <c r="G34" s="71"/>
    </row>
    <row r="35" spans="2:7" ht="23.25" customHeight="1" x14ac:dyDescent="0.2">
      <c r="B35" s="71"/>
      <c r="C35" s="106"/>
      <c r="D35" s="105"/>
      <c r="E35" s="161" t="s">
        <v>633</v>
      </c>
      <c r="F35" s="71"/>
      <c r="G35" s="71"/>
    </row>
    <row r="36" spans="2:7" ht="44.25" customHeight="1" x14ac:dyDescent="0.2">
      <c r="B36" s="71"/>
      <c r="C36" s="106"/>
      <c r="D36" s="105"/>
      <c r="E36" s="161" t="s">
        <v>601</v>
      </c>
      <c r="F36" s="71"/>
      <c r="G36" s="71"/>
    </row>
    <row r="37" spans="2:7" ht="9.75" customHeight="1" x14ac:dyDescent="0.2">
      <c r="B37" s="71"/>
      <c r="C37" s="106"/>
      <c r="D37" s="105"/>
      <c r="E37" s="106"/>
      <c r="F37" s="71"/>
      <c r="G37" s="71"/>
    </row>
    <row r="38" spans="2:7" x14ac:dyDescent="0.2">
      <c r="B38" s="71"/>
      <c r="C38" s="161" t="s">
        <v>21</v>
      </c>
      <c r="D38" s="490"/>
      <c r="E38" s="161" t="s">
        <v>301</v>
      </c>
      <c r="F38" s="71"/>
      <c r="G38" s="71"/>
    </row>
    <row r="39" spans="2:7" x14ac:dyDescent="0.2">
      <c r="B39" s="71"/>
      <c r="C39" s="161"/>
      <c r="D39" s="490"/>
      <c r="E39" s="161"/>
      <c r="F39" s="71"/>
      <c r="G39" s="71"/>
    </row>
    <row r="40" spans="2:7" ht="36" x14ac:dyDescent="0.2">
      <c r="B40" s="71"/>
      <c r="C40" s="161" t="s">
        <v>22</v>
      </c>
      <c r="D40" s="490"/>
      <c r="E40" s="161" t="s">
        <v>657</v>
      </c>
      <c r="F40" s="71"/>
      <c r="G40" s="71"/>
    </row>
    <row r="41" spans="2:7" x14ac:dyDescent="0.2">
      <c r="B41" s="71"/>
      <c r="C41" s="161"/>
      <c r="D41" s="490"/>
      <c r="E41" s="161"/>
      <c r="F41" s="71"/>
      <c r="G41" s="71"/>
    </row>
    <row r="42" spans="2:7" ht="28.5" customHeight="1" x14ac:dyDescent="0.2">
      <c r="B42" s="71"/>
      <c r="C42" s="161" t="s">
        <v>267</v>
      </c>
      <c r="D42" s="490"/>
      <c r="E42" s="161" t="s">
        <v>268</v>
      </c>
      <c r="F42" s="71"/>
      <c r="G42" s="71"/>
    </row>
    <row r="43" spans="2:7" x14ac:dyDescent="0.2">
      <c r="B43" s="71"/>
      <c r="C43" s="161"/>
      <c r="D43" s="490"/>
      <c r="E43" s="161"/>
      <c r="F43" s="71"/>
      <c r="G43" s="71"/>
    </row>
    <row r="44" spans="2:7" ht="48" x14ac:dyDescent="0.2">
      <c r="B44" s="71"/>
      <c r="C44" s="161" t="s">
        <v>269</v>
      </c>
      <c r="D44" s="490"/>
      <c r="E44" s="161" t="s">
        <v>638</v>
      </c>
      <c r="F44" s="71"/>
      <c r="G44" s="71"/>
    </row>
    <row r="45" spans="2:7" x14ac:dyDescent="0.2">
      <c r="B45" s="71"/>
      <c r="C45" s="161"/>
      <c r="D45" s="490"/>
      <c r="E45" s="161"/>
      <c r="F45" s="71"/>
      <c r="G45" s="71"/>
    </row>
    <row r="46" spans="2:7" ht="39" customHeight="1" x14ac:dyDescent="0.2">
      <c r="B46" s="71"/>
      <c r="C46" s="161" t="s">
        <v>113</v>
      </c>
      <c r="D46" s="490"/>
      <c r="E46" s="161" t="s">
        <v>271</v>
      </c>
      <c r="F46" s="71"/>
      <c r="G46" s="71"/>
    </row>
    <row r="47" spans="2:7" ht="9" customHeight="1" x14ac:dyDescent="0.2">
      <c r="B47" s="71"/>
      <c r="C47" s="161"/>
      <c r="D47" s="490"/>
      <c r="E47" s="161"/>
      <c r="F47" s="71"/>
      <c r="G47" s="71"/>
    </row>
    <row r="48" spans="2:7" ht="47.25" customHeight="1" x14ac:dyDescent="0.2">
      <c r="B48" s="71"/>
      <c r="C48" s="161" t="s">
        <v>270</v>
      </c>
      <c r="D48" s="490"/>
      <c r="E48" s="161" t="s">
        <v>646</v>
      </c>
      <c r="F48" s="71"/>
      <c r="G48" s="71"/>
    </row>
    <row r="49" spans="2:7" x14ac:dyDescent="0.2">
      <c r="B49" s="71"/>
      <c r="C49" s="161"/>
      <c r="D49" s="490"/>
      <c r="E49" s="161"/>
      <c r="F49" s="71"/>
      <c r="G49" s="71"/>
    </row>
    <row r="50" spans="2:7" ht="87.75" customHeight="1" x14ac:dyDescent="0.2">
      <c r="B50" s="71"/>
      <c r="C50" s="161" t="s">
        <v>302</v>
      </c>
      <c r="D50" s="105"/>
      <c r="E50" s="161" t="s">
        <v>592</v>
      </c>
      <c r="F50" s="71"/>
      <c r="G50" s="71"/>
    </row>
    <row r="51" spans="2:7" ht="15" customHeight="1" x14ac:dyDescent="0.2">
      <c r="B51" s="71"/>
      <c r="C51" s="161"/>
      <c r="D51" s="105"/>
      <c r="E51" s="161"/>
      <c r="F51" s="71"/>
      <c r="G51" s="71"/>
    </row>
    <row r="52" spans="2:7" ht="96" x14ac:dyDescent="0.2">
      <c r="B52" s="71"/>
      <c r="C52" s="161" t="s">
        <v>272</v>
      </c>
      <c r="D52" s="105"/>
      <c r="E52" s="161" t="s">
        <v>306</v>
      </c>
      <c r="F52" s="71"/>
      <c r="G52" s="71"/>
    </row>
    <row r="53" spans="2:7" x14ac:dyDescent="0.2">
      <c r="B53" s="71"/>
      <c r="C53" s="105"/>
      <c r="D53" s="105"/>
      <c r="E53" s="106"/>
      <c r="F53" s="71"/>
      <c r="G53" s="71"/>
    </row>
    <row r="54" spans="2:7" ht="84.75" customHeight="1" x14ac:dyDescent="0.2">
      <c r="B54" s="71"/>
      <c r="C54" s="161" t="s">
        <v>80</v>
      </c>
      <c r="D54" s="105"/>
      <c r="E54" s="161" t="s">
        <v>659</v>
      </c>
      <c r="F54" s="71"/>
      <c r="G54" s="71"/>
    </row>
    <row r="55" spans="2:7" x14ac:dyDescent="0.2">
      <c r="B55" s="71"/>
      <c r="C55" s="105"/>
      <c r="D55" s="105"/>
      <c r="E55" s="106"/>
      <c r="F55" s="71"/>
      <c r="G55" s="71"/>
    </row>
    <row r="56" spans="2:7" ht="60" x14ac:dyDescent="0.2">
      <c r="B56" s="71"/>
      <c r="C56" s="161" t="s">
        <v>273</v>
      </c>
      <c r="D56" s="105"/>
      <c r="E56" s="491" t="s">
        <v>304</v>
      </c>
      <c r="F56" s="71"/>
      <c r="G56" s="71"/>
    </row>
    <row r="57" spans="2:7" ht="25.5" customHeight="1" x14ac:dyDescent="0.2">
      <c r="B57" s="71"/>
      <c r="C57" s="105"/>
      <c r="D57" s="105"/>
      <c r="E57" s="492" t="s">
        <v>290</v>
      </c>
      <c r="F57" s="71"/>
      <c r="G57" s="71"/>
    </row>
    <row r="58" spans="2:7" x14ac:dyDescent="0.2">
      <c r="B58" s="71"/>
      <c r="C58" s="106"/>
      <c r="D58" s="105"/>
      <c r="E58" s="161"/>
      <c r="F58" s="71"/>
      <c r="G58" s="71"/>
    </row>
    <row r="59" spans="2:7" ht="33.75" customHeight="1" x14ac:dyDescent="0.2">
      <c r="B59" s="71"/>
      <c r="C59" s="161" t="s">
        <v>214</v>
      </c>
      <c r="D59" s="105"/>
      <c r="E59" s="491" t="s">
        <v>305</v>
      </c>
      <c r="F59" s="71"/>
      <c r="G59" s="71"/>
    </row>
    <row r="60" spans="2:7" ht="60" x14ac:dyDescent="0.2">
      <c r="B60" s="71"/>
      <c r="C60" s="106"/>
      <c r="D60" s="105"/>
      <c r="E60" s="161" t="s">
        <v>215</v>
      </c>
      <c r="F60" s="71"/>
      <c r="G60" s="71"/>
    </row>
    <row r="61" spans="2:7" ht="36.75" customHeight="1" x14ac:dyDescent="0.2">
      <c r="B61" s="71"/>
      <c r="C61" s="106"/>
      <c r="D61" s="105"/>
      <c r="E61" s="161" t="s">
        <v>637</v>
      </c>
      <c r="F61" s="71"/>
      <c r="G61" s="71"/>
    </row>
    <row r="62" spans="2:7" x14ac:dyDescent="0.2">
      <c r="B62" s="71"/>
      <c r="C62" s="106"/>
      <c r="D62" s="105"/>
      <c r="E62" s="106"/>
      <c r="F62" s="71"/>
      <c r="G62" s="71"/>
    </row>
    <row r="63" spans="2:7" x14ac:dyDescent="0.2">
      <c r="B63" s="71"/>
      <c r="C63" s="106" t="s">
        <v>274</v>
      </c>
      <c r="D63" s="105"/>
      <c r="E63" s="178" t="s">
        <v>275</v>
      </c>
      <c r="F63" s="71"/>
      <c r="G63" s="71"/>
    </row>
    <row r="64" spans="2:7" ht="15.75" customHeight="1" x14ac:dyDescent="0.2">
      <c r="B64" s="71"/>
      <c r="C64" s="105"/>
      <c r="D64" s="105"/>
      <c r="E64" s="161" t="s">
        <v>587</v>
      </c>
      <c r="F64" s="71"/>
      <c r="G64" s="71"/>
    </row>
    <row r="65" spans="2:7" x14ac:dyDescent="0.2">
      <c r="B65" s="71"/>
      <c r="C65" s="106"/>
      <c r="D65" s="105"/>
      <c r="E65" s="493" t="s">
        <v>287</v>
      </c>
      <c r="F65" s="71"/>
      <c r="G65" s="71"/>
    </row>
    <row r="66" spans="2:7" x14ac:dyDescent="0.2">
      <c r="B66" s="71"/>
      <c r="C66" s="106"/>
      <c r="D66" s="105"/>
      <c r="E66" s="161"/>
      <c r="F66" s="71"/>
      <c r="G66" s="71"/>
    </row>
    <row r="67" spans="2:7" x14ac:dyDescent="0.2">
      <c r="B67" s="71"/>
      <c r="C67" s="106"/>
      <c r="D67" s="105"/>
      <c r="E67" s="161"/>
      <c r="F67" s="71"/>
      <c r="G67" s="71"/>
    </row>
    <row r="68" spans="2:7" x14ac:dyDescent="0.2">
      <c r="B68" s="71"/>
      <c r="C68" s="106"/>
      <c r="D68" s="105"/>
      <c r="E68" s="161" t="s">
        <v>276</v>
      </c>
      <c r="F68" s="71"/>
      <c r="G68" s="71"/>
    </row>
    <row r="69" spans="2:7" x14ac:dyDescent="0.2">
      <c r="B69" s="71"/>
      <c r="C69" s="106"/>
      <c r="D69" s="105"/>
      <c r="E69" s="161" t="s">
        <v>277</v>
      </c>
      <c r="F69" s="71"/>
      <c r="G69" s="71"/>
    </row>
    <row r="70" spans="2:7" x14ac:dyDescent="0.2">
      <c r="B70" s="71"/>
      <c r="C70" s="106"/>
      <c r="D70" s="105"/>
      <c r="E70" s="161" t="s">
        <v>278</v>
      </c>
      <c r="F70" s="71"/>
      <c r="G70" s="71"/>
    </row>
    <row r="71" spans="2:7" x14ac:dyDescent="0.2">
      <c r="B71" s="71"/>
      <c r="C71" s="106"/>
      <c r="D71" s="105"/>
      <c r="E71" s="161" t="s">
        <v>279</v>
      </c>
      <c r="F71" s="71"/>
      <c r="G71" s="71"/>
    </row>
    <row r="72" spans="2:7" x14ac:dyDescent="0.2">
      <c r="B72" s="71"/>
      <c r="C72" s="106"/>
      <c r="D72" s="105"/>
      <c r="E72" s="161" t="s">
        <v>280</v>
      </c>
      <c r="F72" s="71"/>
      <c r="G72" s="71"/>
    </row>
    <row r="73" spans="2:7" x14ac:dyDescent="0.2">
      <c r="B73" s="71"/>
      <c r="C73" s="106"/>
      <c r="D73" s="105"/>
      <c r="E73" s="161" t="s">
        <v>281</v>
      </c>
      <c r="F73" s="71"/>
      <c r="G73" s="71"/>
    </row>
    <row r="74" spans="2:7" x14ac:dyDescent="0.2">
      <c r="B74" s="71"/>
      <c r="C74" s="106"/>
      <c r="D74" s="105"/>
      <c r="E74" s="161" t="s">
        <v>282</v>
      </c>
      <c r="F74" s="71"/>
      <c r="G74" s="71"/>
    </row>
    <row r="75" spans="2:7" x14ac:dyDescent="0.2">
      <c r="B75" s="71"/>
      <c r="C75" s="106"/>
      <c r="D75" s="105"/>
      <c r="E75" s="161" t="s">
        <v>283</v>
      </c>
      <c r="F75" s="71"/>
      <c r="G75" s="71"/>
    </row>
    <row r="76" spans="2:7" x14ac:dyDescent="0.2">
      <c r="B76" s="71"/>
      <c r="C76" s="106"/>
      <c r="D76" s="105"/>
      <c r="E76" s="494" t="s">
        <v>284</v>
      </c>
      <c r="F76" s="71"/>
      <c r="G76" s="71"/>
    </row>
    <row r="77" spans="2:7" x14ac:dyDescent="0.2">
      <c r="B77" s="71"/>
      <c r="C77" s="106"/>
      <c r="D77" s="105"/>
      <c r="E77" s="495" t="s">
        <v>285</v>
      </c>
      <c r="F77" s="71"/>
      <c r="G77" s="71"/>
    </row>
    <row r="78" spans="2:7" x14ac:dyDescent="0.2">
      <c r="B78" s="71"/>
      <c r="C78" s="106"/>
      <c r="D78" s="105"/>
      <c r="E78" s="495" t="s">
        <v>286</v>
      </c>
      <c r="F78" s="71"/>
      <c r="G78" s="71"/>
    </row>
    <row r="79" spans="2:7" x14ac:dyDescent="0.2">
      <c r="B79" s="71"/>
      <c r="C79" s="106"/>
      <c r="D79" s="105"/>
      <c r="E79" s="159"/>
      <c r="F79" s="71"/>
      <c r="G79" s="71"/>
    </row>
    <row r="80" spans="2:7" x14ac:dyDescent="0.2">
      <c r="B80" s="71"/>
      <c r="C80" s="144"/>
      <c r="D80" s="71"/>
      <c r="E80" s="134"/>
      <c r="F80" s="71"/>
      <c r="G80" s="71"/>
    </row>
    <row r="81" spans="2:7" x14ac:dyDescent="0.2">
      <c r="B81" s="71"/>
      <c r="C81" s="144"/>
      <c r="D81" s="71"/>
      <c r="E81" s="134"/>
      <c r="F81" s="71"/>
      <c r="G81" s="71"/>
    </row>
  </sheetData>
  <mergeCells count="1">
    <mergeCell ref="C2:E2"/>
  </mergeCells>
  <hyperlinks>
    <hyperlink ref="E18" r:id="rId1" display="http://www.stats.govt.nz/"/>
    <hyperlink ref="E77" r:id="rId2" display="mailto:enquiries@moh.govt.nz"/>
    <hyperlink ref="E78" r:id="rId3" display="http://www.health.govt.nz/"/>
    <hyperlink ref="E65" r:id="rId4"/>
    <hyperlink ref="E57" r:id="rId5"/>
    <hyperlink ref="H1" location="'Key findings'!A1" display="Back to Key Findings"/>
    <hyperlink ref="H2" location="Contents!A1" display="Back to Contents"/>
    <hyperlink ref="E14" r:id="rId6"/>
  </hyperlinks>
  <pageMargins left="0.7" right="0.7" top="0.75" bottom="0.75" header="0.3" footer="0.3"/>
  <pageSetup paperSize="9" scale="60" orientation="landscape" r:id="rId7"/>
  <rowBreaks count="2" manualBreakCount="2">
    <brk id="36" max="16383" man="1"/>
    <brk id="61" max="1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5"/>
  <sheetViews>
    <sheetView showGridLines="0" zoomScaleNormal="100" workbookViewId="0">
      <selection activeCell="H32" sqref="H32"/>
    </sheetView>
  </sheetViews>
  <sheetFormatPr defaultRowHeight="12" x14ac:dyDescent="0.2"/>
  <cols>
    <col min="1" max="1" width="9.140625" style="24"/>
    <col min="2" max="2" width="2.28515625" style="24" customWidth="1"/>
    <col min="3" max="3" width="22.28515625" style="25" customWidth="1"/>
    <col min="4" max="4" width="9.140625" style="24"/>
    <col min="5" max="5" width="76" style="24" customWidth="1"/>
    <col min="6" max="6" width="1.7109375" style="24" customWidth="1"/>
    <col min="7" max="16384" width="9.140625" style="24"/>
  </cols>
  <sheetData>
    <row r="1" spans="2:8" s="104" customFormat="1" ht="12.75" x14ac:dyDescent="0.2">
      <c r="C1" s="25"/>
      <c r="H1" s="131" t="s">
        <v>505</v>
      </c>
    </row>
    <row r="2" spans="2:8" s="104" customFormat="1" ht="23.25" x14ac:dyDescent="0.35">
      <c r="C2" s="176" t="s">
        <v>355</v>
      </c>
      <c r="H2" s="131" t="s">
        <v>473</v>
      </c>
    </row>
    <row r="4" spans="2:8" x14ac:dyDescent="0.2">
      <c r="B4" s="105"/>
      <c r="C4" s="160"/>
      <c r="D4" s="105"/>
      <c r="E4" s="105"/>
      <c r="F4" s="105"/>
    </row>
    <row r="5" spans="2:8" ht="12.75" x14ac:dyDescent="0.2">
      <c r="B5" s="106"/>
      <c r="C5" s="583" t="s">
        <v>329</v>
      </c>
      <c r="D5" s="540"/>
      <c r="E5" s="540"/>
      <c r="F5" s="105"/>
    </row>
    <row r="6" spans="2:8" ht="15" x14ac:dyDescent="0.2">
      <c r="B6" s="106"/>
      <c r="C6" s="158"/>
      <c r="D6" s="159"/>
      <c r="E6" s="159"/>
      <c r="F6" s="105"/>
    </row>
    <row r="7" spans="2:8" ht="25.5" x14ac:dyDescent="0.2">
      <c r="B7" s="106"/>
      <c r="C7" s="154" t="s">
        <v>216</v>
      </c>
      <c r="D7" s="155" t="s">
        <v>217</v>
      </c>
      <c r="E7" s="156" t="s">
        <v>218</v>
      </c>
      <c r="F7" s="105"/>
    </row>
    <row r="8" spans="2:8" ht="24" x14ac:dyDescent="0.2">
      <c r="B8" s="106"/>
      <c r="C8" s="157" t="s">
        <v>47</v>
      </c>
      <c r="D8" s="147" t="s">
        <v>219</v>
      </c>
      <c r="E8" s="151" t="s">
        <v>220</v>
      </c>
      <c r="F8" s="105"/>
    </row>
    <row r="9" spans="2:8" ht="24" x14ac:dyDescent="0.2">
      <c r="B9" s="106"/>
      <c r="C9" s="151"/>
      <c r="D9" s="147" t="s">
        <v>221</v>
      </c>
      <c r="E9" s="151" t="s">
        <v>222</v>
      </c>
      <c r="F9" s="105"/>
    </row>
    <row r="10" spans="2:8" ht="24" x14ac:dyDescent="0.2">
      <c r="B10" s="106"/>
      <c r="C10" s="151"/>
      <c r="D10" s="147" t="s">
        <v>223</v>
      </c>
      <c r="E10" s="151" t="s">
        <v>224</v>
      </c>
      <c r="F10" s="105"/>
    </row>
    <row r="11" spans="2:8" ht="24" x14ac:dyDescent="0.2">
      <c r="B11" s="106"/>
      <c r="C11" s="151"/>
      <c r="D11" s="147" t="s">
        <v>225</v>
      </c>
      <c r="E11" s="151" t="s">
        <v>226</v>
      </c>
      <c r="F11" s="105"/>
    </row>
    <row r="12" spans="2:8" ht="24" x14ac:dyDescent="0.2">
      <c r="B12" s="106"/>
      <c r="C12" s="151"/>
      <c r="D12" s="147" t="s">
        <v>227</v>
      </c>
      <c r="E12" s="151" t="s">
        <v>228</v>
      </c>
      <c r="F12" s="105"/>
    </row>
    <row r="13" spans="2:8" x14ac:dyDescent="0.2">
      <c r="B13" s="106"/>
      <c r="C13" s="151"/>
      <c r="D13" s="147" t="s">
        <v>229</v>
      </c>
      <c r="E13" s="151" t="s">
        <v>230</v>
      </c>
      <c r="F13" s="105"/>
    </row>
    <row r="14" spans="2:8" x14ac:dyDescent="0.2">
      <c r="B14" s="106"/>
      <c r="C14" s="151"/>
      <c r="D14" s="147" t="s">
        <v>231</v>
      </c>
      <c r="E14" s="151" t="s">
        <v>232</v>
      </c>
      <c r="F14" s="105"/>
    </row>
    <row r="15" spans="2:8" ht="24" x14ac:dyDescent="0.2">
      <c r="B15" s="106"/>
      <c r="C15" s="152"/>
      <c r="D15" s="148" t="s">
        <v>233</v>
      </c>
      <c r="E15" s="152" t="s">
        <v>234</v>
      </c>
      <c r="F15" s="105"/>
    </row>
    <row r="16" spans="2:8" ht="24" x14ac:dyDescent="0.2">
      <c r="B16" s="106"/>
      <c r="C16" s="151" t="s">
        <v>46</v>
      </c>
      <c r="D16" s="149" t="s">
        <v>235</v>
      </c>
      <c r="E16" s="157" t="s">
        <v>236</v>
      </c>
      <c r="F16" s="105"/>
    </row>
    <row r="17" spans="2:6" x14ac:dyDescent="0.2">
      <c r="B17" s="106"/>
      <c r="C17" s="152"/>
      <c r="D17" s="148" t="s">
        <v>237</v>
      </c>
      <c r="E17" s="152" t="s">
        <v>238</v>
      </c>
      <c r="F17" s="105"/>
    </row>
    <row r="18" spans="2:6" ht="24" x14ac:dyDescent="0.2">
      <c r="B18" s="106"/>
      <c r="C18" s="153" t="s">
        <v>43</v>
      </c>
      <c r="D18" s="150" t="s">
        <v>239</v>
      </c>
      <c r="E18" s="153" t="s">
        <v>240</v>
      </c>
      <c r="F18" s="105"/>
    </row>
    <row r="19" spans="2:6" x14ac:dyDescent="0.2">
      <c r="B19" s="106"/>
      <c r="C19" s="153" t="s">
        <v>49</v>
      </c>
      <c r="D19" s="150" t="s">
        <v>241</v>
      </c>
      <c r="E19" s="153" t="s">
        <v>242</v>
      </c>
      <c r="F19" s="105"/>
    </row>
    <row r="20" spans="2:6" x14ac:dyDescent="0.2">
      <c r="B20" s="106"/>
      <c r="C20" s="157" t="s">
        <v>42</v>
      </c>
      <c r="D20" s="147" t="s">
        <v>243</v>
      </c>
      <c r="E20" s="151" t="s">
        <v>244</v>
      </c>
      <c r="F20" s="105"/>
    </row>
    <row r="21" spans="2:6" x14ac:dyDescent="0.2">
      <c r="B21" s="106"/>
      <c r="C21" s="151"/>
      <c r="D21" s="147" t="s">
        <v>245</v>
      </c>
      <c r="E21" s="151" t="s">
        <v>246</v>
      </c>
      <c r="F21" s="105"/>
    </row>
    <row r="22" spans="2:6" x14ac:dyDescent="0.2">
      <c r="B22" s="106"/>
      <c r="C22" s="152"/>
      <c r="D22" s="148" t="s">
        <v>247</v>
      </c>
      <c r="E22" s="152" t="s">
        <v>248</v>
      </c>
      <c r="F22" s="105"/>
    </row>
    <row r="23" spans="2:6" x14ac:dyDescent="0.2">
      <c r="B23" s="106"/>
      <c r="C23" s="153" t="s">
        <v>48</v>
      </c>
      <c r="D23" s="150" t="s">
        <v>249</v>
      </c>
      <c r="E23" s="153" t="s">
        <v>250</v>
      </c>
      <c r="F23" s="105"/>
    </row>
    <row r="24" spans="2:6" x14ac:dyDescent="0.2">
      <c r="B24" s="106"/>
      <c r="C24" s="153" t="s">
        <v>44</v>
      </c>
      <c r="D24" s="150" t="s">
        <v>251</v>
      </c>
      <c r="E24" s="153" t="s">
        <v>252</v>
      </c>
      <c r="F24" s="105"/>
    </row>
    <row r="25" spans="2:6" x14ac:dyDescent="0.2">
      <c r="B25" s="106"/>
      <c r="C25" s="157" t="s">
        <v>45</v>
      </c>
      <c r="D25" s="147" t="s">
        <v>253</v>
      </c>
      <c r="E25" s="151" t="s">
        <v>254</v>
      </c>
      <c r="F25" s="105"/>
    </row>
    <row r="26" spans="2:6" x14ac:dyDescent="0.2">
      <c r="B26" s="106"/>
      <c r="C26" s="151"/>
      <c r="D26" s="147" t="s">
        <v>255</v>
      </c>
      <c r="E26" s="151" t="s">
        <v>256</v>
      </c>
      <c r="F26" s="105"/>
    </row>
    <row r="27" spans="2:6" x14ac:dyDescent="0.2">
      <c r="B27" s="106"/>
      <c r="C27" s="151"/>
      <c r="D27" s="147" t="s">
        <v>257</v>
      </c>
      <c r="E27" s="151" t="s">
        <v>258</v>
      </c>
      <c r="F27" s="105"/>
    </row>
    <row r="28" spans="2:6" x14ac:dyDescent="0.2">
      <c r="B28" s="106"/>
      <c r="C28" s="151"/>
      <c r="D28" s="147" t="s">
        <v>259</v>
      </c>
      <c r="E28" s="151" t="s">
        <v>260</v>
      </c>
      <c r="F28" s="105"/>
    </row>
    <row r="29" spans="2:6" x14ac:dyDescent="0.2">
      <c r="B29" s="106"/>
      <c r="C29" s="151"/>
      <c r="D29" s="147" t="s">
        <v>261</v>
      </c>
      <c r="E29" s="151" t="s">
        <v>262</v>
      </c>
      <c r="F29" s="105"/>
    </row>
    <row r="30" spans="2:6" x14ac:dyDescent="0.2">
      <c r="B30" s="106"/>
      <c r="C30" s="151"/>
      <c r="D30" s="147" t="s">
        <v>263</v>
      </c>
      <c r="E30" s="151" t="s">
        <v>264</v>
      </c>
      <c r="F30" s="105"/>
    </row>
    <row r="31" spans="2:6" x14ac:dyDescent="0.2">
      <c r="B31" s="106"/>
      <c r="C31" s="151"/>
      <c r="D31" s="147" t="s">
        <v>265</v>
      </c>
      <c r="E31" s="151" t="s">
        <v>266</v>
      </c>
      <c r="F31" s="105"/>
    </row>
    <row r="32" spans="2:6" x14ac:dyDescent="0.2">
      <c r="B32" s="106"/>
      <c r="C32" s="160"/>
      <c r="D32" s="105"/>
      <c r="E32" s="105"/>
      <c r="F32" s="105"/>
    </row>
    <row r="33" spans="2:6" ht="12.75" x14ac:dyDescent="0.2">
      <c r="B33" s="106"/>
      <c r="C33" s="584" t="s">
        <v>650</v>
      </c>
      <c r="D33" s="585"/>
      <c r="E33" s="585"/>
      <c r="F33" s="105"/>
    </row>
    <row r="34" spans="2:6" x14ac:dyDescent="0.2">
      <c r="B34" s="106"/>
      <c r="C34" s="496"/>
      <c r="D34" s="497"/>
      <c r="E34" s="497"/>
      <c r="F34" s="105"/>
    </row>
    <row r="35" spans="2:6" x14ac:dyDescent="0.2">
      <c r="B35" s="106"/>
      <c r="C35" s="151"/>
      <c r="D35" s="159"/>
      <c r="E35" s="159"/>
      <c r="F35" s="105"/>
    </row>
  </sheetData>
  <mergeCells count="2">
    <mergeCell ref="C5:E5"/>
    <mergeCell ref="C33:E33"/>
  </mergeCells>
  <hyperlinks>
    <hyperlink ref="H1" location="'Key findings'!A1" display="Back to Key Findings"/>
    <hyperlink ref="H2" location="Contents!A1" display="Back to Contents"/>
  </hyperlinks>
  <pageMargins left="0.7" right="0.7" top="0.75" bottom="0.75" header="0.3" footer="0.3"/>
  <pageSetup paperSize="9" scale="8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5387"/>
  <sheetViews>
    <sheetView showGridLines="0" workbookViewId="0">
      <selection activeCell="AE22" sqref="AE22"/>
    </sheetView>
  </sheetViews>
  <sheetFormatPr defaultColWidth="10.42578125" defaultRowHeight="12.75" x14ac:dyDescent="0.2"/>
  <cols>
    <col min="1" max="1" width="18.7109375" customWidth="1"/>
    <col min="5" max="5" width="13.85546875" customWidth="1"/>
    <col min="10" max="10" width="20.7109375" customWidth="1"/>
    <col min="20" max="20" width="37.7109375" customWidth="1"/>
    <col min="21" max="21" width="14.7109375" customWidth="1"/>
    <col min="22" max="22" width="14.42578125" customWidth="1"/>
    <col min="24" max="24" width="13" customWidth="1"/>
    <col min="25" max="25" width="40.42578125" customWidth="1"/>
    <col min="26" max="26" width="13.5703125" customWidth="1"/>
    <col min="30" max="30" width="35.42578125" customWidth="1"/>
    <col min="43" max="43" width="18.42578125" customWidth="1"/>
    <col min="47" max="47" width="14" customWidth="1"/>
    <col min="52" max="52" width="20.85546875" customWidth="1"/>
    <col min="59" max="59" width="10.42578125" style="83"/>
    <col min="63" max="63" width="19" customWidth="1"/>
    <col min="66" max="66" width="18.28515625" customWidth="1"/>
    <col min="71" max="71" width="17.28515625" customWidth="1"/>
    <col min="80" max="80" width="53" customWidth="1"/>
    <col min="90" max="90" width="19.85546875" customWidth="1"/>
  </cols>
  <sheetData>
    <row r="1" spans="1:95" s="352" customFormat="1" ht="21.75" customHeight="1" x14ac:dyDescent="0.2">
      <c r="B1" s="352" t="s">
        <v>654</v>
      </c>
      <c r="C1" s="353"/>
      <c r="D1" s="353"/>
      <c r="E1" s="353"/>
      <c r="F1" s="353"/>
      <c r="G1" s="353"/>
      <c r="H1" s="354"/>
      <c r="I1" s="354"/>
      <c r="J1" s="356"/>
      <c r="K1" s="357" t="s">
        <v>655</v>
      </c>
      <c r="T1" s="356" t="s">
        <v>6</v>
      </c>
      <c r="AD1" s="356" t="s">
        <v>338</v>
      </c>
      <c r="AQ1" s="352" t="s">
        <v>94</v>
      </c>
      <c r="AZ1" s="352" t="s">
        <v>653</v>
      </c>
      <c r="BG1" s="355"/>
      <c r="BL1" s="352" t="s">
        <v>76</v>
      </c>
      <c r="BS1" s="352" t="s">
        <v>346</v>
      </c>
      <c r="CB1" s="352" t="s">
        <v>347</v>
      </c>
      <c r="CM1" s="352" t="s">
        <v>348</v>
      </c>
    </row>
    <row r="2" spans="1:95" ht="14.25" x14ac:dyDescent="0.2">
      <c r="B2" s="3">
        <v>2</v>
      </c>
      <c r="C2" s="2">
        <v>3</v>
      </c>
      <c r="D2" s="2">
        <v>4</v>
      </c>
      <c r="E2" s="2">
        <v>5</v>
      </c>
      <c r="F2" s="2">
        <v>6</v>
      </c>
      <c r="G2" s="4">
        <v>7</v>
      </c>
      <c r="H2" s="4">
        <v>8</v>
      </c>
      <c r="I2" s="4"/>
      <c r="J2" s="358"/>
      <c r="K2" s="359">
        <v>2</v>
      </c>
      <c r="L2">
        <v>3</v>
      </c>
      <c r="M2">
        <v>4</v>
      </c>
      <c r="N2">
        <v>5</v>
      </c>
      <c r="O2">
        <v>6</v>
      </c>
      <c r="P2">
        <v>7</v>
      </c>
      <c r="Q2">
        <v>8</v>
      </c>
      <c r="R2">
        <v>9</v>
      </c>
      <c r="T2" s="358"/>
      <c r="U2">
        <v>2</v>
      </c>
      <c r="V2">
        <v>3</v>
      </c>
      <c r="W2">
        <v>4</v>
      </c>
      <c r="X2">
        <v>5</v>
      </c>
      <c r="Y2">
        <v>6</v>
      </c>
      <c r="Z2">
        <v>7</v>
      </c>
      <c r="AA2">
        <v>8</v>
      </c>
      <c r="AB2">
        <v>9</v>
      </c>
      <c r="AD2" s="358">
        <v>1</v>
      </c>
      <c r="AE2">
        <v>2</v>
      </c>
      <c r="AF2">
        <v>3</v>
      </c>
      <c r="AG2">
        <v>4</v>
      </c>
      <c r="AH2">
        <v>5</v>
      </c>
      <c r="AI2">
        <v>6</v>
      </c>
      <c r="AJ2">
        <v>7</v>
      </c>
      <c r="AK2">
        <v>8</v>
      </c>
      <c r="AL2">
        <v>9</v>
      </c>
      <c r="AM2">
        <v>10</v>
      </c>
      <c r="AN2">
        <v>11</v>
      </c>
      <c r="AR2">
        <v>2</v>
      </c>
      <c r="AS2">
        <v>3</v>
      </c>
      <c r="AT2">
        <v>4</v>
      </c>
      <c r="AU2">
        <v>5</v>
      </c>
      <c r="AV2">
        <v>6</v>
      </c>
      <c r="AW2">
        <v>7</v>
      </c>
      <c r="AX2">
        <v>8</v>
      </c>
      <c r="BA2">
        <v>2</v>
      </c>
      <c r="BB2">
        <v>3</v>
      </c>
      <c r="BC2">
        <v>4</v>
      </c>
      <c r="BD2">
        <v>5</v>
      </c>
      <c r="BE2">
        <v>6</v>
      </c>
      <c r="BF2">
        <v>7</v>
      </c>
      <c r="BG2" s="179">
        <v>8</v>
      </c>
      <c r="BH2">
        <v>9</v>
      </c>
      <c r="BI2">
        <v>10</v>
      </c>
      <c r="BK2">
        <v>1</v>
      </c>
      <c r="BL2">
        <v>2</v>
      </c>
      <c r="BM2">
        <v>3</v>
      </c>
      <c r="BN2">
        <v>4</v>
      </c>
      <c r="BO2">
        <v>5</v>
      </c>
      <c r="BP2">
        <v>6</v>
      </c>
      <c r="BQ2">
        <v>7</v>
      </c>
      <c r="BS2">
        <v>1</v>
      </c>
      <c r="BT2">
        <v>2</v>
      </c>
      <c r="BU2">
        <v>3</v>
      </c>
      <c r="BV2">
        <v>4</v>
      </c>
      <c r="BW2">
        <v>5</v>
      </c>
      <c r="BX2">
        <v>6</v>
      </c>
      <c r="BY2">
        <v>7</v>
      </c>
      <c r="BZ2">
        <v>8</v>
      </c>
      <c r="CB2">
        <v>1</v>
      </c>
      <c r="CC2">
        <v>2</v>
      </c>
      <c r="CD2">
        <v>3</v>
      </c>
      <c r="CE2">
        <v>4</v>
      </c>
      <c r="CF2">
        <v>5</v>
      </c>
      <c r="CG2">
        <v>6</v>
      </c>
      <c r="CH2">
        <v>7</v>
      </c>
      <c r="CI2">
        <v>8</v>
      </c>
      <c r="CL2">
        <v>1</v>
      </c>
      <c r="CM2">
        <v>2</v>
      </c>
      <c r="CN2">
        <v>3</v>
      </c>
      <c r="CO2">
        <v>4</v>
      </c>
      <c r="CP2">
        <v>5</v>
      </c>
      <c r="CQ2">
        <v>6</v>
      </c>
    </row>
    <row r="3" spans="1:95" x14ac:dyDescent="0.2">
      <c r="A3" t="s">
        <v>28</v>
      </c>
      <c r="B3" t="s">
        <v>12</v>
      </c>
      <c r="C3" t="s">
        <v>10</v>
      </c>
      <c r="D3" t="s">
        <v>11</v>
      </c>
      <c r="E3" t="s">
        <v>13</v>
      </c>
      <c r="F3" t="s">
        <v>14</v>
      </c>
      <c r="G3" t="s">
        <v>15</v>
      </c>
      <c r="H3" t="s">
        <v>16</v>
      </c>
      <c r="J3" s="358" t="s">
        <v>28</v>
      </c>
      <c r="K3" s="359" t="s">
        <v>12</v>
      </c>
      <c r="L3" t="s">
        <v>10</v>
      </c>
      <c r="M3" t="s">
        <v>11</v>
      </c>
      <c r="N3" t="s">
        <v>13</v>
      </c>
      <c r="O3" t="s">
        <v>29</v>
      </c>
      <c r="P3" t="s">
        <v>14</v>
      </c>
      <c r="Q3" t="s">
        <v>15</v>
      </c>
      <c r="R3" t="s">
        <v>16</v>
      </c>
      <c r="T3" s="358" t="s">
        <v>28</v>
      </c>
      <c r="U3" s="360" t="s">
        <v>12</v>
      </c>
      <c r="V3" s="360" t="s">
        <v>10</v>
      </c>
      <c r="W3" s="360" t="s">
        <v>11</v>
      </c>
      <c r="X3" s="360" t="s">
        <v>13</v>
      </c>
      <c r="Y3" s="360" t="s">
        <v>39</v>
      </c>
      <c r="Z3" s="360" t="s">
        <v>14</v>
      </c>
      <c r="AA3" s="360" t="s">
        <v>40</v>
      </c>
      <c r="AB3" s="360" t="s">
        <v>41</v>
      </c>
      <c r="AD3" s="358" t="s">
        <v>28</v>
      </c>
      <c r="AE3" t="s">
        <v>10</v>
      </c>
      <c r="AF3" t="s">
        <v>11</v>
      </c>
      <c r="AG3" t="s">
        <v>13</v>
      </c>
      <c r="AH3" t="s">
        <v>52</v>
      </c>
      <c r="AI3" t="s">
        <v>53</v>
      </c>
      <c r="AJ3" t="s">
        <v>14</v>
      </c>
      <c r="AK3" t="s">
        <v>15</v>
      </c>
      <c r="AL3" t="s">
        <v>16</v>
      </c>
      <c r="AM3" t="s">
        <v>81</v>
      </c>
      <c r="AN3" t="s">
        <v>12</v>
      </c>
      <c r="AQ3" t="s">
        <v>28</v>
      </c>
      <c r="AR3" t="s">
        <v>12</v>
      </c>
      <c r="AS3" t="s">
        <v>10</v>
      </c>
      <c r="AT3" t="s">
        <v>95</v>
      </c>
      <c r="AU3" t="s">
        <v>13</v>
      </c>
      <c r="AV3" t="s">
        <v>14</v>
      </c>
      <c r="AW3" t="s">
        <v>15</v>
      </c>
      <c r="AX3" t="s">
        <v>16</v>
      </c>
      <c r="AZ3" t="s">
        <v>28</v>
      </c>
      <c r="BA3" t="s">
        <v>12</v>
      </c>
      <c r="BB3" t="s">
        <v>10</v>
      </c>
      <c r="BC3" t="s">
        <v>11</v>
      </c>
      <c r="BD3" t="s">
        <v>119</v>
      </c>
      <c r="BE3" t="s">
        <v>14</v>
      </c>
      <c r="BF3" t="s">
        <v>15</v>
      </c>
      <c r="BG3" s="83" t="s">
        <v>16</v>
      </c>
      <c r="BH3" t="s">
        <v>40</v>
      </c>
      <c r="BI3" t="s">
        <v>41</v>
      </c>
      <c r="BK3" t="s">
        <v>28</v>
      </c>
      <c r="BL3" t="s">
        <v>10</v>
      </c>
      <c r="BM3" t="s">
        <v>77</v>
      </c>
      <c r="BN3" t="s">
        <v>13</v>
      </c>
      <c r="BO3" t="s">
        <v>14</v>
      </c>
      <c r="BP3" t="s">
        <v>15</v>
      </c>
      <c r="BQ3" t="s">
        <v>16</v>
      </c>
      <c r="BS3" t="s">
        <v>28</v>
      </c>
      <c r="BT3" t="s">
        <v>10</v>
      </c>
      <c r="BU3" t="s">
        <v>77</v>
      </c>
      <c r="BV3" t="s">
        <v>13</v>
      </c>
      <c r="BW3" t="s">
        <v>29</v>
      </c>
      <c r="BX3" t="s">
        <v>14</v>
      </c>
      <c r="BY3" t="s">
        <v>15</v>
      </c>
      <c r="BZ3" t="s">
        <v>16</v>
      </c>
      <c r="CB3" t="s">
        <v>28</v>
      </c>
      <c r="CC3" t="s">
        <v>10</v>
      </c>
      <c r="CD3" t="s">
        <v>77</v>
      </c>
      <c r="CE3" t="s">
        <v>39</v>
      </c>
      <c r="CF3" t="s">
        <v>13</v>
      </c>
      <c r="CG3" t="s">
        <v>14</v>
      </c>
      <c r="CH3" t="s">
        <v>40</v>
      </c>
      <c r="CI3" t="s">
        <v>41</v>
      </c>
      <c r="CL3" t="s">
        <v>28</v>
      </c>
      <c r="CM3" t="s">
        <v>12</v>
      </c>
      <c r="CN3" t="s">
        <v>10</v>
      </c>
      <c r="CO3" t="s">
        <v>11</v>
      </c>
      <c r="CP3" t="s">
        <v>29</v>
      </c>
      <c r="CQ3" t="s">
        <v>349</v>
      </c>
    </row>
    <row r="4" spans="1:95" x14ac:dyDescent="0.2">
      <c r="A4" t="str">
        <f t="shared" ref="A4:A67" si="0">B4&amp;C4&amp;D4&amp;E4</f>
        <v>1996AllSexAllEth19</v>
      </c>
      <c r="B4">
        <v>1996</v>
      </c>
      <c r="C4" t="s">
        <v>17</v>
      </c>
      <c r="D4" t="s">
        <v>27</v>
      </c>
      <c r="E4">
        <v>19</v>
      </c>
      <c r="F4">
        <v>540</v>
      </c>
      <c r="G4">
        <v>14.1955765609588</v>
      </c>
      <c r="H4">
        <v>1.2</v>
      </c>
      <c r="J4" s="358" t="str">
        <f t="shared" ref="J4:J67" si="1">K4&amp;L4&amp;M4&amp;N4&amp;O4</f>
        <v>2001AllSexAllEth191</v>
      </c>
      <c r="K4" s="359">
        <v>2001</v>
      </c>
      <c r="L4" t="s">
        <v>17</v>
      </c>
      <c r="M4" t="s">
        <v>27</v>
      </c>
      <c r="N4">
        <v>19</v>
      </c>
      <c r="O4">
        <v>1</v>
      </c>
      <c r="P4">
        <v>63</v>
      </c>
      <c r="Q4">
        <v>8.8547779375483593</v>
      </c>
      <c r="R4">
        <v>2.2000000000000002</v>
      </c>
      <c r="T4" s="358" t="str">
        <f>U4&amp;V4&amp;W4&amp;X4&amp;Y4</f>
        <v>1996AllSexAllEth22Firearms and explosives</v>
      </c>
      <c r="U4" s="360">
        <v>1996</v>
      </c>
      <c r="V4" s="360" t="s">
        <v>17</v>
      </c>
      <c r="W4" s="360" t="s">
        <v>27</v>
      </c>
      <c r="X4" s="360">
        <v>22</v>
      </c>
      <c r="Y4" s="360" t="s">
        <v>42</v>
      </c>
      <c r="Z4" s="360">
        <v>8</v>
      </c>
      <c r="AA4" s="360">
        <v>143</v>
      </c>
      <c r="AB4" s="360">
        <v>5.6</v>
      </c>
      <c r="AD4" s="358" t="str">
        <f>AN4&amp;AE4&amp;AF4&amp;AG4&amp;AI4</f>
        <v>201115AllSexAllEth19Northland</v>
      </c>
      <c r="AE4" t="s">
        <v>17</v>
      </c>
      <c r="AF4" t="s">
        <v>27</v>
      </c>
      <c r="AG4">
        <v>19</v>
      </c>
      <c r="AH4">
        <v>1</v>
      </c>
      <c r="AI4" t="s">
        <v>54</v>
      </c>
      <c r="AJ4">
        <v>109</v>
      </c>
      <c r="AK4">
        <v>14.2876236280438</v>
      </c>
      <c r="AL4">
        <v>3.5</v>
      </c>
      <c r="AM4" t="s">
        <v>82</v>
      </c>
      <c r="AN4">
        <v>201115</v>
      </c>
      <c r="AQ4" t="str">
        <f t="shared" ref="AQ4:AQ67" si="2">AR4&amp;AS4&amp;AT4&amp;AU4</f>
        <v>2003AllSexRural22</v>
      </c>
      <c r="AR4">
        <v>2003</v>
      </c>
      <c r="AS4" t="s">
        <v>17</v>
      </c>
      <c r="AT4" t="s">
        <v>96</v>
      </c>
      <c r="AU4">
        <v>22</v>
      </c>
      <c r="AV4">
        <v>11</v>
      </c>
      <c r="AW4">
        <v>18.780945876728701</v>
      </c>
      <c r="AX4">
        <v>11.1</v>
      </c>
      <c r="AZ4" t="str">
        <f>BA4&amp;BB4&amp;BC4&amp;BD4</f>
        <v>2015AllSexAllEth3</v>
      </c>
      <c r="BA4">
        <v>2015</v>
      </c>
      <c r="BB4" t="s">
        <v>17</v>
      </c>
      <c r="BC4" t="s">
        <v>27</v>
      </c>
      <c r="BD4">
        <v>3</v>
      </c>
      <c r="BE4">
        <v>10</v>
      </c>
      <c r="BF4">
        <v>3.40645864559204</v>
      </c>
      <c r="BG4" s="83">
        <v>2.1</v>
      </c>
      <c r="BH4">
        <v>36</v>
      </c>
      <c r="BI4">
        <v>27.8</v>
      </c>
      <c r="BK4" t="str">
        <f t="shared" ref="BK4:BK35" si="3">BL4&amp;BM4&amp;BN4</f>
        <v>AllSexMaori19</v>
      </c>
      <c r="BL4" t="s">
        <v>17</v>
      </c>
      <c r="BM4" t="s">
        <v>18</v>
      </c>
      <c r="BN4">
        <v>19</v>
      </c>
      <c r="BO4">
        <v>547</v>
      </c>
      <c r="BP4">
        <v>16.549286770976799</v>
      </c>
      <c r="BQ4">
        <v>1.4</v>
      </c>
      <c r="BS4" t="str">
        <f>BT4&amp;BU4&amp;BV4&amp;BW4</f>
        <v>AllSexAsian191</v>
      </c>
      <c r="BT4" t="s">
        <v>17</v>
      </c>
      <c r="BU4" t="s">
        <v>78</v>
      </c>
      <c r="BV4">
        <v>19</v>
      </c>
      <c r="BW4">
        <v>1</v>
      </c>
      <c r="BX4">
        <v>18</v>
      </c>
      <c r="BY4">
        <v>4.0874705227981796</v>
      </c>
      <c r="BZ4">
        <v>1.9</v>
      </c>
      <c r="CB4" t="str">
        <f>CC4&amp;CD4&amp;CF4&amp;CE4</f>
        <v>AllSexAllEth21Firearms and explosives</v>
      </c>
      <c r="CC4" t="s">
        <v>17</v>
      </c>
      <c r="CD4" t="s">
        <v>27</v>
      </c>
      <c r="CE4" t="s">
        <v>42</v>
      </c>
      <c r="CF4">
        <v>21</v>
      </c>
      <c r="CG4">
        <v>3</v>
      </c>
      <c r="CH4">
        <v>35</v>
      </c>
      <c r="CI4">
        <v>8.6</v>
      </c>
      <c r="CL4" t="str">
        <f>CM4&amp;CN4&amp;CO4&amp;CP4</f>
        <v>2001AllSexAllEth9</v>
      </c>
      <c r="CM4">
        <v>2001</v>
      </c>
      <c r="CN4" t="s">
        <v>17</v>
      </c>
      <c r="CO4" t="s">
        <v>27</v>
      </c>
      <c r="CP4">
        <v>9</v>
      </c>
      <c r="CQ4">
        <v>104</v>
      </c>
    </row>
    <row r="5" spans="1:95" x14ac:dyDescent="0.2">
      <c r="A5" t="str">
        <f t="shared" si="0"/>
        <v>1997AllSexAllEth19</v>
      </c>
      <c r="B5">
        <v>1997</v>
      </c>
      <c r="C5" t="s">
        <v>17</v>
      </c>
      <c r="D5" t="s">
        <v>27</v>
      </c>
      <c r="E5">
        <v>19</v>
      </c>
      <c r="F5">
        <v>562</v>
      </c>
      <c r="G5">
        <v>14.7420910684024</v>
      </c>
      <c r="H5">
        <v>1.2</v>
      </c>
      <c r="J5" s="358" t="str">
        <f t="shared" si="1"/>
        <v>2001AllSexAllEth192</v>
      </c>
      <c r="K5" s="359">
        <v>2001</v>
      </c>
      <c r="L5" t="s">
        <v>17</v>
      </c>
      <c r="M5" t="s">
        <v>27</v>
      </c>
      <c r="N5">
        <v>19</v>
      </c>
      <c r="O5">
        <v>2</v>
      </c>
      <c r="P5">
        <v>74</v>
      </c>
      <c r="Q5">
        <v>9.0094490119343202</v>
      </c>
      <c r="R5">
        <v>2.1</v>
      </c>
      <c r="T5" s="358" t="str">
        <f t="shared" ref="T5:T68" si="4">U5&amp;V5&amp;W5&amp;X5&amp;Y5</f>
        <v>1996AllSexAllEth23Firearms and explosives</v>
      </c>
      <c r="U5" s="360">
        <v>1996</v>
      </c>
      <c r="V5" s="360" t="s">
        <v>17</v>
      </c>
      <c r="W5" s="360" t="s">
        <v>27</v>
      </c>
      <c r="X5" s="360">
        <v>23</v>
      </c>
      <c r="Y5" s="360" t="s">
        <v>42</v>
      </c>
      <c r="Z5" s="360">
        <v>21</v>
      </c>
      <c r="AA5" s="360">
        <v>222</v>
      </c>
      <c r="AB5" s="360">
        <v>9.5</v>
      </c>
      <c r="AD5" s="358" t="str">
        <f t="shared" ref="AD5:AD68" si="5">AN5&amp;AE5&amp;AF5&amp;AG5&amp;AI5</f>
        <v>201115AllSexAllEth19Waitemata</v>
      </c>
      <c r="AE5" t="s">
        <v>17</v>
      </c>
      <c r="AF5" t="s">
        <v>27</v>
      </c>
      <c r="AG5">
        <v>19</v>
      </c>
      <c r="AH5">
        <v>2</v>
      </c>
      <c r="AI5" t="s">
        <v>55</v>
      </c>
      <c r="AJ5">
        <v>268</v>
      </c>
      <c r="AK5">
        <v>8.9332387238291204</v>
      </c>
      <c r="AL5">
        <v>1.4</v>
      </c>
      <c r="AM5" t="s">
        <v>83</v>
      </c>
      <c r="AN5">
        <v>201115</v>
      </c>
      <c r="AQ5" t="str">
        <f t="shared" si="2"/>
        <v>2003AllSexUrban22</v>
      </c>
      <c r="AR5">
        <v>2003</v>
      </c>
      <c r="AS5" t="s">
        <v>17</v>
      </c>
      <c r="AT5" t="s">
        <v>97</v>
      </c>
      <c r="AU5">
        <v>22</v>
      </c>
      <c r="AV5">
        <v>76</v>
      </c>
      <c r="AW5">
        <v>14.759287670168799</v>
      </c>
      <c r="AX5">
        <v>3.3</v>
      </c>
      <c r="AZ5" t="str">
        <f t="shared" ref="AZ5:AZ68" si="6">BA5&amp;BB5&amp;BC5&amp;BD5</f>
        <v>2015AllSexAllEth4</v>
      </c>
      <c r="BA5">
        <v>2015</v>
      </c>
      <c r="BB5" t="s">
        <v>17</v>
      </c>
      <c r="BC5" t="s">
        <v>27</v>
      </c>
      <c r="BD5">
        <v>4</v>
      </c>
      <c r="BE5">
        <v>57</v>
      </c>
      <c r="BF5">
        <v>17.9765358899962</v>
      </c>
      <c r="BG5" s="83">
        <v>4.7</v>
      </c>
      <c r="BH5">
        <v>147</v>
      </c>
      <c r="BI5">
        <v>38.799999999999997</v>
      </c>
      <c r="BK5" t="str">
        <f t="shared" si="3"/>
        <v>AllSexPacific19</v>
      </c>
      <c r="BL5" t="s">
        <v>17</v>
      </c>
      <c r="BM5" t="s">
        <v>79</v>
      </c>
      <c r="BN5">
        <v>19</v>
      </c>
      <c r="BO5">
        <v>124</v>
      </c>
      <c r="BP5">
        <v>8.4864283101509699</v>
      </c>
      <c r="BQ5">
        <v>1.5</v>
      </c>
      <c r="BS5" t="str">
        <f t="shared" ref="BS5:BS68" si="7">BT5&amp;BU5&amp;BV5&amp;BW5</f>
        <v>AllSexAsian192</v>
      </c>
      <c r="BT5" t="s">
        <v>17</v>
      </c>
      <c r="BU5" t="s">
        <v>78</v>
      </c>
      <c r="BV5">
        <v>19</v>
      </c>
      <c r="BW5">
        <v>2</v>
      </c>
      <c r="BX5">
        <v>21</v>
      </c>
      <c r="BY5">
        <v>3.5950175039168499</v>
      </c>
      <c r="BZ5">
        <v>1.5</v>
      </c>
      <c r="CB5" t="str">
        <f t="shared" ref="CB5:CB68" si="8">CC5&amp;CD5&amp;CF5&amp;CE5</f>
        <v>AllSexAllEth22Firearms and explosives</v>
      </c>
      <c r="CC5" t="s">
        <v>17</v>
      </c>
      <c r="CD5" t="s">
        <v>27</v>
      </c>
      <c r="CE5" t="s">
        <v>42</v>
      </c>
      <c r="CF5">
        <v>22</v>
      </c>
      <c r="CG5">
        <v>24</v>
      </c>
      <c r="CH5">
        <v>591</v>
      </c>
      <c r="CI5">
        <v>4.0999999999999996</v>
      </c>
      <c r="CL5" t="str">
        <f t="shared" ref="CL5:CL68" si="9">CM5&amp;CN5&amp;CO5&amp;CP5</f>
        <v>2001AllSexMaori9</v>
      </c>
      <c r="CM5">
        <v>2001</v>
      </c>
      <c r="CN5" t="s">
        <v>17</v>
      </c>
      <c r="CO5" t="s">
        <v>18</v>
      </c>
      <c r="CP5">
        <v>9</v>
      </c>
      <c r="CQ5">
        <v>14</v>
      </c>
    </row>
    <row r="6" spans="1:95" x14ac:dyDescent="0.2">
      <c r="A6" t="str">
        <f t="shared" si="0"/>
        <v>1998AllSexAllEth19</v>
      </c>
      <c r="B6">
        <v>1998</v>
      </c>
      <c r="C6" t="s">
        <v>17</v>
      </c>
      <c r="D6" t="s">
        <v>27</v>
      </c>
      <c r="E6">
        <v>19</v>
      </c>
      <c r="F6">
        <v>579</v>
      </c>
      <c r="G6">
        <v>15.0505296495582</v>
      </c>
      <c r="H6">
        <v>1.2</v>
      </c>
      <c r="J6" s="358" t="str">
        <f t="shared" si="1"/>
        <v>2001AllSexAllEth193</v>
      </c>
      <c r="K6" s="359">
        <v>2001</v>
      </c>
      <c r="L6" t="s">
        <v>17</v>
      </c>
      <c r="M6" t="s">
        <v>27</v>
      </c>
      <c r="N6">
        <v>19</v>
      </c>
      <c r="O6">
        <v>3</v>
      </c>
      <c r="P6">
        <v>100</v>
      </c>
      <c r="Q6">
        <v>12.4033582887318</v>
      </c>
      <c r="R6">
        <v>2.4</v>
      </c>
      <c r="T6" s="358" t="str">
        <f t="shared" si="4"/>
        <v>1996AllSexAllEth24Firearms and explosives</v>
      </c>
      <c r="U6" s="360">
        <v>1996</v>
      </c>
      <c r="V6" s="360" t="s">
        <v>17</v>
      </c>
      <c r="W6" s="360" t="s">
        <v>27</v>
      </c>
      <c r="X6" s="360">
        <v>24</v>
      </c>
      <c r="Y6" s="360" t="s">
        <v>42</v>
      </c>
      <c r="Z6" s="360">
        <v>9</v>
      </c>
      <c r="AA6" s="360">
        <v>102</v>
      </c>
      <c r="AB6" s="360">
        <v>8.8000000000000007</v>
      </c>
      <c r="AD6" s="358" t="str">
        <f t="shared" si="5"/>
        <v>201115AllSexAllEth19Auckland</v>
      </c>
      <c r="AE6" t="s">
        <v>17</v>
      </c>
      <c r="AF6" t="s">
        <v>27</v>
      </c>
      <c r="AG6">
        <v>19</v>
      </c>
      <c r="AH6">
        <v>3</v>
      </c>
      <c r="AI6" t="s">
        <v>56</v>
      </c>
      <c r="AJ6">
        <v>203</v>
      </c>
      <c r="AK6">
        <v>7.9373581538264499</v>
      </c>
      <c r="AL6">
        <v>1.4</v>
      </c>
      <c r="AM6" t="s">
        <v>83</v>
      </c>
      <c r="AN6">
        <v>201115</v>
      </c>
      <c r="AQ6" t="str">
        <f t="shared" si="2"/>
        <v>2003AllSexRural23</v>
      </c>
      <c r="AR6">
        <v>2003</v>
      </c>
      <c r="AS6" t="s">
        <v>17</v>
      </c>
      <c r="AT6" t="s">
        <v>96</v>
      </c>
      <c r="AU6">
        <v>23</v>
      </c>
      <c r="AV6">
        <v>24</v>
      </c>
      <c r="AW6">
        <v>15.153428463189799</v>
      </c>
      <c r="AX6">
        <v>6.1</v>
      </c>
      <c r="AZ6" t="str">
        <f t="shared" si="6"/>
        <v>2015AllSexAllEth5</v>
      </c>
      <c r="BA6">
        <v>2015</v>
      </c>
      <c r="BB6" t="s">
        <v>17</v>
      </c>
      <c r="BC6" t="s">
        <v>27</v>
      </c>
      <c r="BD6">
        <v>5</v>
      </c>
      <c r="BE6">
        <v>54</v>
      </c>
      <c r="BF6">
        <v>15.9066808059385</v>
      </c>
      <c r="BG6" s="83">
        <v>4.2</v>
      </c>
      <c r="BH6">
        <v>192</v>
      </c>
      <c r="BI6">
        <v>28.1</v>
      </c>
      <c r="BK6" t="str">
        <f t="shared" si="3"/>
        <v>AllSexAsian19</v>
      </c>
      <c r="BL6" t="s">
        <v>17</v>
      </c>
      <c r="BM6" t="s">
        <v>78</v>
      </c>
      <c r="BN6">
        <v>19</v>
      </c>
      <c r="BO6">
        <v>126</v>
      </c>
      <c r="BP6">
        <v>4.5972527191759998</v>
      </c>
      <c r="BQ6">
        <v>0.8</v>
      </c>
      <c r="BS6" t="str">
        <f t="shared" si="7"/>
        <v>AllSexAsian193</v>
      </c>
      <c r="BT6" t="s">
        <v>17</v>
      </c>
      <c r="BU6" t="s">
        <v>78</v>
      </c>
      <c r="BV6">
        <v>19</v>
      </c>
      <c r="BW6">
        <v>3</v>
      </c>
      <c r="BX6">
        <v>25</v>
      </c>
      <c r="BY6">
        <v>3.9439658666930799</v>
      </c>
      <c r="BZ6">
        <v>1.5</v>
      </c>
      <c r="CB6" t="str">
        <f t="shared" si="8"/>
        <v>AllSexAllEth23Firearms and explosives</v>
      </c>
      <c r="CC6" t="s">
        <v>17</v>
      </c>
      <c r="CD6" t="s">
        <v>27</v>
      </c>
      <c r="CE6" t="s">
        <v>42</v>
      </c>
      <c r="CF6">
        <v>23</v>
      </c>
      <c r="CG6">
        <v>38</v>
      </c>
      <c r="CH6">
        <v>871</v>
      </c>
      <c r="CI6">
        <v>4.4000000000000004</v>
      </c>
      <c r="CL6" t="str">
        <f t="shared" si="9"/>
        <v>2001AllSexNon-Maori9</v>
      </c>
      <c r="CM6">
        <v>2001</v>
      </c>
      <c r="CN6" t="s">
        <v>17</v>
      </c>
      <c r="CO6" t="s">
        <v>19</v>
      </c>
      <c r="CP6">
        <v>9</v>
      </c>
      <c r="CQ6">
        <v>90</v>
      </c>
    </row>
    <row r="7" spans="1:95" x14ac:dyDescent="0.2">
      <c r="A7" t="str">
        <f t="shared" si="0"/>
        <v>1999AllSexAllEth19</v>
      </c>
      <c r="B7">
        <v>1999</v>
      </c>
      <c r="C7" t="s">
        <v>17</v>
      </c>
      <c r="D7" t="s">
        <v>27</v>
      </c>
      <c r="E7">
        <v>19</v>
      </c>
      <c r="F7">
        <v>517</v>
      </c>
      <c r="G7">
        <v>13.3447308402635</v>
      </c>
      <c r="H7">
        <v>1.2</v>
      </c>
      <c r="J7" s="358" t="str">
        <f t="shared" si="1"/>
        <v>2001AllSexAllEth194</v>
      </c>
      <c r="K7" s="359">
        <v>2001</v>
      </c>
      <c r="L7" t="s">
        <v>17</v>
      </c>
      <c r="M7" t="s">
        <v>27</v>
      </c>
      <c r="N7">
        <v>19</v>
      </c>
      <c r="O7">
        <v>4</v>
      </c>
      <c r="P7">
        <v>111</v>
      </c>
      <c r="Q7">
        <v>13.7455421063391</v>
      </c>
      <c r="R7">
        <v>2.6</v>
      </c>
      <c r="T7" s="358" t="str">
        <f t="shared" si="4"/>
        <v>1996AllSexAllEth25Firearms and explosives</v>
      </c>
      <c r="U7" s="360">
        <v>1996</v>
      </c>
      <c r="V7" s="360" t="s">
        <v>17</v>
      </c>
      <c r="W7" s="360" t="s">
        <v>27</v>
      </c>
      <c r="X7" s="360">
        <v>25</v>
      </c>
      <c r="Y7" s="360" t="s">
        <v>42</v>
      </c>
      <c r="Z7" s="360">
        <v>9</v>
      </c>
      <c r="AA7" s="360">
        <v>66</v>
      </c>
      <c r="AB7" s="360">
        <v>13.6</v>
      </c>
      <c r="AD7" s="358" t="str">
        <f t="shared" si="5"/>
        <v>201115AllSexAllEth19Counties Manukau</v>
      </c>
      <c r="AE7" t="s">
        <v>17</v>
      </c>
      <c r="AF7" t="s">
        <v>27</v>
      </c>
      <c r="AG7">
        <v>19</v>
      </c>
      <c r="AH7">
        <v>4</v>
      </c>
      <c r="AI7" t="s">
        <v>57</v>
      </c>
      <c r="AJ7">
        <v>247</v>
      </c>
      <c r="AK7">
        <v>9.8984574915243098</v>
      </c>
      <c r="AL7">
        <v>1.6</v>
      </c>
      <c r="AM7" t="s">
        <v>82</v>
      </c>
      <c r="AN7">
        <v>201115</v>
      </c>
      <c r="AQ7" t="str">
        <f t="shared" si="2"/>
        <v>2003AllSexUrban23</v>
      </c>
      <c r="AR7">
        <v>2003</v>
      </c>
      <c r="AS7" t="s">
        <v>17</v>
      </c>
      <c r="AT7" t="s">
        <v>97</v>
      </c>
      <c r="AU7">
        <v>23</v>
      </c>
      <c r="AV7">
        <v>166</v>
      </c>
      <c r="AW7">
        <v>16.3500083719922</v>
      </c>
      <c r="AX7">
        <v>2.5</v>
      </c>
      <c r="AZ7" t="str">
        <f t="shared" si="6"/>
        <v>2015AllSexAllEth6</v>
      </c>
      <c r="BA7">
        <v>2015</v>
      </c>
      <c r="BB7" t="s">
        <v>17</v>
      </c>
      <c r="BC7" t="s">
        <v>27</v>
      </c>
      <c r="BD7">
        <v>6</v>
      </c>
      <c r="BE7">
        <v>50</v>
      </c>
      <c r="BF7">
        <v>15.936254980079701</v>
      </c>
      <c r="BG7" s="83">
        <v>4.4000000000000004</v>
      </c>
      <c r="BH7">
        <v>176</v>
      </c>
      <c r="BI7">
        <v>28.4</v>
      </c>
      <c r="BK7" t="str">
        <f t="shared" si="3"/>
        <v>AllSexOther19</v>
      </c>
      <c r="BL7" t="s">
        <v>17</v>
      </c>
      <c r="BM7" t="s">
        <v>45</v>
      </c>
      <c r="BN7">
        <v>19</v>
      </c>
      <c r="BO7">
        <v>1795</v>
      </c>
      <c r="BP7">
        <v>11.1600009876536</v>
      </c>
      <c r="BQ7">
        <v>0.5</v>
      </c>
      <c r="BS7" t="str">
        <f t="shared" si="7"/>
        <v>AllSexAsian194</v>
      </c>
      <c r="BT7" t="s">
        <v>17</v>
      </c>
      <c r="BU7" t="s">
        <v>78</v>
      </c>
      <c r="BV7">
        <v>19</v>
      </c>
      <c r="BW7">
        <v>4</v>
      </c>
      <c r="BX7">
        <v>27</v>
      </c>
      <c r="BY7">
        <v>4.4433723369779496</v>
      </c>
      <c r="BZ7">
        <v>1.7</v>
      </c>
      <c r="CB7" t="str">
        <f t="shared" si="8"/>
        <v>AllSexAllEth24Firearms and explosives</v>
      </c>
      <c r="CC7" t="s">
        <v>17</v>
      </c>
      <c r="CD7" t="s">
        <v>27</v>
      </c>
      <c r="CE7" t="s">
        <v>42</v>
      </c>
      <c r="CF7">
        <v>24</v>
      </c>
      <c r="CG7">
        <v>92</v>
      </c>
      <c r="CH7">
        <v>813</v>
      </c>
      <c r="CI7">
        <v>11.3</v>
      </c>
      <c r="CL7" t="str">
        <f t="shared" si="9"/>
        <v>2001FemaleAllEth9</v>
      </c>
      <c r="CM7">
        <v>2001</v>
      </c>
      <c r="CN7" t="s">
        <v>8</v>
      </c>
      <c r="CO7" t="s">
        <v>27</v>
      </c>
      <c r="CP7">
        <v>9</v>
      </c>
      <c r="CQ7">
        <v>16</v>
      </c>
    </row>
    <row r="8" spans="1:95" x14ac:dyDescent="0.2">
      <c r="A8" t="str">
        <f t="shared" si="0"/>
        <v>2000AllSexAllEth19</v>
      </c>
      <c r="B8">
        <v>2000</v>
      </c>
      <c r="C8" t="s">
        <v>17</v>
      </c>
      <c r="D8" t="s">
        <v>27</v>
      </c>
      <c r="E8">
        <v>19</v>
      </c>
      <c r="F8">
        <v>459</v>
      </c>
      <c r="G8">
        <v>11.849825329552701</v>
      </c>
      <c r="H8">
        <v>1.1000000000000001</v>
      </c>
      <c r="J8" s="358" t="str">
        <f t="shared" si="1"/>
        <v>2001AllSexAllEth195</v>
      </c>
      <c r="K8" s="359">
        <v>2001</v>
      </c>
      <c r="L8" t="s">
        <v>17</v>
      </c>
      <c r="M8" t="s">
        <v>27</v>
      </c>
      <c r="N8">
        <v>19</v>
      </c>
      <c r="O8">
        <v>5</v>
      </c>
      <c r="P8">
        <v>108</v>
      </c>
      <c r="Q8">
        <v>14.0699387222214</v>
      </c>
      <c r="R8">
        <v>2.7</v>
      </c>
      <c r="T8" s="358" t="str">
        <f t="shared" si="4"/>
        <v>1996AllSexAllEth21Hanging, strangulation and suffocation</v>
      </c>
      <c r="U8" s="360">
        <v>1996</v>
      </c>
      <c r="V8" s="360" t="s">
        <v>17</v>
      </c>
      <c r="W8" s="360" t="s">
        <v>27</v>
      </c>
      <c r="X8" s="360">
        <v>21</v>
      </c>
      <c r="Y8" s="360" t="s">
        <v>43</v>
      </c>
      <c r="Z8" s="360">
        <v>6</v>
      </c>
      <c r="AA8" s="360">
        <v>7</v>
      </c>
      <c r="AB8" s="360">
        <v>85.7</v>
      </c>
      <c r="AD8" s="358" t="str">
        <f t="shared" si="5"/>
        <v>201115AllSexAllEth19Waikato</v>
      </c>
      <c r="AE8" t="s">
        <v>17</v>
      </c>
      <c r="AF8" t="s">
        <v>27</v>
      </c>
      <c r="AG8">
        <v>19</v>
      </c>
      <c r="AH8">
        <v>5</v>
      </c>
      <c r="AI8" t="s">
        <v>58</v>
      </c>
      <c r="AJ8">
        <v>215</v>
      </c>
      <c r="AK8">
        <v>11.316584285972899</v>
      </c>
      <c r="AL8">
        <v>2</v>
      </c>
      <c r="AM8" t="s">
        <v>82</v>
      </c>
      <c r="AN8">
        <v>201115</v>
      </c>
      <c r="AQ8" t="str">
        <f t="shared" si="2"/>
        <v>2003AllSexRural24</v>
      </c>
      <c r="AR8">
        <v>2003</v>
      </c>
      <c r="AS8" t="s">
        <v>17</v>
      </c>
      <c r="AT8" t="s">
        <v>96</v>
      </c>
      <c r="AU8">
        <v>24</v>
      </c>
      <c r="AV8">
        <v>11</v>
      </c>
      <c r="AW8">
        <v>7.1488919217521296</v>
      </c>
      <c r="AX8">
        <v>4.2</v>
      </c>
      <c r="AZ8" t="str">
        <f t="shared" si="6"/>
        <v>2015AllSexAllEth7</v>
      </c>
      <c r="BA8">
        <v>2015</v>
      </c>
      <c r="BB8" t="s">
        <v>17</v>
      </c>
      <c r="BC8" t="s">
        <v>27</v>
      </c>
      <c r="BD8">
        <v>7</v>
      </c>
      <c r="BE8">
        <v>42</v>
      </c>
      <c r="BF8">
        <v>14.610220196890101</v>
      </c>
      <c r="BG8" s="83">
        <v>4.4000000000000004</v>
      </c>
      <c r="BH8">
        <v>182</v>
      </c>
      <c r="BI8">
        <v>23.1</v>
      </c>
      <c r="BK8" t="str">
        <f t="shared" si="3"/>
        <v>FemaleMaori19</v>
      </c>
      <c r="BL8" t="s">
        <v>8</v>
      </c>
      <c r="BM8" t="s">
        <v>18</v>
      </c>
      <c r="BN8">
        <v>19</v>
      </c>
      <c r="BO8">
        <v>174</v>
      </c>
      <c r="BP8">
        <v>9.8967768313879692</v>
      </c>
      <c r="BQ8">
        <v>1.5</v>
      </c>
      <c r="BS8" t="str">
        <f t="shared" si="7"/>
        <v>AllSexAsian195</v>
      </c>
      <c r="BT8" t="s">
        <v>17</v>
      </c>
      <c r="BU8" t="s">
        <v>78</v>
      </c>
      <c r="BV8">
        <v>19</v>
      </c>
      <c r="BW8">
        <v>5</v>
      </c>
      <c r="BX8">
        <v>27</v>
      </c>
      <c r="BY8">
        <v>5.7082941208747799</v>
      </c>
      <c r="BZ8">
        <v>2.2000000000000002</v>
      </c>
      <c r="CB8" t="str">
        <f t="shared" si="8"/>
        <v>AllSexAllEth25Firearms and explosives</v>
      </c>
      <c r="CC8" t="s">
        <v>17</v>
      </c>
      <c r="CD8" t="s">
        <v>27</v>
      </c>
      <c r="CE8" t="s">
        <v>42</v>
      </c>
      <c r="CF8">
        <v>25</v>
      </c>
      <c r="CG8">
        <v>56</v>
      </c>
      <c r="CH8">
        <v>282</v>
      </c>
      <c r="CI8">
        <v>19.899999999999999</v>
      </c>
      <c r="CL8" t="str">
        <f t="shared" si="9"/>
        <v>2001FemaleMaori9</v>
      </c>
      <c r="CM8">
        <v>2001</v>
      </c>
      <c r="CN8" t="s">
        <v>8</v>
      </c>
      <c r="CO8" t="s">
        <v>18</v>
      </c>
      <c r="CP8">
        <v>9</v>
      </c>
      <c r="CQ8">
        <v>6</v>
      </c>
    </row>
    <row r="9" spans="1:95" x14ac:dyDescent="0.2">
      <c r="A9" t="str">
        <f t="shared" si="0"/>
        <v>2001AllSexAllEth19</v>
      </c>
      <c r="B9">
        <v>2001</v>
      </c>
      <c r="C9" t="s">
        <v>17</v>
      </c>
      <c r="D9" t="s">
        <v>27</v>
      </c>
      <c r="E9">
        <v>19</v>
      </c>
      <c r="F9">
        <v>508</v>
      </c>
      <c r="G9">
        <v>12.883752602379101</v>
      </c>
      <c r="H9">
        <v>1.1000000000000001</v>
      </c>
      <c r="J9" s="358" t="str">
        <f t="shared" si="1"/>
        <v>2002AllSexAllEth191</v>
      </c>
      <c r="K9" s="359">
        <v>2002</v>
      </c>
      <c r="L9" t="s">
        <v>17</v>
      </c>
      <c r="M9" t="s">
        <v>27</v>
      </c>
      <c r="N9">
        <v>19</v>
      </c>
      <c r="O9">
        <v>1</v>
      </c>
      <c r="P9">
        <v>59</v>
      </c>
      <c r="Q9">
        <v>7.4217186427377397</v>
      </c>
      <c r="R9">
        <v>1.9</v>
      </c>
      <c r="T9" s="358" t="str">
        <f t="shared" si="4"/>
        <v>1996AllSexAllEth22Hanging, strangulation and suffocation</v>
      </c>
      <c r="U9" s="360">
        <v>1996</v>
      </c>
      <c r="V9" s="360" t="s">
        <v>17</v>
      </c>
      <c r="W9" s="360" t="s">
        <v>27</v>
      </c>
      <c r="X9" s="360">
        <v>22</v>
      </c>
      <c r="Y9" s="360" t="s">
        <v>43</v>
      </c>
      <c r="Z9" s="360">
        <v>88</v>
      </c>
      <c r="AA9" s="360">
        <v>143</v>
      </c>
      <c r="AB9" s="360">
        <v>61.5</v>
      </c>
      <c r="AD9" s="358" t="str">
        <f t="shared" si="5"/>
        <v>201115AllSexAllEth19Lakes</v>
      </c>
      <c r="AE9" t="s">
        <v>17</v>
      </c>
      <c r="AF9" t="s">
        <v>27</v>
      </c>
      <c r="AG9">
        <v>19</v>
      </c>
      <c r="AH9">
        <v>6</v>
      </c>
      <c r="AI9" t="s">
        <v>59</v>
      </c>
      <c r="AJ9">
        <v>77</v>
      </c>
      <c r="AK9">
        <v>15.9890693926951</v>
      </c>
      <c r="AL9">
        <v>4.7</v>
      </c>
      <c r="AM9" t="s">
        <v>82</v>
      </c>
      <c r="AN9">
        <v>201115</v>
      </c>
      <c r="AQ9" t="str">
        <f t="shared" si="2"/>
        <v>2003AllSexUrban24</v>
      </c>
      <c r="AR9">
        <v>2003</v>
      </c>
      <c r="AS9" t="s">
        <v>17</v>
      </c>
      <c r="AT9" t="s">
        <v>97</v>
      </c>
      <c r="AU9">
        <v>24</v>
      </c>
      <c r="AV9">
        <v>111</v>
      </c>
      <c r="AW9">
        <v>14.6129541864139</v>
      </c>
      <c r="AX9">
        <v>2.7</v>
      </c>
      <c r="AZ9" t="str">
        <f t="shared" si="6"/>
        <v>2015AllSexAllEth8</v>
      </c>
      <c r="BA9">
        <v>2015</v>
      </c>
      <c r="BB9" t="s">
        <v>17</v>
      </c>
      <c r="BC9" t="s">
        <v>27</v>
      </c>
      <c r="BD9">
        <v>8</v>
      </c>
      <c r="BE9">
        <v>42</v>
      </c>
      <c r="BF9">
        <v>15.3200802480394</v>
      </c>
      <c r="BG9" s="83">
        <v>4.5999999999999996</v>
      </c>
      <c r="BH9">
        <v>219</v>
      </c>
      <c r="BI9">
        <v>19.2</v>
      </c>
      <c r="BK9" t="str">
        <f t="shared" si="3"/>
        <v>FemalePacific19</v>
      </c>
      <c r="BL9" t="s">
        <v>8</v>
      </c>
      <c r="BM9" t="s">
        <v>79</v>
      </c>
      <c r="BN9">
        <v>19</v>
      </c>
      <c r="BO9">
        <v>35</v>
      </c>
      <c r="BP9">
        <v>4.5874906779750102</v>
      </c>
      <c r="BQ9">
        <v>1.5</v>
      </c>
      <c r="BS9" t="str">
        <f t="shared" si="7"/>
        <v>AllSexMaori191</v>
      </c>
      <c r="BT9" t="s">
        <v>17</v>
      </c>
      <c r="BU9" t="s">
        <v>18</v>
      </c>
      <c r="BV9">
        <v>19</v>
      </c>
      <c r="BW9">
        <v>1</v>
      </c>
      <c r="BX9">
        <v>21</v>
      </c>
      <c r="BY9">
        <v>7.7795828057365997</v>
      </c>
      <c r="BZ9">
        <v>3.3</v>
      </c>
      <c r="CB9" t="str">
        <f t="shared" si="8"/>
        <v>AllSexAllEth21Hanging, strangulation and suffocation</v>
      </c>
      <c r="CC9" t="s">
        <v>17</v>
      </c>
      <c r="CD9" t="s">
        <v>27</v>
      </c>
      <c r="CE9" t="s">
        <v>43</v>
      </c>
      <c r="CF9">
        <v>21</v>
      </c>
      <c r="CG9">
        <v>29</v>
      </c>
      <c r="CH9">
        <v>35</v>
      </c>
      <c r="CI9">
        <v>82.9</v>
      </c>
      <c r="CL9" t="str">
        <f t="shared" si="9"/>
        <v>2001FemaleNon-Maori9</v>
      </c>
      <c r="CM9">
        <v>2001</v>
      </c>
      <c r="CN9" t="s">
        <v>8</v>
      </c>
      <c r="CO9" t="s">
        <v>19</v>
      </c>
      <c r="CP9">
        <v>9</v>
      </c>
      <c r="CQ9">
        <v>10</v>
      </c>
    </row>
    <row r="10" spans="1:95" x14ac:dyDescent="0.2">
      <c r="A10" t="str">
        <f t="shared" si="0"/>
        <v>2002AllSexAllEth19</v>
      </c>
      <c r="B10">
        <v>2002</v>
      </c>
      <c r="C10" t="s">
        <v>17</v>
      </c>
      <c r="D10" t="s">
        <v>27</v>
      </c>
      <c r="E10">
        <v>19</v>
      </c>
      <c r="F10">
        <v>470</v>
      </c>
      <c r="G10">
        <v>11.6928074680746</v>
      </c>
      <c r="H10">
        <v>1.1000000000000001</v>
      </c>
      <c r="J10" s="358" t="str">
        <f t="shared" si="1"/>
        <v>2002AllSexAllEth192</v>
      </c>
      <c r="K10" s="359">
        <v>2002</v>
      </c>
      <c r="L10" t="s">
        <v>17</v>
      </c>
      <c r="M10" t="s">
        <v>27</v>
      </c>
      <c r="N10">
        <v>19</v>
      </c>
      <c r="O10">
        <v>2</v>
      </c>
      <c r="P10">
        <v>94</v>
      </c>
      <c r="Q10">
        <v>11.8425891060502</v>
      </c>
      <c r="R10">
        <v>2.4</v>
      </c>
      <c r="T10" s="358" t="str">
        <f t="shared" si="4"/>
        <v>1996AllSexAllEth23Hanging, strangulation and suffocation</v>
      </c>
      <c r="U10" s="360">
        <v>1996</v>
      </c>
      <c r="V10" s="360" t="s">
        <v>17</v>
      </c>
      <c r="W10" s="360" t="s">
        <v>27</v>
      </c>
      <c r="X10" s="360">
        <v>23</v>
      </c>
      <c r="Y10" s="360" t="s">
        <v>43</v>
      </c>
      <c r="Z10" s="360">
        <v>87</v>
      </c>
      <c r="AA10" s="360">
        <v>222</v>
      </c>
      <c r="AB10" s="360">
        <v>39.200000000000003</v>
      </c>
      <c r="AD10" s="358" t="str">
        <f t="shared" si="5"/>
        <v>201115AllSexAllEth19Bay of Plenty</v>
      </c>
      <c r="AE10" t="s">
        <v>17</v>
      </c>
      <c r="AF10" t="s">
        <v>27</v>
      </c>
      <c r="AG10">
        <v>19</v>
      </c>
      <c r="AH10">
        <v>7</v>
      </c>
      <c r="AI10" t="s">
        <v>60</v>
      </c>
      <c r="AJ10">
        <v>157</v>
      </c>
      <c r="AK10">
        <v>15.575709253312001</v>
      </c>
      <c r="AL10">
        <v>3.2</v>
      </c>
      <c r="AM10" t="s">
        <v>84</v>
      </c>
      <c r="AN10">
        <v>201115</v>
      </c>
      <c r="AQ10" t="str">
        <f t="shared" si="2"/>
        <v>2003AllSexRural25</v>
      </c>
      <c r="AR10">
        <v>2003</v>
      </c>
      <c r="AS10" t="s">
        <v>17</v>
      </c>
      <c r="AT10" t="s">
        <v>96</v>
      </c>
      <c r="AU10">
        <v>25</v>
      </c>
      <c r="AV10">
        <v>7</v>
      </c>
      <c r="AW10">
        <v>12.888970723623601</v>
      </c>
      <c r="AX10">
        <v>9.5</v>
      </c>
      <c r="AZ10" t="str">
        <f t="shared" si="6"/>
        <v>2015AllSexAllEth9</v>
      </c>
      <c r="BA10">
        <v>2015</v>
      </c>
      <c r="BB10" t="s">
        <v>17</v>
      </c>
      <c r="BC10" t="s">
        <v>27</v>
      </c>
      <c r="BD10">
        <v>9</v>
      </c>
      <c r="BE10">
        <v>37</v>
      </c>
      <c r="BF10">
        <v>11.9810893076873</v>
      </c>
      <c r="BG10" s="83">
        <v>3.9</v>
      </c>
      <c r="BH10">
        <v>369</v>
      </c>
      <c r="BI10">
        <v>10</v>
      </c>
      <c r="BK10" t="str">
        <f t="shared" si="3"/>
        <v>FemaleAsian19</v>
      </c>
      <c r="BL10" t="s">
        <v>8</v>
      </c>
      <c r="BM10" t="s">
        <v>78</v>
      </c>
      <c r="BN10">
        <v>19</v>
      </c>
      <c r="BO10">
        <v>42</v>
      </c>
      <c r="BP10">
        <v>3.1105831097302099</v>
      </c>
      <c r="BQ10">
        <v>0.9</v>
      </c>
      <c r="BS10" t="str">
        <f t="shared" si="7"/>
        <v>AllSexMaori192</v>
      </c>
      <c r="BT10" t="s">
        <v>17</v>
      </c>
      <c r="BU10" t="s">
        <v>18</v>
      </c>
      <c r="BV10">
        <v>19</v>
      </c>
      <c r="BW10">
        <v>2</v>
      </c>
      <c r="BX10">
        <v>55</v>
      </c>
      <c r="BY10">
        <v>14.338014713266899</v>
      </c>
      <c r="BZ10">
        <v>3.8</v>
      </c>
      <c r="CB10" t="str">
        <f t="shared" si="8"/>
        <v>AllSexAllEth22Hanging, strangulation and suffocation</v>
      </c>
      <c r="CC10" t="s">
        <v>17</v>
      </c>
      <c r="CD10" t="s">
        <v>27</v>
      </c>
      <c r="CE10" t="s">
        <v>43</v>
      </c>
      <c r="CF10">
        <v>22</v>
      </c>
      <c r="CG10">
        <v>494</v>
      </c>
      <c r="CH10">
        <v>591</v>
      </c>
      <c r="CI10">
        <v>83.6</v>
      </c>
      <c r="CL10" t="str">
        <f t="shared" si="9"/>
        <v>2001MaleAllEth9</v>
      </c>
      <c r="CM10">
        <v>2001</v>
      </c>
      <c r="CN10" t="s">
        <v>20</v>
      </c>
      <c r="CO10" t="s">
        <v>27</v>
      </c>
      <c r="CP10">
        <v>9</v>
      </c>
      <c r="CQ10">
        <v>88</v>
      </c>
    </row>
    <row r="11" spans="1:95" x14ac:dyDescent="0.2">
      <c r="A11" t="str">
        <f t="shared" si="0"/>
        <v>2003AllSexAllEth19</v>
      </c>
      <c r="B11">
        <v>2003</v>
      </c>
      <c r="C11" t="s">
        <v>17</v>
      </c>
      <c r="D11" t="s">
        <v>27</v>
      </c>
      <c r="E11">
        <v>19</v>
      </c>
      <c r="F11">
        <v>522</v>
      </c>
      <c r="G11">
        <v>12.438164727895</v>
      </c>
      <c r="H11">
        <v>1.1000000000000001</v>
      </c>
      <c r="J11" s="358" t="str">
        <f t="shared" si="1"/>
        <v>2002AllSexAllEth193</v>
      </c>
      <c r="K11" s="359">
        <v>2002</v>
      </c>
      <c r="L11" t="s">
        <v>17</v>
      </c>
      <c r="M11" t="s">
        <v>27</v>
      </c>
      <c r="N11">
        <v>19</v>
      </c>
      <c r="O11">
        <v>3</v>
      </c>
      <c r="P11">
        <v>79</v>
      </c>
      <c r="Q11">
        <v>9.6156116024133098</v>
      </c>
      <c r="R11">
        <v>2.1</v>
      </c>
      <c r="T11" s="358" t="str">
        <f t="shared" si="4"/>
        <v>1996AllSexAllEth24Hanging, strangulation and suffocation</v>
      </c>
      <c r="U11" s="360">
        <v>1996</v>
      </c>
      <c r="V11" s="360" t="s">
        <v>17</v>
      </c>
      <c r="W11" s="360" t="s">
        <v>27</v>
      </c>
      <c r="X11" s="360">
        <v>24</v>
      </c>
      <c r="Y11" s="360" t="s">
        <v>43</v>
      </c>
      <c r="Z11" s="360">
        <v>30</v>
      </c>
      <c r="AA11" s="360">
        <v>102</v>
      </c>
      <c r="AB11" s="360">
        <v>29.4</v>
      </c>
      <c r="AD11" s="358" t="str">
        <f t="shared" si="5"/>
        <v>201115AllSexAllEth19Tairawhiti</v>
      </c>
      <c r="AE11" t="s">
        <v>17</v>
      </c>
      <c r="AF11" t="s">
        <v>27</v>
      </c>
      <c r="AG11">
        <v>19</v>
      </c>
      <c r="AH11">
        <v>8</v>
      </c>
      <c r="AI11" t="s">
        <v>61</v>
      </c>
      <c r="AJ11">
        <v>31</v>
      </c>
      <c r="AK11">
        <v>13.428229240830699</v>
      </c>
      <c r="AL11">
        <v>6.2</v>
      </c>
      <c r="AM11" t="s">
        <v>82</v>
      </c>
      <c r="AN11">
        <v>201115</v>
      </c>
      <c r="AQ11" t="str">
        <f t="shared" si="2"/>
        <v>2003AllSexUrban25</v>
      </c>
      <c r="AR11">
        <v>2003</v>
      </c>
      <c r="AS11" t="s">
        <v>17</v>
      </c>
      <c r="AT11" t="s">
        <v>97</v>
      </c>
      <c r="AU11">
        <v>25</v>
      </c>
      <c r="AV11">
        <v>52</v>
      </c>
      <c r="AW11">
        <v>12.3427486351768</v>
      </c>
      <c r="AX11">
        <v>3.4</v>
      </c>
      <c r="AZ11" t="str">
        <f t="shared" si="6"/>
        <v>2015AllSexAllEth10</v>
      </c>
      <c r="BA11">
        <v>2015</v>
      </c>
      <c r="BB11" t="s">
        <v>17</v>
      </c>
      <c r="BC11" t="s">
        <v>27</v>
      </c>
      <c r="BD11">
        <v>10</v>
      </c>
      <c r="BE11">
        <v>50</v>
      </c>
      <c r="BF11">
        <v>15.942352453528001</v>
      </c>
      <c r="BG11" s="83">
        <v>4.4000000000000004</v>
      </c>
      <c r="BH11">
        <v>625</v>
      </c>
      <c r="BI11">
        <v>8</v>
      </c>
      <c r="BK11" t="str">
        <f t="shared" si="3"/>
        <v>FemaleOther19</v>
      </c>
      <c r="BL11" t="s">
        <v>8</v>
      </c>
      <c r="BM11" t="s">
        <v>45</v>
      </c>
      <c r="BN11">
        <v>19</v>
      </c>
      <c r="BO11">
        <v>431</v>
      </c>
      <c r="BP11">
        <v>5.2243694506756597</v>
      </c>
      <c r="BQ11">
        <v>0.5</v>
      </c>
      <c r="BS11" t="str">
        <f t="shared" si="7"/>
        <v>AllSexMaori193</v>
      </c>
      <c r="BT11" t="s">
        <v>17</v>
      </c>
      <c r="BU11" t="s">
        <v>18</v>
      </c>
      <c r="BV11">
        <v>19</v>
      </c>
      <c r="BW11">
        <v>3</v>
      </c>
      <c r="BX11">
        <v>78</v>
      </c>
      <c r="BY11">
        <v>14.1975181045838</v>
      </c>
      <c r="BZ11">
        <v>3.2</v>
      </c>
      <c r="CB11" t="str">
        <f t="shared" si="8"/>
        <v>AllSexAllEth23Hanging, strangulation and suffocation</v>
      </c>
      <c r="CC11" t="s">
        <v>17</v>
      </c>
      <c r="CD11" t="s">
        <v>27</v>
      </c>
      <c r="CE11" t="s">
        <v>43</v>
      </c>
      <c r="CF11">
        <v>23</v>
      </c>
      <c r="CG11">
        <v>586</v>
      </c>
      <c r="CH11">
        <v>871</v>
      </c>
      <c r="CI11">
        <v>67.3</v>
      </c>
      <c r="CL11" t="str">
        <f t="shared" si="9"/>
        <v>2001MaleMaori9</v>
      </c>
      <c r="CM11">
        <v>2001</v>
      </c>
      <c r="CN11" t="s">
        <v>20</v>
      </c>
      <c r="CO11" t="s">
        <v>18</v>
      </c>
      <c r="CP11">
        <v>9</v>
      </c>
      <c r="CQ11">
        <v>8</v>
      </c>
    </row>
    <row r="12" spans="1:95" x14ac:dyDescent="0.2">
      <c r="A12" t="str">
        <f t="shared" si="0"/>
        <v>2004AllSexAllEth19</v>
      </c>
      <c r="B12">
        <v>2004</v>
      </c>
      <c r="C12" t="s">
        <v>17</v>
      </c>
      <c r="D12" t="s">
        <v>27</v>
      </c>
      <c r="E12">
        <v>19</v>
      </c>
      <c r="F12">
        <v>494</v>
      </c>
      <c r="G12">
        <v>11.7975245433749</v>
      </c>
      <c r="H12">
        <v>1</v>
      </c>
      <c r="J12" s="358" t="str">
        <f t="shared" si="1"/>
        <v>2002AllSexAllEth194</v>
      </c>
      <c r="K12" s="359">
        <v>2002</v>
      </c>
      <c r="L12" t="s">
        <v>17</v>
      </c>
      <c r="M12" t="s">
        <v>27</v>
      </c>
      <c r="N12">
        <v>19</v>
      </c>
      <c r="O12">
        <v>4</v>
      </c>
      <c r="P12">
        <v>98</v>
      </c>
      <c r="Q12">
        <v>12.1731613565074</v>
      </c>
      <c r="R12">
        <v>2.4</v>
      </c>
      <c r="T12" s="358" t="str">
        <f t="shared" si="4"/>
        <v>1996AllSexAllEth25Hanging, strangulation and suffocation</v>
      </c>
      <c r="U12" s="360">
        <v>1996</v>
      </c>
      <c r="V12" s="360" t="s">
        <v>17</v>
      </c>
      <c r="W12" s="360" t="s">
        <v>27</v>
      </c>
      <c r="X12" s="360">
        <v>25</v>
      </c>
      <c r="Y12" s="360" t="s">
        <v>43</v>
      </c>
      <c r="Z12" s="360">
        <v>19</v>
      </c>
      <c r="AA12" s="360">
        <v>66</v>
      </c>
      <c r="AB12" s="360">
        <v>28.8</v>
      </c>
      <c r="AD12" s="358" t="str">
        <f t="shared" si="5"/>
        <v>201115AllSexAllEth19Hawke's Bay</v>
      </c>
      <c r="AE12" t="s">
        <v>17</v>
      </c>
      <c r="AF12" t="s">
        <v>27</v>
      </c>
      <c r="AG12">
        <v>19</v>
      </c>
      <c r="AH12">
        <v>9</v>
      </c>
      <c r="AI12" t="s">
        <v>62</v>
      </c>
      <c r="AJ12">
        <v>111</v>
      </c>
      <c r="AK12">
        <v>15.239495621398101</v>
      </c>
      <c r="AL12">
        <v>3.7</v>
      </c>
      <c r="AM12" t="s">
        <v>84</v>
      </c>
      <c r="AN12">
        <v>201115</v>
      </c>
      <c r="AQ12" t="str">
        <f t="shared" si="2"/>
        <v>2003FemaleRural22</v>
      </c>
      <c r="AR12">
        <v>2003</v>
      </c>
      <c r="AS12" t="s">
        <v>8</v>
      </c>
      <c r="AT12" t="s">
        <v>96</v>
      </c>
      <c r="AU12">
        <v>22</v>
      </c>
      <c r="AV12">
        <v>1</v>
      </c>
      <c r="AW12">
        <v>3.7160906726124101</v>
      </c>
      <c r="AX12">
        <v>7.3</v>
      </c>
      <c r="AZ12" t="str">
        <f t="shared" si="6"/>
        <v>2015AllSexAllEth11</v>
      </c>
      <c r="BA12">
        <v>2015</v>
      </c>
      <c r="BB12" t="s">
        <v>17</v>
      </c>
      <c r="BC12" t="s">
        <v>27</v>
      </c>
      <c r="BD12">
        <v>11</v>
      </c>
      <c r="BE12">
        <v>52</v>
      </c>
      <c r="BF12">
        <v>16.324992936301101</v>
      </c>
      <c r="BG12" s="83">
        <v>4.4000000000000004</v>
      </c>
      <c r="BH12">
        <v>946</v>
      </c>
      <c r="BI12">
        <v>5.5</v>
      </c>
      <c r="BK12" t="str">
        <f t="shared" si="3"/>
        <v>MaleMaori19</v>
      </c>
      <c r="BL12" t="s">
        <v>20</v>
      </c>
      <c r="BM12" t="s">
        <v>18</v>
      </c>
      <c r="BN12">
        <v>19</v>
      </c>
      <c r="BO12">
        <v>373</v>
      </c>
      <c r="BP12">
        <v>24.059501426314299</v>
      </c>
      <c r="BQ12">
        <v>2.4</v>
      </c>
      <c r="BS12" t="str">
        <f t="shared" si="7"/>
        <v>AllSexMaori194</v>
      </c>
      <c r="BT12" t="s">
        <v>17</v>
      </c>
      <c r="BU12" t="s">
        <v>18</v>
      </c>
      <c r="BV12">
        <v>19</v>
      </c>
      <c r="BW12">
        <v>4</v>
      </c>
      <c r="BX12">
        <v>130</v>
      </c>
      <c r="BY12">
        <v>16.626450520389501</v>
      </c>
      <c r="BZ12">
        <v>2.9</v>
      </c>
      <c r="CB12" t="str">
        <f t="shared" si="8"/>
        <v>AllSexAllEth24Hanging, strangulation and suffocation</v>
      </c>
      <c r="CC12" t="s">
        <v>17</v>
      </c>
      <c r="CD12" t="s">
        <v>27</v>
      </c>
      <c r="CE12" t="s">
        <v>43</v>
      </c>
      <c r="CF12">
        <v>24</v>
      </c>
      <c r="CG12">
        <v>366</v>
      </c>
      <c r="CH12">
        <v>813</v>
      </c>
      <c r="CI12">
        <v>45</v>
      </c>
      <c r="CL12" t="str">
        <f t="shared" si="9"/>
        <v>2001MaleNon-Maori9</v>
      </c>
      <c r="CM12">
        <v>2001</v>
      </c>
      <c r="CN12" t="s">
        <v>20</v>
      </c>
      <c r="CO12" t="s">
        <v>19</v>
      </c>
      <c r="CP12">
        <v>9</v>
      </c>
      <c r="CQ12">
        <v>80</v>
      </c>
    </row>
    <row r="13" spans="1:95" x14ac:dyDescent="0.2">
      <c r="A13" t="str">
        <f t="shared" si="0"/>
        <v>2005AllSexAllEth19</v>
      </c>
      <c r="B13">
        <v>2005</v>
      </c>
      <c r="C13" t="s">
        <v>17</v>
      </c>
      <c r="D13" t="s">
        <v>27</v>
      </c>
      <c r="E13">
        <v>19</v>
      </c>
      <c r="F13">
        <v>515</v>
      </c>
      <c r="G13">
        <v>12.193157353861301</v>
      </c>
      <c r="H13">
        <v>1.1000000000000001</v>
      </c>
      <c r="J13" s="358" t="str">
        <f t="shared" si="1"/>
        <v>2002AllSexAllEth195</v>
      </c>
      <c r="K13" s="359">
        <v>2002</v>
      </c>
      <c r="L13" t="s">
        <v>17</v>
      </c>
      <c r="M13" t="s">
        <v>27</v>
      </c>
      <c r="N13">
        <v>19</v>
      </c>
      <c r="O13">
        <v>5</v>
      </c>
      <c r="P13">
        <v>104</v>
      </c>
      <c r="Q13">
        <v>13.354420806045299</v>
      </c>
      <c r="R13">
        <v>2.6</v>
      </c>
      <c r="T13" s="358" t="str">
        <f t="shared" si="4"/>
        <v>1996AllSexAllEth22Jumping from a high place</v>
      </c>
      <c r="U13" s="360">
        <v>1996</v>
      </c>
      <c r="V13" s="360" t="s">
        <v>17</v>
      </c>
      <c r="W13" s="360" t="s">
        <v>27</v>
      </c>
      <c r="X13" s="360">
        <v>22</v>
      </c>
      <c r="Y13" s="360" t="s">
        <v>44</v>
      </c>
      <c r="Z13" s="360">
        <v>3</v>
      </c>
      <c r="AA13" s="360">
        <v>143</v>
      </c>
      <c r="AB13" s="360">
        <v>2.1</v>
      </c>
      <c r="AD13" s="358" t="str">
        <f t="shared" si="5"/>
        <v>201115AllSexAllEth19Taranaki</v>
      </c>
      <c r="AE13" t="s">
        <v>17</v>
      </c>
      <c r="AF13" t="s">
        <v>27</v>
      </c>
      <c r="AG13">
        <v>19</v>
      </c>
      <c r="AH13">
        <v>10</v>
      </c>
      <c r="AI13" t="s">
        <v>63</v>
      </c>
      <c r="AJ13">
        <v>71</v>
      </c>
      <c r="AK13">
        <v>12.5045795067994</v>
      </c>
      <c r="AL13">
        <v>3.8</v>
      </c>
      <c r="AM13" t="s">
        <v>82</v>
      </c>
      <c r="AN13">
        <v>201115</v>
      </c>
      <c r="AQ13" t="str">
        <f t="shared" si="2"/>
        <v>2003FemaleUrban22</v>
      </c>
      <c r="AR13">
        <v>2003</v>
      </c>
      <c r="AS13" t="s">
        <v>8</v>
      </c>
      <c r="AT13" t="s">
        <v>97</v>
      </c>
      <c r="AU13">
        <v>22</v>
      </c>
      <c r="AV13">
        <v>23</v>
      </c>
      <c r="AW13">
        <v>8.9812175407083394</v>
      </c>
      <c r="AX13">
        <v>3.7</v>
      </c>
      <c r="AZ13" t="str">
        <f t="shared" si="6"/>
        <v>2015AllSexAllEth12</v>
      </c>
      <c r="BA13">
        <v>2015</v>
      </c>
      <c r="BB13" t="s">
        <v>17</v>
      </c>
      <c r="BC13" t="s">
        <v>27</v>
      </c>
      <c r="BD13">
        <v>12</v>
      </c>
      <c r="BE13">
        <v>34</v>
      </c>
      <c r="BF13">
        <v>11.8285555246312</v>
      </c>
      <c r="BG13" s="83">
        <v>4</v>
      </c>
      <c r="BH13">
        <v>1272</v>
      </c>
      <c r="BI13">
        <v>2.7</v>
      </c>
      <c r="BK13" t="str">
        <f t="shared" si="3"/>
        <v>MalePacific19</v>
      </c>
      <c r="BL13" t="s">
        <v>20</v>
      </c>
      <c r="BM13" t="s">
        <v>79</v>
      </c>
      <c r="BN13">
        <v>19</v>
      </c>
      <c r="BO13">
        <v>89</v>
      </c>
      <c r="BP13">
        <v>12.5975011470462</v>
      </c>
      <c r="BQ13">
        <v>2.6</v>
      </c>
      <c r="BS13" t="str">
        <f t="shared" si="7"/>
        <v>AllSexMaori195</v>
      </c>
      <c r="BT13" t="s">
        <v>17</v>
      </c>
      <c r="BU13" t="s">
        <v>18</v>
      </c>
      <c r="BV13">
        <v>19</v>
      </c>
      <c r="BW13">
        <v>5</v>
      </c>
      <c r="BX13">
        <v>255</v>
      </c>
      <c r="BY13">
        <v>19.541871373493201</v>
      </c>
      <c r="BZ13">
        <v>2.4</v>
      </c>
      <c r="CB13" t="str">
        <f t="shared" si="8"/>
        <v>AllSexAllEth25Hanging, strangulation and suffocation</v>
      </c>
      <c r="CC13" t="s">
        <v>17</v>
      </c>
      <c r="CD13" t="s">
        <v>27</v>
      </c>
      <c r="CE13" t="s">
        <v>43</v>
      </c>
      <c r="CF13">
        <v>25</v>
      </c>
      <c r="CG13">
        <v>102</v>
      </c>
      <c r="CH13">
        <v>282</v>
      </c>
      <c r="CI13">
        <v>36.200000000000003</v>
      </c>
      <c r="CL13" t="str">
        <f t="shared" si="9"/>
        <v>2002AllSexAllEth9</v>
      </c>
      <c r="CM13">
        <v>2002</v>
      </c>
      <c r="CN13" t="s">
        <v>17</v>
      </c>
      <c r="CO13" t="s">
        <v>27</v>
      </c>
      <c r="CP13">
        <v>9</v>
      </c>
      <c r="CQ13">
        <v>72</v>
      </c>
    </row>
    <row r="14" spans="1:95" x14ac:dyDescent="0.2">
      <c r="A14" t="str">
        <f t="shared" si="0"/>
        <v>2006AllSexAllEth19</v>
      </c>
      <c r="B14">
        <v>2006</v>
      </c>
      <c r="C14" t="s">
        <v>17</v>
      </c>
      <c r="D14" t="s">
        <v>27</v>
      </c>
      <c r="E14">
        <v>19</v>
      </c>
      <c r="F14">
        <v>524</v>
      </c>
      <c r="G14">
        <v>12.199561585611701</v>
      </c>
      <c r="H14">
        <v>1</v>
      </c>
      <c r="J14" s="358" t="str">
        <f t="shared" si="1"/>
        <v>2003AllSexAllEth191</v>
      </c>
      <c r="K14" s="359">
        <v>2003</v>
      </c>
      <c r="L14" t="s">
        <v>17</v>
      </c>
      <c r="M14" t="s">
        <v>27</v>
      </c>
      <c r="N14">
        <v>19</v>
      </c>
      <c r="O14">
        <v>1</v>
      </c>
      <c r="P14">
        <v>63</v>
      </c>
      <c r="Q14">
        <v>7.7190227520079304</v>
      </c>
      <c r="R14">
        <v>1.9</v>
      </c>
      <c r="T14" s="358" t="str">
        <f t="shared" si="4"/>
        <v>1996AllSexAllEth23Jumping from a high place</v>
      </c>
      <c r="U14" s="360">
        <v>1996</v>
      </c>
      <c r="V14" s="360" t="s">
        <v>17</v>
      </c>
      <c r="W14" s="360" t="s">
        <v>27</v>
      </c>
      <c r="X14" s="360">
        <v>23</v>
      </c>
      <c r="Y14" s="360" t="s">
        <v>44</v>
      </c>
      <c r="Z14" s="360">
        <v>7</v>
      </c>
      <c r="AA14" s="360">
        <v>222</v>
      </c>
      <c r="AB14" s="360">
        <v>3.2</v>
      </c>
      <c r="AD14" s="358" t="str">
        <f t="shared" si="5"/>
        <v>201115AllSexAllEth19MidCentral</v>
      </c>
      <c r="AE14" t="s">
        <v>17</v>
      </c>
      <c r="AF14" t="s">
        <v>27</v>
      </c>
      <c r="AG14">
        <v>19</v>
      </c>
      <c r="AH14">
        <v>11</v>
      </c>
      <c r="AI14" t="s">
        <v>64</v>
      </c>
      <c r="AJ14">
        <v>140</v>
      </c>
      <c r="AK14">
        <v>16.282642574646701</v>
      </c>
      <c r="AL14">
        <v>3.5</v>
      </c>
      <c r="AM14" t="s">
        <v>84</v>
      </c>
      <c r="AN14">
        <v>201115</v>
      </c>
      <c r="AQ14" t="str">
        <f t="shared" si="2"/>
        <v>2003FemaleRural23</v>
      </c>
      <c r="AR14">
        <v>2003</v>
      </c>
      <c r="AS14" t="s">
        <v>8</v>
      </c>
      <c r="AT14" t="s">
        <v>96</v>
      </c>
      <c r="AU14">
        <v>23</v>
      </c>
      <c r="AV14">
        <v>3</v>
      </c>
      <c r="AW14">
        <v>3.7457859907603899</v>
      </c>
      <c r="AX14">
        <v>4.2</v>
      </c>
      <c r="AZ14" t="str">
        <f t="shared" si="6"/>
        <v>2015AllSexAllEth13</v>
      </c>
      <c r="BA14">
        <v>2015</v>
      </c>
      <c r="BB14" t="s">
        <v>17</v>
      </c>
      <c r="BC14" t="s">
        <v>27</v>
      </c>
      <c r="BD14">
        <v>13</v>
      </c>
      <c r="BE14">
        <v>33</v>
      </c>
      <c r="BF14">
        <v>13.182072381561101</v>
      </c>
      <c r="BG14" s="83">
        <v>4.5</v>
      </c>
      <c r="BH14">
        <v>1675</v>
      </c>
      <c r="BI14">
        <v>2</v>
      </c>
      <c r="BK14" t="str">
        <f t="shared" si="3"/>
        <v>MaleAsian19</v>
      </c>
      <c r="BL14" t="s">
        <v>20</v>
      </c>
      <c r="BM14" t="s">
        <v>78</v>
      </c>
      <c r="BN14">
        <v>19</v>
      </c>
      <c r="BO14">
        <v>84</v>
      </c>
      <c r="BP14">
        <v>6.1339845000132698</v>
      </c>
      <c r="BQ14">
        <v>1.3</v>
      </c>
      <c r="BS14" t="str">
        <f t="shared" si="7"/>
        <v>AllSexOther191</v>
      </c>
      <c r="BT14" t="s">
        <v>17</v>
      </c>
      <c r="BU14" t="s">
        <v>45</v>
      </c>
      <c r="BV14">
        <v>19</v>
      </c>
      <c r="BW14">
        <v>1</v>
      </c>
      <c r="BX14">
        <v>300</v>
      </c>
      <c r="BY14">
        <v>7.54136866576094</v>
      </c>
      <c r="BZ14">
        <v>0.9</v>
      </c>
      <c r="CB14" t="str">
        <f t="shared" si="8"/>
        <v>AllSexAllEth22Jumping from a high place</v>
      </c>
      <c r="CC14" t="s">
        <v>17</v>
      </c>
      <c r="CD14" t="s">
        <v>27</v>
      </c>
      <c r="CE14" t="s">
        <v>44</v>
      </c>
      <c r="CF14">
        <v>22</v>
      </c>
      <c r="CG14">
        <v>16</v>
      </c>
      <c r="CH14">
        <v>591</v>
      </c>
      <c r="CI14">
        <v>2.7</v>
      </c>
      <c r="CL14" t="str">
        <f t="shared" si="9"/>
        <v>2002AllSexMaori9</v>
      </c>
      <c r="CM14">
        <v>2002</v>
      </c>
      <c r="CN14" t="s">
        <v>17</v>
      </c>
      <c r="CO14" t="s">
        <v>18</v>
      </c>
      <c r="CP14">
        <v>9</v>
      </c>
      <c r="CQ14">
        <v>18</v>
      </c>
    </row>
    <row r="15" spans="1:95" x14ac:dyDescent="0.2">
      <c r="A15" t="str">
        <f t="shared" si="0"/>
        <v>2007AllSexAllEth19</v>
      </c>
      <c r="B15">
        <v>2007</v>
      </c>
      <c r="C15" t="s">
        <v>17</v>
      </c>
      <c r="D15" t="s">
        <v>27</v>
      </c>
      <c r="E15">
        <v>19</v>
      </c>
      <c r="F15">
        <v>501</v>
      </c>
      <c r="G15">
        <v>11.3776715520784</v>
      </c>
      <c r="H15">
        <v>1</v>
      </c>
      <c r="J15" s="358" t="str">
        <f t="shared" si="1"/>
        <v>2003AllSexAllEth192</v>
      </c>
      <c r="K15" s="359">
        <v>2003</v>
      </c>
      <c r="L15" t="s">
        <v>17</v>
      </c>
      <c r="M15" t="s">
        <v>27</v>
      </c>
      <c r="N15">
        <v>19</v>
      </c>
      <c r="O15">
        <v>2</v>
      </c>
      <c r="P15">
        <v>72</v>
      </c>
      <c r="Q15">
        <v>8.3286717783904507</v>
      </c>
      <c r="R15">
        <v>1.9</v>
      </c>
      <c r="T15" s="358" t="str">
        <f t="shared" si="4"/>
        <v>1996AllSexAllEth24Jumping from a high place</v>
      </c>
      <c r="U15" s="360">
        <v>1996</v>
      </c>
      <c r="V15" s="360" t="s">
        <v>17</v>
      </c>
      <c r="W15" s="360" t="s">
        <v>27</v>
      </c>
      <c r="X15" s="360">
        <v>24</v>
      </c>
      <c r="Y15" s="360" t="s">
        <v>44</v>
      </c>
      <c r="Z15" s="360">
        <v>1</v>
      </c>
      <c r="AA15" s="360">
        <v>102</v>
      </c>
      <c r="AB15" s="360">
        <v>1</v>
      </c>
      <c r="AD15" s="358" t="str">
        <f t="shared" si="5"/>
        <v>201115AllSexAllEth19Whanganui</v>
      </c>
      <c r="AE15" t="s">
        <v>17</v>
      </c>
      <c r="AF15" t="s">
        <v>27</v>
      </c>
      <c r="AG15">
        <v>19</v>
      </c>
      <c r="AH15">
        <v>12</v>
      </c>
      <c r="AI15" t="s">
        <v>65</v>
      </c>
      <c r="AJ15">
        <v>38</v>
      </c>
      <c r="AK15">
        <v>13.137758294093</v>
      </c>
      <c r="AL15">
        <v>5.5</v>
      </c>
      <c r="AM15" t="s">
        <v>82</v>
      </c>
      <c r="AN15">
        <v>201115</v>
      </c>
      <c r="AQ15" t="str">
        <f t="shared" si="2"/>
        <v>2003FemaleUrban23</v>
      </c>
      <c r="AR15">
        <v>2003</v>
      </c>
      <c r="AS15" t="s">
        <v>8</v>
      </c>
      <c r="AT15" t="s">
        <v>97</v>
      </c>
      <c r="AU15">
        <v>23</v>
      </c>
      <c r="AV15">
        <v>42</v>
      </c>
      <c r="AW15">
        <v>7.9756931257121204</v>
      </c>
      <c r="AX15">
        <v>2.4</v>
      </c>
      <c r="AZ15" t="str">
        <f t="shared" si="6"/>
        <v>2015AllSexAllEth14</v>
      </c>
      <c r="BA15">
        <v>2015</v>
      </c>
      <c r="BB15" t="s">
        <v>17</v>
      </c>
      <c r="BC15" t="s">
        <v>27</v>
      </c>
      <c r="BD15">
        <v>14</v>
      </c>
      <c r="BE15">
        <v>20</v>
      </c>
      <c r="BF15">
        <v>8.8546509053880609</v>
      </c>
      <c r="BG15" s="83">
        <v>3.9</v>
      </c>
      <c r="BH15">
        <v>2429</v>
      </c>
      <c r="BI15">
        <v>0.8</v>
      </c>
      <c r="BK15" t="str">
        <f t="shared" si="3"/>
        <v>MaleOther19</v>
      </c>
      <c r="BL15" t="s">
        <v>20</v>
      </c>
      <c r="BM15" t="s">
        <v>45</v>
      </c>
      <c r="BN15">
        <v>19</v>
      </c>
      <c r="BO15">
        <v>1364</v>
      </c>
      <c r="BP15">
        <v>17.313193556336898</v>
      </c>
      <c r="BQ15">
        <v>0.9</v>
      </c>
      <c r="BS15" t="str">
        <f t="shared" si="7"/>
        <v>AllSexOther192</v>
      </c>
      <c r="BT15" t="s">
        <v>17</v>
      </c>
      <c r="BU15" t="s">
        <v>45</v>
      </c>
      <c r="BV15">
        <v>19</v>
      </c>
      <c r="BW15">
        <v>2</v>
      </c>
      <c r="BX15">
        <v>325</v>
      </c>
      <c r="BY15">
        <v>8.7325820210108507</v>
      </c>
      <c r="BZ15">
        <v>0.9</v>
      </c>
      <c r="CB15" t="str">
        <f t="shared" si="8"/>
        <v>AllSexAllEth23Jumping from a high place</v>
      </c>
      <c r="CC15" t="s">
        <v>17</v>
      </c>
      <c r="CD15" t="s">
        <v>27</v>
      </c>
      <c r="CE15" t="s">
        <v>44</v>
      </c>
      <c r="CF15">
        <v>23</v>
      </c>
      <c r="CG15">
        <v>23</v>
      </c>
      <c r="CH15">
        <v>871</v>
      </c>
      <c r="CI15">
        <v>2.6</v>
      </c>
      <c r="CL15" t="str">
        <f t="shared" si="9"/>
        <v>2002AllSexNon-Maori9</v>
      </c>
      <c r="CM15">
        <v>2002</v>
      </c>
      <c r="CN15" t="s">
        <v>17</v>
      </c>
      <c r="CO15" t="s">
        <v>19</v>
      </c>
      <c r="CP15">
        <v>9</v>
      </c>
      <c r="CQ15">
        <v>54</v>
      </c>
    </row>
    <row r="16" spans="1:95" x14ac:dyDescent="0.2">
      <c r="A16" t="str">
        <f t="shared" si="0"/>
        <v>2008AllSexAllEth19</v>
      </c>
      <c r="B16">
        <v>2008</v>
      </c>
      <c r="C16" t="s">
        <v>17</v>
      </c>
      <c r="D16" t="s">
        <v>27</v>
      </c>
      <c r="E16">
        <v>19</v>
      </c>
      <c r="F16">
        <v>518</v>
      </c>
      <c r="G16">
        <v>11.809655272717</v>
      </c>
      <c r="H16">
        <v>1</v>
      </c>
      <c r="J16" s="358" t="str">
        <f t="shared" si="1"/>
        <v>2003AllSexAllEth193</v>
      </c>
      <c r="K16" s="359">
        <v>2003</v>
      </c>
      <c r="L16" t="s">
        <v>17</v>
      </c>
      <c r="M16" t="s">
        <v>27</v>
      </c>
      <c r="N16">
        <v>19</v>
      </c>
      <c r="O16">
        <v>3</v>
      </c>
      <c r="P16">
        <v>119</v>
      </c>
      <c r="Q16">
        <v>13.7429971950121</v>
      </c>
      <c r="R16">
        <v>2.5</v>
      </c>
      <c r="T16" s="358" t="str">
        <f t="shared" si="4"/>
        <v>1996AllSexAllEth25Jumping from a high place</v>
      </c>
      <c r="U16" s="360">
        <v>1996</v>
      </c>
      <c r="V16" s="360" t="s">
        <v>17</v>
      </c>
      <c r="W16" s="360" t="s">
        <v>27</v>
      </c>
      <c r="X16" s="360">
        <v>25</v>
      </c>
      <c r="Y16" s="360" t="s">
        <v>44</v>
      </c>
      <c r="Z16" s="360">
        <v>1</v>
      </c>
      <c r="AA16" s="360">
        <v>66</v>
      </c>
      <c r="AB16" s="360">
        <v>1.5</v>
      </c>
      <c r="AD16" s="358" t="str">
        <f t="shared" si="5"/>
        <v>201115AllSexAllEth19Capital &amp; Coast</v>
      </c>
      <c r="AE16" t="s">
        <v>17</v>
      </c>
      <c r="AF16" t="s">
        <v>27</v>
      </c>
      <c r="AG16">
        <v>19</v>
      </c>
      <c r="AH16">
        <v>13</v>
      </c>
      <c r="AI16" t="s">
        <v>66</v>
      </c>
      <c r="AJ16">
        <v>131</v>
      </c>
      <c r="AK16">
        <v>8.2147948931406898</v>
      </c>
      <c r="AL16">
        <v>1.8</v>
      </c>
      <c r="AM16" t="s">
        <v>83</v>
      </c>
      <c r="AN16">
        <v>201115</v>
      </c>
      <c r="AQ16" t="str">
        <f t="shared" si="2"/>
        <v>2003FemaleRural24</v>
      </c>
      <c r="AR16">
        <v>2003</v>
      </c>
      <c r="AS16" t="s">
        <v>8</v>
      </c>
      <c r="AT16" t="s">
        <v>96</v>
      </c>
      <c r="AU16">
        <v>24</v>
      </c>
      <c r="AV16">
        <v>3</v>
      </c>
      <c r="AW16">
        <v>4.0832993058391196</v>
      </c>
      <c r="AX16">
        <v>4.5999999999999996</v>
      </c>
      <c r="AZ16" t="str">
        <f t="shared" si="6"/>
        <v>2015AllSexAllEth15</v>
      </c>
      <c r="BA16">
        <v>2015</v>
      </c>
      <c r="BB16" t="s">
        <v>17</v>
      </c>
      <c r="BC16" t="s">
        <v>27</v>
      </c>
      <c r="BD16">
        <v>15</v>
      </c>
      <c r="BE16">
        <v>10</v>
      </c>
      <c r="BF16">
        <v>6.0631783180743302</v>
      </c>
      <c r="BG16" s="83">
        <v>3.8</v>
      </c>
      <c r="BH16">
        <v>3020</v>
      </c>
      <c r="BI16">
        <v>0.3</v>
      </c>
      <c r="BK16" t="str">
        <f t="shared" si="3"/>
        <v>AllSexMaori22</v>
      </c>
      <c r="BL16" t="s">
        <v>17</v>
      </c>
      <c r="BM16" t="s">
        <v>18</v>
      </c>
      <c r="BN16">
        <v>22</v>
      </c>
      <c r="BO16">
        <v>230</v>
      </c>
      <c r="BP16">
        <v>35.659467588644802</v>
      </c>
      <c r="BQ16">
        <v>4.5999999999999996</v>
      </c>
      <c r="BS16" t="str">
        <f t="shared" si="7"/>
        <v>AllSexOther193</v>
      </c>
      <c r="BT16" t="s">
        <v>17</v>
      </c>
      <c r="BU16" t="s">
        <v>45</v>
      </c>
      <c r="BV16">
        <v>19</v>
      </c>
      <c r="BW16">
        <v>3</v>
      </c>
      <c r="BX16">
        <v>389</v>
      </c>
      <c r="BY16">
        <v>11.1910436800566</v>
      </c>
      <c r="BZ16">
        <v>1.1000000000000001</v>
      </c>
      <c r="CB16" t="str">
        <f t="shared" si="8"/>
        <v>AllSexAllEth24Jumping from a high place</v>
      </c>
      <c r="CC16" t="s">
        <v>17</v>
      </c>
      <c r="CD16" t="s">
        <v>27</v>
      </c>
      <c r="CE16" t="s">
        <v>44</v>
      </c>
      <c r="CF16">
        <v>24</v>
      </c>
      <c r="CG16">
        <v>32</v>
      </c>
      <c r="CH16">
        <v>813</v>
      </c>
      <c r="CI16">
        <v>3.9</v>
      </c>
      <c r="CL16" t="str">
        <f t="shared" si="9"/>
        <v>2002FemaleAllEth9</v>
      </c>
      <c r="CM16">
        <v>2002</v>
      </c>
      <c r="CN16" t="s">
        <v>8</v>
      </c>
      <c r="CO16" t="s">
        <v>27</v>
      </c>
      <c r="CP16">
        <v>9</v>
      </c>
      <c r="CQ16">
        <v>20</v>
      </c>
    </row>
    <row r="17" spans="1:95" x14ac:dyDescent="0.2">
      <c r="A17" t="str">
        <f t="shared" si="0"/>
        <v>2009AllSexAllEth19</v>
      </c>
      <c r="B17">
        <v>2009</v>
      </c>
      <c r="C17" t="s">
        <v>17</v>
      </c>
      <c r="D17" t="s">
        <v>27</v>
      </c>
      <c r="E17">
        <v>19</v>
      </c>
      <c r="F17">
        <v>512</v>
      </c>
      <c r="G17">
        <v>11.484055558810701</v>
      </c>
      <c r="H17">
        <v>1</v>
      </c>
      <c r="J17" s="358" t="str">
        <f t="shared" si="1"/>
        <v>2003AllSexAllEth194</v>
      </c>
      <c r="K17" s="359">
        <v>2003</v>
      </c>
      <c r="L17" t="s">
        <v>17</v>
      </c>
      <c r="M17" t="s">
        <v>27</v>
      </c>
      <c r="N17">
        <v>19</v>
      </c>
      <c r="O17">
        <v>4</v>
      </c>
      <c r="P17">
        <v>122</v>
      </c>
      <c r="Q17">
        <v>14.7372467792256</v>
      </c>
      <c r="R17">
        <v>2.6</v>
      </c>
      <c r="T17" s="358" t="str">
        <f t="shared" si="4"/>
        <v>1996AllSexAllEth22Other</v>
      </c>
      <c r="U17" s="360">
        <v>1996</v>
      </c>
      <c r="V17" s="360" t="s">
        <v>17</v>
      </c>
      <c r="W17" s="360" t="s">
        <v>27</v>
      </c>
      <c r="X17" s="360">
        <v>22</v>
      </c>
      <c r="Y17" s="360" t="s">
        <v>45</v>
      </c>
      <c r="Z17" s="360">
        <v>4</v>
      </c>
      <c r="AA17" s="360">
        <v>143</v>
      </c>
      <c r="AB17" s="360">
        <v>2.8</v>
      </c>
      <c r="AD17" s="358" t="str">
        <f t="shared" si="5"/>
        <v>201115AllSexAllEth19Hutt Valley</v>
      </c>
      <c r="AE17" t="s">
        <v>17</v>
      </c>
      <c r="AF17" t="s">
        <v>27</v>
      </c>
      <c r="AG17">
        <v>19</v>
      </c>
      <c r="AH17">
        <v>14</v>
      </c>
      <c r="AI17" t="s">
        <v>67</v>
      </c>
      <c r="AJ17">
        <v>89</v>
      </c>
      <c r="AK17">
        <v>12.0035432286529</v>
      </c>
      <c r="AL17">
        <v>3.3</v>
      </c>
      <c r="AM17" t="s">
        <v>82</v>
      </c>
      <c r="AN17">
        <v>201115</v>
      </c>
      <c r="AQ17" t="str">
        <f t="shared" si="2"/>
        <v>2003FemaleUrban24</v>
      </c>
      <c r="AR17">
        <v>2003</v>
      </c>
      <c r="AS17" t="s">
        <v>8</v>
      </c>
      <c r="AT17" t="s">
        <v>97</v>
      </c>
      <c r="AU17">
        <v>24</v>
      </c>
      <c r="AV17">
        <v>30</v>
      </c>
      <c r="AW17">
        <v>7.72041793195738</v>
      </c>
      <c r="AX17">
        <v>2.8</v>
      </c>
      <c r="AZ17" t="str">
        <f t="shared" si="6"/>
        <v>2015AllSexAllEth16</v>
      </c>
      <c r="BA17">
        <v>2015</v>
      </c>
      <c r="BB17" t="s">
        <v>17</v>
      </c>
      <c r="BC17" t="s">
        <v>27</v>
      </c>
      <c r="BD17">
        <v>16</v>
      </c>
      <c r="BE17">
        <v>17</v>
      </c>
      <c r="BF17">
        <v>14.1301637436622</v>
      </c>
      <c r="BG17" s="83">
        <v>6.7</v>
      </c>
      <c r="BH17">
        <v>3762</v>
      </c>
      <c r="BI17">
        <v>0.5</v>
      </c>
      <c r="BK17" t="str">
        <f t="shared" si="3"/>
        <v>AllSexPacific22</v>
      </c>
      <c r="BL17" t="s">
        <v>17</v>
      </c>
      <c r="BM17" t="s">
        <v>79</v>
      </c>
      <c r="BN17">
        <v>22</v>
      </c>
      <c r="BO17">
        <v>57</v>
      </c>
      <c r="BP17">
        <v>21.053409174854099</v>
      </c>
      <c r="BQ17">
        <v>5.5</v>
      </c>
      <c r="BS17" t="str">
        <f t="shared" si="7"/>
        <v>AllSexOther194</v>
      </c>
      <c r="BT17" t="s">
        <v>17</v>
      </c>
      <c r="BU17" t="s">
        <v>45</v>
      </c>
      <c r="BV17">
        <v>19</v>
      </c>
      <c r="BW17">
        <v>4</v>
      </c>
      <c r="BX17">
        <v>381</v>
      </c>
      <c r="BY17">
        <v>13.0556051312088</v>
      </c>
      <c r="BZ17">
        <v>1.3</v>
      </c>
      <c r="CB17" t="str">
        <f t="shared" si="8"/>
        <v>AllSexAllEth25Jumping from a high place</v>
      </c>
      <c r="CC17" t="s">
        <v>17</v>
      </c>
      <c r="CD17" t="s">
        <v>27</v>
      </c>
      <c r="CE17" t="s">
        <v>44</v>
      </c>
      <c r="CF17">
        <v>25</v>
      </c>
      <c r="CG17">
        <v>7</v>
      </c>
      <c r="CH17">
        <v>282</v>
      </c>
      <c r="CI17">
        <v>2.5</v>
      </c>
      <c r="CL17" t="str">
        <f t="shared" si="9"/>
        <v>2002FemaleMaori9</v>
      </c>
      <c r="CM17">
        <v>2002</v>
      </c>
      <c r="CN17" t="s">
        <v>8</v>
      </c>
      <c r="CO17" t="s">
        <v>18</v>
      </c>
      <c r="CP17">
        <v>9</v>
      </c>
      <c r="CQ17">
        <v>6</v>
      </c>
    </row>
    <row r="18" spans="1:95" x14ac:dyDescent="0.2">
      <c r="A18" t="str">
        <f t="shared" si="0"/>
        <v>2010AllSexAllEth19</v>
      </c>
      <c r="B18">
        <v>2010</v>
      </c>
      <c r="C18" t="s">
        <v>17</v>
      </c>
      <c r="D18" t="s">
        <v>27</v>
      </c>
      <c r="E18">
        <v>19</v>
      </c>
      <c r="F18">
        <v>534</v>
      </c>
      <c r="G18">
        <v>11.9073434349195</v>
      </c>
      <c r="H18">
        <v>1</v>
      </c>
      <c r="J18" s="358" t="str">
        <f t="shared" si="1"/>
        <v>2003AllSexAllEth195</v>
      </c>
      <c r="K18" s="359">
        <v>2003</v>
      </c>
      <c r="L18" t="s">
        <v>17</v>
      </c>
      <c r="M18" t="s">
        <v>27</v>
      </c>
      <c r="N18">
        <v>19</v>
      </c>
      <c r="O18">
        <v>5</v>
      </c>
      <c r="P18">
        <v>120</v>
      </c>
      <c r="Q18">
        <v>15.034665493241601</v>
      </c>
      <c r="R18">
        <v>2.7</v>
      </c>
      <c r="T18" s="358" t="str">
        <f t="shared" si="4"/>
        <v>1996AllSexAllEth23Other</v>
      </c>
      <c r="U18" s="360">
        <v>1996</v>
      </c>
      <c r="V18" s="360" t="s">
        <v>17</v>
      </c>
      <c r="W18" s="360" t="s">
        <v>27</v>
      </c>
      <c r="X18" s="360">
        <v>23</v>
      </c>
      <c r="Y18" s="360" t="s">
        <v>45</v>
      </c>
      <c r="Z18" s="360">
        <v>6</v>
      </c>
      <c r="AA18" s="360">
        <v>222</v>
      </c>
      <c r="AB18" s="360">
        <v>2.7</v>
      </c>
      <c r="AD18" s="358" t="str">
        <f t="shared" si="5"/>
        <v>201115AllSexAllEth19Wairarapa</v>
      </c>
      <c r="AE18" t="s">
        <v>17</v>
      </c>
      <c r="AF18" t="s">
        <v>27</v>
      </c>
      <c r="AG18">
        <v>19</v>
      </c>
      <c r="AH18">
        <v>15</v>
      </c>
      <c r="AI18" t="s">
        <v>68</v>
      </c>
      <c r="AJ18">
        <v>35</v>
      </c>
      <c r="AK18">
        <v>18.386070369359601</v>
      </c>
      <c r="AL18">
        <v>8</v>
      </c>
      <c r="AM18" t="s">
        <v>82</v>
      </c>
      <c r="AN18">
        <v>201115</v>
      </c>
      <c r="AQ18" t="str">
        <f t="shared" si="2"/>
        <v>2003FemaleRural25</v>
      </c>
      <c r="AR18">
        <v>2003</v>
      </c>
      <c r="AS18" t="s">
        <v>8</v>
      </c>
      <c r="AT18" t="s">
        <v>96</v>
      </c>
      <c r="AU18">
        <v>25</v>
      </c>
      <c r="AV18">
        <v>1</v>
      </c>
      <c r="AW18">
        <v>3.91696043869957</v>
      </c>
      <c r="AX18">
        <v>7.7</v>
      </c>
      <c r="AZ18" t="str">
        <f t="shared" si="6"/>
        <v>2015AllSexAllEth17</v>
      </c>
      <c r="BA18">
        <v>2015</v>
      </c>
      <c r="BB18" t="s">
        <v>17</v>
      </c>
      <c r="BC18" t="s">
        <v>27</v>
      </c>
      <c r="BD18">
        <v>17</v>
      </c>
      <c r="BE18">
        <v>10</v>
      </c>
      <c r="BF18">
        <v>12.0206755619666</v>
      </c>
      <c r="BG18" s="83">
        <v>7.5</v>
      </c>
      <c r="BH18">
        <v>4828</v>
      </c>
      <c r="BI18">
        <v>0.2</v>
      </c>
      <c r="BK18" t="str">
        <f t="shared" si="3"/>
        <v>AllSexAsian22</v>
      </c>
      <c r="BL18" t="s">
        <v>17</v>
      </c>
      <c r="BM18" t="s">
        <v>78</v>
      </c>
      <c r="BN18">
        <v>22</v>
      </c>
      <c r="BO18">
        <v>27</v>
      </c>
      <c r="BP18">
        <v>5.7617208339557404</v>
      </c>
      <c r="BQ18">
        <v>2.2000000000000002</v>
      </c>
      <c r="BS18" t="str">
        <f t="shared" si="7"/>
        <v>AllSexOther195</v>
      </c>
      <c r="BT18" t="s">
        <v>17</v>
      </c>
      <c r="BU18" t="s">
        <v>45</v>
      </c>
      <c r="BV18">
        <v>19</v>
      </c>
      <c r="BW18">
        <v>5</v>
      </c>
      <c r="BX18">
        <v>333</v>
      </c>
      <c r="BY18">
        <v>17.937049989001501</v>
      </c>
      <c r="BZ18">
        <v>1.9</v>
      </c>
      <c r="CB18" t="str">
        <f t="shared" si="8"/>
        <v>AllSexAllEth21Other</v>
      </c>
      <c r="CC18" t="s">
        <v>17</v>
      </c>
      <c r="CD18" t="s">
        <v>27</v>
      </c>
      <c r="CE18" t="s">
        <v>45</v>
      </c>
      <c r="CF18">
        <v>21</v>
      </c>
      <c r="CG18">
        <v>2</v>
      </c>
      <c r="CH18">
        <v>35</v>
      </c>
      <c r="CI18">
        <v>5.7</v>
      </c>
      <c r="CL18" t="str">
        <f t="shared" si="9"/>
        <v>2002FemaleNon-Maori9</v>
      </c>
      <c r="CM18">
        <v>2002</v>
      </c>
      <c r="CN18" t="s">
        <v>8</v>
      </c>
      <c r="CO18" t="s">
        <v>19</v>
      </c>
      <c r="CP18">
        <v>9</v>
      </c>
      <c r="CQ18">
        <v>14</v>
      </c>
    </row>
    <row r="19" spans="1:95" x14ac:dyDescent="0.2">
      <c r="A19" t="str">
        <f t="shared" si="0"/>
        <v>2011AllSexAllEth19</v>
      </c>
      <c r="B19">
        <v>2011</v>
      </c>
      <c r="C19" t="s">
        <v>17</v>
      </c>
      <c r="D19" t="s">
        <v>27</v>
      </c>
      <c r="E19">
        <v>19</v>
      </c>
      <c r="F19">
        <v>494</v>
      </c>
      <c r="G19">
        <v>11.118020247642701</v>
      </c>
      <c r="H19">
        <v>1</v>
      </c>
      <c r="J19" s="358" t="str">
        <f t="shared" si="1"/>
        <v>2004AllSexAllEth191</v>
      </c>
      <c r="K19" s="359">
        <v>2004</v>
      </c>
      <c r="L19" t="s">
        <v>17</v>
      </c>
      <c r="M19" t="s">
        <v>27</v>
      </c>
      <c r="N19">
        <v>19</v>
      </c>
      <c r="O19">
        <v>1</v>
      </c>
      <c r="P19">
        <v>58</v>
      </c>
      <c r="Q19">
        <v>7.2841075117793102</v>
      </c>
      <c r="R19">
        <v>1.9</v>
      </c>
      <c r="T19" s="358" t="str">
        <f t="shared" si="4"/>
        <v>1996AllSexAllEth24Other</v>
      </c>
      <c r="U19" s="360">
        <v>1996</v>
      </c>
      <c r="V19" s="360" t="s">
        <v>17</v>
      </c>
      <c r="W19" s="360" t="s">
        <v>27</v>
      </c>
      <c r="X19" s="360">
        <v>24</v>
      </c>
      <c r="Y19" s="360" t="s">
        <v>45</v>
      </c>
      <c r="Z19" s="360">
        <v>2</v>
      </c>
      <c r="AA19" s="360">
        <v>102</v>
      </c>
      <c r="AB19" s="360">
        <v>2</v>
      </c>
      <c r="AD19" s="358" t="str">
        <f t="shared" si="5"/>
        <v>201115AllSexAllEth19Nelson Marlborough</v>
      </c>
      <c r="AE19" t="s">
        <v>17</v>
      </c>
      <c r="AF19" t="s">
        <v>27</v>
      </c>
      <c r="AG19">
        <v>19</v>
      </c>
      <c r="AH19">
        <v>16</v>
      </c>
      <c r="AI19" t="s">
        <v>69</v>
      </c>
      <c r="AJ19">
        <v>81</v>
      </c>
      <c r="AK19">
        <v>10.42842654423</v>
      </c>
      <c r="AL19">
        <v>3</v>
      </c>
      <c r="AM19" t="s">
        <v>82</v>
      </c>
      <c r="AN19">
        <v>201115</v>
      </c>
      <c r="AQ19" t="str">
        <f t="shared" si="2"/>
        <v>2003FemaleUrban25</v>
      </c>
      <c r="AR19">
        <v>2003</v>
      </c>
      <c r="AS19" t="s">
        <v>8</v>
      </c>
      <c r="AT19" t="s">
        <v>97</v>
      </c>
      <c r="AU19">
        <v>25</v>
      </c>
      <c r="AV19">
        <v>16</v>
      </c>
      <c r="AW19">
        <v>6.6577896138482</v>
      </c>
      <c r="AX19">
        <v>3.3</v>
      </c>
      <c r="AZ19" t="str">
        <f t="shared" si="6"/>
        <v>2015AllSexAllEth18</v>
      </c>
      <c r="BA19">
        <v>2015</v>
      </c>
      <c r="BB19" t="s">
        <v>17</v>
      </c>
      <c r="BC19" t="s">
        <v>27</v>
      </c>
      <c r="BD19">
        <v>18</v>
      </c>
      <c r="BE19">
        <v>7</v>
      </c>
      <c r="BF19">
        <v>8.7609511889862297</v>
      </c>
      <c r="BG19" s="83">
        <v>6.5</v>
      </c>
      <c r="BH19">
        <v>11565</v>
      </c>
      <c r="BI19">
        <v>0.1</v>
      </c>
      <c r="BK19" t="str">
        <f t="shared" si="3"/>
        <v>AllSexOther22</v>
      </c>
      <c r="BL19" t="s">
        <v>17</v>
      </c>
      <c r="BM19" t="s">
        <v>45</v>
      </c>
      <c r="BN19">
        <v>22</v>
      </c>
      <c r="BO19">
        <v>277</v>
      </c>
      <c r="BP19">
        <v>15.4688110794661</v>
      </c>
      <c r="BQ19">
        <v>1.8</v>
      </c>
      <c r="BS19" t="str">
        <f t="shared" si="7"/>
        <v>AllSexPacific191</v>
      </c>
      <c r="BT19" t="s">
        <v>17</v>
      </c>
      <c r="BU19" t="s">
        <v>79</v>
      </c>
      <c r="BV19">
        <v>19</v>
      </c>
      <c r="BW19">
        <v>1</v>
      </c>
      <c r="BX19">
        <v>4</v>
      </c>
      <c r="BY19">
        <v>5.8208575014505204</v>
      </c>
      <c r="BZ19">
        <v>5.7</v>
      </c>
      <c r="CB19" t="str">
        <f t="shared" si="8"/>
        <v>AllSexAllEth22Other</v>
      </c>
      <c r="CC19" t="s">
        <v>17</v>
      </c>
      <c r="CD19" t="s">
        <v>27</v>
      </c>
      <c r="CE19" t="s">
        <v>45</v>
      </c>
      <c r="CF19">
        <v>22</v>
      </c>
      <c r="CG19">
        <v>13</v>
      </c>
      <c r="CH19">
        <v>591</v>
      </c>
      <c r="CI19">
        <v>2.2000000000000002</v>
      </c>
      <c r="CL19" t="str">
        <f t="shared" si="9"/>
        <v>2002MaleAllEth9</v>
      </c>
      <c r="CM19">
        <v>2002</v>
      </c>
      <c r="CN19" t="s">
        <v>20</v>
      </c>
      <c r="CO19" t="s">
        <v>27</v>
      </c>
      <c r="CP19">
        <v>9</v>
      </c>
      <c r="CQ19">
        <v>52</v>
      </c>
    </row>
    <row r="20" spans="1:95" x14ac:dyDescent="0.2">
      <c r="A20" t="str">
        <f t="shared" si="0"/>
        <v>2012AllSexAllEth19</v>
      </c>
      <c r="B20">
        <v>2012</v>
      </c>
      <c r="C20" t="s">
        <v>17</v>
      </c>
      <c r="D20" t="s">
        <v>27</v>
      </c>
      <c r="E20">
        <v>19</v>
      </c>
      <c r="F20">
        <v>550</v>
      </c>
      <c r="G20">
        <v>12.338278444361899</v>
      </c>
      <c r="H20">
        <v>1</v>
      </c>
      <c r="J20" s="358" t="str">
        <f t="shared" si="1"/>
        <v>2004AllSexAllEth192</v>
      </c>
      <c r="K20" s="359">
        <v>2004</v>
      </c>
      <c r="L20" t="s">
        <v>17</v>
      </c>
      <c r="M20" t="s">
        <v>27</v>
      </c>
      <c r="N20">
        <v>19</v>
      </c>
      <c r="O20">
        <v>2</v>
      </c>
      <c r="P20">
        <v>69</v>
      </c>
      <c r="Q20">
        <v>8.25703919404949</v>
      </c>
      <c r="R20">
        <v>1.9</v>
      </c>
      <c r="T20" s="358" t="str">
        <f t="shared" si="4"/>
        <v>1996AllSexAllEth25Other</v>
      </c>
      <c r="U20" s="360">
        <v>1996</v>
      </c>
      <c r="V20" s="360" t="s">
        <v>17</v>
      </c>
      <c r="W20" s="360" t="s">
        <v>27</v>
      </c>
      <c r="X20" s="360">
        <v>25</v>
      </c>
      <c r="Y20" s="360" t="s">
        <v>45</v>
      </c>
      <c r="Z20" s="360">
        <v>5</v>
      </c>
      <c r="AA20" s="360">
        <v>66</v>
      </c>
      <c r="AB20" s="360">
        <v>7.6</v>
      </c>
      <c r="AD20" s="358" t="str">
        <f t="shared" si="5"/>
        <v>201115AllSexAllEth19West Coast</v>
      </c>
      <c r="AE20" t="s">
        <v>17</v>
      </c>
      <c r="AF20" t="s">
        <v>27</v>
      </c>
      <c r="AG20">
        <v>19</v>
      </c>
      <c r="AH20">
        <v>17</v>
      </c>
      <c r="AI20" t="s">
        <v>70</v>
      </c>
      <c r="AJ20">
        <v>31</v>
      </c>
      <c r="AK20">
        <v>20.8354789012478</v>
      </c>
      <c r="AL20">
        <v>9.6</v>
      </c>
      <c r="AM20" t="s">
        <v>82</v>
      </c>
      <c r="AN20">
        <v>201115</v>
      </c>
      <c r="AQ20" t="str">
        <f t="shared" si="2"/>
        <v>2003MaleRural22</v>
      </c>
      <c r="AR20">
        <v>2003</v>
      </c>
      <c r="AS20" t="s">
        <v>20</v>
      </c>
      <c r="AT20" t="s">
        <v>96</v>
      </c>
      <c r="AU20">
        <v>22</v>
      </c>
      <c r="AV20">
        <v>10</v>
      </c>
      <c r="AW20">
        <v>31.585596967782699</v>
      </c>
      <c r="AX20">
        <v>19.600000000000001</v>
      </c>
      <c r="AZ20" t="str">
        <f t="shared" si="6"/>
        <v>2015FemaleAllEth3</v>
      </c>
      <c r="BA20">
        <v>2015</v>
      </c>
      <c r="BB20" t="s">
        <v>8</v>
      </c>
      <c r="BC20" t="s">
        <v>27</v>
      </c>
      <c r="BD20">
        <v>3</v>
      </c>
      <c r="BE20">
        <v>4</v>
      </c>
      <c r="BF20">
        <v>2.7901785714285698</v>
      </c>
      <c r="BG20" s="83">
        <v>2.7</v>
      </c>
      <c r="BH20">
        <v>14</v>
      </c>
      <c r="BI20">
        <v>28.6</v>
      </c>
      <c r="BK20" t="str">
        <f t="shared" si="3"/>
        <v>FemaleMaori22</v>
      </c>
      <c r="BL20" t="s">
        <v>8</v>
      </c>
      <c r="BM20" t="s">
        <v>18</v>
      </c>
      <c r="BN20">
        <v>22</v>
      </c>
      <c r="BO20">
        <v>91</v>
      </c>
      <c r="BP20">
        <v>28.184718307678001</v>
      </c>
      <c r="BQ20">
        <v>5.8</v>
      </c>
      <c r="BS20" t="str">
        <f t="shared" si="7"/>
        <v>AllSexPacific192</v>
      </c>
      <c r="BT20" t="s">
        <v>17</v>
      </c>
      <c r="BU20" t="s">
        <v>79</v>
      </c>
      <c r="BV20">
        <v>19</v>
      </c>
      <c r="BW20">
        <v>2</v>
      </c>
      <c r="BX20">
        <v>9</v>
      </c>
      <c r="BY20">
        <v>8.1147004354381504</v>
      </c>
      <c r="BZ20">
        <v>5.3</v>
      </c>
      <c r="CB20" t="str">
        <f t="shared" si="8"/>
        <v>AllSexAllEth23Other</v>
      </c>
      <c r="CC20" t="s">
        <v>17</v>
      </c>
      <c r="CD20" t="s">
        <v>27</v>
      </c>
      <c r="CE20" t="s">
        <v>45</v>
      </c>
      <c r="CF20">
        <v>23</v>
      </c>
      <c r="CG20">
        <v>30</v>
      </c>
      <c r="CH20">
        <v>871</v>
      </c>
      <c r="CI20">
        <v>3.4</v>
      </c>
      <c r="CL20" t="str">
        <f t="shared" si="9"/>
        <v>2002MaleMaori9</v>
      </c>
      <c r="CM20">
        <v>2002</v>
      </c>
      <c r="CN20" t="s">
        <v>20</v>
      </c>
      <c r="CO20" t="s">
        <v>18</v>
      </c>
      <c r="CP20">
        <v>9</v>
      </c>
      <c r="CQ20">
        <v>12</v>
      </c>
    </row>
    <row r="21" spans="1:95" x14ac:dyDescent="0.2">
      <c r="A21" t="str">
        <f t="shared" si="0"/>
        <v>2013AllSexAllEth19</v>
      </c>
      <c r="B21">
        <v>2013</v>
      </c>
      <c r="C21" t="s">
        <v>17</v>
      </c>
      <c r="D21" t="s">
        <v>27</v>
      </c>
      <c r="E21">
        <v>19</v>
      </c>
      <c r="F21">
        <v>514</v>
      </c>
      <c r="G21">
        <v>11.034032541703001</v>
      </c>
      <c r="H21">
        <v>1</v>
      </c>
      <c r="J21" s="358" t="str">
        <f t="shared" si="1"/>
        <v>2004AllSexAllEth193</v>
      </c>
      <c r="K21" s="359">
        <v>2004</v>
      </c>
      <c r="L21" t="s">
        <v>17</v>
      </c>
      <c r="M21" t="s">
        <v>27</v>
      </c>
      <c r="N21">
        <v>19</v>
      </c>
      <c r="O21">
        <v>3</v>
      </c>
      <c r="P21">
        <v>96</v>
      </c>
      <c r="Q21">
        <v>11.2749743244082</v>
      </c>
      <c r="R21">
        <v>2.2999999999999998</v>
      </c>
      <c r="T21" s="358" t="str">
        <f t="shared" si="4"/>
        <v>1996AllSexAllEth22Poisoning by gases and vapours</v>
      </c>
      <c r="U21" s="360">
        <v>1996</v>
      </c>
      <c r="V21" s="360" t="s">
        <v>17</v>
      </c>
      <c r="W21" s="360" t="s">
        <v>27</v>
      </c>
      <c r="X21" s="360">
        <v>22</v>
      </c>
      <c r="Y21" s="360" t="s">
        <v>46</v>
      </c>
      <c r="Z21" s="360">
        <v>26</v>
      </c>
      <c r="AA21" s="360">
        <v>143</v>
      </c>
      <c r="AB21" s="360">
        <v>18.2</v>
      </c>
      <c r="AD21" s="358" t="str">
        <f t="shared" si="5"/>
        <v>201115AllSexAllEth19Canterbury</v>
      </c>
      <c r="AE21" t="s">
        <v>17</v>
      </c>
      <c r="AF21" t="s">
        <v>27</v>
      </c>
      <c r="AG21">
        <v>19</v>
      </c>
      <c r="AH21">
        <v>18</v>
      </c>
      <c r="AI21" t="s">
        <v>71</v>
      </c>
      <c r="AJ21">
        <v>299</v>
      </c>
      <c r="AK21">
        <v>11.1715121811635</v>
      </c>
      <c r="AL21">
        <v>1.7</v>
      </c>
      <c r="AM21" t="s">
        <v>82</v>
      </c>
      <c r="AN21">
        <v>201115</v>
      </c>
      <c r="AQ21" t="str">
        <f t="shared" si="2"/>
        <v>2003MaleUrban22</v>
      </c>
      <c r="AR21">
        <v>2003</v>
      </c>
      <c r="AS21" t="s">
        <v>20</v>
      </c>
      <c r="AT21" t="s">
        <v>97</v>
      </c>
      <c r="AU21">
        <v>22</v>
      </c>
      <c r="AV21">
        <v>53</v>
      </c>
      <c r="AW21">
        <v>20.4751786749082</v>
      </c>
      <c r="AX21">
        <v>5.5</v>
      </c>
      <c r="AZ21" t="str">
        <f t="shared" si="6"/>
        <v>2015FemaleAllEth4</v>
      </c>
      <c r="BA21">
        <v>2015</v>
      </c>
      <c r="BB21" t="s">
        <v>8</v>
      </c>
      <c r="BC21" t="s">
        <v>27</v>
      </c>
      <c r="BD21">
        <v>4</v>
      </c>
      <c r="BE21">
        <v>25</v>
      </c>
      <c r="BF21">
        <v>16.283462515469299</v>
      </c>
      <c r="BG21" s="83">
        <v>6.4</v>
      </c>
      <c r="BH21">
        <v>48</v>
      </c>
      <c r="BI21">
        <v>52.1</v>
      </c>
      <c r="BK21" t="str">
        <f t="shared" si="3"/>
        <v>FemalePacific22</v>
      </c>
      <c r="BL21" t="s">
        <v>8</v>
      </c>
      <c r="BM21" t="s">
        <v>79</v>
      </c>
      <c r="BN21">
        <v>22</v>
      </c>
      <c r="BO21">
        <v>17</v>
      </c>
      <c r="BP21">
        <v>12.471572151713</v>
      </c>
      <c r="BQ21">
        <v>5.9</v>
      </c>
      <c r="BS21" t="str">
        <f t="shared" si="7"/>
        <v>AllSexPacific193</v>
      </c>
      <c r="BT21" t="s">
        <v>17</v>
      </c>
      <c r="BU21" t="s">
        <v>79</v>
      </c>
      <c r="BV21">
        <v>19</v>
      </c>
      <c r="BW21">
        <v>3</v>
      </c>
      <c r="BX21">
        <v>11</v>
      </c>
      <c r="BY21">
        <v>6.6235899816562496</v>
      </c>
      <c r="BZ21">
        <v>3.9</v>
      </c>
      <c r="CB21" t="str">
        <f t="shared" si="8"/>
        <v>AllSexAllEth24Other</v>
      </c>
      <c r="CC21" t="s">
        <v>17</v>
      </c>
      <c r="CD21" t="s">
        <v>27</v>
      </c>
      <c r="CE21" t="s">
        <v>45</v>
      </c>
      <c r="CF21">
        <v>24</v>
      </c>
      <c r="CG21">
        <v>40</v>
      </c>
      <c r="CH21">
        <v>813</v>
      </c>
      <c r="CI21">
        <v>4.9000000000000004</v>
      </c>
      <c r="CL21" t="str">
        <f t="shared" si="9"/>
        <v>2002MaleNon-Maori9</v>
      </c>
      <c r="CM21">
        <v>2002</v>
      </c>
      <c r="CN21" t="s">
        <v>20</v>
      </c>
      <c r="CO21" t="s">
        <v>19</v>
      </c>
      <c r="CP21">
        <v>9</v>
      </c>
      <c r="CQ21">
        <v>40</v>
      </c>
    </row>
    <row r="22" spans="1:95" x14ac:dyDescent="0.2">
      <c r="A22" t="str">
        <f t="shared" si="0"/>
        <v>2014AllSexAllEth19</v>
      </c>
      <c r="B22">
        <v>2014</v>
      </c>
      <c r="C22" t="s">
        <v>17</v>
      </c>
      <c r="D22" t="s">
        <v>27</v>
      </c>
      <c r="E22">
        <v>19</v>
      </c>
      <c r="F22">
        <v>509</v>
      </c>
      <c r="G22">
        <v>10.7943716813274</v>
      </c>
      <c r="H22">
        <v>0.9</v>
      </c>
      <c r="J22" s="358" t="str">
        <f t="shared" si="1"/>
        <v>2004AllSexAllEth194</v>
      </c>
      <c r="K22" s="359">
        <v>2004</v>
      </c>
      <c r="L22" t="s">
        <v>17</v>
      </c>
      <c r="M22" t="s">
        <v>27</v>
      </c>
      <c r="N22">
        <v>19</v>
      </c>
      <c r="O22">
        <v>4</v>
      </c>
      <c r="P22">
        <v>118</v>
      </c>
      <c r="Q22">
        <v>14.0160997986733</v>
      </c>
      <c r="R22">
        <v>2.5</v>
      </c>
      <c r="T22" s="358" t="str">
        <f t="shared" si="4"/>
        <v>1996AllSexAllEth23Poisoning by gases and vapours</v>
      </c>
      <c r="U22" s="360">
        <v>1996</v>
      </c>
      <c r="V22" s="360" t="s">
        <v>17</v>
      </c>
      <c r="W22" s="360" t="s">
        <v>27</v>
      </c>
      <c r="X22" s="360">
        <v>23</v>
      </c>
      <c r="Y22" s="360" t="s">
        <v>46</v>
      </c>
      <c r="Z22" s="360">
        <v>79</v>
      </c>
      <c r="AA22" s="360">
        <v>222</v>
      </c>
      <c r="AB22" s="360">
        <v>35.6</v>
      </c>
      <c r="AD22" s="358" t="str">
        <f t="shared" si="5"/>
        <v>201115AllSexAllEth19South Canterbury</v>
      </c>
      <c r="AE22" t="s">
        <v>17</v>
      </c>
      <c r="AF22" t="s">
        <v>27</v>
      </c>
      <c r="AG22">
        <v>19</v>
      </c>
      <c r="AH22">
        <v>19</v>
      </c>
      <c r="AI22" t="s">
        <v>72</v>
      </c>
      <c r="AJ22">
        <v>47</v>
      </c>
      <c r="AK22">
        <v>19.398903635367599</v>
      </c>
      <c r="AL22">
        <v>7.3</v>
      </c>
      <c r="AM22" t="s">
        <v>84</v>
      </c>
      <c r="AN22">
        <v>201115</v>
      </c>
      <c r="AQ22" t="str">
        <f t="shared" si="2"/>
        <v>2003MaleRural23</v>
      </c>
      <c r="AR22">
        <v>2003</v>
      </c>
      <c r="AS22" t="s">
        <v>20</v>
      </c>
      <c r="AT22" t="s">
        <v>96</v>
      </c>
      <c r="AU22">
        <v>23</v>
      </c>
      <c r="AV22">
        <v>21</v>
      </c>
      <c r="AW22">
        <v>26.826775677056698</v>
      </c>
      <c r="AX22">
        <v>11.5</v>
      </c>
      <c r="AZ22" t="str">
        <f t="shared" si="6"/>
        <v>2015FemaleAllEth5</v>
      </c>
      <c r="BA22">
        <v>2015</v>
      </c>
      <c r="BB22" t="s">
        <v>8</v>
      </c>
      <c r="BC22" t="s">
        <v>27</v>
      </c>
      <c r="BD22">
        <v>5</v>
      </c>
      <c r="BE22">
        <v>17</v>
      </c>
      <c r="BF22">
        <v>10.384215991692599</v>
      </c>
      <c r="BG22" s="83">
        <v>4.9000000000000004</v>
      </c>
      <c r="BH22">
        <v>54</v>
      </c>
      <c r="BI22">
        <v>31.5</v>
      </c>
      <c r="BK22" t="str">
        <f t="shared" si="3"/>
        <v>FemaleAsian22</v>
      </c>
      <c r="BL22" t="s">
        <v>8</v>
      </c>
      <c r="BM22" t="s">
        <v>78</v>
      </c>
      <c r="BN22">
        <v>22</v>
      </c>
      <c r="BO22">
        <v>5</v>
      </c>
      <c r="BP22">
        <v>2.2606022244325898</v>
      </c>
      <c r="BQ22">
        <v>2</v>
      </c>
      <c r="BS22" t="str">
        <f t="shared" si="7"/>
        <v>AllSexPacific194</v>
      </c>
      <c r="BT22" t="s">
        <v>17</v>
      </c>
      <c r="BU22" t="s">
        <v>79</v>
      </c>
      <c r="BV22">
        <v>19</v>
      </c>
      <c r="BW22">
        <v>4</v>
      </c>
      <c r="BX22">
        <v>24</v>
      </c>
      <c r="BY22">
        <v>8.2962613812423207</v>
      </c>
      <c r="BZ22">
        <v>3.3</v>
      </c>
      <c r="CB22" t="str">
        <f t="shared" si="8"/>
        <v>AllSexAllEth25Other</v>
      </c>
      <c r="CC22" t="s">
        <v>17</v>
      </c>
      <c r="CD22" t="s">
        <v>27</v>
      </c>
      <c r="CE22" t="s">
        <v>45</v>
      </c>
      <c r="CF22">
        <v>25</v>
      </c>
      <c r="CG22">
        <v>11</v>
      </c>
      <c r="CH22">
        <v>282</v>
      </c>
      <c r="CI22">
        <v>3.9</v>
      </c>
      <c r="CL22" t="str">
        <f t="shared" si="9"/>
        <v>2003AllSexAllEth9</v>
      </c>
      <c r="CM22">
        <v>2003</v>
      </c>
      <c r="CN22" t="s">
        <v>17</v>
      </c>
      <c r="CO22" t="s">
        <v>27</v>
      </c>
      <c r="CP22">
        <v>9</v>
      </c>
      <c r="CQ22">
        <v>52</v>
      </c>
    </row>
    <row r="23" spans="1:95" x14ac:dyDescent="0.2">
      <c r="A23" t="str">
        <f t="shared" si="0"/>
        <v>2015AllSexAllEth19</v>
      </c>
      <c r="B23">
        <v>2015</v>
      </c>
      <c r="C23" t="s">
        <v>17</v>
      </c>
      <c r="D23" t="s">
        <v>27</v>
      </c>
      <c r="E23">
        <v>19</v>
      </c>
      <c r="F23">
        <v>525</v>
      </c>
      <c r="G23">
        <v>11.023796328985499</v>
      </c>
      <c r="H23">
        <v>0.9</v>
      </c>
      <c r="J23" s="358" t="str">
        <f t="shared" si="1"/>
        <v>2004AllSexAllEth195</v>
      </c>
      <c r="K23" s="359">
        <v>2004</v>
      </c>
      <c r="L23" t="s">
        <v>17</v>
      </c>
      <c r="M23" t="s">
        <v>27</v>
      </c>
      <c r="N23">
        <v>19</v>
      </c>
      <c r="O23">
        <v>5</v>
      </c>
      <c r="P23">
        <v>131</v>
      </c>
      <c r="Q23">
        <v>15.942288466223999</v>
      </c>
      <c r="R23">
        <v>2.7</v>
      </c>
      <c r="T23" s="358" t="str">
        <f t="shared" si="4"/>
        <v>1996AllSexAllEth24Poisoning by gases and vapours</v>
      </c>
      <c r="U23" s="360">
        <v>1996</v>
      </c>
      <c r="V23" s="360" t="s">
        <v>17</v>
      </c>
      <c r="W23" s="360" t="s">
        <v>27</v>
      </c>
      <c r="X23" s="360">
        <v>24</v>
      </c>
      <c r="Y23" s="360" t="s">
        <v>46</v>
      </c>
      <c r="Z23" s="360">
        <v>39</v>
      </c>
      <c r="AA23" s="360">
        <v>102</v>
      </c>
      <c r="AB23" s="360">
        <v>38.200000000000003</v>
      </c>
      <c r="AD23" s="358" t="str">
        <f t="shared" si="5"/>
        <v>201115AllSexAllEth19Southern</v>
      </c>
      <c r="AE23" t="s">
        <v>17</v>
      </c>
      <c r="AF23" t="s">
        <v>27</v>
      </c>
      <c r="AG23">
        <v>19</v>
      </c>
      <c r="AH23">
        <v>20</v>
      </c>
      <c r="AI23" t="s">
        <v>73</v>
      </c>
      <c r="AJ23">
        <v>202</v>
      </c>
      <c r="AK23">
        <v>12.953506009582201</v>
      </c>
      <c r="AL23">
        <v>2.2999999999999998</v>
      </c>
      <c r="AM23" t="s">
        <v>82</v>
      </c>
      <c r="AN23">
        <v>201115</v>
      </c>
      <c r="AQ23" t="str">
        <f t="shared" si="2"/>
        <v>2003MaleUrban23</v>
      </c>
      <c r="AR23">
        <v>2003</v>
      </c>
      <c r="AS23" t="s">
        <v>20</v>
      </c>
      <c r="AT23" t="s">
        <v>97</v>
      </c>
      <c r="AU23">
        <v>23</v>
      </c>
      <c r="AV23">
        <v>124</v>
      </c>
      <c r="AW23">
        <v>25.3739589514825</v>
      </c>
      <c r="AX23">
        <v>4.5</v>
      </c>
      <c r="AZ23" t="str">
        <f t="shared" si="6"/>
        <v>2015FemaleAllEth6</v>
      </c>
      <c r="BA23">
        <v>2015</v>
      </c>
      <c r="BB23" t="s">
        <v>8</v>
      </c>
      <c r="BC23" t="s">
        <v>27</v>
      </c>
      <c r="BD23">
        <v>6</v>
      </c>
      <c r="BE23">
        <v>8</v>
      </c>
      <c r="BF23">
        <v>5.0787201625190503</v>
      </c>
      <c r="BG23" s="83">
        <v>3.5</v>
      </c>
      <c r="BH23">
        <v>53</v>
      </c>
      <c r="BI23">
        <v>15.1</v>
      </c>
      <c r="BK23" t="str">
        <f t="shared" si="3"/>
        <v>FemaleOther22</v>
      </c>
      <c r="BL23" t="s">
        <v>8</v>
      </c>
      <c r="BM23" t="s">
        <v>45</v>
      </c>
      <c r="BN23">
        <v>22</v>
      </c>
      <c r="BO23">
        <v>64</v>
      </c>
      <c r="BP23">
        <v>7.3304546027237203</v>
      </c>
      <c r="BQ23">
        <v>1.8</v>
      </c>
      <c r="BS23" t="str">
        <f t="shared" si="7"/>
        <v>AllSexPacific195</v>
      </c>
      <c r="BT23" t="s">
        <v>17</v>
      </c>
      <c r="BU23" t="s">
        <v>79</v>
      </c>
      <c r="BV23">
        <v>19</v>
      </c>
      <c r="BW23">
        <v>5</v>
      </c>
      <c r="BX23">
        <v>70</v>
      </c>
      <c r="BY23">
        <v>8.4839207707021398</v>
      </c>
      <c r="BZ23">
        <v>2</v>
      </c>
      <c r="CB23" t="str">
        <f t="shared" si="8"/>
        <v>AllSexAllEth22Poisoning by gases and vapours</v>
      </c>
      <c r="CC23" t="s">
        <v>17</v>
      </c>
      <c r="CD23" t="s">
        <v>27</v>
      </c>
      <c r="CE23" t="s">
        <v>46</v>
      </c>
      <c r="CF23">
        <v>22</v>
      </c>
      <c r="CG23">
        <v>17</v>
      </c>
      <c r="CH23">
        <v>591</v>
      </c>
      <c r="CI23">
        <v>2.9</v>
      </c>
      <c r="CL23" t="str">
        <f t="shared" si="9"/>
        <v>2003AllSexMaori9</v>
      </c>
      <c r="CM23">
        <v>2003</v>
      </c>
      <c r="CN23" t="s">
        <v>17</v>
      </c>
      <c r="CO23" t="s">
        <v>18</v>
      </c>
      <c r="CP23">
        <v>9</v>
      </c>
      <c r="CQ23">
        <v>6</v>
      </c>
    </row>
    <row r="24" spans="1:95" x14ac:dyDescent="0.2">
      <c r="A24" t="str">
        <f t="shared" si="0"/>
        <v>1996AllSexMaori19</v>
      </c>
      <c r="B24">
        <v>1996</v>
      </c>
      <c r="C24" t="s">
        <v>17</v>
      </c>
      <c r="D24" t="s">
        <v>18</v>
      </c>
      <c r="E24">
        <v>19</v>
      </c>
      <c r="F24">
        <v>97</v>
      </c>
      <c r="G24">
        <v>18.424036081023001</v>
      </c>
      <c r="H24">
        <v>3.7</v>
      </c>
      <c r="J24" s="358" t="str">
        <f t="shared" si="1"/>
        <v>2005AllSexAllEth191</v>
      </c>
      <c r="K24" s="359">
        <v>2005</v>
      </c>
      <c r="L24" t="s">
        <v>17</v>
      </c>
      <c r="M24" t="s">
        <v>27</v>
      </c>
      <c r="N24">
        <v>19</v>
      </c>
      <c r="O24">
        <v>1</v>
      </c>
      <c r="P24">
        <v>76</v>
      </c>
      <c r="Q24">
        <v>9.0900800329956297</v>
      </c>
      <c r="R24">
        <v>2</v>
      </c>
      <c r="T24" s="358" t="str">
        <f t="shared" si="4"/>
        <v>1996AllSexAllEth25Poisoning by gases and vapours</v>
      </c>
      <c r="U24" s="360">
        <v>1996</v>
      </c>
      <c r="V24" s="360" t="s">
        <v>17</v>
      </c>
      <c r="W24" s="360" t="s">
        <v>27</v>
      </c>
      <c r="X24" s="360">
        <v>25</v>
      </c>
      <c r="Y24" s="360" t="s">
        <v>46</v>
      </c>
      <c r="Z24" s="360">
        <v>13</v>
      </c>
      <c r="AA24" s="360">
        <v>66</v>
      </c>
      <c r="AB24" s="360">
        <v>19.7</v>
      </c>
      <c r="AD24" s="358" t="str">
        <f t="shared" si="5"/>
        <v>201115AllSexAllEth19Unknown</v>
      </c>
      <c r="AE24" t="s">
        <v>17</v>
      </c>
      <c r="AF24" t="s">
        <v>27</v>
      </c>
      <c r="AG24">
        <v>19</v>
      </c>
      <c r="AH24">
        <v>98</v>
      </c>
      <c r="AI24" t="s">
        <v>75</v>
      </c>
      <c r="AJ24">
        <v>10</v>
      </c>
      <c r="AK24">
        <v>0</v>
      </c>
      <c r="AL24">
        <v>0</v>
      </c>
      <c r="AM24" t="s">
        <v>83</v>
      </c>
      <c r="AN24">
        <v>201115</v>
      </c>
      <c r="AQ24" t="str">
        <f t="shared" si="2"/>
        <v>2003MaleRural24</v>
      </c>
      <c r="AR24">
        <v>2003</v>
      </c>
      <c r="AS24" t="s">
        <v>20</v>
      </c>
      <c r="AT24" t="s">
        <v>96</v>
      </c>
      <c r="AU24">
        <v>24</v>
      </c>
      <c r="AV24">
        <v>8</v>
      </c>
      <c r="AW24">
        <v>9.9539629214881202</v>
      </c>
      <c r="AX24">
        <v>6.9</v>
      </c>
      <c r="AZ24" t="str">
        <f t="shared" si="6"/>
        <v>2015FemaleAllEth7</v>
      </c>
      <c r="BA24">
        <v>2015</v>
      </c>
      <c r="BB24" t="s">
        <v>8</v>
      </c>
      <c r="BC24" t="s">
        <v>27</v>
      </c>
      <c r="BD24">
        <v>7</v>
      </c>
      <c r="BE24">
        <v>9</v>
      </c>
      <c r="BF24">
        <v>6.0528616584840904</v>
      </c>
      <c r="BG24" s="83">
        <v>4</v>
      </c>
      <c r="BH24">
        <v>69</v>
      </c>
      <c r="BI24">
        <v>13</v>
      </c>
      <c r="BK24" t="str">
        <f t="shared" si="3"/>
        <v>MaleMaori22</v>
      </c>
      <c r="BL24" t="s">
        <v>20</v>
      </c>
      <c r="BM24" t="s">
        <v>18</v>
      </c>
      <c r="BN24">
        <v>22</v>
      </c>
      <c r="BO24">
        <v>139</v>
      </c>
      <c r="BP24">
        <v>43.151620514094098</v>
      </c>
      <c r="BQ24">
        <v>7.2</v>
      </c>
      <c r="BS24" t="str">
        <f t="shared" si="7"/>
        <v>FemaleAsian191</v>
      </c>
      <c r="BT24" t="s">
        <v>8</v>
      </c>
      <c r="BU24" t="s">
        <v>78</v>
      </c>
      <c r="BV24">
        <v>19</v>
      </c>
      <c r="BW24">
        <v>1</v>
      </c>
      <c r="BX24">
        <v>8</v>
      </c>
      <c r="BY24">
        <v>3.79488066919874</v>
      </c>
      <c r="BZ24">
        <v>2.6</v>
      </c>
      <c r="CB24" t="str">
        <f t="shared" si="8"/>
        <v>AllSexAllEth23Poisoning by gases and vapours</v>
      </c>
      <c r="CC24" t="s">
        <v>17</v>
      </c>
      <c r="CD24" t="s">
        <v>27</v>
      </c>
      <c r="CE24" t="s">
        <v>46</v>
      </c>
      <c r="CF24">
        <v>23</v>
      </c>
      <c r="CG24">
        <v>87</v>
      </c>
      <c r="CH24">
        <v>871</v>
      </c>
      <c r="CI24">
        <v>10</v>
      </c>
      <c r="CL24" t="str">
        <f t="shared" si="9"/>
        <v>2003AllSexNon-Maori9</v>
      </c>
      <c r="CM24">
        <v>2003</v>
      </c>
      <c r="CN24" t="s">
        <v>17</v>
      </c>
      <c r="CO24" t="s">
        <v>19</v>
      </c>
      <c r="CP24">
        <v>9</v>
      </c>
      <c r="CQ24">
        <v>46</v>
      </c>
    </row>
    <row r="25" spans="1:95" x14ac:dyDescent="0.2">
      <c r="A25" t="str">
        <f t="shared" si="0"/>
        <v>1997AllSexMaori19</v>
      </c>
      <c r="B25">
        <v>1997</v>
      </c>
      <c r="C25" t="s">
        <v>17</v>
      </c>
      <c r="D25" t="s">
        <v>18</v>
      </c>
      <c r="E25">
        <v>19</v>
      </c>
      <c r="F25">
        <v>106</v>
      </c>
      <c r="G25">
        <v>19.8982046762785</v>
      </c>
      <c r="H25">
        <v>3.8</v>
      </c>
      <c r="J25" s="358" t="str">
        <f t="shared" si="1"/>
        <v>2005AllSexAllEth192</v>
      </c>
      <c r="K25" s="359">
        <v>2005</v>
      </c>
      <c r="L25" t="s">
        <v>17</v>
      </c>
      <c r="M25" t="s">
        <v>27</v>
      </c>
      <c r="N25">
        <v>19</v>
      </c>
      <c r="O25">
        <v>2</v>
      </c>
      <c r="P25">
        <v>72</v>
      </c>
      <c r="Q25">
        <v>8.3548178501638102</v>
      </c>
      <c r="R25">
        <v>1.9</v>
      </c>
      <c r="T25" s="358" t="str">
        <f t="shared" si="4"/>
        <v>1996AllSexAllEth21Poisoning by solids and liquids</v>
      </c>
      <c r="U25" s="360">
        <v>1996</v>
      </c>
      <c r="V25" s="360" t="s">
        <v>17</v>
      </c>
      <c r="W25" s="360" t="s">
        <v>27</v>
      </c>
      <c r="X25" s="360">
        <v>21</v>
      </c>
      <c r="Y25" s="360" t="s">
        <v>47</v>
      </c>
      <c r="Z25" s="360">
        <v>1</v>
      </c>
      <c r="AA25" s="360">
        <v>7</v>
      </c>
      <c r="AB25" s="360">
        <v>14.3</v>
      </c>
      <c r="AD25" s="358" t="str">
        <f t="shared" si="5"/>
        <v>201115AllSexAllEth22Auckland</v>
      </c>
      <c r="AE25" t="s">
        <v>17</v>
      </c>
      <c r="AF25" t="s">
        <v>27</v>
      </c>
      <c r="AG25">
        <v>22</v>
      </c>
      <c r="AH25">
        <v>3</v>
      </c>
      <c r="AI25" t="s">
        <v>56</v>
      </c>
      <c r="AJ25">
        <v>46</v>
      </c>
      <c r="AK25">
        <v>12.154842119170301</v>
      </c>
      <c r="AL25">
        <v>4.5999999999999996</v>
      </c>
      <c r="AM25" t="s">
        <v>83</v>
      </c>
      <c r="AN25">
        <v>201115</v>
      </c>
      <c r="AQ25" t="str">
        <f t="shared" si="2"/>
        <v>2003MaleUrban24</v>
      </c>
      <c r="AR25">
        <v>2003</v>
      </c>
      <c r="AS25" t="s">
        <v>20</v>
      </c>
      <c r="AT25" t="s">
        <v>97</v>
      </c>
      <c r="AU25">
        <v>24</v>
      </c>
      <c r="AV25">
        <v>81</v>
      </c>
      <c r="AW25">
        <v>21.833472600339601</v>
      </c>
      <c r="AX25">
        <v>4.8</v>
      </c>
      <c r="AZ25" t="str">
        <f t="shared" si="6"/>
        <v>2015FemaleAllEth8</v>
      </c>
      <c r="BA25">
        <v>2015</v>
      </c>
      <c r="BB25" t="s">
        <v>8</v>
      </c>
      <c r="BC25" t="s">
        <v>27</v>
      </c>
      <c r="BD25">
        <v>8</v>
      </c>
      <c r="BE25">
        <v>9</v>
      </c>
      <c r="BF25">
        <v>6.2888687023967602</v>
      </c>
      <c r="BG25" s="83">
        <v>4.0999999999999996</v>
      </c>
      <c r="BH25">
        <v>89</v>
      </c>
      <c r="BI25">
        <v>10.1</v>
      </c>
      <c r="BK25" t="str">
        <f t="shared" si="3"/>
        <v>MalePacific22</v>
      </c>
      <c r="BL25" t="s">
        <v>20</v>
      </c>
      <c r="BM25" t="s">
        <v>79</v>
      </c>
      <c r="BN25">
        <v>22</v>
      </c>
      <c r="BO25">
        <v>40</v>
      </c>
      <c r="BP25">
        <v>29.757476565987201</v>
      </c>
      <c r="BQ25">
        <v>9.1999999999999993</v>
      </c>
      <c r="BS25" t="str">
        <f t="shared" si="7"/>
        <v>FemaleAsian192</v>
      </c>
      <c r="BT25" t="s">
        <v>8</v>
      </c>
      <c r="BU25" t="s">
        <v>78</v>
      </c>
      <c r="BV25">
        <v>19</v>
      </c>
      <c r="BW25">
        <v>2</v>
      </c>
      <c r="BX25">
        <v>9</v>
      </c>
      <c r="BY25">
        <v>2.8798145167573099</v>
      </c>
      <c r="BZ25">
        <v>1.9</v>
      </c>
      <c r="CB25" t="str">
        <f t="shared" si="8"/>
        <v>AllSexAllEth24Poisoning by gases and vapours</v>
      </c>
      <c r="CC25" t="s">
        <v>17</v>
      </c>
      <c r="CD25" t="s">
        <v>27</v>
      </c>
      <c r="CE25" t="s">
        <v>46</v>
      </c>
      <c r="CF25">
        <v>24</v>
      </c>
      <c r="CG25">
        <v>101</v>
      </c>
      <c r="CH25">
        <v>813</v>
      </c>
      <c r="CI25">
        <v>12.4</v>
      </c>
      <c r="CL25" t="str">
        <f t="shared" si="9"/>
        <v>2003FemaleAllEth9</v>
      </c>
      <c r="CM25">
        <v>2003</v>
      </c>
      <c r="CN25" t="s">
        <v>8</v>
      </c>
      <c r="CO25" t="s">
        <v>27</v>
      </c>
      <c r="CP25">
        <v>9</v>
      </c>
      <c r="CQ25">
        <v>24</v>
      </c>
    </row>
    <row r="26" spans="1:95" x14ac:dyDescent="0.2">
      <c r="A26" t="str">
        <f t="shared" si="0"/>
        <v>1998AllSexMaori19</v>
      </c>
      <c r="B26">
        <v>1998</v>
      </c>
      <c r="C26" t="s">
        <v>17</v>
      </c>
      <c r="D26" t="s">
        <v>18</v>
      </c>
      <c r="E26">
        <v>19</v>
      </c>
      <c r="F26">
        <v>113</v>
      </c>
      <c r="G26">
        <v>21.066325436544499</v>
      </c>
      <c r="H26">
        <v>3.9</v>
      </c>
      <c r="J26" s="358" t="str">
        <f t="shared" si="1"/>
        <v>2005AllSexAllEth193</v>
      </c>
      <c r="K26" s="359">
        <v>2005</v>
      </c>
      <c r="L26" t="s">
        <v>17</v>
      </c>
      <c r="M26" t="s">
        <v>27</v>
      </c>
      <c r="N26">
        <v>19</v>
      </c>
      <c r="O26">
        <v>3</v>
      </c>
      <c r="P26">
        <v>87</v>
      </c>
      <c r="Q26">
        <v>10.014806359447499</v>
      </c>
      <c r="R26">
        <v>2.1</v>
      </c>
      <c r="T26" s="358" t="str">
        <f t="shared" si="4"/>
        <v>1996AllSexAllEth22Poisoning by solids and liquids</v>
      </c>
      <c r="U26" s="360">
        <v>1996</v>
      </c>
      <c r="V26" s="360" t="s">
        <v>17</v>
      </c>
      <c r="W26" s="360" t="s">
        <v>27</v>
      </c>
      <c r="X26" s="360">
        <v>22</v>
      </c>
      <c r="Y26" s="360" t="s">
        <v>47</v>
      </c>
      <c r="Z26" s="360">
        <v>14</v>
      </c>
      <c r="AA26" s="360">
        <v>143</v>
      </c>
      <c r="AB26" s="360">
        <v>9.8000000000000007</v>
      </c>
      <c r="AD26" s="358" t="str">
        <f t="shared" si="5"/>
        <v>201115AllSexAllEth22Bay of Plenty</v>
      </c>
      <c r="AE26" t="s">
        <v>17</v>
      </c>
      <c r="AF26" t="s">
        <v>27</v>
      </c>
      <c r="AG26">
        <v>22</v>
      </c>
      <c r="AH26">
        <v>7</v>
      </c>
      <c r="AI26" t="s">
        <v>60</v>
      </c>
      <c r="AJ26">
        <v>33</v>
      </c>
      <c r="AK26">
        <v>25.749063670411999</v>
      </c>
      <c r="AL26">
        <v>11.5</v>
      </c>
      <c r="AM26" t="s">
        <v>82</v>
      </c>
      <c r="AN26">
        <v>201115</v>
      </c>
      <c r="AQ26" t="str">
        <f t="shared" si="2"/>
        <v>2003MaleRural25</v>
      </c>
      <c r="AR26">
        <v>2003</v>
      </c>
      <c r="AS26" t="s">
        <v>20</v>
      </c>
      <c r="AT26" t="s">
        <v>96</v>
      </c>
      <c r="AU26">
        <v>25</v>
      </c>
      <c r="AV26">
        <v>6</v>
      </c>
      <c r="AW26">
        <v>20.8478109798471</v>
      </c>
      <c r="AX26">
        <v>16.7</v>
      </c>
      <c r="AZ26" t="str">
        <f t="shared" si="6"/>
        <v>2015FemaleAllEth9</v>
      </c>
      <c r="BA26">
        <v>2015</v>
      </c>
      <c r="BB26" t="s">
        <v>8</v>
      </c>
      <c r="BC26" t="s">
        <v>27</v>
      </c>
      <c r="BD26">
        <v>9</v>
      </c>
      <c r="BE26">
        <v>9</v>
      </c>
      <c r="BF26">
        <v>5.5517858244401896</v>
      </c>
      <c r="BG26" s="83">
        <v>3.6</v>
      </c>
      <c r="BH26">
        <v>157</v>
      </c>
      <c r="BI26">
        <v>5.7</v>
      </c>
      <c r="BK26" t="str">
        <f t="shared" si="3"/>
        <v>MaleAsian22</v>
      </c>
      <c r="BL26" t="s">
        <v>20</v>
      </c>
      <c r="BM26" t="s">
        <v>78</v>
      </c>
      <c r="BN26">
        <v>22</v>
      </c>
      <c r="BO26">
        <v>22</v>
      </c>
      <c r="BP26">
        <v>8.8914036293093002</v>
      </c>
      <c r="BQ26">
        <v>3.7</v>
      </c>
      <c r="BS26" t="str">
        <f t="shared" si="7"/>
        <v>FemaleAsian193</v>
      </c>
      <c r="BT26" t="s">
        <v>8</v>
      </c>
      <c r="BU26" t="s">
        <v>78</v>
      </c>
      <c r="BV26">
        <v>19</v>
      </c>
      <c r="BW26">
        <v>3</v>
      </c>
      <c r="BX26">
        <v>6</v>
      </c>
      <c r="BY26">
        <v>1.9889908363370401</v>
      </c>
      <c r="BZ26">
        <v>1.6</v>
      </c>
      <c r="CB26" t="str">
        <f t="shared" si="8"/>
        <v>AllSexAllEth25Poisoning by gases and vapours</v>
      </c>
      <c r="CC26" t="s">
        <v>17</v>
      </c>
      <c r="CD26" t="s">
        <v>27</v>
      </c>
      <c r="CE26" t="s">
        <v>46</v>
      </c>
      <c r="CF26">
        <v>25</v>
      </c>
      <c r="CG26">
        <v>18</v>
      </c>
      <c r="CH26">
        <v>282</v>
      </c>
      <c r="CI26">
        <v>6.4</v>
      </c>
      <c r="CL26" t="str">
        <f t="shared" si="9"/>
        <v>2003FemaleMaori9</v>
      </c>
      <c r="CM26">
        <v>2003</v>
      </c>
      <c r="CN26" t="s">
        <v>8</v>
      </c>
      <c r="CO26" t="s">
        <v>18</v>
      </c>
      <c r="CP26">
        <v>9</v>
      </c>
      <c r="CQ26">
        <v>2</v>
      </c>
    </row>
    <row r="27" spans="1:95" x14ac:dyDescent="0.2">
      <c r="A27" t="str">
        <f t="shared" si="0"/>
        <v>1999AllSexMaori19</v>
      </c>
      <c r="B27">
        <v>1999</v>
      </c>
      <c r="C27" t="s">
        <v>17</v>
      </c>
      <c r="D27" t="s">
        <v>18</v>
      </c>
      <c r="E27">
        <v>19</v>
      </c>
      <c r="F27">
        <v>79</v>
      </c>
      <c r="G27">
        <v>13.680080488400799</v>
      </c>
      <c r="H27">
        <v>3</v>
      </c>
      <c r="J27" s="358" t="str">
        <f t="shared" si="1"/>
        <v>2005AllSexAllEth194</v>
      </c>
      <c r="K27" s="359">
        <v>2005</v>
      </c>
      <c r="L27" t="s">
        <v>17</v>
      </c>
      <c r="M27" t="s">
        <v>27</v>
      </c>
      <c r="N27">
        <v>19</v>
      </c>
      <c r="O27">
        <v>4</v>
      </c>
      <c r="P27">
        <v>125</v>
      </c>
      <c r="Q27">
        <v>14.889497808842499</v>
      </c>
      <c r="R27">
        <v>2.6</v>
      </c>
      <c r="T27" s="358" t="str">
        <f t="shared" si="4"/>
        <v>1996AllSexAllEth23Poisoning by solids and liquids</v>
      </c>
      <c r="U27" s="360">
        <v>1996</v>
      </c>
      <c r="V27" s="360" t="s">
        <v>17</v>
      </c>
      <c r="W27" s="360" t="s">
        <v>27</v>
      </c>
      <c r="X27" s="360">
        <v>23</v>
      </c>
      <c r="Y27" s="360" t="s">
        <v>47</v>
      </c>
      <c r="Z27" s="360">
        <v>18</v>
      </c>
      <c r="AA27" s="360">
        <v>222</v>
      </c>
      <c r="AB27" s="360">
        <v>8.1</v>
      </c>
      <c r="AD27" s="358" t="str">
        <f t="shared" si="5"/>
        <v>201115AllSexAllEth22Canterbury</v>
      </c>
      <c r="AE27" t="s">
        <v>17</v>
      </c>
      <c r="AF27" t="s">
        <v>27</v>
      </c>
      <c r="AG27">
        <v>22</v>
      </c>
      <c r="AH27">
        <v>18</v>
      </c>
      <c r="AI27" t="s">
        <v>71</v>
      </c>
      <c r="AJ27">
        <v>60</v>
      </c>
      <c r="AK27">
        <v>16.619117524859401</v>
      </c>
      <c r="AL27">
        <v>5.5</v>
      </c>
      <c r="AM27" t="s">
        <v>82</v>
      </c>
      <c r="AN27">
        <v>201115</v>
      </c>
      <c r="AQ27" t="str">
        <f t="shared" si="2"/>
        <v>2003MaleUrban25</v>
      </c>
      <c r="AR27">
        <v>2003</v>
      </c>
      <c r="AS27" t="s">
        <v>20</v>
      </c>
      <c r="AT27" t="s">
        <v>97</v>
      </c>
      <c r="AU27">
        <v>25</v>
      </c>
      <c r="AV27">
        <v>36</v>
      </c>
      <c r="AW27">
        <v>19.8906016907011</v>
      </c>
      <c r="AX27">
        <v>6.5</v>
      </c>
      <c r="AZ27" t="str">
        <f t="shared" si="6"/>
        <v>2015FemaleAllEth10</v>
      </c>
      <c r="BA27">
        <v>2015</v>
      </c>
      <c r="BB27" t="s">
        <v>8</v>
      </c>
      <c r="BC27" t="s">
        <v>27</v>
      </c>
      <c r="BD27">
        <v>10</v>
      </c>
      <c r="BE27">
        <v>12</v>
      </c>
      <c r="BF27">
        <v>7.3461891643709798</v>
      </c>
      <c r="BG27" s="83">
        <v>4.2</v>
      </c>
      <c r="BH27">
        <v>284</v>
      </c>
      <c r="BI27">
        <v>4.2</v>
      </c>
      <c r="BK27" t="str">
        <f t="shared" si="3"/>
        <v>MaleOther22</v>
      </c>
      <c r="BL27" t="s">
        <v>20</v>
      </c>
      <c r="BM27" t="s">
        <v>45</v>
      </c>
      <c r="BN27">
        <v>22</v>
      </c>
      <c r="BO27">
        <v>213</v>
      </c>
      <c r="BP27">
        <v>23.212222924522099</v>
      </c>
      <c r="BQ27">
        <v>3.1</v>
      </c>
      <c r="BS27" t="str">
        <f t="shared" si="7"/>
        <v>FemaleAsian194</v>
      </c>
      <c r="BT27" t="s">
        <v>8</v>
      </c>
      <c r="BU27" t="s">
        <v>78</v>
      </c>
      <c r="BV27">
        <v>19</v>
      </c>
      <c r="BW27">
        <v>4</v>
      </c>
      <c r="BX27">
        <v>5</v>
      </c>
      <c r="BY27">
        <v>1.6580190899026099</v>
      </c>
      <c r="BZ27">
        <v>1.5</v>
      </c>
      <c r="CB27" t="str">
        <f t="shared" si="8"/>
        <v>AllSexAllEth21Poisoning by solids and liquids</v>
      </c>
      <c r="CC27" t="s">
        <v>17</v>
      </c>
      <c r="CD27" t="s">
        <v>27</v>
      </c>
      <c r="CE27" t="s">
        <v>47</v>
      </c>
      <c r="CF27">
        <v>21</v>
      </c>
      <c r="CG27">
        <v>1</v>
      </c>
      <c r="CH27">
        <v>35</v>
      </c>
      <c r="CI27">
        <v>2.9</v>
      </c>
      <c r="CL27" t="str">
        <f t="shared" si="9"/>
        <v>2003FemaleNon-Maori9</v>
      </c>
      <c r="CM27">
        <v>2003</v>
      </c>
      <c r="CN27" t="s">
        <v>8</v>
      </c>
      <c r="CO27" t="s">
        <v>19</v>
      </c>
      <c r="CP27">
        <v>9</v>
      </c>
      <c r="CQ27">
        <v>22</v>
      </c>
    </row>
    <row r="28" spans="1:95" x14ac:dyDescent="0.2">
      <c r="A28" t="str">
        <f t="shared" si="0"/>
        <v>2000AllSexMaori19</v>
      </c>
      <c r="B28">
        <v>2000</v>
      </c>
      <c r="C28" t="s">
        <v>17</v>
      </c>
      <c r="D28" t="s">
        <v>18</v>
      </c>
      <c r="E28">
        <v>19</v>
      </c>
      <c r="F28">
        <v>80</v>
      </c>
      <c r="G28">
        <v>15.0216247954586</v>
      </c>
      <c r="H28">
        <v>3.3</v>
      </c>
      <c r="J28" s="358" t="str">
        <f t="shared" si="1"/>
        <v>2005AllSexAllEth195</v>
      </c>
      <c r="K28" s="359">
        <v>2005</v>
      </c>
      <c r="L28" t="s">
        <v>17</v>
      </c>
      <c r="M28" t="s">
        <v>27</v>
      </c>
      <c r="N28">
        <v>19</v>
      </c>
      <c r="O28">
        <v>5</v>
      </c>
      <c r="P28">
        <v>131</v>
      </c>
      <c r="Q28">
        <v>16.4250668499181</v>
      </c>
      <c r="R28">
        <v>2.8</v>
      </c>
      <c r="T28" s="358" t="str">
        <f t="shared" si="4"/>
        <v>1996AllSexAllEth24Poisoning by solids and liquids</v>
      </c>
      <c r="U28" s="360">
        <v>1996</v>
      </c>
      <c r="V28" s="360" t="s">
        <v>17</v>
      </c>
      <c r="W28" s="360" t="s">
        <v>27</v>
      </c>
      <c r="X28" s="360">
        <v>24</v>
      </c>
      <c r="Y28" s="360" t="s">
        <v>47</v>
      </c>
      <c r="Z28" s="360">
        <v>12</v>
      </c>
      <c r="AA28" s="360">
        <v>102</v>
      </c>
      <c r="AB28" s="360">
        <v>11.8</v>
      </c>
      <c r="AD28" s="358" t="str">
        <f t="shared" si="5"/>
        <v>201115AllSexAllEth22Capital &amp; Coast</v>
      </c>
      <c r="AE28" t="s">
        <v>17</v>
      </c>
      <c r="AF28" t="s">
        <v>27</v>
      </c>
      <c r="AG28">
        <v>22</v>
      </c>
      <c r="AH28">
        <v>13</v>
      </c>
      <c r="AI28" t="s">
        <v>66</v>
      </c>
      <c r="AJ28">
        <v>25</v>
      </c>
      <c r="AK28">
        <v>10.733759821390199</v>
      </c>
      <c r="AL28">
        <v>5.5</v>
      </c>
      <c r="AM28" t="s">
        <v>83</v>
      </c>
      <c r="AN28">
        <v>201115</v>
      </c>
      <c r="AQ28" t="str">
        <f t="shared" si="2"/>
        <v>2004AllSexRural22</v>
      </c>
      <c r="AR28">
        <v>2004</v>
      </c>
      <c r="AS28" t="s">
        <v>17</v>
      </c>
      <c r="AT28" t="s">
        <v>96</v>
      </c>
      <c r="AU28">
        <v>22</v>
      </c>
      <c r="AV28">
        <v>10</v>
      </c>
      <c r="AW28">
        <v>17.003910899506899</v>
      </c>
      <c r="AX28">
        <v>10.5</v>
      </c>
      <c r="AZ28" t="str">
        <f t="shared" si="6"/>
        <v>2015FemaleAllEth11</v>
      </c>
      <c r="BA28">
        <v>2015</v>
      </c>
      <c r="BB28" t="s">
        <v>8</v>
      </c>
      <c r="BC28" t="s">
        <v>27</v>
      </c>
      <c r="BD28">
        <v>11</v>
      </c>
      <c r="BE28">
        <v>15</v>
      </c>
      <c r="BF28">
        <v>9.1091273456002906</v>
      </c>
      <c r="BG28" s="83">
        <v>4.5999999999999996</v>
      </c>
      <c r="BH28">
        <v>419</v>
      </c>
      <c r="BI28">
        <v>3.6</v>
      </c>
      <c r="BK28" t="str">
        <f t="shared" si="3"/>
        <v>AllSexMaori23</v>
      </c>
      <c r="BL28" t="s">
        <v>17</v>
      </c>
      <c r="BM28" t="s">
        <v>18</v>
      </c>
      <c r="BN28">
        <v>23</v>
      </c>
      <c r="BO28">
        <v>232</v>
      </c>
      <c r="BP28">
        <v>27.4627713724283</v>
      </c>
      <c r="BQ28">
        <v>3.5</v>
      </c>
      <c r="BS28" t="str">
        <f t="shared" si="7"/>
        <v>FemaleAsian195</v>
      </c>
      <c r="BT28" t="s">
        <v>8</v>
      </c>
      <c r="BU28" t="s">
        <v>78</v>
      </c>
      <c r="BV28">
        <v>19</v>
      </c>
      <c r="BW28">
        <v>5</v>
      </c>
      <c r="BX28">
        <v>10</v>
      </c>
      <c r="BY28">
        <v>5.0451751630975004</v>
      </c>
      <c r="BZ28">
        <v>3.1</v>
      </c>
      <c r="CB28" t="str">
        <f t="shared" si="8"/>
        <v>AllSexAllEth22Poisoning by solids and liquids</v>
      </c>
      <c r="CC28" t="s">
        <v>17</v>
      </c>
      <c r="CD28" t="s">
        <v>27</v>
      </c>
      <c r="CE28" t="s">
        <v>47</v>
      </c>
      <c r="CF28">
        <v>22</v>
      </c>
      <c r="CG28">
        <v>20</v>
      </c>
      <c r="CH28">
        <v>591</v>
      </c>
      <c r="CI28">
        <v>3.4</v>
      </c>
      <c r="CL28" t="str">
        <f t="shared" si="9"/>
        <v>2003MaleAllEth9</v>
      </c>
      <c r="CM28">
        <v>2003</v>
      </c>
      <c r="CN28" t="s">
        <v>20</v>
      </c>
      <c r="CO28" t="s">
        <v>27</v>
      </c>
      <c r="CP28">
        <v>9</v>
      </c>
      <c r="CQ28">
        <v>28</v>
      </c>
    </row>
    <row r="29" spans="1:95" x14ac:dyDescent="0.2">
      <c r="A29" t="str">
        <f t="shared" si="0"/>
        <v>2001AllSexMaori19</v>
      </c>
      <c r="B29">
        <v>2001</v>
      </c>
      <c r="C29" t="s">
        <v>17</v>
      </c>
      <c r="D29" t="s">
        <v>18</v>
      </c>
      <c r="E29">
        <v>19</v>
      </c>
      <c r="F29">
        <v>79</v>
      </c>
      <c r="G29">
        <v>14.087317407503001</v>
      </c>
      <c r="H29">
        <v>3.1</v>
      </c>
      <c r="J29" s="358" t="str">
        <f t="shared" si="1"/>
        <v>2006AllSexAllEth191</v>
      </c>
      <c r="K29" s="359">
        <v>2006</v>
      </c>
      <c r="L29" t="s">
        <v>17</v>
      </c>
      <c r="M29" t="s">
        <v>27</v>
      </c>
      <c r="N29">
        <v>19</v>
      </c>
      <c r="O29">
        <v>1</v>
      </c>
      <c r="P29">
        <v>67</v>
      </c>
      <c r="Q29">
        <v>7.7829388850515304</v>
      </c>
      <c r="R29">
        <v>1.9</v>
      </c>
      <c r="T29" s="358" t="str">
        <f t="shared" si="4"/>
        <v>1996AllSexAllEth25Poisoning by solids and liquids</v>
      </c>
      <c r="U29" s="360">
        <v>1996</v>
      </c>
      <c r="V29" s="360" t="s">
        <v>17</v>
      </c>
      <c r="W29" s="360" t="s">
        <v>27</v>
      </c>
      <c r="X29" s="360">
        <v>25</v>
      </c>
      <c r="Y29" s="360" t="s">
        <v>47</v>
      </c>
      <c r="Z29" s="360">
        <v>14</v>
      </c>
      <c r="AA29" s="360">
        <v>66</v>
      </c>
      <c r="AB29" s="360">
        <v>21.2</v>
      </c>
      <c r="AD29" s="358" t="str">
        <f t="shared" si="5"/>
        <v>201115AllSexAllEth22Counties Manukau</v>
      </c>
      <c r="AE29" t="s">
        <v>17</v>
      </c>
      <c r="AF29" t="s">
        <v>27</v>
      </c>
      <c r="AG29">
        <v>22</v>
      </c>
      <c r="AH29">
        <v>4</v>
      </c>
      <c r="AI29" t="s">
        <v>57</v>
      </c>
      <c r="AJ29">
        <v>78</v>
      </c>
      <c r="AK29">
        <v>20.170153344883801</v>
      </c>
      <c r="AL29">
        <v>5.9</v>
      </c>
      <c r="AM29" t="s">
        <v>82</v>
      </c>
      <c r="AN29">
        <v>201115</v>
      </c>
      <c r="AQ29" t="str">
        <f t="shared" si="2"/>
        <v>2004AllSexUrban22</v>
      </c>
      <c r="AR29">
        <v>2004</v>
      </c>
      <c r="AS29" t="s">
        <v>17</v>
      </c>
      <c r="AT29" t="s">
        <v>97</v>
      </c>
      <c r="AU29">
        <v>22</v>
      </c>
      <c r="AV29">
        <v>100</v>
      </c>
      <c r="AW29">
        <v>18.9879426564132</v>
      </c>
      <c r="AX29">
        <v>3.7</v>
      </c>
      <c r="AZ29" t="str">
        <f t="shared" si="6"/>
        <v>2015FemaleAllEth12</v>
      </c>
      <c r="BA29">
        <v>2015</v>
      </c>
      <c r="BB29" t="s">
        <v>8</v>
      </c>
      <c r="BC29" t="s">
        <v>27</v>
      </c>
      <c r="BD29">
        <v>12</v>
      </c>
      <c r="BE29">
        <v>7</v>
      </c>
      <c r="BF29">
        <v>4.7319678226188104</v>
      </c>
      <c r="BG29" s="83">
        <v>3.5</v>
      </c>
      <c r="BH29">
        <v>533</v>
      </c>
      <c r="BI29">
        <v>1.3</v>
      </c>
      <c r="BK29" t="str">
        <f t="shared" si="3"/>
        <v>AllSexPacific23</v>
      </c>
      <c r="BL29" t="s">
        <v>17</v>
      </c>
      <c r="BM29" t="s">
        <v>79</v>
      </c>
      <c r="BN29">
        <v>23</v>
      </c>
      <c r="BO29">
        <v>34</v>
      </c>
      <c r="BP29">
        <v>8.8226898824506303</v>
      </c>
      <c r="BQ29">
        <v>3</v>
      </c>
      <c r="BS29" t="str">
        <f t="shared" si="7"/>
        <v>FemaleMaori191</v>
      </c>
      <c r="BT29" t="s">
        <v>8</v>
      </c>
      <c r="BU29" t="s">
        <v>18</v>
      </c>
      <c r="BV29">
        <v>19</v>
      </c>
      <c r="BW29">
        <v>1</v>
      </c>
      <c r="BX29">
        <v>5</v>
      </c>
      <c r="BY29">
        <v>3.7134541446222</v>
      </c>
      <c r="BZ29">
        <v>3.3</v>
      </c>
      <c r="CB29" t="str">
        <f t="shared" si="8"/>
        <v>AllSexAllEth23Poisoning by solids and liquids</v>
      </c>
      <c r="CC29" t="s">
        <v>17</v>
      </c>
      <c r="CD29" t="s">
        <v>27</v>
      </c>
      <c r="CE29" t="s">
        <v>47</v>
      </c>
      <c r="CF29">
        <v>23</v>
      </c>
      <c r="CG29">
        <v>81</v>
      </c>
      <c r="CH29">
        <v>871</v>
      </c>
      <c r="CI29">
        <v>9.3000000000000007</v>
      </c>
      <c r="CL29" t="str">
        <f t="shared" si="9"/>
        <v>2003MaleMaori9</v>
      </c>
      <c r="CM29">
        <v>2003</v>
      </c>
      <c r="CN29" t="s">
        <v>20</v>
      </c>
      <c r="CO29" t="s">
        <v>18</v>
      </c>
      <c r="CP29">
        <v>9</v>
      </c>
      <c r="CQ29">
        <v>4</v>
      </c>
    </row>
    <row r="30" spans="1:95" x14ac:dyDescent="0.2">
      <c r="A30" t="str">
        <f t="shared" si="0"/>
        <v>2002AllSexMaori19</v>
      </c>
      <c r="B30">
        <v>2002</v>
      </c>
      <c r="C30" t="s">
        <v>17</v>
      </c>
      <c r="D30" t="s">
        <v>18</v>
      </c>
      <c r="E30">
        <v>19</v>
      </c>
      <c r="F30">
        <v>80</v>
      </c>
      <c r="G30">
        <v>13.892088049665601</v>
      </c>
      <c r="H30">
        <v>3</v>
      </c>
      <c r="J30" s="358" t="str">
        <f t="shared" si="1"/>
        <v>2006AllSexAllEth192</v>
      </c>
      <c r="K30" s="359">
        <v>2006</v>
      </c>
      <c r="L30" t="s">
        <v>17</v>
      </c>
      <c r="M30" t="s">
        <v>27</v>
      </c>
      <c r="N30">
        <v>19</v>
      </c>
      <c r="O30">
        <v>2</v>
      </c>
      <c r="P30">
        <v>89</v>
      </c>
      <c r="Q30">
        <v>9.8647821715884607</v>
      </c>
      <c r="R30">
        <v>2</v>
      </c>
      <c r="T30" s="358" t="str">
        <f t="shared" si="4"/>
        <v>1996AllSexAllEth23Sharp object</v>
      </c>
      <c r="U30" s="360">
        <v>1996</v>
      </c>
      <c r="V30" s="360" t="s">
        <v>17</v>
      </c>
      <c r="W30" s="360" t="s">
        <v>27</v>
      </c>
      <c r="X30" s="360">
        <v>23</v>
      </c>
      <c r="Y30" s="360" t="s">
        <v>48</v>
      </c>
      <c r="Z30" s="360">
        <v>3</v>
      </c>
      <c r="AA30" s="360">
        <v>222</v>
      </c>
      <c r="AB30" s="360">
        <v>1.4</v>
      </c>
      <c r="AD30" s="358" t="str">
        <f t="shared" si="5"/>
        <v>201115AllSexAllEth22Hawke's Bay</v>
      </c>
      <c r="AE30" t="s">
        <v>17</v>
      </c>
      <c r="AF30" t="s">
        <v>27</v>
      </c>
      <c r="AG30">
        <v>22</v>
      </c>
      <c r="AH30">
        <v>9</v>
      </c>
      <c r="AI30" t="s">
        <v>62</v>
      </c>
      <c r="AJ30">
        <v>27</v>
      </c>
      <c r="AK30">
        <v>27.430661383724502</v>
      </c>
      <c r="AL30">
        <v>13.6</v>
      </c>
      <c r="AM30" t="s">
        <v>82</v>
      </c>
      <c r="AN30">
        <v>201115</v>
      </c>
      <c r="AQ30" t="str">
        <f t="shared" si="2"/>
        <v>2004AllSexRural23</v>
      </c>
      <c r="AR30">
        <v>2004</v>
      </c>
      <c r="AS30" t="s">
        <v>17</v>
      </c>
      <c r="AT30" t="s">
        <v>96</v>
      </c>
      <c r="AU30">
        <v>23</v>
      </c>
      <c r="AV30">
        <v>28</v>
      </c>
      <c r="AW30">
        <v>17.783423308987</v>
      </c>
      <c r="AX30">
        <v>6.6</v>
      </c>
      <c r="AZ30" t="str">
        <f t="shared" si="6"/>
        <v>2015FemaleAllEth13</v>
      </c>
      <c r="BA30">
        <v>2015</v>
      </c>
      <c r="BB30" t="s">
        <v>8</v>
      </c>
      <c r="BC30" t="s">
        <v>27</v>
      </c>
      <c r="BD30">
        <v>13</v>
      </c>
      <c r="BE30">
        <v>11</v>
      </c>
      <c r="BF30">
        <v>8.5523246773441208</v>
      </c>
      <c r="BG30" s="83">
        <v>5.0999999999999996</v>
      </c>
      <c r="BH30">
        <v>674</v>
      </c>
      <c r="BI30">
        <v>1.6</v>
      </c>
      <c r="BK30" t="str">
        <f t="shared" si="3"/>
        <v>AllSexAsian23</v>
      </c>
      <c r="BL30" t="s">
        <v>17</v>
      </c>
      <c r="BM30" t="s">
        <v>78</v>
      </c>
      <c r="BN30">
        <v>23</v>
      </c>
      <c r="BO30">
        <v>45</v>
      </c>
      <c r="BP30">
        <v>4.7593865679534604</v>
      </c>
      <c r="BQ30">
        <v>1.4</v>
      </c>
      <c r="BS30" t="str">
        <f t="shared" si="7"/>
        <v>FemaleMaori192</v>
      </c>
      <c r="BT30" t="s">
        <v>8</v>
      </c>
      <c r="BU30" t="s">
        <v>18</v>
      </c>
      <c r="BV30">
        <v>19</v>
      </c>
      <c r="BW30">
        <v>2</v>
      </c>
      <c r="BX30">
        <v>16</v>
      </c>
      <c r="BY30">
        <v>8.2163131148280506</v>
      </c>
      <c r="BZ30">
        <v>4</v>
      </c>
      <c r="CB30" t="str">
        <f t="shared" si="8"/>
        <v>AllSexAllEth24Poisoning by solids and liquids</v>
      </c>
      <c r="CC30" t="s">
        <v>17</v>
      </c>
      <c r="CD30" t="s">
        <v>27</v>
      </c>
      <c r="CE30" t="s">
        <v>47</v>
      </c>
      <c r="CF30">
        <v>24</v>
      </c>
      <c r="CG30">
        <v>140</v>
      </c>
      <c r="CH30">
        <v>813</v>
      </c>
      <c r="CI30">
        <v>17.2</v>
      </c>
      <c r="CL30" t="str">
        <f t="shared" si="9"/>
        <v>2003MaleNon-Maori9</v>
      </c>
      <c r="CM30">
        <v>2003</v>
      </c>
      <c r="CN30" t="s">
        <v>20</v>
      </c>
      <c r="CO30" t="s">
        <v>19</v>
      </c>
      <c r="CP30">
        <v>9</v>
      </c>
      <c r="CQ30">
        <v>24</v>
      </c>
    </row>
    <row r="31" spans="1:95" x14ac:dyDescent="0.2">
      <c r="A31" t="str">
        <f t="shared" si="0"/>
        <v>2003AllSexMaori19</v>
      </c>
      <c r="B31">
        <v>2003</v>
      </c>
      <c r="C31" t="s">
        <v>17</v>
      </c>
      <c r="D31" t="s">
        <v>18</v>
      </c>
      <c r="E31">
        <v>19</v>
      </c>
      <c r="F31">
        <v>87</v>
      </c>
      <c r="G31">
        <v>14.459643080013199</v>
      </c>
      <c r="H31">
        <v>3</v>
      </c>
      <c r="J31" s="358" t="str">
        <f t="shared" si="1"/>
        <v>2006AllSexAllEth193</v>
      </c>
      <c r="K31" s="359">
        <v>2006</v>
      </c>
      <c r="L31" t="s">
        <v>17</v>
      </c>
      <c r="M31" t="s">
        <v>27</v>
      </c>
      <c r="N31">
        <v>19</v>
      </c>
      <c r="O31">
        <v>3</v>
      </c>
      <c r="P31">
        <v>96</v>
      </c>
      <c r="Q31">
        <v>10.927855897608399</v>
      </c>
      <c r="R31">
        <v>2.2000000000000002</v>
      </c>
      <c r="T31" s="358" t="str">
        <f t="shared" si="4"/>
        <v>1996AllSexAllEth24Sharp object</v>
      </c>
      <c r="U31" s="360">
        <v>1996</v>
      </c>
      <c r="V31" s="360" t="s">
        <v>17</v>
      </c>
      <c r="W31" s="360" t="s">
        <v>27</v>
      </c>
      <c r="X31" s="360">
        <v>24</v>
      </c>
      <c r="Y31" s="360" t="s">
        <v>48</v>
      </c>
      <c r="Z31" s="360">
        <v>4</v>
      </c>
      <c r="AA31" s="360">
        <v>102</v>
      </c>
      <c r="AB31" s="360">
        <v>3.9</v>
      </c>
      <c r="AD31" s="358" t="str">
        <f t="shared" si="5"/>
        <v>201115AllSexAllEth22Hutt Valley</v>
      </c>
      <c r="AE31" t="s">
        <v>17</v>
      </c>
      <c r="AF31" t="s">
        <v>27</v>
      </c>
      <c r="AG31">
        <v>22</v>
      </c>
      <c r="AH31">
        <v>14</v>
      </c>
      <c r="AI31" t="s">
        <v>67</v>
      </c>
      <c r="AJ31">
        <v>23</v>
      </c>
      <c r="AK31">
        <v>24.202883300010502</v>
      </c>
      <c r="AL31">
        <v>13</v>
      </c>
      <c r="AM31" t="s">
        <v>82</v>
      </c>
      <c r="AN31">
        <v>201115</v>
      </c>
      <c r="AQ31" t="str">
        <f t="shared" si="2"/>
        <v>2004AllSexUrban23</v>
      </c>
      <c r="AR31">
        <v>2004</v>
      </c>
      <c r="AS31" t="s">
        <v>17</v>
      </c>
      <c r="AT31" t="s">
        <v>97</v>
      </c>
      <c r="AU31">
        <v>23</v>
      </c>
      <c r="AV31">
        <v>156</v>
      </c>
      <c r="AW31">
        <v>15.255530129672</v>
      </c>
      <c r="AX31">
        <v>2.4</v>
      </c>
      <c r="AZ31" t="str">
        <f t="shared" si="6"/>
        <v>2015FemaleAllEth14</v>
      </c>
      <c r="BA31">
        <v>2015</v>
      </c>
      <c r="BB31" t="s">
        <v>8</v>
      </c>
      <c r="BC31" t="s">
        <v>27</v>
      </c>
      <c r="BD31">
        <v>14</v>
      </c>
      <c r="BE31">
        <v>7</v>
      </c>
      <c r="BF31">
        <v>6.0579835569017702</v>
      </c>
      <c r="BG31" s="83">
        <v>4.5</v>
      </c>
      <c r="BH31">
        <v>1018</v>
      </c>
      <c r="BI31">
        <v>0.7</v>
      </c>
      <c r="BK31" t="str">
        <f t="shared" si="3"/>
        <v>AllSexOther23</v>
      </c>
      <c r="BL31" t="s">
        <v>17</v>
      </c>
      <c r="BM31" t="s">
        <v>45</v>
      </c>
      <c r="BN31">
        <v>23</v>
      </c>
      <c r="BO31">
        <v>560</v>
      </c>
      <c r="BP31">
        <v>15.4851839971684</v>
      </c>
      <c r="BQ31">
        <v>1.3</v>
      </c>
      <c r="BS31" t="str">
        <f t="shared" si="7"/>
        <v>FemaleMaori193</v>
      </c>
      <c r="BT31" t="s">
        <v>8</v>
      </c>
      <c r="BU31" t="s">
        <v>18</v>
      </c>
      <c r="BV31">
        <v>19</v>
      </c>
      <c r="BW31">
        <v>3</v>
      </c>
      <c r="BX31">
        <v>17</v>
      </c>
      <c r="BY31">
        <v>6.19588165165736</v>
      </c>
      <c r="BZ31">
        <v>2.9</v>
      </c>
      <c r="CB31" t="str">
        <f t="shared" si="8"/>
        <v>AllSexAllEth25Poisoning by solids and liquids</v>
      </c>
      <c r="CC31" t="s">
        <v>17</v>
      </c>
      <c r="CD31" t="s">
        <v>27</v>
      </c>
      <c r="CE31" t="s">
        <v>47</v>
      </c>
      <c r="CF31">
        <v>25</v>
      </c>
      <c r="CG31">
        <v>60</v>
      </c>
      <c r="CH31">
        <v>282</v>
      </c>
      <c r="CI31">
        <v>21.3</v>
      </c>
      <c r="CL31" t="str">
        <f t="shared" si="9"/>
        <v>2004AllSexAllEth9</v>
      </c>
      <c r="CM31">
        <v>2004</v>
      </c>
      <c r="CN31" t="s">
        <v>17</v>
      </c>
      <c r="CO31" t="s">
        <v>27</v>
      </c>
      <c r="CP31">
        <v>9</v>
      </c>
      <c r="CQ31">
        <v>44</v>
      </c>
    </row>
    <row r="32" spans="1:95" x14ac:dyDescent="0.2">
      <c r="A32" t="str">
        <f t="shared" si="0"/>
        <v>2004AllSexMaori19</v>
      </c>
      <c r="B32">
        <v>2004</v>
      </c>
      <c r="C32" t="s">
        <v>17</v>
      </c>
      <c r="D32" t="s">
        <v>18</v>
      </c>
      <c r="E32">
        <v>19</v>
      </c>
      <c r="F32">
        <v>111</v>
      </c>
      <c r="G32">
        <v>18.923065742235899</v>
      </c>
      <c r="H32">
        <v>3.5</v>
      </c>
      <c r="J32" s="358" t="str">
        <f t="shared" si="1"/>
        <v>2006AllSexAllEth194</v>
      </c>
      <c r="K32" s="359">
        <v>2006</v>
      </c>
      <c r="L32" t="s">
        <v>17</v>
      </c>
      <c r="M32" t="s">
        <v>27</v>
      </c>
      <c r="N32">
        <v>19</v>
      </c>
      <c r="O32">
        <v>4</v>
      </c>
      <c r="P32">
        <v>100</v>
      </c>
      <c r="Q32">
        <v>11.6604236929648</v>
      </c>
      <c r="R32">
        <v>2.2999999999999998</v>
      </c>
      <c r="T32" s="358" t="str">
        <f t="shared" si="4"/>
        <v>1996AllSexAllEth23Submersion (drowning)</v>
      </c>
      <c r="U32" s="360">
        <v>1996</v>
      </c>
      <c r="V32" s="360" t="s">
        <v>17</v>
      </c>
      <c r="W32" s="360" t="s">
        <v>27</v>
      </c>
      <c r="X32" s="360">
        <v>23</v>
      </c>
      <c r="Y32" s="360" t="s">
        <v>49</v>
      </c>
      <c r="Z32" s="360">
        <v>1</v>
      </c>
      <c r="AA32" s="360">
        <v>222</v>
      </c>
      <c r="AB32" s="360">
        <v>0.5</v>
      </c>
      <c r="AD32" s="358" t="str">
        <f t="shared" si="5"/>
        <v>201115AllSexAllEth22Lakes</v>
      </c>
      <c r="AE32" t="s">
        <v>17</v>
      </c>
      <c r="AF32" t="s">
        <v>27</v>
      </c>
      <c r="AG32">
        <v>22</v>
      </c>
      <c r="AH32">
        <v>6</v>
      </c>
      <c r="AI32" t="s">
        <v>59</v>
      </c>
      <c r="AJ32">
        <v>23</v>
      </c>
      <c r="AK32">
        <v>34.180413137167498</v>
      </c>
      <c r="AL32">
        <v>18.399999999999999</v>
      </c>
      <c r="AM32" t="s">
        <v>82</v>
      </c>
      <c r="AN32">
        <v>201115</v>
      </c>
      <c r="AQ32" t="str">
        <f t="shared" si="2"/>
        <v>2004AllSexRural24</v>
      </c>
      <c r="AR32">
        <v>2004</v>
      </c>
      <c r="AS32" t="s">
        <v>17</v>
      </c>
      <c r="AT32" t="s">
        <v>96</v>
      </c>
      <c r="AU32">
        <v>24</v>
      </c>
      <c r="AV32">
        <v>22</v>
      </c>
      <c r="AW32">
        <v>13.8078202472855</v>
      </c>
      <c r="AX32">
        <v>5.8</v>
      </c>
      <c r="AZ32" t="str">
        <f t="shared" si="6"/>
        <v>2015FemaleAllEth15</v>
      </c>
      <c r="BA32">
        <v>2015</v>
      </c>
      <c r="BB32" t="s">
        <v>8</v>
      </c>
      <c r="BC32" t="s">
        <v>27</v>
      </c>
      <c r="BD32">
        <v>15</v>
      </c>
      <c r="BE32">
        <v>3</v>
      </c>
      <c r="BF32">
        <v>3.5095928872250801</v>
      </c>
      <c r="BG32" s="83">
        <v>4</v>
      </c>
      <c r="BH32">
        <v>1247</v>
      </c>
      <c r="BI32">
        <v>0.2</v>
      </c>
      <c r="BK32" t="str">
        <f t="shared" si="3"/>
        <v>FemaleMaori23</v>
      </c>
      <c r="BL32" t="s">
        <v>8</v>
      </c>
      <c r="BM32" t="s">
        <v>18</v>
      </c>
      <c r="BN32">
        <v>23</v>
      </c>
      <c r="BO32">
        <v>61</v>
      </c>
      <c r="BP32">
        <v>13.410719781910901</v>
      </c>
      <c r="BQ32">
        <v>3.4</v>
      </c>
      <c r="BS32" t="str">
        <f t="shared" si="7"/>
        <v>FemaleMaori194</v>
      </c>
      <c r="BT32" t="s">
        <v>8</v>
      </c>
      <c r="BU32" t="s">
        <v>18</v>
      </c>
      <c r="BV32">
        <v>19</v>
      </c>
      <c r="BW32">
        <v>4</v>
      </c>
      <c r="BX32">
        <v>43</v>
      </c>
      <c r="BY32">
        <v>10.4274235908835</v>
      </c>
      <c r="BZ32">
        <v>3.1</v>
      </c>
      <c r="CB32" t="str">
        <f t="shared" si="8"/>
        <v>AllSexAllEth22Sharp object</v>
      </c>
      <c r="CC32" t="s">
        <v>17</v>
      </c>
      <c r="CD32" t="s">
        <v>27</v>
      </c>
      <c r="CE32" t="s">
        <v>48</v>
      </c>
      <c r="CF32">
        <v>22</v>
      </c>
      <c r="CG32">
        <v>2</v>
      </c>
      <c r="CH32">
        <v>591</v>
      </c>
      <c r="CI32">
        <v>0.3</v>
      </c>
      <c r="CL32" t="str">
        <f t="shared" si="9"/>
        <v>2004AllSexMaori9</v>
      </c>
      <c r="CM32">
        <v>2004</v>
      </c>
      <c r="CN32" t="s">
        <v>17</v>
      </c>
      <c r="CO32" t="s">
        <v>18</v>
      </c>
      <c r="CP32">
        <v>9</v>
      </c>
      <c r="CQ32">
        <v>4</v>
      </c>
    </row>
    <row r="33" spans="1:95" x14ac:dyDescent="0.2">
      <c r="A33" t="str">
        <f t="shared" si="0"/>
        <v>2005AllSexMaori19</v>
      </c>
      <c r="B33">
        <v>2005</v>
      </c>
      <c r="C33" t="s">
        <v>17</v>
      </c>
      <c r="D33" t="s">
        <v>18</v>
      </c>
      <c r="E33">
        <v>19</v>
      </c>
      <c r="F33">
        <v>105</v>
      </c>
      <c r="G33">
        <v>17.852603495775298</v>
      </c>
      <c r="H33">
        <v>3.4</v>
      </c>
      <c r="J33" s="358" t="str">
        <f t="shared" si="1"/>
        <v>2006AllSexAllEth195</v>
      </c>
      <c r="K33" s="359">
        <v>2006</v>
      </c>
      <c r="L33" t="s">
        <v>17</v>
      </c>
      <c r="M33" t="s">
        <v>27</v>
      </c>
      <c r="N33">
        <v>19</v>
      </c>
      <c r="O33">
        <v>5</v>
      </c>
      <c r="P33">
        <v>148</v>
      </c>
      <c r="Q33">
        <v>18.165153052613999</v>
      </c>
      <c r="R33">
        <v>2.9</v>
      </c>
      <c r="T33" s="358" t="str">
        <f t="shared" si="4"/>
        <v>1996AllSexAllEth24Submersion (drowning)</v>
      </c>
      <c r="U33" s="360">
        <v>1996</v>
      </c>
      <c r="V33" s="360" t="s">
        <v>17</v>
      </c>
      <c r="W33" s="360" t="s">
        <v>27</v>
      </c>
      <c r="X33" s="360">
        <v>24</v>
      </c>
      <c r="Y33" s="360" t="s">
        <v>49</v>
      </c>
      <c r="Z33" s="360">
        <v>5</v>
      </c>
      <c r="AA33" s="360">
        <v>102</v>
      </c>
      <c r="AB33" s="360">
        <v>4.9000000000000004</v>
      </c>
      <c r="AD33" s="358" t="str">
        <f t="shared" si="5"/>
        <v>201115AllSexAllEth22MidCentral</v>
      </c>
      <c r="AE33" t="s">
        <v>17</v>
      </c>
      <c r="AF33" t="s">
        <v>27</v>
      </c>
      <c r="AG33">
        <v>22</v>
      </c>
      <c r="AH33">
        <v>11</v>
      </c>
      <c r="AI33" t="s">
        <v>64</v>
      </c>
      <c r="AJ33">
        <v>32</v>
      </c>
      <c r="AK33">
        <v>25.192883010549501</v>
      </c>
      <c r="AL33">
        <v>11.5</v>
      </c>
      <c r="AM33" t="s">
        <v>82</v>
      </c>
      <c r="AN33">
        <v>201115</v>
      </c>
      <c r="AQ33" t="str">
        <f t="shared" si="2"/>
        <v>2004AllSexUrban24</v>
      </c>
      <c r="AR33">
        <v>2004</v>
      </c>
      <c r="AS33" t="s">
        <v>17</v>
      </c>
      <c r="AT33" t="s">
        <v>97</v>
      </c>
      <c r="AU33">
        <v>24</v>
      </c>
      <c r="AV33">
        <v>88</v>
      </c>
      <c r="AW33">
        <v>11.2219133362238</v>
      </c>
      <c r="AX33">
        <v>2.2999999999999998</v>
      </c>
      <c r="AZ33" t="str">
        <f t="shared" si="6"/>
        <v>2015FemaleAllEth16</v>
      </c>
      <c r="BA33">
        <v>2015</v>
      </c>
      <c r="BB33" t="s">
        <v>8</v>
      </c>
      <c r="BC33" t="s">
        <v>27</v>
      </c>
      <c r="BD33">
        <v>16</v>
      </c>
      <c r="BE33">
        <v>4</v>
      </c>
      <c r="BF33">
        <v>6.2344139650872803</v>
      </c>
      <c r="BG33" s="83">
        <v>6.1</v>
      </c>
      <c r="BH33">
        <v>1692</v>
      </c>
      <c r="BI33">
        <v>0.2</v>
      </c>
      <c r="BK33" t="str">
        <f t="shared" si="3"/>
        <v>FemalePacific23</v>
      </c>
      <c r="BL33" t="s">
        <v>8</v>
      </c>
      <c r="BM33" t="s">
        <v>79</v>
      </c>
      <c r="BN33">
        <v>23</v>
      </c>
      <c r="BO33">
        <v>5</v>
      </c>
      <c r="BP33">
        <v>2.52665622315428</v>
      </c>
      <c r="BQ33">
        <v>2.2000000000000002</v>
      </c>
      <c r="BS33" t="str">
        <f t="shared" si="7"/>
        <v>FemaleMaori195</v>
      </c>
      <c r="BT33" t="s">
        <v>8</v>
      </c>
      <c r="BU33" t="s">
        <v>18</v>
      </c>
      <c r="BV33">
        <v>19</v>
      </c>
      <c r="BW33">
        <v>5</v>
      </c>
      <c r="BX33">
        <v>89</v>
      </c>
      <c r="BY33">
        <v>12.142321436677101</v>
      </c>
      <c r="BZ33">
        <v>2.5</v>
      </c>
      <c r="CB33" t="str">
        <f t="shared" si="8"/>
        <v>AllSexAllEth23Sharp object</v>
      </c>
      <c r="CC33" t="s">
        <v>17</v>
      </c>
      <c r="CD33" t="s">
        <v>27</v>
      </c>
      <c r="CE33" t="s">
        <v>48</v>
      </c>
      <c r="CF33">
        <v>23</v>
      </c>
      <c r="CG33">
        <v>16</v>
      </c>
      <c r="CH33">
        <v>871</v>
      </c>
      <c r="CI33">
        <v>1.8</v>
      </c>
      <c r="CL33" t="str">
        <f t="shared" si="9"/>
        <v>2004AllSexNon-Maori9</v>
      </c>
      <c r="CM33">
        <v>2004</v>
      </c>
      <c r="CN33" t="s">
        <v>17</v>
      </c>
      <c r="CO33" t="s">
        <v>19</v>
      </c>
      <c r="CP33">
        <v>9</v>
      </c>
      <c r="CQ33">
        <v>40</v>
      </c>
    </row>
    <row r="34" spans="1:95" x14ac:dyDescent="0.2">
      <c r="A34" t="str">
        <f t="shared" si="0"/>
        <v>2006AllSexMaori19</v>
      </c>
      <c r="B34">
        <v>2006</v>
      </c>
      <c r="C34" t="s">
        <v>17</v>
      </c>
      <c r="D34" t="s">
        <v>18</v>
      </c>
      <c r="E34">
        <v>19</v>
      </c>
      <c r="F34">
        <v>108</v>
      </c>
      <c r="G34">
        <v>17.9531609994688</v>
      </c>
      <c r="H34">
        <v>3.4</v>
      </c>
      <c r="J34" s="358" t="str">
        <f t="shared" si="1"/>
        <v>2007AllSexAllEth191</v>
      </c>
      <c r="K34" s="359">
        <v>2007</v>
      </c>
      <c r="L34" t="s">
        <v>17</v>
      </c>
      <c r="M34" t="s">
        <v>27</v>
      </c>
      <c r="N34">
        <v>19</v>
      </c>
      <c r="O34">
        <v>1</v>
      </c>
      <c r="P34">
        <v>69</v>
      </c>
      <c r="Q34">
        <v>7.8368796841505901</v>
      </c>
      <c r="R34">
        <v>1.8</v>
      </c>
      <c r="T34" s="358" t="str">
        <f t="shared" si="4"/>
        <v>1996AllSexAllEth25Submersion (drowning)</v>
      </c>
      <c r="U34" s="360">
        <v>1996</v>
      </c>
      <c r="V34" s="360" t="s">
        <v>17</v>
      </c>
      <c r="W34" s="360" t="s">
        <v>27</v>
      </c>
      <c r="X34" s="360">
        <v>25</v>
      </c>
      <c r="Y34" s="360" t="s">
        <v>49</v>
      </c>
      <c r="Z34" s="360">
        <v>5</v>
      </c>
      <c r="AA34" s="360">
        <v>66</v>
      </c>
      <c r="AB34" s="360">
        <v>7.6</v>
      </c>
      <c r="AD34" s="358" t="str">
        <f t="shared" si="5"/>
        <v>201115AllSexAllEth22Nelson Marlborough</v>
      </c>
      <c r="AE34" t="s">
        <v>17</v>
      </c>
      <c r="AF34" t="s">
        <v>27</v>
      </c>
      <c r="AG34">
        <v>22</v>
      </c>
      <c r="AH34">
        <v>16</v>
      </c>
      <c r="AI34" t="s">
        <v>69</v>
      </c>
      <c r="AJ34">
        <v>10</v>
      </c>
      <c r="AK34">
        <v>13.1682907558599</v>
      </c>
      <c r="AL34">
        <v>10.7</v>
      </c>
      <c r="AM34" t="s">
        <v>82</v>
      </c>
      <c r="AN34">
        <v>201115</v>
      </c>
      <c r="AQ34" t="str">
        <f t="shared" si="2"/>
        <v>2004AllSexRural25</v>
      </c>
      <c r="AR34">
        <v>2004</v>
      </c>
      <c r="AS34" t="s">
        <v>17</v>
      </c>
      <c r="AT34" t="s">
        <v>96</v>
      </c>
      <c r="AU34">
        <v>25</v>
      </c>
      <c r="AV34">
        <v>4</v>
      </c>
      <c r="AW34">
        <v>7.16845878136201</v>
      </c>
      <c r="AX34">
        <v>7</v>
      </c>
      <c r="AZ34" t="str">
        <f t="shared" si="6"/>
        <v>2015FemaleAllEth17</v>
      </c>
      <c r="BA34">
        <v>2015</v>
      </c>
      <c r="BB34" t="s">
        <v>8</v>
      </c>
      <c r="BC34" t="s">
        <v>27</v>
      </c>
      <c r="BD34">
        <v>17</v>
      </c>
      <c r="BE34">
        <v>1</v>
      </c>
      <c r="BF34">
        <v>2.17249619813165</v>
      </c>
      <c r="BG34" s="83">
        <v>4.3</v>
      </c>
      <c r="BH34">
        <v>2368</v>
      </c>
      <c r="BI34">
        <v>0</v>
      </c>
      <c r="BK34" t="str">
        <f t="shared" si="3"/>
        <v>FemaleAsian23</v>
      </c>
      <c r="BL34" t="s">
        <v>8</v>
      </c>
      <c r="BM34" t="s">
        <v>78</v>
      </c>
      <c r="BN34">
        <v>23</v>
      </c>
      <c r="BO34">
        <v>12</v>
      </c>
      <c r="BP34">
        <v>2.4068354125717</v>
      </c>
      <c r="BQ34">
        <v>1.4</v>
      </c>
      <c r="BS34" t="str">
        <f t="shared" si="7"/>
        <v>FemaleOther191</v>
      </c>
      <c r="BT34" t="s">
        <v>8</v>
      </c>
      <c r="BU34" t="s">
        <v>45</v>
      </c>
      <c r="BV34">
        <v>19</v>
      </c>
      <c r="BW34">
        <v>1</v>
      </c>
      <c r="BX34">
        <v>67</v>
      </c>
      <c r="BY34">
        <v>3.0044165636540399</v>
      </c>
      <c r="BZ34">
        <v>0.7</v>
      </c>
      <c r="CB34" t="str">
        <f t="shared" si="8"/>
        <v>AllSexAllEth24Sharp object</v>
      </c>
      <c r="CC34" t="s">
        <v>17</v>
      </c>
      <c r="CD34" t="s">
        <v>27</v>
      </c>
      <c r="CE34" t="s">
        <v>48</v>
      </c>
      <c r="CF34">
        <v>24</v>
      </c>
      <c r="CG34">
        <v>20</v>
      </c>
      <c r="CH34">
        <v>813</v>
      </c>
      <c r="CI34">
        <v>2.5</v>
      </c>
      <c r="CL34" t="str">
        <f t="shared" si="9"/>
        <v>2004FemaleAllEth9</v>
      </c>
      <c r="CM34">
        <v>2004</v>
      </c>
      <c r="CN34" t="s">
        <v>8</v>
      </c>
      <c r="CO34" t="s">
        <v>27</v>
      </c>
      <c r="CP34">
        <v>9</v>
      </c>
      <c r="CQ34">
        <v>10</v>
      </c>
    </row>
    <row r="35" spans="1:95" x14ac:dyDescent="0.2">
      <c r="A35" t="str">
        <f t="shared" si="0"/>
        <v>2007AllSexMaori19</v>
      </c>
      <c r="B35">
        <v>2007</v>
      </c>
      <c r="C35" t="s">
        <v>17</v>
      </c>
      <c r="D35" t="s">
        <v>18</v>
      </c>
      <c r="E35">
        <v>19</v>
      </c>
      <c r="F35">
        <v>97</v>
      </c>
      <c r="G35">
        <v>16.111509144203101</v>
      </c>
      <c r="H35">
        <v>3.2</v>
      </c>
      <c r="J35" s="358" t="str">
        <f t="shared" si="1"/>
        <v>2007AllSexAllEth192</v>
      </c>
      <c r="K35" s="359">
        <v>2007</v>
      </c>
      <c r="L35" t="s">
        <v>17</v>
      </c>
      <c r="M35" t="s">
        <v>27</v>
      </c>
      <c r="N35">
        <v>19</v>
      </c>
      <c r="O35">
        <v>2</v>
      </c>
      <c r="P35">
        <v>74</v>
      </c>
      <c r="Q35">
        <v>7.8887909690839697</v>
      </c>
      <c r="R35">
        <v>1.8</v>
      </c>
      <c r="T35" s="358" t="str">
        <f t="shared" si="4"/>
        <v>1996AllSexMaori23Firearms and explosives</v>
      </c>
      <c r="U35" s="360">
        <v>1996</v>
      </c>
      <c r="V35" s="360" t="s">
        <v>17</v>
      </c>
      <c r="W35" s="360" t="s">
        <v>18</v>
      </c>
      <c r="X35" s="360">
        <v>23</v>
      </c>
      <c r="Y35" s="360" t="s">
        <v>42</v>
      </c>
      <c r="Z35" s="360">
        <v>4</v>
      </c>
      <c r="AA35" s="360">
        <v>45</v>
      </c>
      <c r="AB35" s="360">
        <v>8.9</v>
      </c>
      <c r="AD35" s="358" t="str">
        <f t="shared" si="5"/>
        <v>201115AllSexAllEth22Northland</v>
      </c>
      <c r="AE35" t="s">
        <v>17</v>
      </c>
      <c r="AF35" t="s">
        <v>27</v>
      </c>
      <c r="AG35">
        <v>22</v>
      </c>
      <c r="AH35">
        <v>1</v>
      </c>
      <c r="AI35" t="s">
        <v>54</v>
      </c>
      <c r="AJ35">
        <v>30</v>
      </c>
      <c r="AK35">
        <v>30.571690614491001</v>
      </c>
      <c r="AL35">
        <v>14.4</v>
      </c>
      <c r="AM35" t="s">
        <v>82</v>
      </c>
      <c r="AN35">
        <v>201115</v>
      </c>
      <c r="AQ35" t="str">
        <f t="shared" si="2"/>
        <v>2004AllSexUrban25</v>
      </c>
      <c r="AR35">
        <v>2004</v>
      </c>
      <c r="AS35" t="s">
        <v>17</v>
      </c>
      <c r="AT35" t="s">
        <v>97</v>
      </c>
      <c r="AU35">
        <v>25</v>
      </c>
      <c r="AV35">
        <v>48</v>
      </c>
      <c r="AW35">
        <v>11.196118678857999</v>
      </c>
      <c r="AX35">
        <v>3.2</v>
      </c>
      <c r="AZ35" t="str">
        <f t="shared" si="6"/>
        <v>2015FemaleAllEth18</v>
      </c>
      <c r="BA35">
        <v>2015</v>
      </c>
      <c r="BB35" t="s">
        <v>8</v>
      </c>
      <c r="BC35" t="s">
        <v>27</v>
      </c>
      <c r="BD35">
        <v>18</v>
      </c>
      <c r="BE35">
        <v>1</v>
      </c>
      <c r="BF35">
        <v>1.9880715705765399</v>
      </c>
      <c r="BG35" s="83">
        <v>3.9</v>
      </c>
      <c r="BH35">
        <v>6988</v>
      </c>
      <c r="BI35">
        <v>0</v>
      </c>
      <c r="BK35" t="str">
        <f t="shared" si="3"/>
        <v>FemaleOther23</v>
      </c>
      <c r="BL35" t="s">
        <v>8</v>
      </c>
      <c r="BM35" t="s">
        <v>45</v>
      </c>
      <c r="BN35">
        <v>23</v>
      </c>
      <c r="BO35">
        <v>129</v>
      </c>
      <c r="BP35">
        <v>6.9395132657672196</v>
      </c>
      <c r="BQ35">
        <v>1.2</v>
      </c>
      <c r="BS35" t="str">
        <f t="shared" si="7"/>
        <v>FemaleOther192</v>
      </c>
      <c r="BT35" t="s">
        <v>8</v>
      </c>
      <c r="BU35" t="s">
        <v>45</v>
      </c>
      <c r="BV35">
        <v>19</v>
      </c>
      <c r="BW35">
        <v>2</v>
      </c>
      <c r="BX35">
        <v>84</v>
      </c>
      <c r="BY35">
        <v>4.2083590419492198</v>
      </c>
      <c r="BZ35">
        <v>0.9</v>
      </c>
      <c r="CB35" t="str">
        <f t="shared" si="8"/>
        <v>AllSexAllEth25Sharp object</v>
      </c>
      <c r="CC35" t="s">
        <v>17</v>
      </c>
      <c r="CD35" t="s">
        <v>27</v>
      </c>
      <c r="CE35" t="s">
        <v>48</v>
      </c>
      <c r="CF35">
        <v>25</v>
      </c>
      <c r="CG35">
        <v>10</v>
      </c>
      <c r="CH35">
        <v>282</v>
      </c>
      <c r="CI35">
        <v>3.5</v>
      </c>
      <c r="CL35" t="str">
        <f t="shared" si="9"/>
        <v>2004FemaleNon-Maori9</v>
      </c>
      <c r="CM35">
        <v>2004</v>
      </c>
      <c r="CN35" t="s">
        <v>8</v>
      </c>
      <c r="CO35" t="s">
        <v>19</v>
      </c>
      <c r="CP35">
        <v>9</v>
      </c>
      <c r="CQ35">
        <v>10</v>
      </c>
    </row>
    <row r="36" spans="1:95" x14ac:dyDescent="0.2">
      <c r="A36" t="str">
        <f t="shared" si="0"/>
        <v>2008AllSexMaori19</v>
      </c>
      <c r="B36">
        <v>2008</v>
      </c>
      <c r="C36" t="s">
        <v>17</v>
      </c>
      <c r="D36" t="s">
        <v>18</v>
      </c>
      <c r="E36">
        <v>19</v>
      </c>
      <c r="F36">
        <v>87</v>
      </c>
      <c r="G36">
        <v>14.0105109663824</v>
      </c>
      <c r="H36">
        <v>2.9</v>
      </c>
      <c r="J36" s="358" t="str">
        <f t="shared" si="1"/>
        <v>2007AllSexAllEth193</v>
      </c>
      <c r="K36" s="359">
        <v>2007</v>
      </c>
      <c r="L36" t="s">
        <v>17</v>
      </c>
      <c r="M36" t="s">
        <v>27</v>
      </c>
      <c r="N36">
        <v>19</v>
      </c>
      <c r="O36">
        <v>3</v>
      </c>
      <c r="P36">
        <v>106</v>
      </c>
      <c r="Q36">
        <v>12.2118090894897</v>
      </c>
      <c r="R36">
        <v>2.2999999999999998</v>
      </c>
      <c r="T36" s="358" t="str">
        <f t="shared" si="4"/>
        <v>1996AllSexMaori21Hanging, strangulation and suffocation</v>
      </c>
      <c r="U36" s="360">
        <v>1996</v>
      </c>
      <c r="V36" s="360" t="s">
        <v>17</v>
      </c>
      <c r="W36" s="360" t="s">
        <v>18</v>
      </c>
      <c r="X36" s="360">
        <v>21</v>
      </c>
      <c r="Y36" s="360" t="s">
        <v>43</v>
      </c>
      <c r="Z36" s="360">
        <v>3</v>
      </c>
      <c r="AA36" s="360">
        <v>4</v>
      </c>
      <c r="AB36" s="360">
        <v>75</v>
      </c>
      <c r="AD36" s="358" t="str">
        <f t="shared" si="5"/>
        <v>201115AllSexAllEth22South Canterbury</v>
      </c>
      <c r="AE36" t="s">
        <v>17</v>
      </c>
      <c r="AF36" t="s">
        <v>27</v>
      </c>
      <c r="AG36">
        <v>22</v>
      </c>
      <c r="AH36">
        <v>19</v>
      </c>
      <c r="AI36" t="s">
        <v>72</v>
      </c>
      <c r="AJ36">
        <v>16</v>
      </c>
      <c r="AK36">
        <v>48.735912275357897</v>
      </c>
      <c r="AL36">
        <v>31.4</v>
      </c>
      <c r="AM36" t="s">
        <v>82</v>
      </c>
      <c r="AN36">
        <v>201115</v>
      </c>
      <c r="AQ36" t="str">
        <f t="shared" si="2"/>
        <v>2004FemaleRural22</v>
      </c>
      <c r="AR36">
        <v>2004</v>
      </c>
      <c r="AS36" t="s">
        <v>8</v>
      </c>
      <c r="AT36" t="s">
        <v>96</v>
      </c>
      <c r="AU36">
        <v>22</v>
      </c>
      <c r="AV36">
        <v>1</v>
      </c>
      <c r="AW36">
        <v>3.7050759540570599</v>
      </c>
      <c r="AX36">
        <v>7.3</v>
      </c>
      <c r="AZ36" t="str">
        <f t="shared" si="6"/>
        <v>2015MaleAllEth3</v>
      </c>
      <c r="BA36">
        <v>2015</v>
      </c>
      <c r="BB36" t="s">
        <v>20</v>
      </c>
      <c r="BC36" t="s">
        <v>27</v>
      </c>
      <c r="BD36">
        <v>3</v>
      </c>
      <c r="BE36">
        <v>6</v>
      </c>
      <c r="BF36">
        <v>3.9946737683089202</v>
      </c>
      <c r="BG36" s="83">
        <v>3.2</v>
      </c>
      <c r="BH36">
        <v>22</v>
      </c>
      <c r="BI36">
        <v>27.3</v>
      </c>
      <c r="BK36" t="str">
        <f t="shared" ref="BK36:BK63" si="10">BL36&amp;BM36&amp;BN36</f>
        <v>MaleMaori23</v>
      </c>
      <c r="BL36" t="s">
        <v>20</v>
      </c>
      <c r="BM36" t="s">
        <v>18</v>
      </c>
      <c r="BN36">
        <v>23</v>
      </c>
      <c r="BO36">
        <v>171</v>
      </c>
      <c r="BP36">
        <v>43.852900446222499</v>
      </c>
      <c r="BQ36">
        <v>6.6</v>
      </c>
      <c r="BS36" t="str">
        <f t="shared" si="7"/>
        <v>FemaleOther193</v>
      </c>
      <c r="BT36" t="s">
        <v>8</v>
      </c>
      <c r="BU36" t="s">
        <v>45</v>
      </c>
      <c r="BV36">
        <v>19</v>
      </c>
      <c r="BW36">
        <v>3</v>
      </c>
      <c r="BX36">
        <v>90</v>
      </c>
      <c r="BY36">
        <v>5.29159959023829</v>
      </c>
      <c r="BZ36">
        <v>1.1000000000000001</v>
      </c>
      <c r="CB36" t="str">
        <f t="shared" si="8"/>
        <v>AllSexAllEth22Submersion (drowning)</v>
      </c>
      <c r="CC36" t="s">
        <v>17</v>
      </c>
      <c r="CD36" t="s">
        <v>27</v>
      </c>
      <c r="CE36" t="s">
        <v>49</v>
      </c>
      <c r="CF36">
        <v>22</v>
      </c>
      <c r="CG36">
        <v>5</v>
      </c>
      <c r="CH36">
        <v>591</v>
      </c>
      <c r="CI36">
        <v>0.8</v>
      </c>
      <c r="CL36" t="str">
        <f t="shared" si="9"/>
        <v>2004MaleAllEth9</v>
      </c>
      <c r="CM36">
        <v>2004</v>
      </c>
      <c r="CN36" t="s">
        <v>20</v>
      </c>
      <c r="CO36" t="s">
        <v>27</v>
      </c>
      <c r="CP36">
        <v>9</v>
      </c>
      <c r="CQ36">
        <v>34</v>
      </c>
    </row>
    <row r="37" spans="1:95" x14ac:dyDescent="0.2">
      <c r="A37" t="str">
        <f t="shared" si="0"/>
        <v>2009AllSexMaori19</v>
      </c>
      <c r="B37">
        <v>2009</v>
      </c>
      <c r="C37" t="s">
        <v>17</v>
      </c>
      <c r="D37" t="s">
        <v>18</v>
      </c>
      <c r="E37">
        <v>19</v>
      </c>
      <c r="F37">
        <v>83</v>
      </c>
      <c r="G37">
        <v>13.081017831193</v>
      </c>
      <c r="H37">
        <v>2.8</v>
      </c>
      <c r="J37" s="358" t="str">
        <f t="shared" si="1"/>
        <v>2007AllSexAllEth194</v>
      </c>
      <c r="K37" s="359">
        <v>2007</v>
      </c>
      <c r="L37" t="s">
        <v>17</v>
      </c>
      <c r="M37" t="s">
        <v>27</v>
      </c>
      <c r="N37">
        <v>19</v>
      </c>
      <c r="O37">
        <v>4</v>
      </c>
      <c r="P37">
        <v>109</v>
      </c>
      <c r="Q37">
        <v>12.225496208264399</v>
      </c>
      <c r="R37">
        <v>2.2999999999999998</v>
      </c>
      <c r="T37" s="358" t="str">
        <f t="shared" si="4"/>
        <v>1996AllSexMaori22Hanging, strangulation and suffocation</v>
      </c>
      <c r="U37" s="360">
        <v>1996</v>
      </c>
      <c r="V37" s="360" t="s">
        <v>17</v>
      </c>
      <c r="W37" s="360" t="s">
        <v>18</v>
      </c>
      <c r="X37" s="360">
        <v>22</v>
      </c>
      <c r="Y37" s="360" t="s">
        <v>43</v>
      </c>
      <c r="Z37" s="360">
        <v>34</v>
      </c>
      <c r="AA37" s="360">
        <v>39</v>
      </c>
      <c r="AB37" s="360">
        <v>87.2</v>
      </c>
      <c r="AD37" s="358" t="str">
        <f t="shared" si="5"/>
        <v>201115AllSexAllEth22Southern</v>
      </c>
      <c r="AE37" t="s">
        <v>17</v>
      </c>
      <c r="AF37" t="s">
        <v>27</v>
      </c>
      <c r="AG37">
        <v>22</v>
      </c>
      <c r="AH37">
        <v>20</v>
      </c>
      <c r="AI37" t="s">
        <v>73</v>
      </c>
      <c r="AJ37">
        <v>44</v>
      </c>
      <c r="AK37">
        <v>18.478854311032698</v>
      </c>
      <c r="AL37">
        <v>7.2</v>
      </c>
      <c r="AM37" t="s">
        <v>82</v>
      </c>
      <c r="AN37">
        <v>201115</v>
      </c>
      <c r="AQ37" t="str">
        <f t="shared" si="2"/>
        <v>2004FemaleUrban22</v>
      </c>
      <c r="AR37">
        <v>2004</v>
      </c>
      <c r="AS37" t="s">
        <v>8</v>
      </c>
      <c r="AT37" t="s">
        <v>97</v>
      </c>
      <c r="AU37">
        <v>22</v>
      </c>
      <c r="AV37">
        <v>28</v>
      </c>
      <c r="AW37">
        <v>10.6853915432758</v>
      </c>
      <c r="AX37">
        <v>4</v>
      </c>
      <c r="AZ37" t="str">
        <f t="shared" si="6"/>
        <v>2015MaleAllEth4</v>
      </c>
      <c r="BA37">
        <v>2015</v>
      </c>
      <c r="BB37" t="s">
        <v>20</v>
      </c>
      <c r="BC37" t="s">
        <v>27</v>
      </c>
      <c r="BD37">
        <v>4</v>
      </c>
      <c r="BE37">
        <v>32</v>
      </c>
      <c r="BF37">
        <v>19.5658819932742</v>
      </c>
      <c r="BG37" s="83">
        <v>6.8</v>
      </c>
      <c r="BH37">
        <v>99</v>
      </c>
      <c r="BI37">
        <v>32.299999999999997</v>
      </c>
      <c r="BK37" t="str">
        <f t="shared" si="10"/>
        <v>MalePacific23</v>
      </c>
      <c r="BL37" t="s">
        <v>20</v>
      </c>
      <c r="BM37" t="s">
        <v>79</v>
      </c>
      <c r="BN37">
        <v>23</v>
      </c>
      <c r="BO37">
        <v>29</v>
      </c>
      <c r="BP37">
        <v>15.4716175842936</v>
      </c>
      <c r="BQ37">
        <v>5.6</v>
      </c>
      <c r="BS37" t="str">
        <f t="shared" si="7"/>
        <v>FemaleOther194</v>
      </c>
      <c r="BT37" t="s">
        <v>8</v>
      </c>
      <c r="BU37" t="s">
        <v>45</v>
      </c>
      <c r="BV37">
        <v>19</v>
      </c>
      <c r="BW37">
        <v>4</v>
      </c>
      <c r="BX37">
        <v>89</v>
      </c>
      <c r="BY37">
        <v>6.1975537896373698</v>
      </c>
      <c r="BZ37">
        <v>1.3</v>
      </c>
      <c r="CB37" t="str">
        <f t="shared" si="8"/>
        <v>AllSexAllEth23Submersion (drowning)</v>
      </c>
      <c r="CC37" t="s">
        <v>17</v>
      </c>
      <c r="CD37" t="s">
        <v>27</v>
      </c>
      <c r="CE37" t="s">
        <v>49</v>
      </c>
      <c r="CF37">
        <v>23</v>
      </c>
      <c r="CG37">
        <v>10</v>
      </c>
      <c r="CH37">
        <v>871</v>
      </c>
      <c r="CI37">
        <v>1.1000000000000001</v>
      </c>
      <c r="CL37" t="str">
        <f t="shared" si="9"/>
        <v>2004MaleMaori9</v>
      </c>
      <c r="CM37">
        <v>2004</v>
      </c>
      <c r="CN37" t="s">
        <v>20</v>
      </c>
      <c r="CO37" t="s">
        <v>18</v>
      </c>
      <c r="CP37">
        <v>9</v>
      </c>
      <c r="CQ37">
        <v>4</v>
      </c>
    </row>
    <row r="38" spans="1:95" x14ac:dyDescent="0.2">
      <c r="A38" t="str">
        <f t="shared" si="0"/>
        <v>2010AllSexMaori19</v>
      </c>
      <c r="B38">
        <v>2010</v>
      </c>
      <c r="C38" t="s">
        <v>17</v>
      </c>
      <c r="D38" t="s">
        <v>18</v>
      </c>
      <c r="E38">
        <v>19</v>
      </c>
      <c r="F38">
        <v>102</v>
      </c>
      <c r="G38">
        <v>15.806302990390501</v>
      </c>
      <c r="H38">
        <v>3.1</v>
      </c>
      <c r="J38" s="358" t="str">
        <f t="shared" si="1"/>
        <v>2007AllSexAllEth195</v>
      </c>
      <c r="K38" s="359">
        <v>2007</v>
      </c>
      <c r="L38" t="s">
        <v>17</v>
      </c>
      <c r="M38" t="s">
        <v>27</v>
      </c>
      <c r="N38">
        <v>19</v>
      </c>
      <c r="O38">
        <v>5</v>
      </c>
      <c r="P38">
        <v>121</v>
      </c>
      <c r="Q38">
        <v>14.712819146531</v>
      </c>
      <c r="R38">
        <v>2.6</v>
      </c>
      <c r="T38" s="358" t="str">
        <f t="shared" si="4"/>
        <v>1996AllSexMaori23Hanging, strangulation and suffocation</v>
      </c>
      <c r="U38" s="360">
        <v>1996</v>
      </c>
      <c r="V38" s="360" t="s">
        <v>17</v>
      </c>
      <c r="W38" s="360" t="s">
        <v>18</v>
      </c>
      <c r="X38" s="360">
        <v>23</v>
      </c>
      <c r="Y38" s="360" t="s">
        <v>43</v>
      </c>
      <c r="Z38" s="360">
        <v>26</v>
      </c>
      <c r="AA38" s="360">
        <v>45</v>
      </c>
      <c r="AB38" s="360">
        <v>57.8</v>
      </c>
      <c r="AD38" s="358" t="str">
        <f t="shared" si="5"/>
        <v>201115AllSexAllEth22Tairawhiti</v>
      </c>
      <c r="AE38" t="s">
        <v>17</v>
      </c>
      <c r="AF38" t="s">
        <v>27</v>
      </c>
      <c r="AG38">
        <v>22</v>
      </c>
      <c r="AH38">
        <v>8</v>
      </c>
      <c r="AI38" t="s">
        <v>61</v>
      </c>
      <c r="AJ38">
        <v>6</v>
      </c>
      <c r="AK38">
        <v>18.903591682419702</v>
      </c>
      <c r="AL38">
        <v>19.899999999999999</v>
      </c>
      <c r="AM38" t="s">
        <v>82</v>
      </c>
      <c r="AN38">
        <v>201115</v>
      </c>
      <c r="AQ38" t="str">
        <f t="shared" si="2"/>
        <v>2004FemaleRural23</v>
      </c>
      <c r="AR38">
        <v>2004</v>
      </c>
      <c r="AS38" t="s">
        <v>8</v>
      </c>
      <c r="AT38" t="s">
        <v>96</v>
      </c>
      <c r="AU38">
        <v>23</v>
      </c>
      <c r="AV38">
        <v>2</v>
      </c>
      <c r="AW38">
        <v>2.5056376847907802</v>
      </c>
      <c r="AX38">
        <v>3.5</v>
      </c>
      <c r="AZ38" t="str">
        <f t="shared" si="6"/>
        <v>2015MaleAllEth5</v>
      </c>
      <c r="BA38">
        <v>2015</v>
      </c>
      <c r="BB38" t="s">
        <v>20</v>
      </c>
      <c r="BC38" t="s">
        <v>27</v>
      </c>
      <c r="BD38">
        <v>5</v>
      </c>
      <c r="BE38">
        <v>37</v>
      </c>
      <c r="BF38">
        <v>21.050236103999499</v>
      </c>
      <c r="BG38" s="83">
        <v>6.8</v>
      </c>
      <c r="BH38">
        <v>138</v>
      </c>
      <c r="BI38">
        <v>26.8</v>
      </c>
      <c r="BK38" t="str">
        <f t="shared" si="10"/>
        <v>MaleAsian23</v>
      </c>
      <c r="BL38" t="s">
        <v>20</v>
      </c>
      <c r="BM38" t="s">
        <v>78</v>
      </c>
      <c r="BN38">
        <v>23</v>
      </c>
      <c r="BO38">
        <v>33</v>
      </c>
      <c r="BP38">
        <v>7.3837066207235997</v>
      </c>
      <c r="BQ38">
        <v>2.5</v>
      </c>
      <c r="BS38" t="str">
        <f t="shared" si="7"/>
        <v>FemaleOther195</v>
      </c>
      <c r="BT38" t="s">
        <v>8</v>
      </c>
      <c r="BU38" t="s">
        <v>45</v>
      </c>
      <c r="BV38">
        <v>19</v>
      </c>
      <c r="BW38">
        <v>5</v>
      </c>
      <c r="BX38">
        <v>88</v>
      </c>
      <c r="BY38">
        <v>9.4877808606256604</v>
      </c>
      <c r="BZ38">
        <v>2</v>
      </c>
      <c r="CB38" t="str">
        <f t="shared" si="8"/>
        <v>AllSexAllEth24Submersion (drowning)</v>
      </c>
      <c r="CC38" t="s">
        <v>17</v>
      </c>
      <c r="CD38" t="s">
        <v>27</v>
      </c>
      <c r="CE38" t="s">
        <v>49</v>
      </c>
      <c r="CF38">
        <v>24</v>
      </c>
      <c r="CG38">
        <v>22</v>
      </c>
      <c r="CH38">
        <v>813</v>
      </c>
      <c r="CI38">
        <v>2.7</v>
      </c>
      <c r="CL38" t="str">
        <f t="shared" si="9"/>
        <v>2004MaleNon-Maori9</v>
      </c>
      <c r="CM38">
        <v>2004</v>
      </c>
      <c r="CN38" t="s">
        <v>20</v>
      </c>
      <c r="CO38" t="s">
        <v>19</v>
      </c>
      <c r="CP38">
        <v>9</v>
      </c>
      <c r="CQ38">
        <v>30</v>
      </c>
    </row>
    <row r="39" spans="1:95" x14ac:dyDescent="0.2">
      <c r="A39" t="str">
        <f t="shared" si="0"/>
        <v>2011AllSexMaori19</v>
      </c>
      <c r="B39">
        <v>2011</v>
      </c>
      <c r="C39" t="s">
        <v>17</v>
      </c>
      <c r="D39" t="s">
        <v>18</v>
      </c>
      <c r="E39">
        <v>19</v>
      </c>
      <c r="F39">
        <v>113</v>
      </c>
      <c r="G39">
        <v>17.366835060391999</v>
      </c>
      <c r="H39">
        <v>3.2</v>
      </c>
      <c r="J39" s="358" t="str">
        <f t="shared" si="1"/>
        <v>2008AllSexAllEth191</v>
      </c>
      <c r="K39" s="359">
        <v>2008</v>
      </c>
      <c r="L39" t="s">
        <v>17</v>
      </c>
      <c r="M39" t="s">
        <v>27</v>
      </c>
      <c r="N39">
        <v>19</v>
      </c>
      <c r="O39">
        <v>1</v>
      </c>
      <c r="P39">
        <v>83</v>
      </c>
      <c r="Q39">
        <v>9.8455520002290502</v>
      </c>
      <c r="R39">
        <v>2.1</v>
      </c>
      <c r="T39" s="358" t="str">
        <f t="shared" si="4"/>
        <v>1996AllSexMaori24Hanging, strangulation and suffocation</v>
      </c>
      <c r="U39" s="360">
        <v>1996</v>
      </c>
      <c r="V39" s="360" t="s">
        <v>17</v>
      </c>
      <c r="W39" s="360" t="s">
        <v>18</v>
      </c>
      <c r="X39" s="360">
        <v>24</v>
      </c>
      <c r="Y39" s="360" t="s">
        <v>43</v>
      </c>
      <c r="Z39" s="360">
        <v>2</v>
      </c>
      <c r="AA39" s="360">
        <v>8</v>
      </c>
      <c r="AB39" s="360">
        <v>25</v>
      </c>
      <c r="AD39" s="358" t="str">
        <f t="shared" si="5"/>
        <v>201115AllSexAllEth22Taranaki</v>
      </c>
      <c r="AE39" t="s">
        <v>17</v>
      </c>
      <c r="AF39" t="s">
        <v>27</v>
      </c>
      <c r="AG39">
        <v>22</v>
      </c>
      <c r="AH39">
        <v>10</v>
      </c>
      <c r="AI39" t="s">
        <v>63</v>
      </c>
      <c r="AJ39">
        <v>11</v>
      </c>
      <c r="AK39">
        <v>15.777395295467599</v>
      </c>
      <c r="AL39">
        <v>12.3</v>
      </c>
      <c r="AM39" t="s">
        <v>82</v>
      </c>
      <c r="AN39">
        <v>201115</v>
      </c>
      <c r="AQ39" t="str">
        <f t="shared" si="2"/>
        <v>2004FemaleUrban23</v>
      </c>
      <c r="AR39">
        <v>2004</v>
      </c>
      <c r="AS39" t="s">
        <v>8</v>
      </c>
      <c r="AT39" t="s">
        <v>97</v>
      </c>
      <c r="AU39">
        <v>23</v>
      </c>
      <c r="AV39">
        <v>37</v>
      </c>
      <c r="AW39">
        <v>6.9648369851667802</v>
      </c>
      <c r="AX39">
        <v>2.2000000000000002</v>
      </c>
      <c r="AZ39" t="str">
        <f t="shared" si="6"/>
        <v>2015MaleAllEth6</v>
      </c>
      <c r="BA39">
        <v>2015</v>
      </c>
      <c r="BB39" t="s">
        <v>20</v>
      </c>
      <c r="BC39" t="s">
        <v>27</v>
      </c>
      <c r="BD39">
        <v>6</v>
      </c>
      <c r="BE39">
        <v>42</v>
      </c>
      <c r="BF39">
        <v>26.883441080458301</v>
      </c>
      <c r="BG39" s="83">
        <v>8.1</v>
      </c>
      <c r="BH39">
        <v>123</v>
      </c>
      <c r="BI39">
        <v>34.1</v>
      </c>
      <c r="BK39" t="str">
        <f t="shared" si="10"/>
        <v>MaleOther23</v>
      </c>
      <c r="BL39" t="s">
        <v>20</v>
      </c>
      <c r="BM39" t="s">
        <v>45</v>
      </c>
      <c r="BN39">
        <v>23</v>
      </c>
      <c r="BO39">
        <v>431</v>
      </c>
      <c r="BP39">
        <v>24.524447630915599</v>
      </c>
      <c r="BQ39">
        <v>2.2999999999999998</v>
      </c>
      <c r="BS39" t="str">
        <f t="shared" si="7"/>
        <v>FemalePacific191</v>
      </c>
      <c r="BT39" t="s">
        <v>8</v>
      </c>
      <c r="BU39" t="s">
        <v>79</v>
      </c>
      <c r="BV39">
        <v>19</v>
      </c>
      <c r="BW39">
        <v>1</v>
      </c>
      <c r="BX39">
        <v>1</v>
      </c>
      <c r="BY39">
        <v>3.1387848807765302</v>
      </c>
      <c r="BZ39">
        <v>6.2</v>
      </c>
      <c r="CB39" t="str">
        <f t="shared" si="8"/>
        <v>AllSexAllEth25Submersion (drowning)</v>
      </c>
      <c r="CC39" t="s">
        <v>17</v>
      </c>
      <c r="CD39" t="s">
        <v>27</v>
      </c>
      <c r="CE39" t="s">
        <v>49</v>
      </c>
      <c r="CF39">
        <v>25</v>
      </c>
      <c r="CG39">
        <v>18</v>
      </c>
      <c r="CH39">
        <v>282</v>
      </c>
      <c r="CI39">
        <v>6.4</v>
      </c>
      <c r="CL39" t="str">
        <f t="shared" si="9"/>
        <v>2005AllSexAllEth9</v>
      </c>
      <c r="CM39">
        <v>2005</v>
      </c>
      <c r="CN39" t="s">
        <v>17</v>
      </c>
      <c r="CO39" t="s">
        <v>27</v>
      </c>
      <c r="CP39">
        <v>9</v>
      </c>
      <c r="CQ39">
        <v>48</v>
      </c>
    </row>
    <row r="40" spans="1:95" x14ac:dyDescent="0.2">
      <c r="A40" t="str">
        <f t="shared" si="0"/>
        <v>2012AllSexMaori19</v>
      </c>
      <c r="B40">
        <v>2012</v>
      </c>
      <c r="C40" t="s">
        <v>17</v>
      </c>
      <c r="D40" t="s">
        <v>18</v>
      </c>
      <c r="E40">
        <v>19</v>
      </c>
      <c r="F40">
        <v>119</v>
      </c>
      <c r="G40">
        <v>17.627168762910401</v>
      </c>
      <c r="H40">
        <v>3.2</v>
      </c>
      <c r="J40" s="358" t="str">
        <f t="shared" si="1"/>
        <v>2008AllSexAllEth192</v>
      </c>
      <c r="K40" s="359">
        <v>2008</v>
      </c>
      <c r="L40" t="s">
        <v>17</v>
      </c>
      <c r="M40" t="s">
        <v>27</v>
      </c>
      <c r="N40">
        <v>19</v>
      </c>
      <c r="O40">
        <v>2</v>
      </c>
      <c r="P40">
        <v>85</v>
      </c>
      <c r="Q40">
        <v>9.2358257009264193</v>
      </c>
      <c r="R40">
        <v>2</v>
      </c>
      <c r="T40" s="358" t="str">
        <f t="shared" si="4"/>
        <v>1996AllSexMaori25Hanging, strangulation and suffocation</v>
      </c>
      <c r="U40" s="360">
        <v>1996</v>
      </c>
      <c r="V40" s="360" t="s">
        <v>17</v>
      </c>
      <c r="W40" s="360" t="s">
        <v>18</v>
      </c>
      <c r="X40" s="360">
        <v>25</v>
      </c>
      <c r="Y40" s="360" t="s">
        <v>43</v>
      </c>
      <c r="Z40" s="360">
        <v>1</v>
      </c>
      <c r="AA40" s="360">
        <v>1</v>
      </c>
      <c r="AB40" s="360">
        <v>100</v>
      </c>
      <c r="AD40" s="358" t="str">
        <f t="shared" si="5"/>
        <v>201115AllSexAllEth22Waikato</v>
      </c>
      <c r="AE40" t="s">
        <v>17</v>
      </c>
      <c r="AF40" t="s">
        <v>27</v>
      </c>
      <c r="AG40">
        <v>22</v>
      </c>
      <c r="AH40">
        <v>5</v>
      </c>
      <c r="AI40" t="s">
        <v>58</v>
      </c>
      <c r="AJ40">
        <v>48</v>
      </c>
      <c r="AK40">
        <v>17.483154252413001</v>
      </c>
      <c r="AL40">
        <v>6.5</v>
      </c>
      <c r="AM40" t="s">
        <v>82</v>
      </c>
      <c r="AN40">
        <v>201115</v>
      </c>
      <c r="AQ40" t="str">
        <f t="shared" si="2"/>
        <v>2004FemaleRural24</v>
      </c>
      <c r="AR40">
        <v>2004</v>
      </c>
      <c r="AS40" t="s">
        <v>8</v>
      </c>
      <c r="AT40" t="s">
        <v>96</v>
      </c>
      <c r="AU40">
        <v>24</v>
      </c>
      <c r="AV40">
        <v>4</v>
      </c>
      <c r="AW40">
        <v>5.2417769623902499</v>
      </c>
      <c r="AX40">
        <v>5.0999999999999996</v>
      </c>
      <c r="AZ40" t="str">
        <f t="shared" si="6"/>
        <v>2015MaleAllEth7</v>
      </c>
      <c r="BA40">
        <v>2015</v>
      </c>
      <c r="BB40" t="s">
        <v>20</v>
      </c>
      <c r="BC40" t="s">
        <v>27</v>
      </c>
      <c r="BD40">
        <v>7</v>
      </c>
      <c r="BE40">
        <v>33</v>
      </c>
      <c r="BF40">
        <v>23.778642455685301</v>
      </c>
      <c r="BG40" s="83">
        <v>8.1</v>
      </c>
      <c r="BH40">
        <v>113</v>
      </c>
      <c r="BI40">
        <v>29.2</v>
      </c>
      <c r="BK40" t="str">
        <f t="shared" si="10"/>
        <v>AllSexMaori24</v>
      </c>
      <c r="BL40" t="s">
        <v>17</v>
      </c>
      <c r="BM40" t="s">
        <v>18</v>
      </c>
      <c r="BN40">
        <v>24</v>
      </c>
      <c r="BO40">
        <v>65</v>
      </c>
      <c r="BP40">
        <v>10.2201257861635</v>
      </c>
      <c r="BQ40">
        <v>2.5</v>
      </c>
      <c r="BS40" t="str">
        <f t="shared" si="7"/>
        <v>FemalePacific192</v>
      </c>
      <c r="BT40" t="s">
        <v>8</v>
      </c>
      <c r="BU40" t="s">
        <v>79</v>
      </c>
      <c r="BV40">
        <v>19</v>
      </c>
      <c r="BW40">
        <v>2</v>
      </c>
      <c r="BX40">
        <v>2</v>
      </c>
      <c r="BY40">
        <v>3.4308947871686399</v>
      </c>
      <c r="BZ40">
        <v>4.8</v>
      </c>
      <c r="CB40" t="str">
        <f t="shared" si="8"/>
        <v>AllSexAsian22Firearms and explosives</v>
      </c>
      <c r="CC40" t="s">
        <v>17</v>
      </c>
      <c r="CD40" t="s">
        <v>78</v>
      </c>
      <c r="CE40" t="s">
        <v>42</v>
      </c>
      <c r="CF40">
        <v>22</v>
      </c>
      <c r="CG40">
        <v>1</v>
      </c>
      <c r="CH40">
        <v>27</v>
      </c>
      <c r="CI40">
        <v>3.7</v>
      </c>
      <c r="CL40" t="str">
        <f t="shared" si="9"/>
        <v>2005AllSexMaori9</v>
      </c>
      <c r="CM40">
        <v>2005</v>
      </c>
      <c r="CN40" t="s">
        <v>17</v>
      </c>
      <c r="CO40" t="s">
        <v>18</v>
      </c>
      <c r="CP40">
        <v>9</v>
      </c>
      <c r="CQ40">
        <v>10</v>
      </c>
    </row>
    <row r="41" spans="1:95" x14ac:dyDescent="0.2">
      <c r="A41" t="str">
        <f t="shared" si="0"/>
        <v>2013AllSexMaori19</v>
      </c>
      <c r="B41">
        <v>2013</v>
      </c>
      <c r="C41" t="s">
        <v>17</v>
      </c>
      <c r="D41" t="s">
        <v>18</v>
      </c>
      <c r="E41">
        <v>19</v>
      </c>
      <c r="F41">
        <v>105</v>
      </c>
      <c r="G41">
        <v>15.956035439304101</v>
      </c>
      <c r="H41">
        <v>3.1</v>
      </c>
      <c r="J41" s="358" t="str">
        <f t="shared" si="1"/>
        <v>2008AllSexAllEth193</v>
      </c>
      <c r="K41" s="359">
        <v>2008</v>
      </c>
      <c r="L41" t="s">
        <v>17</v>
      </c>
      <c r="M41" t="s">
        <v>27</v>
      </c>
      <c r="N41">
        <v>19</v>
      </c>
      <c r="O41">
        <v>3</v>
      </c>
      <c r="P41">
        <v>105</v>
      </c>
      <c r="Q41">
        <v>11.7800727004485</v>
      </c>
      <c r="R41">
        <v>2.2999999999999998</v>
      </c>
      <c r="T41" s="358" t="str">
        <f t="shared" si="4"/>
        <v>1996AllSexMaori23Jumping from a high place</v>
      </c>
      <c r="U41" s="360">
        <v>1996</v>
      </c>
      <c r="V41" s="360" t="s">
        <v>17</v>
      </c>
      <c r="W41" s="360" t="s">
        <v>18</v>
      </c>
      <c r="X41" s="360">
        <v>23</v>
      </c>
      <c r="Y41" s="360" t="s">
        <v>44</v>
      </c>
      <c r="Z41" s="360">
        <v>1</v>
      </c>
      <c r="AA41" s="360">
        <v>45</v>
      </c>
      <c r="AB41" s="360">
        <v>2.2000000000000002</v>
      </c>
      <c r="AD41" s="358" t="str">
        <f t="shared" si="5"/>
        <v>201115AllSexAllEth22Wairarapa</v>
      </c>
      <c r="AE41" t="s">
        <v>17</v>
      </c>
      <c r="AF41" t="s">
        <v>27</v>
      </c>
      <c r="AG41">
        <v>22</v>
      </c>
      <c r="AH41">
        <v>15</v>
      </c>
      <c r="AI41" t="s">
        <v>68</v>
      </c>
      <c r="AJ41">
        <v>10</v>
      </c>
      <c r="AK41">
        <v>41.390728476821202</v>
      </c>
      <c r="AL41">
        <v>33.700000000000003</v>
      </c>
      <c r="AM41" t="s">
        <v>82</v>
      </c>
      <c r="AN41">
        <v>201115</v>
      </c>
      <c r="AQ41" t="str">
        <f t="shared" si="2"/>
        <v>2004FemaleUrban24</v>
      </c>
      <c r="AR41">
        <v>2004</v>
      </c>
      <c r="AS41" t="s">
        <v>8</v>
      </c>
      <c r="AT41" t="s">
        <v>97</v>
      </c>
      <c r="AU41">
        <v>24</v>
      </c>
      <c r="AV41">
        <v>24</v>
      </c>
      <c r="AW41">
        <v>5.9784774810681496</v>
      </c>
      <c r="AX41">
        <v>2.4</v>
      </c>
      <c r="AZ41" t="str">
        <f t="shared" si="6"/>
        <v>2015MaleAllEth8</v>
      </c>
      <c r="BA41">
        <v>2015</v>
      </c>
      <c r="BB41" t="s">
        <v>20</v>
      </c>
      <c r="BC41" t="s">
        <v>27</v>
      </c>
      <c r="BD41">
        <v>8</v>
      </c>
      <c r="BE41">
        <v>33</v>
      </c>
      <c r="BF41">
        <v>25.1831501831502</v>
      </c>
      <c r="BG41" s="83">
        <v>8.6</v>
      </c>
      <c r="BH41">
        <v>130</v>
      </c>
      <c r="BI41">
        <v>25.4</v>
      </c>
      <c r="BK41" t="str">
        <f t="shared" si="10"/>
        <v>AllSexPacific24</v>
      </c>
      <c r="BL41" t="s">
        <v>17</v>
      </c>
      <c r="BM41" t="s">
        <v>79</v>
      </c>
      <c r="BN41">
        <v>24</v>
      </c>
      <c r="BO41">
        <v>22</v>
      </c>
      <c r="BP41">
        <v>8.4869994599182199</v>
      </c>
      <c r="BQ41">
        <v>3.5</v>
      </c>
      <c r="BS41" t="str">
        <f t="shared" si="7"/>
        <v>FemalePacific193</v>
      </c>
      <c r="BT41" t="s">
        <v>8</v>
      </c>
      <c r="BU41" t="s">
        <v>79</v>
      </c>
      <c r="BV41">
        <v>19</v>
      </c>
      <c r="BW41">
        <v>3</v>
      </c>
      <c r="BX41">
        <v>2</v>
      </c>
      <c r="BY41">
        <v>2.4752089091240399</v>
      </c>
      <c r="BZ41">
        <v>3.4</v>
      </c>
      <c r="CB41" t="str">
        <f t="shared" si="8"/>
        <v>AllSexAsian22Hanging, strangulation and suffocation</v>
      </c>
      <c r="CC41" t="s">
        <v>17</v>
      </c>
      <c r="CD41" t="s">
        <v>78</v>
      </c>
      <c r="CE41" t="s">
        <v>43</v>
      </c>
      <c r="CF41">
        <v>22</v>
      </c>
      <c r="CG41">
        <v>20</v>
      </c>
      <c r="CH41">
        <v>27</v>
      </c>
      <c r="CI41">
        <v>74.099999999999994</v>
      </c>
      <c r="CL41" t="str">
        <f t="shared" si="9"/>
        <v>2005AllSexNon-Maori9</v>
      </c>
      <c r="CM41">
        <v>2005</v>
      </c>
      <c r="CN41" t="s">
        <v>17</v>
      </c>
      <c r="CO41" t="s">
        <v>19</v>
      </c>
      <c r="CP41">
        <v>9</v>
      </c>
      <c r="CQ41">
        <v>38</v>
      </c>
    </row>
    <row r="42" spans="1:95" x14ac:dyDescent="0.2">
      <c r="A42" t="str">
        <f t="shared" si="0"/>
        <v>2014AllSexMaori19</v>
      </c>
      <c r="B42">
        <v>2014</v>
      </c>
      <c r="C42" t="s">
        <v>17</v>
      </c>
      <c r="D42" t="s">
        <v>18</v>
      </c>
      <c r="E42">
        <v>19</v>
      </c>
      <c r="F42">
        <v>92</v>
      </c>
      <c r="G42">
        <v>14.4433248002785</v>
      </c>
      <c r="H42">
        <v>3</v>
      </c>
      <c r="J42" s="358" t="str">
        <f t="shared" si="1"/>
        <v>2008AllSexAllEth194</v>
      </c>
      <c r="K42" s="359">
        <v>2008</v>
      </c>
      <c r="L42" t="s">
        <v>17</v>
      </c>
      <c r="M42" t="s">
        <v>27</v>
      </c>
      <c r="N42">
        <v>19</v>
      </c>
      <c r="O42">
        <v>4</v>
      </c>
      <c r="P42">
        <v>101</v>
      </c>
      <c r="Q42">
        <v>11.6112566860872</v>
      </c>
      <c r="R42">
        <v>2.2999999999999998</v>
      </c>
      <c r="T42" s="358" t="str">
        <f t="shared" si="4"/>
        <v>1996AllSexMaori22Other</v>
      </c>
      <c r="U42" s="360">
        <v>1996</v>
      </c>
      <c r="V42" s="360" t="s">
        <v>17</v>
      </c>
      <c r="W42" s="360" t="s">
        <v>18</v>
      </c>
      <c r="X42" s="360">
        <v>22</v>
      </c>
      <c r="Y42" s="360" t="s">
        <v>45</v>
      </c>
      <c r="Z42" s="360">
        <v>1</v>
      </c>
      <c r="AA42" s="360">
        <v>39</v>
      </c>
      <c r="AB42" s="360">
        <v>2.6</v>
      </c>
      <c r="AD42" s="358" t="str">
        <f t="shared" si="5"/>
        <v>201115AllSexAllEth22Waitemata</v>
      </c>
      <c r="AE42" t="s">
        <v>17</v>
      </c>
      <c r="AF42" t="s">
        <v>27</v>
      </c>
      <c r="AG42">
        <v>22</v>
      </c>
      <c r="AH42">
        <v>2</v>
      </c>
      <c r="AI42" t="s">
        <v>55</v>
      </c>
      <c r="AJ42">
        <v>52</v>
      </c>
      <c r="AK42">
        <v>13.3439400549154</v>
      </c>
      <c r="AL42">
        <v>4.8</v>
      </c>
      <c r="AM42" t="s">
        <v>83</v>
      </c>
      <c r="AN42">
        <v>201115</v>
      </c>
      <c r="AQ42" t="str">
        <f t="shared" si="2"/>
        <v>2004FemaleRural25</v>
      </c>
      <c r="AR42">
        <v>2004</v>
      </c>
      <c r="AS42" t="s">
        <v>8</v>
      </c>
      <c r="AT42" t="s">
        <v>96</v>
      </c>
      <c r="AU42">
        <v>25</v>
      </c>
      <c r="AV42">
        <v>0</v>
      </c>
      <c r="AW42">
        <v>0</v>
      </c>
      <c r="AZ42" t="str">
        <f t="shared" si="6"/>
        <v>2015MaleAllEth9</v>
      </c>
      <c r="BA42">
        <v>2015</v>
      </c>
      <c r="BB42" t="s">
        <v>20</v>
      </c>
      <c r="BC42" t="s">
        <v>27</v>
      </c>
      <c r="BD42">
        <v>9</v>
      </c>
      <c r="BE42">
        <v>28</v>
      </c>
      <c r="BF42">
        <v>19.0852702610592</v>
      </c>
      <c r="BG42" s="83">
        <v>7.1</v>
      </c>
      <c r="BH42">
        <v>212</v>
      </c>
      <c r="BI42">
        <v>13.2</v>
      </c>
      <c r="BK42" t="str">
        <f t="shared" si="10"/>
        <v>AllSexAsian24</v>
      </c>
      <c r="BL42" t="s">
        <v>17</v>
      </c>
      <c r="BM42" t="s">
        <v>78</v>
      </c>
      <c r="BN42">
        <v>24</v>
      </c>
      <c r="BO42">
        <v>39</v>
      </c>
      <c r="BP42">
        <v>6.9128099686264797</v>
      </c>
      <c r="BQ42">
        <v>2.2000000000000002</v>
      </c>
      <c r="BS42" t="str">
        <f t="shared" si="7"/>
        <v>FemalePacific194</v>
      </c>
      <c r="BT42" t="s">
        <v>8</v>
      </c>
      <c r="BU42" t="s">
        <v>79</v>
      </c>
      <c r="BV42">
        <v>19</v>
      </c>
      <c r="BW42">
        <v>4</v>
      </c>
      <c r="BX42">
        <v>7</v>
      </c>
      <c r="BY42">
        <v>4.6659586985857899</v>
      </c>
      <c r="BZ42">
        <v>3.5</v>
      </c>
      <c r="CB42" t="str">
        <f t="shared" si="8"/>
        <v>AllSexAsian23Hanging, strangulation and suffocation</v>
      </c>
      <c r="CC42" t="s">
        <v>17</v>
      </c>
      <c r="CD42" t="s">
        <v>78</v>
      </c>
      <c r="CE42" t="s">
        <v>43</v>
      </c>
      <c r="CF42">
        <v>23</v>
      </c>
      <c r="CG42">
        <v>32</v>
      </c>
      <c r="CH42">
        <v>45</v>
      </c>
      <c r="CI42">
        <v>71.099999999999994</v>
      </c>
      <c r="CL42" t="str">
        <f t="shared" si="9"/>
        <v>2005FemaleAllEth9</v>
      </c>
      <c r="CM42">
        <v>2005</v>
      </c>
      <c r="CN42" t="s">
        <v>8</v>
      </c>
      <c r="CO42" t="s">
        <v>27</v>
      </c>
      <c r="CP42">
        <v>9</v>
      </c>
      <c r="CQ42">
        <v>12</v>
      </c>
    </row>
    <row r="43" spans="1:95" x14ac:dyDescent="0.2">
      <c r="A43" t="str">
        <f t="shared" si="0"/>
        <v>2015AllSexMaori19</v>
      </c>
      <c r="B43">
        <v>2015</v>
      </c>
      <c r="C43" t="s">
        <v>17</v>
      </c>
      <c r="D43" t="s">
        <v>18</v>
      </c>
      <c r="E43">
        <v>19</v>
      </c>
      <c r="F43">
        <v>118</v>
      </c>
      <c r="G43">
        <v>17.835459808531901</v>
      </c>
      <c r="H43">
        <v>3.2</v>
      </c>
      <c r="J43" s="358" t="str">
        <f t="shared" si="1"/>
        <v>2008AllSexAllEth195</v>
      </c>
      <c r="K43" s="359">
        <v>2008</v>
      </c>
      <c r="L43" t="s">
        <v>17</v>
      </c>
      <c r="M43" t="s">
        <v>27</v>
      </c>
      <c r="N43">
        <v>19</v>
      </c>
      <c r="O43">
        <v>5</v>
      </c>
      <c r="P43">
        <v>119</v>
      </c>
      <c r="Q43">
        <v>14.0640790028423</v>
      </c>
      <c r="R43">
        <v>2.5</v>
      </c>
      <c r="T43" s="358" t="str">
        <f t="shared" si="4"/>
        <v>1996AllSexMaori23Other</v>
      </c>
      <c r="U43" s="360">
        <v>1996</v>
      </c>
      <c r="V43" s="360" t="s">
        <v>17</v>
      </c>
      <c r="W43" s="360" t="s">
        <v>18</v>
      </c>
      <c r="X43" s="360">
        <v>23</v>
      </c>
      <c r="Y43" s="360" t="s">
        <v>45</v>
      </c>
      <c r="Z43" s="360">
        <v>1</v>
      </c>
      <c r="AA43" s="360">
        <v>45</v>
      </c>
      <c r="AB43" s="360">
        <v>2.2000000000000002</v>
      </c>
      <c r="AD43" s="358" t="str">
        <f t="shared" si="5"/>
        <v>201115AllSexAllEth22West Coast</v>
      </c>
      <c r="AE43" t="s">
        <v>17</v>
      </c>
      <c r="AF43" t="s">
        <v>27</v>
      </c>
      <c r="AG43">
        <v>22</v>
      </c>
      <c r="AH43">
        <v>17</v>
      </c>
      <c r="AI43" t="s">
        <v>70</v>
      </c>
      <c r="AJ43">
        <v>9</v>
      </c>
      <c r="AK43">
        <v>48.754062838569901</v>
      </c>
      <c r="AL43">
        <v>41.9</v>
      </c>
      <c r="AM43" t="s">
        <v>82</v>
      </c>
      <c r="AN43">
        <v>201115</v>
      </c>
      <c r="AQ43" t="str">
        <f t="shared" si="2"/>
        <v>2004FemaleUrban25</v>
      </c>
      <c r="AR43">
        <v>2004</v>
      </c>
      <c r="AS43" t="s">
        <v>8</v>
      </c>
      <c r="AT43" t="s">
        <v>97</v>
      </c>
      <c r="AU43">
        <v>25</v>
      </c>
      <c r="AV43">
        <v>9</v>
      </c>
      <c r="AW43">
        <v>3.68867576540022</v>
      </c>
      <c r="AX43">
        <v>2.4</v>
      </c>
      <c r="AZ43" t="str">
        <f t="shared" si="6"/>
        <v>2015MaleAllEth10</v>
      </c>
      <c r="BA43">
        <v>2015</v>
      </c>
      <c r="BB43" t="s">
        <v>20</v>
      </c>
      <c r="BC43" t="s">
        <v>27</v>
      </c>
      <c r="BD43">
        <v>10</v>
      </c>
      <c r="BE43">
        <v>38</v>
      </c>
      <c r="BF43">
        <v>25.2861325525685</v>
      </c>
      <c r="BG43" s="83">
        <v>8</v>
      </c>
      <c r="BH43">
        <v>341</v>
      </c>
      <c r="BI43">
        <v>11.1</v>
      </c>
      <c r="BK43" t="str">
        <f t="shared" si="10"/>
        <v>AllSexOther24</v>
      </c>
      <c r="BL43" t="s">
        <v>17</v>
      </c>
      <c r="BM43" t="s">
        <v>45</v>
      </c>
      <c r="BN43">
        <v>24</v>
      </c>
      <c r="BO43">
        <v>687</v>
      </c>
      <c r="BP43">
        <v>16.212963290735999</v>
      </c>
      <c r="BQ43">
        <v>1.2</v>
      </c>
      <c r="BS43" t="str">
        <f t="shared" si="7"/>
        <v>FemalePacific195</v>
      </c>
      <c r="BT43" t="s">
        <v>8</v>
      </c>
      <c r="BU43" t="s">
        <v>79</v>
      </c>
      <c r="BV43">
        <v>19</v>
      </c>
      <c r="BW43">
        <v>5</v>
      </c>
      <c r="BX43">
        <v>23</v>
      </c>
      <c r="BY43">
        <v>5.0975472668551198</v>
      </c>
      <c r="BZ43">
        <v>2.1</v>
      </c>
      <c r="CB43" t="str">
        <f t="shared" si="8"/>
        <v>AllSexAsian24Hanging, strangulation and suffocation</v>
      </c>
      <c r="CC43" t="s">
        <v>17</v>
      </c>
      <c r="CD43" t="s">
        <v>78</v>
      </c>
      <c r="CE43" t="s">
        <v>43</v>
      </c>
      <c r="CF43">
        <v>24</v>
      </c>
      <c r="CG43">
        <v>22</v>
      </c>
      <c r="CH43">
        <v>39</v>
      </c>
      <c r="CI43">
        <v>56.4</v>
      </c>
      <c r="CL43" t="str">
        <f t="shared" si="9"/>
        <v>2005FemaleMaori9</v>
      </c>
      <c r="CM43">
        <v>2005</v>
      </c>
      <c r="CN43" t="s">
        <v>8</v>
      </c>
      <c r="CO43" t="s">
        <v>18</v>
      </c>
      <c r="CP43">
        <v>9</v>
      </c>
      <c r="CQ43">
        <v>2</v>
      </c>
    </row>
    <row r="44" spans="1:95" x14ac:dyDescent="0.2">
      <c r="A44" t="str">
        <f t="shared" si="0"/>
        <v>1996AllSexNon-Maori19</v>
      </c>
      <c r="B44">
        <v>1996</v>
      </c>
      <c r="C44" t="s">
        <v>17</v>
      </c>
      <c r="D44" t="s">
        <v>19</v>
      </c>
      <c r="E44">
        <v>19</v>
      </c>
      <c r="F44">
        <v>443</v>
      </c>
      <c r="G44">
        <v>13.202661641130099</v>
      </c>
      <c r="H44">
        <v>1.2</v>
      </c>
      <c r="J44" s="358" t="str">
        <f t="shared" si="1"/>
        <v>2009AllSexAllEth191</v>
      </c>
      <c r="K44" s="359">
        <v>2009</v>
      </c>
      <c r="L44" t="s">
        <v>17</v>
      </c>
      <c r="M44" t="s">
        <v>27</v>
      </c>
      <c r="N44">
        <v>19</v>
      </c>
      <c r="O44">
        <v>1</v>
      </c>
      <c r="P44">
        <v>74</v>
      </c>
      <c r="Q44">
        <v>7.9860259733649004</v>
      </c>
      <c r="R44">
        <v>1.8</v>
      </c>
      <c r="T44" s="358" t="str">
        <f t="shared" si="4"/>
        <v>1996AllSexMaori22Poisoning by gases and vapours</v>
      </c>
      <c r="U44" s="360">
        <v>1996</v>
      </c>
      <c r="V44" s="360" t="s">
        <v>17</v>
      </c>
      <c r="W44" s="360" t="s">
        <v>18</v>
      </c>
      <c r="X44" s="360">
        <v>22</v>
      </c>
      <c r="Y44" s="360" t="s">
        <v>46</v>
      </c>
      <c r="Z44" s="360">
        <v>2</v>
      </c>
      <c r="AA44" s="360">
        <v>39</v>
      </c>
      <c r="AB44" s="360">
        <v>5.0999999999999996</v>
      </c>
      <c r="AD44" s="358" t="str">
        <f t="shared" si="5"/>
        <v>201115AllSexAllEth22Whanganui</v>
      </c>
      <c r="AE44" t="s">
        <v>17</v>
      </c>
      <c r="AF44" t="s">
        <v>27</v>
      </c>
      <c r="AG44">
        <v>22</v>
      </c>
      <c r="AH44">
        <v>12</v>
      </c>
      <c r="AI44" t="s">
        <v>65</v>
      </c>
      <c r="AJ44">
        <v>8</v>
      </c>
      <c r="AK44">
        <v>20.554984583761598</v>
      </c>
      <c r="AL44">
        <v>18.7</v>
      </c>
      <c r="AM44" t="s">
        <v>82</v>
      </c>
      <c r="AN44">
        <v>201115</v>
      </c>
      <c r="AQ44" t="str">
        <f t="shared" si="2"/>
        <v>2004MaleRural22</v>
      </c>
      <c r="AR44">
        <v>2004</v>
      </c>
      <c r="AS44" t="s">
        <v>20</v>
      </c>
      <c r="AT44" t="s">
        <v>96</v>
      </c>
      <c r="AU44">
        <v>22</v>
      </c>
      <c r="AV44">
        <v>9</v>
      </c>
      <c r="AW44">
        <v>28.266331658291499</v>
      </c>
      <c r="AX44">
        <v>18.5</v>
      </c>
      <c r="AZ44" t="str">
        <f t="shared" si="6"/>
        <v>2015MaleAllEth11</v>
      </c>
      <c r="BA44">
        <v>2015</v>
      </c>
      <c r="BB44" t="s">
        <v>20</v>
      </c>
      <c r="BC44" t="s">
        <v>27</v>
      </c>
      <c r="BD44">
        <v>11</v>
      </c>
      <c r="BE44">
        <v>37</v>
      </c>
      <c r="BF44">
        <v>24.047835694787501</v>
      </c>
      <c r="BG44" s="83">
        <v>7.7</v>
      </c>
      <c r="BH44">
        <v>527</v>
      </c>
      <c r="BI44">
        <v>7</v>
      </c>
      <c r="BK44" t="str">
        <f t="shared" si="10"/>
        <v>FemaleMaori24</v>
      </c>
      <c r="BL44" t="s">
        <v>8</v>
      </c>
      <c r="BM44" t="s">
        <v>18</v>
      </c>
      <c r="BN44">
        <v>24</v>
      </c>
      <c r="BO44">
        <v>14</v>
      </c>
      <c r="BP44">
        <v>4.1536863966770499</v>
      </c>
      <c r="BQ44">
        <v>2.2000000000000002</v>
      </c>
      <c r="BS44" t="str">
        <f t="shared" si="7"/>
        <v>MaleAsian191</v>
      </c>
      <c r="BT44" t="s">
        <v>20</v>
      </c>
      <c r="BU44" t="s">
        <v>78</v>
      </c>
      <c r="BV44">
        <v>19</v>
      </c>
      <c r="BW44">
        <v>1</v>
      </c>
      <c r="BX44">
        <v>10</v>
      </c>
      <c r="BY44">
        <v>4.18352014449738</v>
      </c>
      <c r="BZ44">
        <v>2.6</v>
      </c>
      <c r="CB44" t="str">
        <f t="shared" si="8"/>
        <v>AllSexAsian25Hanging, strangulation and suffocation</v>
      </c>
      <c r="CC44" t="s">
        <v>17</v>
      </c>
      <c r="CD44" t="s">
        <v>78</v>
      </c>
      <c r="CE44" t="s">
        <v>43</v>
      </c>
      <c r="CF44">
        <v>25</v>
      </c>
      <c r="CG44">
        <v>9</v>
      </c>
      <c r="CH44">
        <v>15</v>
      </c>
      <c r="CI44">
        <v>60</v>
      </c>
      <c r="CL44" t="str">
        <f t="shared" si="9"/>
        <v>2005FemaleNon-Maori9</v>
      </c>
      <c r="CM44">
        <v>2005</v>
      </c>
      <c r="CN44" t="s">
        <v>8</v>
      </c>
      <c r="CO44" t="s">
        <v>19</v>
      </c>
      <c r="CP44">
        <v>9</v>
      </c>
      <c r="CQ44">
        <v>10</v>
      </c>
    </row>
    <row r="45" spans="1:95" x14ac:dyDescent="0.2">
      <c r="A45" t="str">
        <f t="shared" si="0"/>
        <v>1997AllSexNon-Maori19</v>
      </c>
      <c r="B45">
        <v>1997</v>
      </c>
      <c r="C45" t="s">
        <v>17</v>
      </c>
      <c r="D45" t="s">
        <v>19</v>
      </c>
      <c r="E45">
        <v>19</v>
      </c>
      <c r="F45">
        <v>456</v>
      </c>
      <c r="G45">
        <v>13.6356969902152</v>
      </c>
      <c r="H45">
        <v>1.3</v>
      </c>
      <c r="J45" s="358" t="str">
        <f t="shared" si="1"/>
        <v>2009AllSexAllEth192</v>
      </c>
      <c r="K45" s="359">
        <v>2009</v>
      </c>
      <c r="L45" t="s">
        <v>17</v>
      </c>
      <c r="M45" t="s">
        <v>27</v>
      </c>
      <c r="N45">
        <v>19</v>
      </c>
      <c r="O45">
        <v>2</v>
      </c>
      <c r="P45">
        <v>89</v>
      </c>
      <c r="Q45">
        <v>9.5258859884151494</v>
      </c>
      <c r="R45">
        <v>2</v>
      </c>
      <c r="T45" s="358" t="str">
        <f t="shared" si="4"/>
        <v>1996AllSexMaori23Poisoning by gases and vapours</v>
      </c>
      <c r="U45" s="360">
        <v>1996</v>
      </c>
      <c r="V45" s="360" t="s">
        <v>17</v>
      </c>
      <c r="W45" s="360" t="s">
        <v>18</v>
      </c>
      <c r="X45" s="360">
        <v>23</v>
      </c>
      <c r="Y45" s="360" t="s">
        <v>46</v>
      </c>
      <c r="Z45" s="360">
        <v>6</v>
      </c>
      <c r="AA45" s="360">
        <v>45</v>
      </c>
      <c r="AB45" s="360">
        <v>13.3</v>
      </c>
      <c r="AD45" s="358" t="str">
        <f t="shared" si="5"/>
        <v>200610AllSexAllEth19Northland</v>
      </c>
      <c r="AE45" t="s">
        <v>17</v>
      </c>
      <c r="AF45" t="s">
        <v>27</v>
      </c>
      <c r="AG45">
        <v>19</v>
      </c>
      <c r="AH45">
        <v>1</v>
      </c>
      <c r="AI45" t="s">
        <v>54</v>
      </c>
      <c r="AJ45">
        <v>100</v>
      </c>
      <c r="AK45">
        <v>14.054859137952</v>
      </c>
      <c r="AL45">
        <v>3.6</v>
      </c>
      <c r="AM45" t="s">
        <v>82</v>
      </c>
      <c r="AN45">
        <v>200610</v>
      </c>
      <c r="AQ45" t="str">
        <f t="shared" si="2"/>
        <v>2004MaleUrban22</v>
      </c>
      <c r="AR45">
        <v>2004</v>
      </c>
      <c r="AS45" t="s">
        <v>20</v>
      </c>
      <c r="AT45" t="s">
        <v>97</v>
      </c>
      <c r="AU45">
        <v>22</v>
      </c>
      <c r="AV45">
        <v>72</v>
      </c>
      <c r="AW45">
        <v>27.211912770701801</v>
      </c>
      <c r="AX45">
        <v>6.3</v>
      </c>
      <c r="AZ45" t="str">
        <f t="shared" si="6"/>
        <v>2015MaleAllEth12</v>
      </c>
      <c r="BA45">
        <v>2015</v>
      </c>
      <c r="BB45" t="s">
        <v>20</v>
      </c>
      <c r="BC45" t="s">
        <v>27</v>
      </c>
      <c r="BD45">
        <v>12</v>
      </c>
      <c r="BE45">
        <v>27</v>
      </c>
      <c r="BF45">
        <v>19.353451365493498</v>
      </c>
      <c r="BG45" s="83">
        <v>7.3</v>
      </c>
      <c r="BH45">
        <v>739</v>
      </c>
      <c r="BI45">
        <v>3.7</v>
      </c>
      <c r="BK45" t="str">
        <f t="shared" si="10"/>
        <v>FemalePacific24</v>
      </c>
      <c r="BL45" t="s">
        <v>8</v>
      </c>
      <c r="BM45" t="s">
        <v>79</v>
      </c>
      <c r="BN45">
        <v>24</v>
      </c>
      <c r="BO45">
        <v>6</v>
      </c>
      <c r="BP45">
        <v>4.502138515795</v>
      </c>
      <c r="BQ45">
        <v>3.6</v>
      </c>
      <c r="BS45" t="str">
        <f t="shared" si="7"/>
        <v>MaleAsian192</v>
      </c>
      <c r="BT45" t="s">
        <v>20</v>
      </c>
      <c r="BU45" t="s">
        <v>78</v>
      </c>
      <c r="BV45">
        <v>19</v>
      </c>
      <c r="BW45">
        <v>2</v>
      </c>
      <c r="BX45">
        <v>12</v>
      </c>
      <c r="BY45">
        <v>4.5282330453220201</v>
      </c>
      <c r="BZ45">
        <v>2.6</v>
      </c>
      <c r="CB45" t="str">
        <f t="shared" si="8"/>
        <v>AllSexAsian22Jumping from a high place</v>
      </c>
      <c r="CC45" t="s">
        <v>17</v>
      </c>
      <c r="CD45" t="s">
        <v>78</v>
      </c>
      <c r="CE45" t="s">
        <v>44</v>
      </c>
      <c r="CF45">
        <v>22</v>
      </c>
      <c r="CG45">
        <v>4</v>
      </c>
      <c r="CH45">
        <v>27</v>
      </c>
      <c r="CI45">
        <v>14.8</v>
      </c>
      <c r="CL45" t="str">
        <f t="shared" si="9"/>
        <v>2005MaleAllEth9</v>
      </c>
      <c r="CM45">
        <v>2005</v>
      </c>
      <c r="CN45" t="s">
        <v>20</v>
      </c>
      <c r="CO45" t="s">
        <v>27</v>
      </c>
      <c r="CP45">
        <v>9</v>
      </c>
      <c r="CQ45">
        <v>36</v>
      </c>
    </row>
    <row r="46" spans="1:95" x14ac:dyDescent="0.2">
      <c r="A46" t="str">
        <f t="shared" si="0"/>
        <v>1998AllSexNon-Maori19</v>
      </c>
      <c r="B46">
        <v>1998</v>
      </c>
      <c r="C46" t="s">
        <v>17</v>
      </c>
      <c r="D46" t="s">
        <v>19</v>
      </c>
      <c r="E46">
        <v>19</v>
      </c>
      <c r="F46">
        <v>466</v>
      </c>
      <c r="G46">
        <v>13.719933399984299</v>
      </c>
      <c r="H46">
        <v>1.2</v>
      </c>
      <c r="J46" s="358" t="str">
        <f t="shared" si="1"/>
        <v>2009AllSexAllEth193</v>
      </c>
      <c r="K46" s="359">
        <v>2009</v>
      </c>
      <c r="L46" t="s">
        <v>17</v>
      </c>
      <c r="M46" t="s">
        <v>27</v>
      </c>
      <c r="N46">
        <v>19</v>
      </c>
      <c r="O46">
        <v>3</v>
      </c>
      <c r="P46">
        <v>87</v>
      </c>
      <c r="Q46">
        <v>9.8737223189076193</v>
      </c>
      <c r="R46">
        <v>2.1</v>
      </c>
      <c r="T46" s="358" t="str">
        <f t="shared" si="4"/>
        <v>1996AllSexMaori24Poisoning by gases and vapours</v>
      </c>
      <c r="U46" s="360">
        <v>1996</v>
      </c>
      <c r="V46" s="360" t="s">
        <v>17</v>
      </c>
      <c r="W46" s="360" t="s">
        <v>18</v>
      </c>
      <c r="X46" s="360">
        <v>24</v>
      </c>
      <c r="Y46" s="360" t="s">
        <v>46</v>
      </c>
      <c r="Z46" s="360">
        <v>2</v>
      </c>
      <c r="AA46" s="360">
        <v>8</v>
      </c>
      <c r="AB46" s="360">
        <v>25</v>
      </c>
      <c r="AD46" s="358" t="str">
        <f t="shared" si="5"/>
        <v>200610AllSexAllEth19Waitemata</v>
      </c>
      <c r="AE46" t="s">
        <v>17</v>
      </c>
      <c r="AF46" t="s">
        <v>27</v>
      </c>
      <c r="AG46">
        <v>19</v>
      </c>
      <c r="AH46">
        <v>2</v>
      </c>
      <c r="AI46" t="s">
        <v>55</v>
      </c>
      <c r="AJ46">
        <v>259</v>
      </c>
      <c r="AK46">
        <v>9.4574954369590092</v>
      </c>
      <c r="AL46">
        <v>1.5</v>
      </c>
      <c r="AM46" t="s">
        <v>83</v>
      </c>
      <c r="AN46">
        <v>200610</v>
      </c>
      <c r="AQ46" t="str">
        <f t="shared" si="2"/>
        <v>2004MaleRural23</v>
      </c>
      <c r="AR46">
        <v>2004</v>
      </c>
      <c r="AS46" t="s">
        <v>20</v>
      </c>
      <c r="AT46" t="s">
        <v>96</v>
      </c>
      <c r="AU46">
        <v>23</v>
      </c>
      <c r="AV46">
        <v>26</v>
      </c>
      <c r="AW46">
        <v>33.492206621151603</v>
      </c>
      <c r="AX46">
        <v>12.9</v>
      </c>
      <c r="AZ46" t="str">
        <f t="shared" si="6"/>
        <v>2015MaleAllEth13</v>
      </c>
      <c r="BA46">
        <v>2015</v>
      </c>
      <c r="BB46" t="s">
        <v>20</v>
      </c>
      <c r="BC46" t="s">
        <v>27</v>
      </c>
      <c r="BD46">
        <v>13</v>
      </c>
      <c r="BE46">
        <v>22</v>
      </c>
      <c r="BF46">
        <v>18.074268813670699</v>
      </c>
      <c r="BG46" s="83">
        <v>7.6</v>
      </c>
      <c r="BH46">
        <v>1001</v>
      </c>
      <c r="BI46">
        <v>2.2000000000000002</v>
      </c>
      <c r="BK46" t="str">
        <f t="shared" si="10"/>
        <v>FemaleAsian24</v>
      </c>
      <c r="BL46" t="s">
        <v>8</v>
      </c>
      <c r="BM46" t="s">
        <v>78</v>
      </c>
      <c r="BN46">
        <v>24</v>
      </c>
      <c r="BO46">
        <v>16</v>
      </c>
      <c r="BP46">
        <v>5.1942992565659196</v>
      </c>
      <c r="BQ46">
        <v>2.5</v>
      </c>
      <c r="BS46" t="str">
        <f t="shared" si="7"/>
        <v>MaleAsian193</v>
      </c>
      <c r="BT46" t="s">
        <v>20</v>
      </c>
      <c r="BU46" t="s">
        <v>78</v>
      </c>
      <c r="BV46">
        <v>19</v>
      </c>
      <c r="BW46">
        <v>3</v>
      </c>
      <c r="BX46">
        <v>19</v>
      </c>
      <c r="BY46">
        <v>6.1292965042880203</v>
      </c>
      <c r="BZ46">
        <v>2.8</v>
      </c>
      <c r="CB46" t="str">
        <f t="shared" si="8"/>
        <v>AllSexAsian23Jumping from a high place</v>
      </c>
      <c r="CC46" t="s">
        <v>17</v>
      </c>
      <c r="CD46" t="s">
        <v>78</v>
      </c>
      <c r="CE46" t="s">
        <v>44</v>
      </c>
      <c r="CF46">
        <v>23</v>
      </c>
      <c r="CG46">
        <v>3</v>
      </c>
      <c r="CH46">
        <v>45</v>
      </c>
      <c r="CI46">
        <v>6.7</v>
      </c>
      <c r="CL46" t="str">
        <f t="shared" si="9"/>
        <v>2005MaleMaori9</v>
      </c>
      <c r="CM46">
        <v>2005</v>
      </c>
      <c r="CN46" t="s">
        <v>20</v>
      </c>
      <c r="CO46" t="s">
        <v>18</v>
      </c>
      <c r="CP46">
        <v>9</v>
      </c>
      <c r="CQ46">
        <v>8</v>
      </c>
    </row>
    <row r="47" spans="1:95" x14ac:dyDescent="0.2">
      <c r="A47" t="str">
        <f t="shared" si="0"/>
        <v>1999AllSexNon-Maori19</v>
      </c>
      <c r="B47">
        <v>1999</v>
      </c>
      <c r="C47" t="s">
        <v>17</v>
      </c>
      <c r="D47" t="s">
        <v>19</v>
      </c>
      <c r="E47">
        <v>19</v>
      </c>
      <c r="F47">
        <v>438</v>
      </c>
      <c r="G47">
        <v>12.8439199652067</v>
      </c>
      <c r="H47">
        <v>1.2</v>
      </c>
      <c r="J47" s="358" t="str">
        <f t="shared" si="1"/>
        <v>2009AllSexAllEth194</v>
      </c>
      <c r="K47" s="359">
        <v>2009</v>
      </c>
      <c r="L47" t="s">
        <v>17</v>
      </c>
      <c r="M47" t="s">
        <v>27</v>
      </c>
      <c r="N47">
        <v>19</v>
      </c>
      <c r="O47">
        <v>4</v>
      </c>
      <c r="P47">
        <v>129</v>
      </c>
      <c r="Q47">
        <v>14.455050464133199</v>
      </c>
      <c r="R47">
        <v>2.5</v>
      </c>
      <c r="T47" s="358" t="str">
        <f t="shared" si="4"/>
        <v>1996AllSexMaori21Poisoning by solids and liquids</v>
      </c>
      <c r="U47" s="360">
        <v>1996</v>
      </c>
      <c r="V47" s="360" t="s">
        <v>17</v>
      </c>
      <c r="W47" s="360" t="s">
        <v>18</v>
      </c>
      <c r="X47" s="360">
        <v>21</v>
      </c>
      <c r="Y47" s="360" t="s">
        <v>47</v>
      </c>
      <c r="Z47" s="360">
        <v>1</v>
      </c>
      <c r="AA47" s="360">
        <v>4</v>
      </c>
      <c r="AB47" s="360">
        <v>25</v>
      </c>
      <c r="AD47" s="358" t="str">
        <f t="shared" si="5"/>
        <v>200610AllSexAllEth19Auckland</v>
      </c>
      <c r="AE47" t="s">
        <v>17</v>
      </c>
      <c r="AF47" t="s">
        <v>27</v>
      </c>
      <c r="AG47">
        <v>19</v>
      </c>
      <c r="AH47">
        <v>3</v>
      </c>
      <c r="AI47" t="s">
        <v>56</v>
      </c>
      <c r="AJ47">
        <v>231</v>
      </c>
      <c r="AK47">
        <v>9.6919797098898304</v>
      </c>
      <c r="AL47">
        <v>1.6</v>
      </c>
      <c r="AM47" t="s">
        <v>83</v>
      </c>
      <c r="AN47">
        <v>200610</v>
      </c>
      <c r="AQ47" t="str">
        <f t="shared" si="2"/>
        <v>2004MaleUrban23</v>
      </c>
      <c r="AR47">
        <v>2004</v>
      </c>
      <c r="AS47" t="s">
        <v>20</v>
      </c>
      <c r="AT47" t="s">
        <v>97</v>
      </c>
      <c r="AU47">
        <v>23</v>
      </c>
      <c r="AV47">
        <v>119</v>
      </c>
      <c r="AW47">
        <v>24.218988501068502</v>
      </c>
      <c r="AX47">
        <v>4.4000000000000004</v>
      </c>
      <c r="AZ47" t="str">
        <f t="shared" si="6"/>
        <v>2015MaleAllEth14</v>
      </c>
      <c r="BA47">
        <v>2015</v>
      </c>
      <c r="BB47" t="s">
        <v>20</v>
      </c>
      <c r="BC47" t="s">
        <v>27</v>
      </c>
      <c r="BD47">
        <v>14</v>
      </c>
      <c r="BE47">
        <v>13</v>
      </c>
      <c r="BF47">
        <v>11.78390137781</v>
      </c>
      <c r="BG47" s="83">
        <v>6.4</v>
      </c>
      <c r="BH47">
        <v>1411</v>
      </c>
      <c r="BI47">
        <v>0.9</v>
      </c>
      <c r="BK47" t="str">
        <f t="shared" si="10"/>
        <v>FemaleOther24</v>
      </c>
      <c r="BL47" t="s">
        <v>8</v>
      </c>
      <c r="BM47" t="s">
        <v>45</v>
      </c>
      <c r="BN47">
        <v>24</v>
      </c>
      <c r="BO47">
        <v>182</v>
      </c>
      <c r="BP47">
        <v>8.4437124498364593</v>
      </c>
      <c r="BQ47">
        <v>1.2</v>
      </c>
      <c r="BS47" t="str">
        <f t="shared" si="7"/>
        <v>MaleAsian194</v>
      </c>
      <c r="BT47" t="s">
        <v>20</v>
      </c>
      <c r="BU47" t="s">
        <v>78</v>
      </c>
      <c r="BV47">
        <v>19</v>
      </c>
      <c r="BW47">
        <v>4</v>
      </c>
      <c r="BX47">
        <v>22</v>
      </c>
      <c r="BY47">
        <v>7.3561267850007104</v>
      </c>
      <c r="BZ47">
        <v>3.1</v>
      </c>
      <c r="CB47" t="str">
        <f t="shared" si="8"/>
        <v>AllSexAsian24Jumping from a high place</v>
      </c>
      <c r="CC47" t="s">
        <v>17</v>
      </c>
      <c r="CD47" t="s">
        <v>78</v>
      </c>
      <c r="CE47" t="s">
        <v>44</v>
      </c>
      <c r="CF47">
        <v>24</v>
      </c>
      <c r="CG47">
        <v>6</v>
      </c>
      <c r="CH47">
        <v>39</v>
      </c>
      <c r="CI47">
        <v>15.4</v>
      </c>
      <c r="CL47" t="str">
        <f t="shared" si="9"/>
        <v>2005MaleNon-Maori9</v>
      </c>
      <c r="CM47">
        <v>2005</v>
      </c>
      <c r="CN47" t="s">
        <v>20</v>
      </c>
      <c r="CO47" t="s">
        <v>19</v>
      </c>
      <c r="CP47">
        <v>9</v>
      </c>
      <c r="CQ47">
        <v>28</v>
      </c>
    </row>
    <row r="48" spans="1:95" x14ac:dyDescent="0.2">
      <c r="A48" t="str">
        <f t="shared" si="0"/>
        <v>2000AllSexNon-Maori19</v>
      </c>
      <c r="B48">
        <v>2000</v>
      </c>
      <c r="C48" t="s">
        <v>17</v>
      </c>
      <c r="D48" t="s">
        <v>19</v>
      </c>
      <c r="E48">
        <v>19</v>
      </c>
      <c r="F48">
        <v>379</v>
      </c>
      <c r="G48">
        <v>11.1683814296716</v>
      </c>
      <c r="H48">
        <v>1.1000000000000001</v>
      </c>
      <c r="J48" s="358" t="str">
        <f t="shared" si="1"/>
        <v>2009AllSexAllEth195</v>
      </c>
      <c r="K48" s="359">
        <v>2009</v>
      </c>
      <c r="L48" t="s">
        <v>17</v>
      </c>
      <c r="M48" t="s">
        <v>27</v>
      </c>
      <c r="N48">
        <v>19</v>
      </c>
      <c r="O48">
        <v>5</v>
      </c>
      <c r="P48">
        <v>128</v>
      </c>
      <c r="Q48">
        <v>15.354556077231001</v>
      </c>
      <c r="R48">
        <v>2.7</v>
      </c>
      <c r="T48" s="358" t="str">
        <f t="shared" si="4"/>
        <v>1996AllSexMaori22Poisoning by solids and liquids</v>
      </c>
      <c r="U48" s="360">
        <v>1996</v>
      </c>
      <c r="V48" s="360" t="s">
        <v>17</v>
      </c>
      <c r="W48" s="360" t="s">
        <v>18</v>
      </c>
      <c r="X48" s="360">
        <v>22</v>
      </c>
      <c r="Y48" s="360" t="s">
        <v>47</v>
      </c>
      <c r="Z48" s="360">
        <v>2</v>
      </c>
      <c r="AA48" s="360">
        <v>39</v>
      </c>
      <c r="AB48" s="360">
        <v>5.0999999999999996</v>
      </c>
      <c r="AD48" s="358" t="str">
        <f t="shared" si="5"/>
        <v>200610AllSexAllEth19Counties Manukau</v>
      </c>
      <c r="AE48" t="s">
        <v>17</v>
      </c>
      <c r="AF48" t="s">
        <v>27</v>
      </c>
      <c r="AG48">
        <v>19</v>
      </c>
      <c r="AH48">
        <v>4</v>
      </c>
      <c r="AI48" t="s">
        <v>57</v>
      </c>
      <c r="AJ48">
        <v>246</v>
      </c>
      <c r="AK48">
        <v>10.6580805597601</v>
      </c>
      <c r="AL48">
        <v>1.8</v>
      </c>
      <c r="AM48" t="s">
        <v>82</v>
      </c>
      <c r="AN48">
        <v>200610</v>
      </c>
      <c r="AQ48" t="str">
        <f t="shared" si="2"/>
        <v>2004MaleRural24</v>
      </c>
      <c r="AR48">
        <v>2004</v>
      </c>
      <c r="AS48" t="s">
        <v>20</v>
      </c>
      <c r="AT48" t="s">
        <v>96</v>
      </c>
      <c r="AU48">
        <v>24</v>
      </c>
      <c r="AV48">
        <v>18</v>
      </c>
      <c r="AW48">
        <v>21.691973969631199</v>
      </c>
      <c r="AX48">
        <v>10</v>
      </c>
      <c r="AZ48" t="str">
        <f t="shared" si="6"/>
        <v>2015MaleAllEth15</v>
      </c>
      <c r="BA48">
        <v>2015</v>
      </c>
      <c r="BB48" t="s">
        <v>20</v>
      </c>
      <c r="BC48" t="s">
        <v>27</v>
      </c>
      <c r="BD48">
        <v>15</v>
      </c>
      <c r="BE48">
        <v>7</v>
      </c>
      <c r="BF48">
        <v>8.8116817724068497</v>
      </c>
      <c r="BG48" s="83">
        <v>6.5</v>
      </c>
      <c r="BH48">
        <v>1773</v>
      </c>
      <c r="BI48">
        <v>0.4</v>
      </c>
      <c r="BK48" t="str">
        <f t="shared" si="10"/>
        <v>MaleMaori24</v>
      </c>
      <c r="BL48" t="s">
        <v>20</v>
      </c>
      <c r="BM48" t="s">
        <v>18</v>
      </c>
      <c r="BN48">
        <v>24</v>
      </c>
      <c r="BO48">
        <v>51</v>
      </c>
      <c r="BP48">
        <v>17.061421116017701</v>
      </c>
      <c r="BQ48">
        <v>4.7</v>
      </c>
      <c r="BS48" t="str">
        <f t="shared" si="7"/>
        <v>MaleAsian195</v>
      </c>
      <c r="BT48" t="s">
        <v>20</v>
      </c>
      <c r="BU48" t="s">
        <v>78</v>
      </c>
      <c r="BV48">
        <v>19</v>
      </c>
      <c r="BW48">
        <v>5</v>
      </c>
      <c r="BX48">
        <v>17</v>
      </c>
      <c r="BY48">
        <v>6.1935589476376904</v>
      </c>
      <c r="BZ48">
        <v>2.9</v>
      </c>
      <c r="CB48" t="str">
        <f t="shared" si="8"/>
        <v>AllSexAsian25Jumping from a high place</v>
      </c>
      <c r="CC48" t="s">
        <v>17</v>
      </c>
      <c r="CD48" t="s">
        <v>78</v>
      </c>
      <c r="CE48" t="s">
        <v>44</v>
      </c>
      <c r="CF48">
        <v>25</v>
      </c>
      <c r="CG48">
        <v>2</v>
      </c>
      <c r="CH48">
        <v>15</v>
      </c>
      <c r="CI48">
        <v>13.3</v>
      </c>
      <c r="CL48" t="str">
        <f t="shared" si="9"/>
        <v>2006AllSexAllEth9</v>
      </c>
      <c r="CM48">
        <v>2006</v>
      </c>
      <c r="CN48" t="s">
        <v>17</v>
      </c>
      <c r="CO48" t="s">
        <v>27</v>
      </c>
      <c r="CP48">
        <v>9</v>
      </c>
      <c r="CQ48">
        <v>48</v>
      </c>
    </row>
    <row r="49" spans="1:95" x14ac:dyDescent="0.2">
      <c r="A49" t="str">
        <f t="shared" si="0"/>
        <v>2001AllSexNon-Maori19</v>
      </c>
      <c r="B49">
        <v>2001</v>
      </c>
      <c r="C49" t="s">
        <v>17</v>
      </c>
      <c r="D49" t="s">
        <v>19</v>
      </c>
      <c r="E49">
        <v>19</v>
      </c>
      <c r="F49">
        <v>429</v>
      </c>
      <c r="G49">
        <v>12.3764768268776</v>
      </c>
      <c r="H49">
        <v>1.2</v>
      </c>
      <c r="J49" s="358" t="str">
        <f t="shared" si="1"/>
        <v>2010AllSexAllEth191</v>
      </c>
      <c r="K49" s="359">
        <v>2010</v>
      </c>
      <c r="L49" t="s">
        <v>17</v>
      </c>
      <c r="M49" t="s">
        <v>27</v>
      </c>
      <c r="N49">
        <v>19</v>
      </c>
      <c r="O49">
        <v>1</v>
      </c>
      <c r="P49">
        <v>90</v>
      </c>
      <c r="Q49">
        <v>10.1349018099747</v>
      </c>
      <c r="R49">
        <v>2.1</v>
      </c>
      <c r="T49" s="358" t="str">
        <f t="shared" si="4"/>
        <v>1996AllSexMaori23Poisoning by solids and liquids</v>
      </c>
      <c r="U49" s="360">
        <v>1996</v>
      </c>
      <c r="V49" s="360" t="s">
        <v>17</v>
      </c>
      <c r="W49" s="360" t="s">
        <v>18</v>
      </c>
      <c r="X49" s="360">
        <v>23</v>
      </c>
      <c r="Y49" s="360" t="s">
        <v>47</v>
      </c>
      <c r="Z49" s="360">
        <v>5</v>
      </c>
      <c r="AA49" s="360">
        <v>45</v>
      </c>
      <c r="AB49" s="360">
        <v>11.1</v>
      </c>
      <c r="AD49" s="358" t="str">
        <f t="shared" si="5"/>
        <v>200610AllSexAllEth19Waikato</v>
      </c>
      <c r="AE49" t="s">
        <v>17</v>
      </c>
      <c r="AF49" t="s">
        <v>27</v>
      </c>
      <c r="AG49">
        <v>19</v>
      </c>
      <c r="AH49">
        <v>5</v>
      </c>
      <c r="AI49" t="s">
        <v>58</v>
      </c>
      <c r="AJ49">
        <v>210</v>
      </c>
      <c r="AK49">
        <v>11.455784133177801</v>
      </c>
      <c r="AL49">
        <v>2</v>
      </c>
      <c r="AM49" t="s">
        <v>82</v>
      </c>
      <c r="AN49">
        <v>200610</v>
      </c>
      <c r="AQ49" t="str">
        <f t="shared" si="2"/>
        <v>2004MaleUrban24</v>
      </c>
      <c r="AR49">
        <v>2004</v>
      </c>
      <c r="AS49" t="s">
        <v>20</v>
      </c>
      <c r="AT49" t="s">
        <v>97</v>
      </c>
      <c r="AU49">
        <v>24</v>
      </c>
      <c r="AV49">
        <v>64</v>
      </c>
      <c r="AW49">
        <v>16.7215342007629</v>
      </c>
      <c r="AX49">
        <v>4.0999999999999996</v>
      </c>
      <c r="AZ49" t="str">
        <f t="shared" si="6"/>
        <v>2015MaleAllEth16</v>
      </c>
      <c r="BA49">
        <v>2015</v>
      </c>
      <c r="BB49" t="s">
        <v>20</v>
      </c>
      <c r="BC49" t="s">
        <v>27</v>
      </c>
      <c r="BD49">
        <v>16</v>
      </c>
      <c r="BE49">
        <v>13</v>
      </c>
      <c r="BF49">
        <v>23.152270703472801</v>
      </c>
      <c r="BG49" s="83">
        <v>12.6</v>
      </c>
      <c r="BH49">
        <v>2070</v>
      </c>
      <c r="BI49">
        <v>0.6</v>
      </c>
      <c r="BK49" t="str">
        <f t="shared" si="10"/>
        <v>MalePacific24</v>
      </c>
      <c r="BL49" t="s">
        <v>20</v>
      </c>
      <c r="BM49" t="s">
        <v>79</v>
      </c>
      <c r="BN49">
        <v>24</v>
      </c>
      <c r="BO49">
        <v>16</v>
      </c>
      <c r="BP49">
        <v>12.705471293575799</v>
      </c>
      <c r="BQ49">
        <v>6.2</v>
      </c>
      <c r="BS49" t="str">
        <f t="shared" si="7"/>
        <v>MaleMaori191</v>
      </c>
      <c r="BT49" t="s">
        <v>20</v>
      </c>
      <c r="BU49" t="s">
        <v>18</v>
      </c>
      <c r="BV49">
        <v>19</v>
      </c>
      <c r="BW49">
        <v>1</v>
      </c>
      <c r="BX49">
        <v>16</v>
      </c>
      <c r="BY49">
        <v>11.8369352593086</v>
      </c>
      <c r="BZ49">
        <v>5.8</v>
      </c>
      <c r="CB49" t="str">
        <f t="shared" si="8"/>
        <v>AllSexAsian23Other</v>
      </c>
      <c r="CC49" t="s">
        <v>17</v>
      </c>
      <c r="CD49" t="s">
        <v>78</v>
      </c>
      <c r="CE49" t="s">
        <v>45</v>
      </c>
      <c r="CF49">
        <v>23</v>
      </c>
      <c r="CG49">
        <v>2</v>
      </c>
      <c r="CH49">
        <v>45</v>
      </c>
      <c r="CI49">
        <v>4.4000000000000004</v>
      </c>
      <c r="CL49" t="str">
        <f t="shared" si="9"/>
        <v>2006AllSexMaori9</v>
      </c>
      <c r="CM49">
        <v>2006</v>
      </c>
      <c r="CN49" t="s">
        <v>17</v>
      </c>
      <c r="CO49" t="s">
        <v>18</v>
      </c>
      <c r="CP49">
        <v>9</v>
      </c>
      <c r="CQ49">
        <v>4</v>
      </c>
    </row>
    <row r="50" spans="1:95" x14ac:dyDescent="0.2">
      <c r="A50" t="str">
        <f t="shared" si="0"/>
        <v>2002AllSexNon-Maori19</v>
      </c>
      <c r="B50">
        <v>2002</v>
      </c>
      <c r="C50" t="s">
        <v>17</v>
      </c>
      <c r="D50" t="s">
        <v>19</v>
      </c>
      <c r="E50">
        <v>19</v>
      </c>
      <c r="F50">
        <v>390</v>
      </c>
      <c r="G50">
        <v>10.9882846931341</v>
      </c>
      <c r="H50">
        <v>1.1000000000000001</v>
      </c>
      <c r="J50" s="358" t="str">
        <f t="shared" si="1"/>
        <v>2010AllSexAllEth192</v>
      </c>
      <c r="K50" s="359">
        <v>2010</v>
      </c>
      <c r="L50" t="s">
        <v>17</v>
      </c>
      <c r="M50" t="s">
        <v>27</v>
      </c>
      <c r="N50">
        <v>19</v>
      </c>
      <c r="O50">
        <v>2</v>
      </c>
      <c r="P50">
        <v>88</v>
      </c>
      <c r="Q50">
        <v>9.4076427688804802</v>
      </c>
      <c r="R50">
        <v>2</v>
      </c>
      <c r="T50" s="358" t="str">
        <f t="shared" si="4"/>
        <v>1996AllSexMaori24Poisoning by solids and liquids</v>
      </c>
      <c r="U50" s="360">
        <v>1996</v>
      </c>
      <c r="V50" s="360" t="s">
        <v>17</v>
      </c>
      <c r="W50" s="360" t="s">
        <v>18</v>
      </c>
      <c r="X50" s="360">
        <v>24</v>
      </c>
      <c r="Y50" s="360" t="s">
        <v>47</v>
      </c>
      <c r="Z50" s="360">
        <v>3</v>
      </c>
      <c r="AA50" s="360">
        <v>8</v>
      </c>
      <c r="AB50" s="360">
        <v>37.5</v>
      </c>
      <c r="AD50" s="358" t="str">
        <f t="shared" si="5"/>
        <v>200610AllSexAllEth19Lakes</v>
      </c>
      <c r="AE50" t="s">
        <v>17</v>
      </c>
      <c r="AF50" t="s">
        <v>27</v>
      </c>
      <c r="AG50">
        <v>19</v>
      </c>
      <c r="AH50">
        <v>6</v>
      </c>
      <c r="AI50" t="s">
        <v>59</v>
      </c>
      <c r="AJ50">
        <v>82</v>
      </c>
      <c r="AK50">
        <v>16.081283397660499</v>
      </c>
      <c r="AL50">
        <v>4.5999999999999996</v>
      </c>
      <c r="AM50" t="s">
        <v>82</v>
      </c>
      <c r="AN50">
        <v>200610</v>
      </c>
      <c r="AQ50" t="str">
        <f t="shared" si="2"/>
        <v>2004MaleRural25</v>
      </c>
      <c r="AR50">
        <v>2004</v>
      </c>
      <c r="AS50" t="s">
        <v>20</v>
      </c>
      <c r="AT50" t="s">
        <v>96</v>
      </c>
      <c r="AU50">
        <v>25</v>
      </c>
      <c r="AV50">
        <v>4</v>
      </c>
      <c r="AW50">
        <v>13.5089496791624</v>
      </c>
      <c r="AX50">
        <v>13.2</v>
      </c>
      <c r="AZ50" t="str">
        <f t="shared" si="6"/>
        <v>2015MaleAllEth17</v>
      </c>
      <c r="BA50">
        <v>2015</v>
      </c>
      <c r="BB50" t="s">
        <v>20</v>
      </c>
      <c r="BC50" t="s">
        <v>27</v>
      </c>
      <c r="BD50">
        <v>17</v>
      </c>
      <c r="BE50">
        <v>9</v>
      </c>
      <c r="BF50">
        <v>24.219590958019399</v>
      </c>
      <c r="BG50" s="83">
        <v>15.8</v>
      </c>
      <c r="BH50">
        <v>2460</v>
      </c>
      <c r="BI50">
        <v>0.4</v>
      </c>
      <c r="BK50" t="str">
        <f t="shared" si="10"/>
        <v>MaleAsian24</v>
      </c>
      <c r="BL50" t="s">
        <v>20</v>
      </c>
      <c r="BM50" t="s">
        <v>78</v>
      </c>
      <c r="BN50">
        <v>24</v>
      </c>
      <c r="BO50">
        <v>23</v>
      </c>
      <c r="BP50">
        <v>8.9808668488871497</v>
      </c>
      <c r="BQ50">
        <v>3.7</v>
      </c>
      <c r="BS50" t="str">
        <f t="shared" si="7"/>
        <v>MaleMaori192</v>
      </c>
      <c r="BT50" t="s">
        <v>20</v>
      </c>
      <c r="BU50" t="s">
        <v>18</v>
      </c>
      <c r="BV50">
        <v>19</v>
      </c>
      <c r="BW50">
        <v>2</v>
      </c>
      <c r="BX50">
        <v>39</v>
      </c>
      <c r="BY50">
        <v>20.532354732703698</v>
      </c>
      <c r="BZ50">
        <v>6.4</v>
      </c>
      <c r="CB50" t="str">
        <f t="shared" si="8"/>
        <v>AllSexAsian24Other</v>
      </c>
      <c r="CC50" t="s">
        <v>17</v>
      </c>
      <c r="CD50" t="s">
        <v>78</v>
      </c>
      <c r="CE50" t="s">
        <v>45</v>
      </c>
      <c r="CF50">
        <v>24</v>
      </c>
      <c r="CG50">
        <v>2</v>
      </c>
      <c r="CH50">
        <v>39</v>
      </c>
      <c r="CI50">
        <v>5.0999999999999996</v>
      </c>
      <c r="CL50" t="str">
        <f t="shared" si="9"/>
        <v>2006AllSexNon-Maori9</v>
      </c>
      <c r="CM50">
        <v>2006</v>
      </c>
      <c r="CN50" t="s">
        <v>17</v>
      </c>
      <c r="CO50" t="s">
        <v>19</v>
      </c>
      <c r="CP50">
        <v>9</v>
      </c>
      <c r="CQ50">
        <v>44</v>
      </c>
    </row>
    <row r="51" spans="1:95" x14ac:dyDescent="0.2">
      <c r="A51" t="str">
        <f t="shared" si="0"/>
        <v>2003AllSexNon-Maori19</v>
      </c>
      <c r="B51">
        <v>2003</v>
      </c>
      <c r="C51" t="s">
        <v>17</v>
      </c>
      <c r="D51" t="s">
        <v>19</v>
      </c>
      <c r="E51">
        <v>19</v>
      </c>
      <c r="F51">
        <v>435</v>
      </c>
      <c r="G51">
        <v>11.6548370610064</v>
      </c>
      <c r="H51">
        <v>1.1000000000000001</v>
      </c>
      <c r="J51" s="358" t="str">
        <f t="shared" si="1"/>
        <v>2010AllSexAllEth193</v>
      </c>
      <c r="K51" s="359">
        <v>2010</v>
      </c>
      <c r="L51" t="s">
        <v>17</v>
      </c>
      <c r="M51" t="s">
        <v>27</v>
      </c>
      <c r="N51">
        <v>19</v>
      </c>
      <c r="O51">
        <v>3</v>
      </c>
      <c r="P51">
        <v>98</v>
      </c>
      <c r="Q51">
        <v>10.834254585669999</v>
      </c>
      <c r="R51">
        <v>2.1</v>
      </c>
      <c r="T51" s="358" t="str">
        <f t="shared" si="4"/>
        <v>1996AllSexMaori23Sharp object</v>
      </c>
      <c r="U51" s="360">
        <v>1996</v>
      </c>
      <c r="V51" s="360" t="s">
        <v>17</v>
      </c>
      <c r="W51" s="360" t="s">
        <v>18</v>
      </c>
      <c r="X51" s="360">
        <v>23</v>
      </c>
      <c r="Y51" s="360" t="s">
        <v>48</v>
      </c>
      <c r="Z51" s="360">
        <v>2</v>
      </c>
      <c r="AA51" s="360">
        <v>45</v>
      </c>
      <c r="AB51" s="360">
        <v>4.4000000000000004</v>
      </c>
      <c r="AD51" s="358" t="str">
        <f t="shared" si="5"/>
        <v>200610AllSexAllEth19Bay of Plenty</v>
      </c>
      <c r="AE51" t="s">
        <v>17</v>
      </c>
      <c r="AF51" t="s">
        <v>27</v>
      </c>
      <c r="AG51">
        <v>19</v>
      </c>
      <c r="AH51">
        <v>7</v>
      </c>
      <c r="AI51" t="s">
        <v>60</v>
      </c>
      <c r="AJ51">
        <v>146</v>
      </c>
      <c r="AK51">
        <v>14.7321710179669</v>
      </c>
      <c r="AL51">
        <v>3.1</v>
      </c>
      <c r="AM51" t="s">
        <v>82</v>
      </c>
      <c r="AN51">
        <v>200610</v>
      </c>
      <c r="AQ51" t="str">
        <f t="shared" si="2"/>
        <v>2004MaleUrban25</v>
      </c>
      <c r="AR51">
        <v>2004</v>
      </c>
      <c r="AS51" t="s">
        <v>20</v>
      </c>
      <c r="AT51" t="s">
        <v>97</v>
      </c>
      <c r="AU51">
        <v>25</v>
      </c>
      <c r="AV51">
        <v>39</v>
      </c>
      <c r="AW51">
        <v>21.113035946297099</v>
      </c>
      <c r="AX51">
        <v>6.6</v>
      </c>
      <c r="AZ51" t="str">
        <f t="shared" si="6"/>
        <v>2015MaleAllEth18</v>
      </c>
      <c r="BA51">
        <v>2015</v>
      </c>
      <c r="BB51" t="s">
        <v>20</v>
      </c>
      <c r="BC51" t="s">
        <v>27</v>
      </c>
      <c r="BD51">
        <v>18</v>
      </c>
      <c r="BE51">
        <v>6</v>
      </c>
      <c r="BF51">
        <v>20.270270270270299</v>
      </c>
      <c r="BG51" s="83">
        <v>16.2</v>
      </c>
      <c r="BH51">
        <v>4577</v>
      </c>
      <c r="BI51">
        <v>0.1</v>
      </c>
      <c r="BK51" t="str">
        <f t="shared" si="10"/>
        <v>MaleOther24</v>
      </c>
      <c r="BL51" t="s">
        <v>20</v>
      </c>
      <c r="BM51" t="s">
        <v>45</v>
      </c>
      <c r="BN51">
        <v>24</v>
      </c>
      <c r="BO51">
        <v>505</v>
      </c>
      <c r="BP51">
        <v>24.256688601758</v>
      </c>
      <c r="BQ51">
        <v>2.1</v>
      </c>
      <c r="BS51" t="str">
        <f t="shared" si="7"/>
        <v>MaleMaori193</v>
      </c>
      <c r="BT51" t="s">
        <v>20</v>
      </c>
      <c r="BU51" t="s">
        <v>18</v>
      </c>
      <c r="BV51">
        <v>19</v>
      </c>
      <c r="BW51">
        <v>3</v>
      </c>
      <c r="BX51">
        <v>61</v>
      </c>
      <c r="BY51">
        <v>22.4373834047753</v>
      </c>
      <c r="BZ51">
        <v>5.6</v>
      </c>
      <c r="CB51" t="str">
        <f t="shared" si="8"/>
        <v>AllSexAsian25Other</v>
      </c>
      <c r="CC51" t="s">
        <v>17</v>
      </c>
      <c r="CD51" t="s">
        <v>78</v>
      </c>
      <c r="CE51" t="s">
        <v>45</v>
      </c>
      <c r="CF51">
        <v>25</v>
      </c>
      <c r="CG51">
        <v>1</v>
      </c>
      <c r="CH51">
        <v>15</v>
      </c>
      <c r="CI51">
        <v>6.7</v>
      </c>
      <c r="CL51" t="str">
        <f t="shared" si="9"/>
        <v>2006FemaleAllEth9</v>
      </c>
      <c r="CM51">
        <v>2006</v>
      </c>
      <c r="CN51" t="s">
        <v>8</v>
      </c>
      <c r="CO51" t="s">
        <v>27</v>
      </c>
      <c r="CP51">
        <v>9</v>
      </c>
      <c r="CQ51">
        <v>22</v>
      </c>
    </row>
    <row r="52" spans="1:95" x14ac:dyDescent="0.2">
      <c r="A52" t="str">
        <f t="shared" si="0"/>
        <v>2004AllSexNon-Maori19</v>
      </c>
      <c r="B52">
        <v>2004</v>
      </c>
      <c r="C52" t="s">
        <v>17</v>
      </c>
      <c r="D52" t="s">
        <v>19</v>
      </c>
      <c r="E52">
        <v>19</v>
      </c>
      <c r="F52">
        <v>383</v>
      </c>
      <c r="G52">
        <v>10.3253251579566</v>
      </c>
      <c r="H52">
        <v>1</v>
      </c>
      <c r="J52" s="358" t="str">
        <f t="shared" si="1"/>
        <v>2010AllSexAllEth194</v>
      </c>
      <c r="K52" s="359">
        <v>2010</v>
      </c>
      <c r="L52" t="s">
        <v>17</v>
      </c>
      <c r="M52" t="s">
        <v>27</v>
      </c>
      <c r="N52">
        <v>19</v>
      </c>
      <c r="O52">
        <v>4</v>
      </c>
      <c r="P52">
        <v>115</v>
      </c>
      <c r="Q52">
        <v>12.4646116325319</v>
      </c>
      <c r="R52">
        <v>2.2999999999999998</v>
      </c>
      <c r="T52" s="358" t="str">
        <f t="shared" si="4"/>
        <v>1996AllSexMaori24Sharp object</v>
      </c>
      <c r="U52" s="360">
        <v>1996</v>
      </c>
      <c r="V52" s="360" t="s">
        <v>17</v>
      </c>
      <c r="W52" s="360" t="s">
        <v>18</v>
      </c>
      <c r="X52" s="360">
        <v>24</v>
      </c>
      <c r="Y52" s="360" t="s">
        <v>48</v>
      </c>
      <c r="Z52" s="360">
        <v>1</v>
      </c>
      <c r="AA52" s="360">
        <v>8</v>
      </c>
      <c r="AB52" s="360">
        <v>12.5</v>
      </c>
      <c r="AD52" s="358" t="str">
        <f t="shared" si="5"/>
        <v>200610AllSexAllEth19Tairawhiti</v>
      </c>
      <c r="AE52" t="s">
        <v>17</v>
      </c>
      <c r="AF52" t="s">
        <v>27</v>
      </c>
      <c r="AG52">
        <v>19</v>
      </c>
      <c r="AH52">
        <v>8</v>
      </c>
      <c r="AI52" t="s">
        <v>61</v>
      </c>
      <c r="AJ52">
        <v>44</v>
      </c>
      <c r="AK52">
        <v>20.612199823155699</v>
      </c>
      <c r="AL52">
        <v>8</v>
      </c>
      <c r="AM52" t="s">
        <v>84</v>
      </c>
      <c r="AN52">
        <v>200610</v>
      </c>
      <c r="AQ52" t="str">
        <f t="shared" si="2"/>
        <v>2005AllSexRural22</v>
      </c>
      <c r="AR52">
        <v>2005</v>
      </c>
      <c r="AS52" t="s">
        <v>17</v>
      </c>
      <c r="AT52" t="s">
        <v>96</v>
      </c>
      <c r="AU52">
        <v>22</v>
      </c>
      <c r="AV52">
        <v>13</v>
      </c>
      <c r="AW52">
        <v>21.544580709313902</v>
      </c>
      <c r="AX52">
        <v>11.7</v>
      </c>
      <c r="AZ52" t="str">
        <f t="shared" si="6"/>
        <v>2015AllSexMaori3</v>
      </c>
      <c r="BA52">
        <v>2015</v>
      </c>
      <c r="BB52" t="s">
        <v>17</v>
      </c>
      <c r="BC52" t="s">
        <v>18</v>
      </c>
      <c r="BD52">
        <v>3</v>
      </c>
      <c r="BE52">
        <v>4</v>
      </c>
      <c r="BF52">
        <v>5.6322162771050399</v>
      </c>
      <c r="BG52" s="83">
        <v>5.5</v>
      </c>
      <c r="BH52">
        <v>10</v>
      </c>
      <c r="BI52">
        <v>40</v>
      </c>
      <c r="BK52" t="str">
        <f t="shared" si="10"/>
        <v>AllSexMaori25</v>
      </c>
      <c r="BL52" t="s">
        <v>17</v>
      </c>
      <c r="BM52" t="s">
        <v>18</v>
      </c>
      <c r="BN52">
        <v>25</v>
      </c>
      <c r="BO52">
        <v>1</v>
      </c>
      <c r="BP52">
        <v>0.54731541787532201</v>
      </c>
      <c r="BQ52">
        <v>1.1000000000000001</v>
      </c>
      <c r="BS52" t="str">
        <f t="shared" si="7"/>
        <v>MaleMaori194</v>
      </c>
      <c r="BT52" t="s">
        <v>20</v>
      </c>
      <c r="BU52" t="s">
        <v>18</v>
      </c>
      <c r="BV52">
        <v>19</v>
      </c>
      <c r="BW52">
        <v>4</v>
      </c>
      <c r="BX52">
        <v>87</v>
      </c>
      <c r="BY52">
        <v>23.445197123389999</v>
      </c>
      <c r="BZ52">
        <v>4.9000000000000004</v>
      </c>
      <c r="CB52" t="str">
        <f t="shared" si="8"/>
        <v>AllSexAsian22Poisoning by gases and vapours</v>
      </c>
      <c r="CC52" t="s">
        <v>17</v>
      </c>
      <c r="CD52" t="s">
        <v>78</v>
      </c>
      <c r="CE52" t="s">
        <v>46</v>
      </c>
      <c r="CF52">
        <v>22</v>
      </c>
      <c r="CG52">
        <v>1</v>
      </c>
      <c r="CH52">
        <v>27</v>
      </c>
      <c r="CI52">
        <v>3.7</v>
      </c>
      <c r="CL52" t="str">
        <f t="shared" si="9"/>
        <v>2006FemaleMaori9</v>
      </c>
      <c r="CM52">
        <v>2006</v>
      </c>
      <c r="CN52" t="s">
        <v>8</v>
      </c>
      <c r="CO52" t="s">
        <v>18</v>
      </c>
      <c r="CP52">
        <v>9</v>
      </c>
      <c r="CQ52">
        <v>4</v>
      </c>
    </row>
    <row r="53" spans="1:95" x14ac:dyDescent="0.2">
      <c r="A53" t="str">
        <f t="shared" si="0"/>
        <v>2005AllSexNon-Maori19</v>
      </c>
      <c r="B53">
        <v>2005</v>
      </c>
      <c r="C53" t="s">
        <v>17</v>
      </c>
      <c r="D53" t="s">
        <v>19</v>
      </c>
      <c r="E53">
        <v>19</v>
      </c>
      <c r="F53">
        <v>410</v>
      </c>
      <c r="G53">
        <v>10.916375074971301</v>
      </c>
      <c r="H53">
        <v>1.1000000000000001</v>
      </c>
      <c r="J53" s="358" t="str">
        <f t="shared" si="1"/>
        <v>2010AllSexAllEth195</v>
      </c>
      <c r="K53" s="359">
        <v>2010</v>
      </c>
      <c r="L53" t="s">
        <v>17</v>
      </c>
      <c r="M53" t="s">
        <v>27</v>
      </c>
      <c r="N53">
        <v>19</v>
      </c>
      <c r="O53">
        <v>5</v>
      </c>
      <c r="P53">
        <v>125</v>
      </c>
      <c r="Q53">
        <v>14.8468642902606</v>
      </c>
      <c r="R53">
        <v>2.6</v>
      </c>
      <c r="T53" s="358" t="str">
        <f t="shared" si="4"/>
        <v>1996AllSexNon-Maori22Firearms and explosives</v>
      </c>
      <c r="U53" s="360">
        <v>1996</v>
      </c>
      <c r="V53" s="360" t="s">
        <v>17</v>
      </c>
      <c r="W53" s="360" t="s">
        <v>19</v>
      </c>
      <c r="X53" s="360">
        <v>22</v>
      </c>
      <c r="Y53" s="360" t="s">
        <v>42</v>
      </c>
      <c r="Z53" s="360">
        <v>8</v>
      </c>
      <c r="AA53" s="360">
        <v>104</v>
      </c>
      <c r="AB53" s="360">
        <v>7.7</v>
      </c>
      <c r="AD53" s="358" t="str">
        <f t="shared" si="5"/>
        <v>200610AllSexAllEth19Hawke's Bay</v>
      </c>
      <c r="AE53" t="s">
        <v>17</v>
      </c>
      <c r="AF53" t="s">
        <v>27</v>
      </c>
      <c r="AG53">
        <v>19</v>
      </c>
      <c r="AH53">
        <v>9</v>
      </c>
      <c r="AI53" t="s">
        <v>62</v>
      </c>
      <c r="AJ53">
        <v>110</v>
      </c>
      <c r="AK53">
        <v>14.6467337452899</v>
      </c>
      <c r="AL53">
        <v>3.6</v>
      </c>
      <c r="AM53" t="s">
        <v>82</v>
      </c>
      <c r="AN53">
        <v>200610</v>
      </c>
      <c r="AQ53" t="str">
        <f t="shared" si="2"/>
        <v>2005AllSexUrban22</v>
      </c>
      <c r="AR53">
        <v>2005</v>
      </c>
      <c r="AS53" t="s">
        <v>17</v>
      </c>
      <c r="AT53" t="s">
        <v>97</v>
      </c>
      <c r="AU53">
        <v>22</v>
      </c>
      <c r="AV53">
        <v>93</v>
      </c>
      <c r="AW53">
        <v>17.413773733288402</v>
      </c>
      <c r="AX53">
        <v>3.5</v>
      </c>
      <c r="AZ53" t="str">
        <f t="shared" si="6"/>
        <v>2015AllSexMaori4</v>
      </c>
      <c r="BA53">
        <v>2015</v>
      </c>
      <c r="BB53" t="s">
        <v>17</v>
      </c>
      <c r="BC53" t="s">
        <v>18</v>
      </c>
      <c r="BD53">
        <v>4</v>
      </c>
      <c r="BE53">
        <v>22</v>
      </c>
      <c r="BF53">
        <v>31.223389156968501</v>
      </c>
      <c r="BG53" s="83">
        <v>13</v>
      </c>
      <c r="BH53">
        <v>54</v>
      </c>
      <c r="BI53">
        <v>40.700000000000003</v>
      </c>
      <c r="BK53" t="str">
        <f t="shared" si="10"/>
        <v>AllSexPacific25</v>
      </c>
      <c r="BL53" t="s">
        <v>17</v>
      </c>
      <c r="BM53" t="s">
        <v>79</v>
      </c>
      <c r="BN53">
        <v>25</v>
      </c>
      <c r="BO53">
        <v>3</v>
      </c>
      <c r="BP53">
        <v>3.7561036684612499</v>
      </c>
      <c r="BQ53">
        <v>4.3</v>
      </c>
      <c r="BS53" t="str">
        <f t="shared" si="7"/>
        <v>MaleMaori195</v>
      </c>
      <c r="BT53" t="s">
        <v>20</v>
      </c>
      <c r="BU53" t="s">
        <v>18</v>
      </c>
      <c r="BV53">
        <v>19</v>
      </c>
      <c r="BW53">
        <v>5</v>
      </c>
      <c r="BX53">
        <v>166</v>
      </c>
      <c r="BY53">
        <v>29.0102287596713</v>
      </c>
      <c r="BZ53">
        <v>4.4000000000000004</v>
      </c>
      <c r="CB53" t="str">
        <f t="shared" si="8"/>
        <v>AllSexAsian23Poisoning by gases and vapours</v>
      </c>
      <c r="CC53" t="s">
        <v>17</v>
      </c>
      <c r="CD53" t="s">
        <v>78</v>
      </c>
      <c r="CE53" t="s">
        <v>46</v>
      </c>
      <c r="CF53">
        <v>23</v>
      </c>
      <c r="CG53">
        <v>3</v>
      </c>
      <c r="CH53">
        <v>45</v>
      </c>
      <c r="CI53">
        <v>6.7</v>
      </c>
      <c r="CL53" t="str">
        <f t="shared" si="9"/>
        <v>2006FemaleNon-Maori9</v>
      </c>
      <c r="CM53">
        <v>2006</v>
      </c>
      <c r="CN53" t="s">
        <v>8</v>
      </c>
      <c r="CO53" t="s">
        <v>19</v>
      </c>
      <c r="CP53">
        <v>9</v>
      </c>
      <c r="CQ53">
        <v>18</v>
      </c>
    </row>
    <row r="54" spans="1:95" x14ac:dyDescent="0.2">
      <c r="A54" t="str">
        <f t="shared" si="0"/>
        <v>2006AllSexNon-Maori19</v>
      </c>
      <c r="B54">
        <v>2006</v>
      </c>
      <c r="C54" t="s">
        <v>17</v>
      </c>
      <c r="D54" t="s">
        <v>19</v>
      </c>
      <c r="E54">
        <v>19</v>
      </c>
      <c r="F54">
        <v>416</v>
      </c>
      <c r="G54">
        <v>10.9315740531038</v>
      </c>
      <c r="H54">
        <v>1.1000000000000001</v>
      </c>
      <c r="J54" s="358" t="str">
        <f t="shared" si="1"/>
        <v>2011AllSexAllEth191</v>
      </c>
      <c r="K54" s="359">
        <v>2011</v>
      </c>
      <c r="L54" t="s">
        <v>17</v>
      </c>
      <c r="M54" t="s">
        <v>27</v>
      </c>
      <c r="N54">
        <v>19</v>
      </c>
      <c r="O54">
        <v>1</v>
      </c>
      <c r="P54">
        <v>75</v>
      </c>
      <c r="Q54">
        <v>8.0826555842724197</v>
      </c>
      <c r="R54">
        <v>1.8</v>
      </c>
      <c r="T54" s="358" t="str">
        <f t="shared" si="4"/>
        <v>1996AllSexNon-Maori23Firearms and explosives</v>
      </c>
      <c r="U54" s="360">
        <v>1996</v>
      </c>
      <c r="V54" s="360" t="s">
        <v>17</v>
      </c>
      <c r="W54" s="360" t="s">
        <v>19</v>
      </c>
      <c r="X54" s="360">
        <v>23</v>
      </c>
      <c r="Y54" s="360" t="s">
        <v>42</v>
      </c>
      <c r="Z54" s="360">
        <v>17</v>
      </c>
      <c r="AA54" s="360">
        <v>177</v>
      </c>
      <c r="AB54" s="360">
        <v>9.6</v>
      </c>
      <c r="AD54" s="358" t="str">
        <f t="shared" si="5"/>
        <v>200610AllSexAllEth19Taranaki</v>
      </c>
      <c r="AE54" t="s">
        <v>17</v>
      </c>
      <c r="AF54" t="s">
        <v>27</v>
      </c>
      <c r="AG54">
        <v>19</v>
      </c>
      <c r="AH54">
        <v>10</v>
      </c>
      <c r="AI54" t="s">
        <v>63</v>
      </c>
      <c r="AJ54">
        <v>74</v>
      </c>
      <c r="AK54">
        <v>13.548407113792599</v>
      </c>
      <c r="AL54">
        <v>4.0999999999999996</v>
      </c>
      <c r="AM54" t="s">
        <v>82</v>
      </c>
      <c r="AN54">
        <v>200610</v>
      </c>
      <c r="AQ54" t="str">
        <f t="shared" si="2"/>
        <v>2005AllSexRural23</v>
      </c>
      <c r="AR54">
        <v>2005</v>
      </c>
      <c r="AS54" t="s">
        <v>17</v>
      </c>
      <c r="AT54" t="s">
        <v>96</v>
      </c>
      <c r="AU54">
        <v>23</v>
      </c>
      <c r="AV54">
        <v>38</v>
      </c>
      <c r="AW54">
        <v>24.380854613114298</v>
      </c>
      <c r="AX54">
        <v>7.8</v>
      </c>
      <c r="AZ54" t="str">
        <f t="shared" si="6"/>
        <v>2015AllSexMaori5</v>
      </c>
      <c r="BA54">
        <v>2015</v>
      </c>
      <c r="BB54" t="s">
        <v>17</v>
      </c>
      <c r="BC54" t="s">
        <v>18</v>
      </c>
      <c r="BD54">
        <v>5</v>
      </c>
      <c r="BE54">
        <v>20</v>
      </c>
      <c r="BF54">
        <v>32.456994482310897</v>
      </c>
      <c r="BG54" s="83">
        <v>14.2</v>
      </c>
      <c r="BH54">
        <v>50</v>
      </c>
      <c r="BI54">
        <v>40</v>
      </c>
      <c r="BK54" t="str">
        <f t="shared" si="10"/>
        <v>AllSexAsian25</v>
      </c>
      <c r="BL54" t="s">
        <v>17</v>
      </c>
      <c r="BM54" t="s">
        <v>78</v>
      </c>
      <c r="BN54">
        <v>25</v>
      </c>
      <c r="BO54">
        <v>15</v>
      </c>
      <c r="BP54">
        <v>9.2438528378628195</v>
      </c>
      <c r="BQ54">
        <v>4.7</v>
      </c>
      <c r="BS54" t="str">
        <f t="shared" si="7"/>
        <v>MaleOther191</v>
      </c>
      <c r="BT54" t="s">
        <v>20</v>
      </c>
      <c r="BU54" t="s">
        <v>45</v>
      </c>
      <c r="BV54">
        <v>19</v>
      </c>
      <c r="BW54">
        <v>1</v>
      </c>
      <c r="BX54">
        <v>233</v>
      </c>
      <c r="BY54">
        <v>12.213353228232201</v>
      </c>
      <c r="BZ54">
        <v>1.6</v>
      </c>
      <c r="CB54" t="str">
        <f t="shared" si="8"/>
        <v>AllSexAsian24Poisoning by gases and vapours</v>
      </c>
      <c r="CC54" t="s">
        <v>17</v>
      </c>
      <c r="CD54" t="s">
        <v>78</v>
      </c>
      <c r="CE54" t="s">
        <v>46</v>
      </c>
      <c r="CF54">
        <v>24</v>
      </c>
      <c r="CG54">
        <v>2</v>
      </c>
      <c r="CH54">
        <v>39</v>
      </c>
      <c r="CI54">
        <v>5.0999999999999996</v>
      </c>
      <c r="CL54" t="str">
        <f t="shared" si="9"/>
        <v>2006MaleAllEth9</v>
      </c>
      <c r="CM54">
        <v>2006</v>
      </c>
      <c r="CN54" t="s">
        <v>20</v>
      </c>
      <c r="CO54" t="s">
        <v>27</v>
      </c>
      <c r="CP54">
        <v>9</v>
      </c>
      <c r="CQ54">
        <v>26</v>
      </c>
    </row>
    <row r="55" spans="1:95" x14ac:dyDescent="0.2">
      <c r="A55" t="str">
        <f t="shared" si="0"/>
        <v>2007AllSexNon-Maori19</v>
      </c>
      <c r="B55">
        <v>2007</v>
      </c>
      <c r="C55" t="s">
        <v>17</v>
      </c>
      <c r="D55" t="s">
        <v>19</v>
      </c>
      <c r="E55">
        <v>19</v>
      </c>
      <c r="F55">
        <v>404</v>
      </c>
      <c r="G55">
        <v>10.318814507971201</v>
      </c>
      <c r="H55">
        <v>1</v>
      </c>
      <c r="J55" s="358" t="str">
        <f t="shared" si="1"/>
        <v>2011AllSexAllEth192</v>
      </c>
      <c r="K55" s="359">
        <v>2011</v>
      </c>
      <c r="L55" t="s">
        <v>17</v>
      </c>
      <c r="M55" t="s">
        <v>27</v>
      </c>
      <c r="N55">
        <v>19</v>
      </c>
      <c r="O55">
        <v>2</v>
      </c>
      <c r="P55">
        <v>76</v>
      </c>
      <c r="Q55">
        <v>8.6197586162676494</v>
      </c>
      <c r="R55">
        <v>1.9</v>
      </c>
      <c r="T55" s="358" t="str">
        <f t="shared" si="4"/>
        <v>1996AllSexNon-Maori24Firearms and explosives</v>
      </c>
      <c r="U55" s="360">
        <v>1996</v>
      </c>
      <c r="V55" s="360" t="s">
        <v>17</v>
      </c>
      <c r="W55" s="360" t="s">
        <v>19</v>
      </c>
      <c r="X55" s="360">
        <v>24</v>
      </c>
      <c r="Y55" s="360" t="s">
        <v>42</v>
      </c>
      <c r="Z55" s="360">
        <v>9</v>
      </c>
      <c r="AA55" s="360">
        <v>94</v>
      </c>
      <c r="AB55" s="360">
        <v>9.6</v>
      </c>
      <c r="AD55" s="358" t="str">
        <f t="shared" si="5"/>
        <v>200610AllSexAllEth19MidCentral</v>
      </c>
      <c r="AE55" t="s">
        <v>17</v>
      </c>
      <c r="AF55" t="s">
        <v>27</v>
      </c>
      <c r="AG55">
        <v>19</v>
      </c>
      <c r="AH55">
        <v>11</v>
      </c>
      <c r="AI55" t="s">
        <v>64</v>
      </c>
      <c r="AJ55">
        <v>121</v>
      </c>
      <c r="AK55">
        <v>14.3784077614648</v>
      </c>
      <c r="AL55">
        <v>3.4</v>
      </c>
      <c r="AM55" t="s">
        <v>82</v>
      </c>
      <c r="AN55">
        <v>200610</v>
      </c>
      <c r="AQ55" t="str">
        <f t="shared" si="2"/>
        <v>2005AllSexUrban23</v>
      </c>
      <c r="AR55">
        <v>2005</v>
      </c>
      <c r="AS55" t="s">
        <v>17</v>
      </c>
      <c r="AT55" t="s">
        <v>97</v>
      </c>
      <c r="AU55">
        <v>23</v>
      </c>
      <c r="AV55">
        <v>175</v>
      </c>
      <c r="AW55">
        <v>17.067675772678101</v>
      </c>
      <c r="AX55">
        <v>2.5</v>
      </c>
      <c r="AZ55" t="str">
        <f t="shared" si="6"/>
        <v>2015AllSexMaori6</v>
      </c>
      <c r="BA55">
        <v>2015</v>
      </c>
      <c r="BB55" t="s">
        <v>17</v>
      </c>
      <c r="BC55" t="s">
        <v>18</v>
      </c>
      <c r="BD55">
        <v>6</v>
      </c>
      <c r="BE55">
        <v>18</v>
      </c>
      <c r="BF55">
        <v>36.817345060339498</v>
      </c>
      <c r="BG55" s="83">
        <v>17</v>
      </c>
      <c r="BH55">
        <v>55</v>
      </c>
      <c r="BI55">
        <v>32.700000000000003</v>
      </c>
      <c r="BK55" t="str">
        <f t="shared" si="10"/>
        <v>AllSexOther25</v>
      </c>
      <c r="BL55" t="s">
        <v>17</v>
      </c>
      <c r="BM55" t="s">
        <v>45</v>
      </c>
      <c r="BN55">
        <v>25</v>
      </c>
      <c r="BO55">
        <v>263</v>
      </c>
      <c r="BP55">
        <v>9.7434111571319502</v>
      </c>
      <c r="BQ55">
        <v>1.2</v>
      </c>
      <c r="BS55" t="str">
        <f t="shared" si="7"/>
        <v>MaleOther192</v>
      </c>
      <c r="BT55" t="s">
        <v>20</v>
      </c>
      <c r="BU55" t="s">
        <v>45</v>
      </c>
      <c r="BV55">
        <v>19</v>
      </c>
      <c r="BW55">
        <v>2</v>
      </c>
      <c r="BX55">
        <v>241</v>
      </c>
      <c r="BY55">
        <v>13.425956501226599</v>
      </c>
      <c r="BZ55">
        <v>1.7</v>
      </c>
      <c r="CB55" t="str">
        <f t="shared" si="8"/>
        <v>AllSexAsian22Poisoning by solids and liquids</v>
      </c>
      <c r="CC55" t="s">
        <v>17</v>
      </c>
      <c r="CD55" t="s">
        <v>78</v>
      </c>
      <c r="CE55" t="s">
        <v>47</v>
      </c>
      <c r="CF55">
        <v>22</v>
      </c>
      <c r="CG55">
        <v>1</v>
      </c>
      <c r="CH55">
        <v>27</v>
      </c>
      <c r="CI55">
        <v>3.7</v>
      </c>
      <c r="CL55" t="str">
        <f t="shared" si="9"/>
        <v>2006MaleNon-Maori9</v>
      </c>
      <c r="CM55">
        <v>2006</v>
      </c>
      <c r="CN55" t="s">
        <v>20</v>
      </c>
      <c r="CO55" t="s">
        <v>19</v>
      </c>
      <c r="CP55">
        <v>9</v>
      </c>
      <c r="CQ55">
        <v>26</v>
      </c>
    </row>
    <row r="56" spans="1:95" x14ac:dyDescent="0.2">
      <c r="A56" t="str">
        <f t="shared" si="0"/>
        <v>2008AllSexNon-Maori19</v>
      </c>
      <c r="B56">
        <v>2008</v>
      </c>
      <c r="C56" t="s">
        <v>17</v>
      </c>
      <c r="D56" t="s">
        <v>19</v>
      </c>
      <c r="E56">
        <v>19</v>
      </c>
      <c r="F56">
        <v>431</v>
      </c>
      <c r="G56">
        <v>11.1639267014209</v>
      </c>
      <c r="H56">
        <v>1.1000000000000001</v>
      </c>
      <c r="J56" s="358" t="str">
        <f t="shared" si="1"/>
        <v>2011AllSexAllEth193</v>
      </c>
      <c r="K56" s="359">
        <v>2011</v>
      </c>
      <c r="L56" t="s">
        <v>17</v>
      </c>
      <c r="M56" t="s">
        <v>27</v>
      </c>
      <c r="N56">
        <v>19</v>
      </c>
      <c r="O56">
        <v>3</v>
      </c>
      <c r="P56">
        <v>104</v>
      </c>
      <c r="Q56">
        <v>11.2842380302409</v>
      </c>
      <c r="R56">
        <v>2.2000000000000002</v>
      </c>
      <c r="T56" s="358" t="str">
        <f t="shared" si="4"/>
        <v>1996AllSexNon-Maori25Firearms and explosives</v>
      </c>
      <c r="U56" s="360">
        <v>1996</v>
      </c>
      <c r="V56" s="360" t="s">
        <v>17</v>
      </c>
      <c r="W56" s="360" t="s">
        <v>19</v>
      </c>
      <c r="X56" s="360">
        <v>25</v>
      </c>
      <c r="Y56" s="360" t="s">
        <v>42</v>
      </c>
      <c r="Z56" s="360">
        <v>9</v>
      </c>
      <c r="AA56" s="360">
        <v>65</v>
      </c>
      <c r="AB56" s="360">
        <v>13.8</v>
      </c>
      <c r="AD56" s="358" t="str">
        <f t="shared" si="5"/>
        <v>200610AllSexAllEth19Whanganui</v>
      </c>
      <c r="AE56" t="s">
        <v>17</v>
      </c>
      <c r="AF56" t="s">
        <v>27</v>
      </c>
      <c r="AG56">
        <v>19</v>
      </c>
      <c r="AH56">
        <v>12</v>
      </c>
      <c r="AI56" t="s">
        <v>65</v>
      </c>
      <c r="AJ56">
        <v>51</v>
      </c>
      <c r="AK56">
        <v>17.021282945058999</v>
      </c>
      <c r="AL56">
        <v>6.1</v>
      </c>
      <c r="AM56" t="s">
        <v>82</v>
      </c>
      <c r="AN56">
        <v>200610</v>
      </c>
      <c r="AQ56" t="str">
        <f t="shared" si="2"/>
        <v>2005AllSexRural24</v>
      </c>
      <c r="AR56">
        <v>2005</v>
      </c>
      <c r="AS56" t="s">
        <v>17</v>
      </c>
      <c r="AT56" t="s">
        <v>96</v>
      </c>
      <c r="AU56">
        <v>24</v>
      </c>
      <c r="AV56">
        <v>22</v>
      </c>
      <c r="AW56">
        <v>13.389325056296</v>
      </c>
      <c r="AX56">
        <v>5.6</v>
      </c>
      <c r="AZ56" t="str">
        <f t="shared" si="6"/>
        <v>2015AllSexMaori7</v>
      </c>
      <c r="BA56">
        <v>2015</v>
      </c>
      <c r="BB56" t="s">
        <v>17</v>
      </c>
      <c r="BC56" t="s">
        <v>18</v>
      </c>
      <c r="BD56">
        <v>7</v>
      </c>
      <c r="BE56">
        <v>17</v>
      </c>
      <c r="BF56">
        <v>42.2675285927399</v>
      </c>
      <c r="BG56" s="83">
        <v>20.100000000000001</v>
      </c>
      <c r="BH56">
        <v>68</v>
      </c>
      <c r="BI56">
        <v>25</v>
      </c>
      <c r="BK56" t="str">
        <f t="shared" si="10"/>
        <v>FemaleMaori25</v>
      </c>
      <c r="BL56" t="s">
        <v>8</v>
      </c>
      <c r="BM56" t="s">
        <v>18</v>
      </c>
      <c r="BN56">
        <v>25</v>
      </c>
      <c r="BO56">
        <v>0</v>
      </c>
      <c r="BP56">
        <v>0</v>
      </c>
      <c r="BS56" t="str">
        <f t="shared" si="7"/>
        <v>MaleOther193</v>
      </c>
      <c r="BT56" t="s">
        <v>20</v>
      </c>
      <c r="BU56" t="s">
        <v>45</v>
      </c>
      <c r="BV56">
        <v>19</v>
      </c>
      <c r="BW56">
        <v>3</v>
      </c>
      <c r="BX56">
        <v>299</v>
      </c>
      <c r="BY56">
        <v>17.292212500909599</v>
      </c>
      <c r="BZ56">
        <v>2</v>
      </c>
      <c r="CB56" t="str">
        <f t="shared" si="8"/>
        <v>AllSexAsian23Poisoning by solids and liquids</v>
      </c>
      <c r="CC56" t="s">
        <v>17</v>
      </c>
      <c r="CD56" t="s">
        <v>78</v>
      </c>
      <c r="CE56" t="s">
        <v>47</v>
      </c>
      <c r="CF56">
        <v>23</v>
      </c>
      <c r="CG56">
        <v>1</v>
      </c>
      <c r="CH56">
        <v>45</v>
      </c>
      <c r="CI56">
        <v>2.2000000000000002</v>
      </c>
      <c r="CL56" t="str">
        <f t="shared" si="9"/>
        <v>2007AllSexAllEth9</v>
      </c>
      <c r="CM56">
        <v>2007</v>
      </c>
      <c r="CN56" t="s">
        <v>17</v>
      </c>
      <c r="CO56" t="s">
        <v>27</v>
      </c>
      <c r="CP56">
        <v>9</v>
      </c>
      <c r="CQ56">
        <v>44</v>
      </c>
    </row>
    <row r="57" spans="1:95" x14ac:dyDescent="0.2">
      <c r="A57" t="str">
        <f t="shared" si="0"/>
        <v>2009AllSexNon-Maori19</v>
      </c>
      <c r="B57">
        <v>2009</v>
      </c>
      <c r="C57" t="s">
        <v>17</v>
      </c>
      <c r="D57" t="s">
        <v>19</v>
      </c>
      <c r="E57">
        <v>19</v>
      </c>
      <c r="F57">
        <v>429</v>
      </c>
      <c r="G57">
        <v>10.9175102802797</v>
      </c>
      <c r="H57">
        <v>1</v>
      </c>
      <c r="J57" s="358" t="str">
        <f t="shared" si="1"/>
        <v>2011AllSexAllEth194</v>
      </c>
      <c r="K57" s="359">
        <v>2011</v>
      </c>
      <c r="L57" t="s">
        <v>17</v>
      </c>
      <c r="M57" t="s">
        <v>27</v>
      </c>
      <c r="N57">
        <v>19</v>
      </c>
      <c r="O57">
        <v>4</v>
      </c>
      <c r="P57">
        <v>89</v>
      </c>
      <c r="Q57">
        <v>10.0472677723016</v>
      </c>
      <c r="R57">
        <v>2.1</v>
      </c>
      <c r="T57" s="358" t="str">
        <f t="shared" si="4"/>
        <v>1996AllSexNon-Maori21Hanging, strangulation and suffocation</v>
      </c>
      <c r="U57" s="360">
        <v>1996</v>
      </c>
      <c r="V57" s="360" t="s">
        <v>17</v>
      </c>
      <c r="W57" s="360" t="s">
        <v>19</v>
      </c>
      <c r="X57" s="360">
        <v>21</v>
      </c>
      <c r="Y57" s="360" t="s">
        <v>43</v>
      </c>
      <c r="Z57" s="360">
        <v>3</v>
      </c>
      <c r="AA57" s="360">
        <v>3</v>
      </c>
      <c r="AB57" s="360">
        <v>100</v>
      </c>
      <c r="AD57" s="358" t="str">
        <f t="shared" si="5"/>
        <v>200610AllSexAllEth19Capital &amp; Coast</v>
      </c>
      <c r="AE57" t="s">
        <v>17</v>
      </c>
      <c r="AF57" t="s">
        <v>27</v>
      </c>
      <c r="AG57">
        <v>19</v>
      </c>
      <c r="AH57">
        <v>13</v>
      </c>
      <c r="AI57" t="s">
        <v>66</v>
      </c>
      <c r="AJ57">
        <v>121</v>
      </c>
      <c r="AK57">
        <v>8.0692533796053194</v>
      </c>
      <c r="AL57">
        <v>1.9</v>
      </c>
      <c r="AM57" t="s">
        <v>83</v>
      </c>
      <c r="AN57">
        <v>200610</v>
      </c>
      <c r="AQ57" t="str">
        <f t="shared" si="2"/>
        <v>2005AllSexUrban24</v>
      </c>
      <c r="AR57">
        <v>2005</v>
      </c>
      <c r="AS57" t="s">
        <v>17</v>
      </c>
      <c r="AT57" t="s">
        <v>97</v>
      </c>
      <c r="AU57">
        <v>24</v>
      </c>
      <c r="AV57">
        <v>112</v>
      </c>
      <c r="AW57">
        <v>13.886478042006599</v>
      </c>
      <c r="AX57">
        <v>2.6</v>
      </c>
      <c r="AZ57" t="str">
        <f t="shared" si="6"/>
        <v>2015AllSexMaori8</v>
      </c>
      <c r="BA57">
        <v>2015</v>
      </c>
      <c r="BB57" t="s">
        <v>17</v>
      </c>
      <c r="BC57" t="s">
        <v>18</v>
      </c>
      <c r="BD57">
        <v>8</v>
      </c>
      <c r="BE57">
        <v>11</v>
      </c>
      <c r="BF57">
        <v>28.169014084507001</v>
      </c>
      <c r="BG57" s="83">
        <v>16.600000000000001</v>
      </c>
      <c r="BH57">
        <v>57</v>
      </c>
      <c r="BI57">
        <v>19.3</v>
      </c>
      <c r="BK57" t="str">
        <f t="shared" si="10"/>
        <v>FemalePacific25</v>
      </c>
      <c r="BL57" t="s">
        <v>8</v>
      </c>
      <c r="BM57" t="s">
        <v>79</v>
      </c>
      <c r="BN57">
        <v>25</v>
      </c>
      <c r="BO57">
        <v>1</v>
      </c>
      <c r="BP57">
        <v>2.2737608003637999</v>
      </c>
      <c r="BQ57">
        <v>4.5</v>
      </c>
      <c r="BS57" t="str">
        <f t="shared" si="7"/>
        <v>MaleOther194</v>
      </c>
      <c r="BT57" t="s">
        <v>20</v>
      </c>
      <c r="BU57" t="s">
        <v>45</v>
      </c>
      <c r="BV57">
        <v>19</v>
      </c>
      <c r="BW57">
        <v>4</v>
      </c>
      <c r="BX57">
        <v>292</v>
      </c>
      <c r="BY57">
        <v>20.2181668169038</v>
      </c>
      <c r="BZ57">
        <v>2.2999999999999998</v>
      </c>
      <c r="CB57" t="str">
        <f t="shared" si="8"/>
        <v>AllSexAsian24Poisoning by solids and liquids</v>
      </c>
      <c r="CC57" t="s">
        <v>17</v>
      </c>
      <c r="CD57" t="s">
        <v>78</v>
      </c>
      <c r="CE57" t="s">
        <v>47</v>
      </c>
      <c r="CF57">
        <v>24</v>
      </c>
      <c r="CG57">
        <v>7</v>
      </c>
      <c r="CH57">
        <v>39</v>
      </c>
      <c r="CI57">
        <v>17.899999999999999</v>
      </c>
      <c r="CL57" t="str">
        <f t="shared" si="9"/>
        <v>2007AllSexMaori9</v>
      </c>
      <c r="CM57">
        <v>2007</v>
      </c>
      <c r="CN57" t="s">
        <v>17</v>
      </c>
      <c r="CO57" t="s">
        <v>18</v>
      </c>
      <c r="CP57">
        <v>9</v>
      </c>
      <c r="CQ57">
        <v>2</v>
      </c>
    </row>
    <row r="58" spans="1:95" x14ac:dyDescent="0.2">
      <c r="A58" t="str">
        <f t="shared" si="0"/>
        <v>2010AllSexNon-Maori19</v>
      </c>
      <c r="B58">
        <v>2010</v>
      </c>
      <c r="C58" t="s">
        <v>17</v>
      </c>
      <c r="D58" t="s">
        <v>19</v>
      </c>
      <c r="E58">
        <v>19</v>
      </c>
      <c r="F58">
        <v>432</v>
      </c>
      <c r="G58">
        <v>10.8724229875909</v>
      </c>
      <c r="H58">
        <v>1</v>
      </c>
      <c r="J58" s="358" t="str">
        <f t="shared" si="1"/>
        <v>2011AllSexAllEth195</v>
      </c>
      <c r="K58" s="359">
        <v>2011</v>
      </c>
      <c r="L58" t="s">
        <v>17</v>
      </c>
      <c r="M58" t="s">
        <v>27</v>
      </c>
      <c r="N58">
        <v>19</v>
      </c>
      <c r="O58">
        <v>5</v>
      </c>
      <c r="P58">
        <v>136</v>
      </c>
      <c r="Q58">
        <v>15.957499301362001</v>
      </c>
      <c r="R58">
        <v>2.7</v>
      </c>
      <c r="T58" s="358" t="str">
        <f t="shared" si="4"/>
        <v>1996AllSexNon-Maori22Hanging, strangulation and suffocation</v>
      </c>
      <c r="U58" s="360">
        <v>1996</v>
      </c>
      <c r="V58" s="360" t="s">
        <v>17</v>
      </c>
      <c r="W58" s="360" t="s">
        <v>19</v>
      </c>
      <c r="X58" s="360">
        <v>22</v>
      </c>
      <c r="Y58" s="360" t="s">
        <v>43</v>
      </c>
      <c r="Z58" s="360">
        <v>54</v>
      </c>
      <c r="AA58" s="360">
        <v>104</v>
      </c>
      <c r="AB58" s="360">
        <v>51.9</v>
      </c>
      <c r="AD58" s="358" t="str">
        <f t="shared" si="5"/>
        <v>200610AllSexAllEth19Hutt Valley</v>
      </c>
      <c r="AE58" t="s">
        <v>17</v>
      </c>
      <c r="AF58" t="s">
        <v>27</v>
      </c>
      <c r="AG58">
        <v>19</v>
      </c>
      <c r="AH58">
        <v>14</v>
      </c>
      <c r="AI58" t="s">
        <v>67</v>
      </c>
      <c r="AJ58">
        <v>74</v>
      </c>
      <c r="AK58">
        <v>9.8819040402574796</v>
      </c>
      <c r="AL58">
        <v>3</v>
      </c>
      <c r="AM58" t="s">
        <v>82</v>
      </c>
      <c r="AN58">
        <v>200610</v>
      </c>
      <c r="AQ58" t="str">
        <f t="shared" si="2"/>
        <v>2005AllSexRural25</v>
      </c>
      <c r="AR58">
        <v>2005</v>
      </c>
      <c r="AS58" t="s">
        <v>17</v>
      </c>
      <c r="AT58" t="s">
        <v>96</v>
      </c>
      <c r="AU58">
        <v>25</v>
      </c>
      <c r="AV58">
        <v>7</v>
      </c>
      <c r="AW58">
        <v>12.173913043478301</v>
      </c>
      <c r="AX58">
        <v>9</v>
      </c>
      <c r="AZ58" t="str">
        <f t="shared" si="6"/>
        <v>2015AllSexMaori9</v>
      </c>
      <c r="BA58">
        <v>2015</v>
      </c>
      <c r="BB58" t="s">
        <v>17</v>
      </c>
      <c r="BC58" t="s">
        <v>18</v>
      </c>
      <c r="BD58">
        <v>9</v>
      </c>
      <c r="BE58">
        <v>8</v>
      </c>
      <c r="BF58">
        <v>18.881283927307098</v>
      </c>
      <c r="BG58" s="83">
        <v>13.1</v>
      </c>
      <c r="BH58">
        <v>97</v>
      </c>
      <c r="BI58">
        <v>8.1999999999999993</v>
      </c>
      <c r="BK58" t="str">
        <f t="shared" si="10"/>
        <v>FemaleAsian25</v>
      </c>
      <c r="BL58" t="s">
        <v>8</v>
      </c>
      <c r="BM58" t="s">
        <v>78</v>
      </c>
      <c r="BN58">
        <v>25</v>
      </c>
      <c r="BO58">
        <v>9</v>
      </c>
      <c r="BP58">
        <v>10.5584232754575</v>
      </c>
      <c r="BQ58">
        <v>6.9</v>
      </c>
      <c r="BS58" t="str">
        <f t="shared" si="7"/>
        <v>MaleOther195</v>
      </c>
      <c r="BT58" t="s">
        <v>20</v>
      </c>
      <c r="BU58" t="s">
        <v>45</v>
      </c>
      <c r="BV58">
        <v>19</v>
      </c>
      <c r="BW58">
        <v>5</v>
      </c>
      <c r="BX58">
        <v>245</v>
      </c>
      <c r="BY58">
        <v>26.503788792396399</v>
      </c>
      <c r="BZ58">
        <v>3.3</v>
      </c>
      <c r="CB58" t="str">
        <f t="shared" si="8"/>
        <v>AllSexAsian25Poisoning by solids and liquids</v>
      </c>
      <c r="CC58" t="s">
        <v>17</v>
      </c>
      <c r="CD58" t="s">
        <v>78</v>
      </c>
      <c r="CE58" t="s">
        <v>47</v>
      </c>
      <c r="CF58">
        <v>25</v>
      </c>
      <c r="CG58">
        <v>1</v>
      </c>
      <c r="CH58">
        <v>15</v>
      </c>
      <c r="CI58">
        <v>6.7</v>
      </c>
      <c r="CL58" t="str">
        <f t="shared" si="9"/>
        <v>2007AllSexNon-Maori9</v>
      </c>
      <c r="CM58">
        <v>2007</v>
      </c>
      <c r="CN58" t="s">
        <v>17</v>
      </c>
      <c r="CO58" t="s">
        <v>19</v>
      </c>
      <c r="CP58">
        <v>9</v>
      </c>
      <c r="CQ58">
        <v>42</v>
      </c>
    </row>
    <row r="59" spans="1:95" x14ac:dyDescent="0.2">
      <c r="A59" t="str">
        <f t="shared" si="0"/>
        <v>2011AllSexNon-Maori19</v>
      </c>
      <c r="B59">
        <v>2011</v>
      </c>
      <c r="C59" t="s">
        <v>17</v>
      </c>
      <c r="D59" t="s">
        <v>19</v>
      </c>
      <c r="E59">
        <v>19</v>
      </c>
      <c r="F59">
        <v>381</v>
      </c>
      <c r="G59">
        <v>9.6064019829245701</v>
      </c>
      <c r="H59">
        <v>1</v>
      </c>
      <c r="J59" s="358" t="str">
        <f t="shared" si="1"/>
        <v>2012AllSexAllEth191</v>
      </c>
      <c r="K59" s="359">
        <v>2012</v>
      </c>
      <c r="L59" t="s">
        <v>17</v>
      </c>
      <c r="M59" t="s">
        <v>27</v>
      </c>
      <c r="N59">
        <v>19</v>
      </c>
      <c r="O59">
        <v>1</v>
      </c>
      <c r="P59">
        <v>52</v>
      </c>
      <c r="Q59">
        <v>5.8150688207643197</v>
      </c>
      <c r="R59">
        <v>1.6</v>
      </c>
      <c r="T59" s="358" t="str">
        <f t="shared" si="4"/>
        <v>1996AllSexNon-Maori23Hanging, strangulation and suffocation</v>
      </c>
      <c r="U59" s="360">
        <v>1996</v>
      </c>
      <c r="V59" s="360" t="s">
        <v>17</v>
      </c>
      <c r="W59" s="360" t="s">
        <v>19</v>
      </c>
      <c r="X59" s="360">
        <v>23</v>
      </c>
      <c r="Y59" s="360" t="s">
        <v>43</v>
      </c>
      <c r="Z59" s="360">
        <v>61</v>
      </c>
      <c r="AA59" s="360">
        <v>177</v>
      </c>
      <c r="AB59" s="360">
        <v>34.5</v>
      </c>
      <c r="AD59" s="358" t="str">
        <f t="shared" si="5"/>
        <v>200610AllSexAllEth19Wairarapa</v>
      </c>
      <c r="AE59" t="s">
        <v>17</v>
      </c>
      <c r="AF59" t="s">
        <v>27</v>
      </c>
      <c r="AG59">
        <v>19</v>
      </c>
      <c r="AH59">
        <v>15</v>
      </c>
      <c r="AI59" t="s">
        <v>68</v>
      </c>
      <c r="AJ59">
        <v>26</v>
      </c>
      <c r="AK59">
        <v>15.005777356008499</v>
      </c>
      <c r="AL59">
        <v>7.6</v>
      </c>
      <c r="AM59" t="s">
        <v>82</v>
      </c>
      <c r="AN59">
        <v>200610</v>
      </c>
      <c r="AQ59" t="str">
        <f t="shared" si="2"/>
        <v>2005AllSexUrban25</v>
      </c>
      <c r="AR59">
        <v>2005</v>
      </c>
      <c r="AS59" t="s">
        <v>17</v>
      </c>
      <c r="AT59" t="s">
        <v>97</v>
      </c>
      <c r="AU59">
        <v>25</v>
      </c>
      <c r="AV59">
        <v>41</v>
      </c>
      <c r="AW59">
        <v>9.3438774812552694</v>
      </c>
      <c r="AX59">
        <v>2.9</v>
      </c>
      <c r="AZ59" t="str">
        <f t="shared" si="6"/>
        <v>2015AllSexMaori10</v>
      </c>
      <c r="BA59">
        <v>2015</v>
      </c>
      <c r="BB59" t="s">
        <v>17</v>
      </c>
      <c r="BC59" t="s">
        <v>18</v>
      </c>
      <c r="BD59">
        <v>10</v>
      </c>
      <c r="BE59">
        <v>4</v>
      </c>
      <c r="BF59">
        <v>9.9825305714998809</v>
      </c>
      <c r="BG59" s="83">
        <v>9.8000000000000007</v>
      </c>
      <c r="BH59">
        <v>157</v>
      </c>
      <c r="BI59">
        <v>2.5</v>
      </c>
      <c r="BK59" t="str">
        <f t="shared" si="10"/>
        <v>FemaleOther25</v>
      </c>
      <c r="BL59" t="s">
        <v>8</v>
      </c>
      <c r="BM59" t="s">
        <v>45</v>
      </c>
      <c r="BN59">
        <v>25</v>
      </c>
      <c r="BO59">
        <v>53</v>
      </c>
      <c r="BP59">
        <v>3.6414354126158601</v>
      </c>
      <c r="BQ59">
        <v>1</v>
      </c>
      <c r="BS59" t="str">
        <f t="shared" si="7"/>
        <v>MalePacific191</v>
      </c>
      <c r="BT59" t="s">
        <v>20</v>
      </c>
      <c r="BU59" t="s">
        <v>79</v>
      </c>
      <c r="BV59">
        <v>19</v>
      </c>
      <c r="BW59">
        <v>1</v>
      </c>
      <c r="BX59">
        <v>3</v>
      </c>
      <c r="BY59">
        <v>7.5662671070451299</v>
      </c>
      <c r="BZ59">
        <v>8.6</v>
      </c>
      <c r="CB59" t="str">
        <f t="shared" si="8"/>
        <v>AllSexAsian23Sharp object</v>
      </c>
      <c r="CC59" t="s">
        <v>17</v>
      </c>
      <c r="CD59" t="s">
        <v>78</v>
      </c>
      <c r="CE59" t="s">
        <v>48</v>
      </c>
      <c r="CF59">
        <v>23</v>
      </c>
      <c r="CG59">
        <v>2</v>
      </c>
      <c r="CH59">
        <v>45</v>
      </c>
      <c r="CI59">
        <v>4.4000000000000004</v>
      </c>
      <c r="CL59" t="str">
        <f t="shared" si="9"/>
        <v>2007FemaleAllEth9</v>
      </c>
      <c r="CM59">
        <v>2007</v>
      </c>
      <c r="CN59" t="s">
        <v>8</v>
      </c>
      <c r="CO59" t="s">
        <v>27</v>
      </c>
      <c r="CP59">
        <v>9</v>
      </c>
      <c r="CQ59">
        <v>10</v>
      </c>
    </row>
    <row r="60" spans="1:95" x14ac:dyDescent="0.2">
      <c r="A60" t="str">
        <f t="shared" si="0"/>
        <v>2012AllSexNon-Maori19</v>
      </c>
      <c r="B60">
        <v>2012</v>
      </c>
      <c r="C60" t="s">
        <v>17</v>
      </c>
      <c r="D60" t="s">
        <v>19</v>
      </c>
      <c r="E60">
        <v>19</v>
      </c>
      <c r="F60">
        <v>431</v>
      </c>
      <c r="G60">
        <v>10.8700975052411</v>
      </c>
      <c r="H60">
        <v>1</v>
      </c>
      <c r="J60" s="358" t="str">
        <f t="shared" si="1"/>
        <v>2012AllSexAllEth192</v>
      </c>
      <c r="K60" s="359">
        <v>2012</v>
      </c>
      <c r="L60" t="s">
        <v>17</v>
      </c>
      <c r="M60" t="s">
        <v>27</v>
      </c>
      <c r="N60">
        <v>19</v>
      </c>
      <c r="O60">
        <v>2</v>
      </c>
      <c r="P60">
        <v>87</v>
      </c>
      <c r="Q60">
        <v>9.2460799535926093</v>
      </c>
      <c r="R60">
        <v>1.9</v>
      </c>
      <c r="T60" s="358" t="str">
        <f t="shared" si="4"/>
        <v>1996AllSexNon-Maori24Hanging, strangulation and suffocation</v>
      </c>
      <c r="U60" s="360">
        <v>1996</v>
      </c>
      <c r="V60" s="360" t="s">
        <v>17</v>
      </c>
      <c r="W60" s="360" t="s">
        <v>19</v>
      </c>
      <c r="X60" s="360">
        <v>24</v>
      </c>
      <c r="Y60" s="360" t="s">
        <v>43</v>
      </c>
      <c r="Z60" s="360">
        <v>28</v>
      </c>
      <c r="AA60" s="360">
        <v>94</v>
      </c>
      <c r="AB60" s="360">
        <v>29.8</v>
      </c>
      <c r="AD60" s="358" t="str">
        <f t="shared" si="5"/>
        <v>200610AllSexAllEth19Nelson Marlborough</v>
      </c>
      <c r="AE60" t="s">
        <v>17</v>
      </c>
      <c r="AF60" t="s">
        <v>27</v>
      </c>
      <c r="AG60">
        <v>19</v>
      </c>
      <c r="AH60">
        <v>16</v>
      </c>
      <c r="AI60" t="s">
        <v>69</v>
      </c>
      <c r="AJ60">
        <v>85</v>
      </c>
      <c r="AK60">
        <v>12.504188151762699</v>
      </c>
      <c r="AL60">
        <v>3.5</v>
      </c>
      <c r="AM60" t="s">
        <v>82</v>
      </c>
      <c r="AN60">
        <v>200610</v>
      </c>
      <c r="AQ60" t="str">
        <f t="shared" si="2"/>
        <v>2005FemaleRural22</v>
      </c>
      <c r="AR60">
        <v>2005</v>
      </c>
      <c r="AS60" t="s">
        <v>8</v>
      </c>
      <c r="AT60" t="s">
        <v>96</v>
      </c>
      <c r="AU60">
        <v>22</v>
      </c>
      <c r="AV60">
        <v>3</v>
      </c>
      <c r="AW60">
        <v>10.861694424330199</v>
      </c>
      <c r="AX60">
        <v>12.3</v>
      </c>
      <c r="AZ60" t="str">
        <f t="shared" si="6"/>
        <v>2015AllSexMaori11</v>
      </c>
      <c r="BA60">
        <v>2015</v>
      </c>
      <c r="BB60" t="s">
        <v>17</v>
      </c>
      <c r="BC60" t="s">
        <v>18</v>
      </c>
      <c r="BD60">
        <v>11</v>
      </c>
      <c r="BE60">
        <v>6</v>
      </c>
      <c r="BF60">
        <v>15.5682407887909</v>
      </c>
      <c r="BG60" s="83">
        <v>12.5</v>
      </c>
      <c r="BH60">
        <v>232</v>
      </c>
      <c r="BI60">
        <v>2.6</v>
      </c>
      <c r="BK60" t="str">
        <f t="shared" si="10"/>
        <v>MaleMaori25</v>
      </c>
      <c r="BL60" t="s">
        <v>20</v>
      </c>
      <c r="BM60" t="s">
        <v>18</v>
      </c>
      <c r="BN60">
        <v>25</v>
      </c>
      <c r="BO60">
        <v>1</v>
      </c>
      <c r="BP60">
        <v>1.20685493603669</v>
      </c>
      <c r="BQ60">
        <v>2.4</v>
      </c>
      <c r="BS60" t="str">
        <f t="shared" si="7"/>
        <v>MalePacific192</v>
      </c>
      <c r="BT60" t="s">
        <v>20</v>
      </c>
      <c r="BU60" t="s">
        <v>79</v>
      </c>
      <c r="BV60">
        <v>19</v>
      </c>
      <c r="BW60">
        <v>2</v>
      </c>
      <c r="BX60">
        <v>7</v>
      </c>
      <c r="BY60">
        <v>12.5283182207696</v>
      </c>
      <c r="BZ60">
        <v>9.3000000000000007</v>
      </c>
      <c r="CB60" t="str">
        <f t="shared" si="8"/>
        <v>AllSexAsian23Submersion (drowning)</v>
      </c>
      <c r="CC60" t="s">
        <v>17</v>
      </c>
      <c r="CD60" t="s">
        <v>78</v>
      </c>
      <c r="CE60" t="s">
        <v>49</v>
      </c>
      <c r="CF60">
        <v>23</v>
      </c>
      <c r="CG60">
        <v>2</v>
      </c>
      <c r="CH60">
        <v>45</v>
      </c>
      <c r="CI60">
        <v>4.4000000000000004</v>
      </c>
      <c r="CL60" t="str">
        <f t="shared" si="9"/>
        <v>2007FemaleNon-Maori9</v>
      </c>
      <c r="CM60">
        <v>2007</v>
      </c>
      <c r="CN60" t="s">
        <v>8</v>
      </c>
      <c r="CO60" t="s">
        <v>19</v>
      </c>
      <c r="CP60">
        <v>9</v>
      </c>
      <c r="CQ60">
        <v>10</v>
      </c>
    </row>
    <row r="61" spans="1:95" x14ac:dyDescent="0.2">
      <c r="A61" t="str">
        <f t="shared" si="0"/>
        <v>2013AllSexNon-Maori19</v>
      </c>
      <c r="B61">
        <v>2013</v>
      </c>
      <c r="C61" t="s">
        <v>17</v>
      </c>
      <c r="D61" t="s">
        <v>19</v>
      </c>
      <c r="E61">
        <v>19</v>
      </c>
      <c r="F61">
        <v>409</v>
      </c>
      <c r="G61">
        <v>9.7148957708980408</v>
      </c>
      <c r="H61">
        <v>0.9</v>
      </c>
      <c r="J61" s="358" t="str">
        <f t="shared" si="1"/>
        <v>2012AllSexAllEth193</v>
      </c>
      <c r="K61" s="359">
        <v>2012</v>
      </c>
      <c r="L61" t="s">
        <v>17</v>
      </c>
      <c r="M61" t="s">
        <v>27</v>
      </c>
      <c r="N61">
        <v>19</v>
      </c>
      <c r="O61">
        <v>3</v>
      </c>
      <c r="P61">
        <v>118</v>
      </c>
      <c r="Q61">
        <v>13.2069258471706</v>
      </c>
      <c r="R61">
        <v>2.4</v>
      </c>
      <c r="T61" s="358" t="str">
        <f t="shared" si="4"/>
        <v>1996AllSexNon-Maori25Hanging, strangulation and suffocation</v>
      </c>
      <c r="U61" s="360">
        <v>1996</v>
      </c>
      <c r="V61" s="360" t="s">
        <v>17</v>
      </c>
      <c r="W61" s="360" t="s">
        <v>19</v>
      </c>
      <c r="X61" s="360">
        <v>25</v>
      </c>
      <c r="Y61" s="360" t="s">
        <v>43</v>
      </c>
      <c r="Z61" s="360">
        <v>18</v>
      </c>
      <c r="AA61" s="360">
        <v>65</v>
      </c>
      <c r="AB61" s="360">
        <v>27.7</v>
      </c>
      <c r="AD61" s="358" t="str">
        <f t="shared" si="5"/>
        <v>200610AllSexAllEth19West Coast</v>
      </c>
      <c r="AE61" t="s">
        <v>17</v>
      </c>
      <c r="AF61" t="s">
        <v>27</v>
      </c>
      <c r="AG61">
        <v>19</v>
      </c>
      <c r="AH61">
        <v>17</v>
      </c>
      <c r="AI61" t="s">
        <v>70</v>
      </c>
      <c r="AJ61">
        <v>28</v>
      </c>
      <c r="AK61">
        <v>16.316205271064799</v>
      </c>
      <c r="AL61">
        <v>7.9</v>
      </c>
      <c r="AM61" t="s">
        <v>82</v>
      </c>
      <c r="AN61">
        <v>200610</v>
      </c>
      <c r="AQ61" t="str">
        <f t="shared" si="2"/>
        <v>2005FemaleUrban22</v>
      </c>
      <c r="AR61">
        <v>2005</v>
      </c>
      <c r="AS61" t="s">
        <v>8</v>
      </c>
      <c r="AT61" t="s">
        <v>97</v>
      </c>
      <c r="AU61">
        <v>22</v>
      </c>
      <c r="AV61">
        <v>20</v>
      </c>
      <c r="AW61">
        <v>7.5052536775743004</v>
      </c>
      <c r="AX61">
        <v>3.3</v>
      </c>
      <c r="AZ61" t="str">
        <f t="shared" si="6"/>
        <v>2015AllSexMaori12</v>
      </c>
      <c r="BA61">
        <v>2015</v>
      </c>
      <c r="BB61" t="s">
        <v>17</v>
      </c>
      <c r="BC61" t="s">
        <v>18</v>
      </c>
      <c r="BD61">
        <v>12</v>
      </c>
      <c r="BE61">
        <v>4</v>
      </c>
      <c r="BF61">
        <v>12.710517953606599</v>
      </c>
      <c r="BG61" s="83">
        <v>12.5</v>
      </c>
      <c r="BH61">
        <v>322</v>
      </c>
      <c r="BI61">
        <v>1.2</v>
      </c>
      <c r="BK61" t="str">
        <f t="shared" si="10"/>
        <v>MalePacific25</v>
      </c>
      <c r="BL61" t="s">
        <v>20</v>
      </c>
      <c r="BM61" t="s">
        <v>79</v>
      </c>
      <c r="BN61">
        <v>25</v>
      </c>
      <c r="BO61">
        <v>2</v>
      </c>
      <c r="BP61">
        <v>5.5694792536897797</v>
      </c>
      <c r="BQ61">
        <v>7.7</v>
      </c>
      <c r="BS61" t="str">
        <f t="shared" si="7"/>
        <v>MalePacific193</v>
      </c>
      <c r="BT61" t="s">
        <v>20</v>
      </c>
      <c r="BU61" t="s">
        <v>79</v>
      </c>
      <c r="BV61">
        <v>19</v>
      </c>
      <c r="BW61">
        <v>3</v>
      </c>
      <c r="BX61">
        <v>9</v>
      </c>
      <c r="BY61">
        <v>10.991344363793599</v>
      </c>
      <c r="BZ61">
        <v>7.2</v>
      </c>
      <c r="CB61" t="str">
        <f t="shared" si="8"/>
        <v>AllSexAsian25Submersion (drowning)</v>
      </c>
      <c r="CC61" t="s">
        <v>17</v>
      </c>
      <c r="CD61" t="s">
        <v>78</v>
      </c>
      <c r="CE61" t="s">
        <v>49</v>
      </c>
      <c r="CF61">
        <v>25</v>
      </c>
      <c r="CG61">
        <v>2</v>
      </c>
      <c r="CH61">
        <v>15</v>
      </c>
      <c r="CI61">
        <v>13.3</v>
      </c>
      <c r="CL61" t="str">
        <f t="shared" si="9"/>
        <v>2007MaleAllEth9</v>
      </c>
      <c r="CM61">
        <v>2007</v>
      </c>
      <c r="CN61" t="s">
        <v>20</v>
      </c>
      <c r="CO61" t="s">
        <v>27</v>
      </c>
      <c r="CP61">
        <v>9</v>
      </c>
      <c r="CQ61">
        <v>34</v>
      </c>
    </row>
    <row r="62" spans="1:95" x14ac:dyDescent="0.2">
      <c r="A62" t="str">
        <f t="shared" si="0"/>
        <v>2014AllSexNon-Maori19</v>
      </c>
      <c r="B62">
        <v>2014</v>
      </c>
      <c r="C62" t="s">
        <v>17</v>
      </c>
      <c r="D62" t="s">
        <v>19</v>
      </c>
      <c r="E62">
        <v>19</v>
      </c>
      <c r="F62">
        <v>417</v>
      </c>
      <c r="G62">
        <v>9.9109767454623192</v>
      </c>
      <c r="H62">
        <v>1</v>
      </c>
      <c r="J62" s="358" t="str">
        <f t="shared" si="1"/>
        <v>2012AllSexAllEth194</v>
      </c>
      <c r="K62" s="359">
        <v>2012</v>
      </c>
      <c r="L62" t="s">
        <v>17</v>
      </c>
      <c r="M62" t="s">
        <v>27</v>
      </c>
      <c r="N62">
        <v>19</v>
      </c>
      <c r="O62">
        <v>4</v>
      </c>
      <c r="P62">
        <v>136</v>
      </c>
      <c r="Q62">
        <v>15.5604979085784</v>
      </c>
      <c r="R62">
        <v>2.6</v>
      </c>
      <c r="T62" s="358" t="str">
        <f t="shared" si="4"/>
        <v>1996AllSexNon-Maori22Jumping from a high place</v>
      </c>
      <c r="U62" s="360">
        <v>1996</v>
      </c>
      <c r="V62" s="360" t="s">
        <v>17</v>
      </c>
      <c r="W62" s="360" t="s">
        <v>19</v>
      </c>
      <c r="X62" s="360">
        <v>22</v>
      </c>
      <c r="Y62" s="360" t="s">
        <v>44</v>
      </c>
      <c r="Z62" s="360">
        <v>3</v>
      </c>
      <c r="AA62" s="360">
        <v>104</v>
      </c>
      <c r="AB62" s="360">
        <v>2.9</v>
      </c>
      <c r="AD62" s="358" t="str">
        <f t="shared" si="5"/>
        <v>200610AllSexAllEth19Canterbury</v>
      </c>
      <c r="AE62" t="s">
        <v>17</v>
      </c>
      <c r="AF62" t="s">
        <v>27</v>
      </c>
      <c r="AG62">
        <v>19</v>
      </c>
      <c r="AH62">
        <v>18</v>
      </c>
      <c r="AI62" t="s">
        <v>71</v>
      </c>
      <c r="AJ62">
        <v>316</v>
      </c>
      <c r="AK62">
        <v>11.9051126890463</v>
      </c>
      <c r="AL62">
        <v>1.7</v>
      </c>
      <c r="AM62" t="s">
        <v>82</v>
      </c>
      <c r="AN62">
        <v>200610</v>
      </c>
      <c r="AQ62" t="str">
        <f t="shared" si="2"/>
        <v>2005FemaleRural23</v>
      </c>
      <c r="AR62">
        <v>2005</v>
      </c>
      <c r="AS62" t="s">
        <v>8</v>
      </c>
      <c r="AT62" t="s">
        <v>96</v>
      </c>
      <c r="AU62">
        <v>23</v>
      </c>
      <c r="AV62">
        <v>9</v>
      </c>
      <c r="AW62">
        <v>11.3407258064516</v>
      </c>
      <c r="AX62">
        <v>7.4</v>
      </c>
      <c r="AZ62" t="str">
        <f t="shared" si="6"/>
        <v>2015AllSexMaori13</v>
      </c>
      <c r="BA62">
        <v>2015</v>
      </c>
      <c r="BB62" t="s">
        <v>17</v>
      </c>
      <c r="BC62" t="s">
        <v>18</v>
      </c>
      <c r="BD62">
        <v>13</v>
      </c>
      <c r="BE62">
        <v>4</v>
      </c>
      <c r="BF62">
        <v>17.014036580178601</v>
      </c>
      <c r="BG62" s="83">
        <v>16.7</v>
      </c>
      <c r="BH62">
        <v>352</v>
      </c>
      <c r="BI62">
        <v>1.1000000000000001</v>
      </c>
      <c r="BK62" t="str">
        <f t="shared" si="10"/>
        <v>MaleAsian25</v>
      </c>
      <c r="BL62" t="s">
        <v>20</v>
      </c>
      <c r="BM62" t="s">
        <v>78</v>
      </c>
      <c r="BN62">
        <v>25</v>
      </c>
      <c r="BO62">
        <v>6</v>
      </c>
      <c r="BP62">
        <v>7.7932198986881396</v>
      </c>
      <c r="BQ62">
        <v>6.2</v>
      </c>
      <c r="BS62" t="str">
        <f t="shared" si="7"/>
        <v>MalePacific194</v>
      </c>
      <c r="BT62" t="s">
        <v>20</v>
      </c>
      <c r="BU62" t="s">
        <v>79</v>
      </c>
      <c r="BV62">
        <v>19</v>
      </c>
      <c r="BW62">
        <v>4</v>
      </c>
      <c r="BX62">
        <v>17</v>
      </c>
      <c r="BY62">
        <v>12.138723706445401</v>
      </c>
      <c r="BZ62">
        <v>5.8</v>
      </c>
      <c r="CB62" t="str">
        <f t="shared" si="8"/>
        <v>AllSexMaori21Firearms and explosives</v>
      </c>
      <c r="CC62" t="s">
        <v>17</v>
      </c>
      <c r="CD62" t="s">
        <v>18</v>
      </c>
      <c r="CE62" t="s">
        <v>42</v>
      </c>
      <c r="CF62">
        <v>21</v>
      </c>
      <c r="CG62">
        <v>2</v>
      </c>
      <c r="CH62">
        <v>19</v>
      </c>
      <c r="CI62">
        <v>10.5</v>
      </c>
      <c r="CL62" t="str">
        <f t="shared" si="9"/>
        <v>2007MaleMaori9</v>
      </c>
      <c r="CM62">
        <v>2007</v>
      </c>
      <c r="CN62" t="s">
        <v>20</v>
      </c>
      <c r="CO62" t="s">
        <v>18</v>
      </c>
      <c r="CP62">
        <v>9</v>
      </c>
      <c r="CQ62">
        <v>2</v>
      </c>
    </row>
    <row r="63" spans="1:95" x14ac:dyDescent="0.2">
      <c r="A63" t="str">
        <f t="shared" si="0"/>
        <v>2015AllSexNon-Maori19</v>
      </c>
      <c r="B63">
        <v>2015</v>
      </c>
      <c r="C63" t="s">
        <v>17</v>
      </c>
      <c r="D63" t="s">
        <v>19</v>
      </c>
      <c r="E63">
        <v>19</v>
      </c>
      <c r="F63">
        <v>407</v>
      </c>
      <c r="G63">
        <v>9.5574665818482494</v>
      </c>
      <c r="H63">
        <v>0.9</v>
      </c>
      <c r="J63" s="358" t="str">
        <f t="shared" si="1"/>
        <v>2012AllSexAllEth195</v>
      </c>
      <c r="K63" s="359">
        <v>2012</v>
      </c>
      <c r="L63" t="s">
        <v>17</v>
      </c>
      <c r="M63" t="s">
        <v>27</v>
      </c>
      <c r="N63">
        <v>19</v>
      </c>
      <c r="O63">
        <v>5</v>
      </c>
      <c r="P63">
        <v>136</v>
      </c>
      <c r="Q63">
        <v>15.5911311839955</v>
      </c>
      <c r="R63">
        <v>2.6</v>
      </c>
      <c r="T63" s="358" t="str">
        <f t="shared" si="4"/>
        <v>1996AllSexNon-Maori23Jumping from a high place</v>
      </c>
      <c r="U63" s="360">
        <v>1996</v>
      </c>
      <c r="V63" s="360" t="s">
        <v>17</v>
      </c>
      <c r="W63" s="360" t="s">
        <v>19</v>
      </c>
      <c r="X63" s="360">
        <v>23</v>
      </c>
      <c r="Y63" s="360" t="s">
        <v>44</v>
      </c>
      <c r="Z63" s="360">
        <v>6</v>
      </c>
      <c r="AA63" s="360">
        <v>177</v>
      </c>
      <c r="AB63" s="360">
        <v>3.4</v>
      </c>
      <c r="AD63" s="358" t="str">
        <f t="shared" si="5"/>
        <v>200610AllSexAllEth19South Canterbury</v>
      </c>
      <c r="AE63" t="s">
        <v>17</v>
      </c>
      <c r="AF63" t="s">
        <v>27</v>
      </c>
      <c r="AG63">
        <v>19</v>
      </c>
      <c r="AH63">
        <v>19</v>
      </c>
      <c r="AI63" t="s">
        <v>72</v>
      </c>
      <c r="AJ63">
        <v>36</v>
      </c>
      <c r="AK63">
        <v>14.797650420019201</v>
      </c>
      <c r="AL63">
        <v>6.4</v>
      </c>
      <c r="AM63" t="s">
        <v>82</v>
      </c>
      <c r="AN63">
        <v>200610</v>
      </c>
      <c r="AQ63" t="str">
        <f t="shared" si="2"/>
        <v>2005FemaleUrban23</v>
      </c>
      <c r="AR63">
        <v>2005</v>
      </c>
      <c r="AS63" t="s">
        <v>8</v>
      </c>
      <c r="AT63" t="s">
        <v>97</v>
      </c>
      <c r="AU63">
        <v>23</v>
      </c>
      <c r="AV63">
        <v>47</v>
      </c>
      <c r="AW63">
        <v>8.8166879267652103</v>
      </c>
      <c r="AX63">
        <v>2.5</v>
      </c>
      <c r="AZ63" t="str">
        <f t="shared" si="6"/>
        <v>2015AllSexNon-Maori3</v>
      </c>
      <c r="BA63">
        <v>2015</v>
      </c>
      <c r="BB63" t="s">
        <v>17</v>
      </c>
      <c r="BC63" t="s">
        <v>19</v>
      </c>
      <c r="BD63">
        <v>3</v>
      </c>
      <c r="BE63">
        <v>6</v>
      </c>
      <c r="BF63">
        <v>2.6961445133459199</v>
      </c>
      <c r="BG63" s="83">
        <v>2.2000000000000002</v>
      </c>
      <c r="BH63">
        <v>26</v>
      </c>
      <c r="BI63">
        <v>23.1</v>
      </c>
      <c r="BK63" t="str">
        <f t="shared" si="10"/>
        <v>MaleOther25</v>
      </c>
      <c r="BL63" t="s">
        <v>20</v>
      </c>
      <c r="BM63" t="s">
        <v>45</v>
      </c>
      <c r="BN63">
        <v>25</v>
      </c>
      <c r="BO63">
        <v>210</v>
      </c>
      <c r="BP63">
        <v>16.8838791114256</v>
      </c>
      <c r="BQ63">
        <v>2.2999999999999998</v>
      </c>
      <c r="BS63" t="str">
        <f t="shared" si="7"/>
        <v>MalePacific195</v>
      </c>
      <c r="BT63" t="s">
        <v>20</v>
      </c>
      <c r="BU63" t="s">
        <v>79</v>
      </c>
      <c r="BV63">
        <v>19</v>
      </c>
      <c r="BW63">
        <v>5</v>
      </c>
      <c r="BX63">
        <v>47</v>
      </c>
      <c r="BY63">
        <v>12.2695312258111</v>
      </c>
      <c r="BZ63">
        <v>3.5</v>
      </c>
      <c r="CB63" t="str">
        <f t="shared" si="8"/>
        <v>AllSexMaori22Firearms and explosives</v>
      </c>
      <c r="CC63" t="s">
        <v>17</v>
      </c>
      <c r="CD63" t="s">
        <v>18</v>
      </c>
      <c r="CE63" t="s">
        <v>42</v>
      </c>
      <c r="CF63">
        <v>22</v>
      </c>
      <c r="CG63">
        <v>5</v>
      </c>
      <c r="CH63">
        <v>230</v>
      </c>
      <c r="CI63">
        <v>2.2000000000000002</v>
      </c>
      <c r="CL63" t="str">
        <f t="shared" si="9"/>
        <v>2007MaleNon-Maori9</v>
      </c>
      <c r="CM63">
        <v>2007</v>
      </c>
      <c r="CN63" t="s">
        <v>20</v>
      </c>
      <c r="CO63" t="s">
        <v>19</v>
      </c>
      <c r="CP63">
        <v>9</v>
      </c>
      <c r="CQ63">
        <v>32</v>
      </c>
    </row>
    <row r="64" spans="1:95" x14ac:dyDescent="0.2">
      <c r="A64" t="str">
        <f t="shared" si="0"/>
        <v>1996FemaleAllEth19</v>
      </c>
      <c r="B64">
        <v>1996</v>
      </c>
      <c r="C64" t="s">
        <v>8</v>
      </c>
      <c r="D64" t="s">
        <v>27</v>
      </c>
      <c r="E64">
        <v>19</v>
      </c>
      <c r="F64">
        <v>111</v>
      </c>
      <c r="G64">
        <v>5.8886653384406102</v>
      </c>
      <c r="H64">
        <v>1.1000000000000001</v>
      </c>
      <c r="J64" s="358" t="str">
        <f t="shared" si="1"/>
        <v>2013AllSexAllEth191</v>
      </c>
      <c r="K64" s="359">
        <v>2013</v>
      </c>
      <c r="L64" t="s">
        <v>17</v>
      </c>
      <c r="M64" t="s">
        <v>27</v>
      </c>
      <c r="N64">
        <v>19</v>
      </c>
      <c r="O64">
        <v>1</v>
      </c>
      <c r="P64">
        <v>72</v>
      </c>
      <c r="Q64">
        <v>6.73253886110823</v>
      </c>
      <c r="R64">
        <v>1.6</v>
      </c>
      <c r="T64" s="358" t="str">
        <f t="shared" si="4"/>
        <v>1996AllSexNon-Maori24Jumping from a high place</v>
      </c>
      <c r="U64" s="360">
        <v>1996</v>
      </c>
      <c r="V64" s="360" t="s">
        <v>17</v>
      </c>
      <c r="W64" s="360" t="s">
        <v>19</v>
      </c>
      <c r="X64" s="360">
        <v>24</v>
      </c>
      <c r="Y64" s="360" t="s">
        <v>44</v>
      </c>
      <c r="Z64" s="360">
        <v>1</v>
      </c>
      <c r="AA64" s="360">
        <v>94</v>
      </c>
      <c r="AB64" s="360">
        <v>1.1000000000000001</v>
      </c>
      <c r="AD64" s="358" t="str">
        <f t="shared" si="5"/>
        <v>200610AllSexAllEth19Southern</v>
      </c>
      <c r="AE64" t="s">
        <v>17</v>
      </c>
      <c r="AF64" t="s">
        <v>27</v>
      </c>
      <c r="AG64">
        <v>19</v>
      </c>
      <c r="AH64">
        <v>20</v>
      </c>
      <c r="AI64" t="s">
        <v>73</v>
      </c>
      <c r="AJ64">
        <v>212</v>
      </c>
      <c r="AK64">
        <v>13.9592577379315</v>
      </c>
      <c r="AL64">
        <v>2.5</v>
      </c>
      <c r="AM64" t="s">
        <v>82</v>
      </c>
      <c r="AN64">
        <v>200610</v>
      </c>
      <c r="AQ64" t="str">
        <f t="shared" si="2"/>
        <v>2005FemaleRural24</v>
      </c>
      <c r="AR64">
        <v>2005</v>
      </c>
      <c r="AS64" t="s">
        <v>8</v>
      </c>
      <c r="AT64" t="s">
        <v>96</v>
      </c>
      <c r="AU64">
        <v>24</v>
      </c>
      <c r="AV64">
        <v>4</v>
      </c>
      <c r="AW64">
        <v>5.0716368708000497</v>
      </c>
      <c r="AX64">
        <v>5</v>
      </c>
      <c r="AZ64" t="str">
        <f t="shared" si="6"/>
        <v>2015AllSexNon-Maori4</v>
      </c>
      <c r="BA64">
        <v>2015</v>
      </c>
      <c r="BB64" t="s">
        <v>17</v>
      </c>
      <c r="BC64" t="s">
        <v>19</v>
      </c>
      <c r="BD64">
        <v>4</v>
      </c>
      <c r="BE64">
        <v>35</v>
      </c>
      <c r="BF64">
        <v>14.191874138350499</v>
      </c>
      <c r="BG64" s="83">
        <v>4.7</v>
      </c>
      <c r="BH64">
        <v>93</v>
      </c>
      <c r="BI64">
        <v>37.6</v>
      </c>
      <c r="BS64" t="str">
        <f t="shared" si="7"/>
        <v>AllSexAsian211</v>
      </c>
      <c r="BT64" t="s">
        <v>17</v>
      </c>
      <c r="BU64" t="s">
        <v>78</v>
      </c>
      <c r="BV64">
        <v>21</v>
      </c>
      <c r="BW64">
        <v>1</v>
      </c>
      <c r="BX64">
        <v>0</v>
      </c>
      <c r="CB64" t="str">
        <f t="shared" si="8"/>
        <v>AllSexMaori23Firearms and explosives</v>
      </c>
      <c r="CC64" t="s">
        <v>17</v>
      </c>
      <c r="CD64" t="s">
        <v>18</v>
      </c>
      <c r="CE64" t="s">
        <v>42</v>
      </c>
      <c r="CF64">
        <v>23</v>
      </c>
      <c r="CG64">
        <v>2</v>
      </c>
      <c r="CH64">
        <v>232</v>
      </c>
      <c r="CI64">
        <v>0.9</v>
      </c>
      <c r="CL64" t="str">
        <f t="shared" si="9"/>
        <v>2008AllSexAllEth9</v>
      </c>
      <c r="CM64">
        <v>2008</v>
      </c>
      <c r="CN64" t="s">
        <v>17</v>
      </c>
      <c r="CO64" t="s">
        <v>27</v>
      </c>
      <c r="CP64">
        <v>9</v>
      </c>
      <c r="CQ64">
        <v>50</v>
      </c>
    </row>
    <row r="65" spans="1:95" x14ac:dyDescent="0.2">
      <c r="A65" t="str">
        <f t="shared" si="0"/>
        <v>1997FemaleAllEth19</v>
      </c>
      <c r="B65">
        <v>1997</v>
      </c>
      <c r="C65" t="s">
        <v>8</v>
      </c>
      <c r="D65" t="s">
        <v>27</v>
      </c>
      <c r="E65">
        <v>19</v>
      </c>
      <c r="F65">
        <v>121</v>
      </c>
      <c r="G65">
        <v>6.2967087648044799</v>
      </c>
      <c r="H65">
        <v>1.1000000000000001</v>
      </c>
      <c r="J65" s="358" t="str">
        <f t="shared" si="1"/>
        <v>2013AllSexAllEth192</v>
      </c>
      <c r="K65" s="359">
        <v>2013</v>
      </c>
      <c r="L65" t="s">
        <v>17</v>
      </c>
      <c r="M65" t="s">
        <v>27</v>
      </c>
      <c r="N65">
        <v>19</v>
      </c>
      <c r="O65">
        <v>2</v>
      </c>
      <c r="P65">
        <v>83</v>
      </c>
      <c r="Q65">
        <v>8.3528893937719104</v>
      </c>
      <c r="R65">
        <v>1.8</v>
      </c>
      <c r="T65" s="358" t="str">
        <f t="shared" si="4"/>
        <v>1996AllSexNon-Maori25Jumping from a high place</v>
      </c>
      <c r="U65" s="360">
        <v>1996</v>
      </c>
      <c r="V65" s="360" t="s">
        <v>17</v>
      </c>
      <c r="W65" s="360" t="s">
        <v>19</v>
      </c>
      <c r="X65" s="360">
        <v>25</v>
      </c>
      <c r="Y65" s="360" t="s">
        <v>44</v>
      </c>
      <c r="Z65" s="360">
        <v>1</v>
      </c>
      <c r="AA65" s="360">
        <v>65</v>
      </c>
      <c r="AB65" s="360">
        <v>1.5</v>
      </c>
      <c r="AD65" s="358" t="str">
        <f t="shared" si="5"/>
        <v>200610AllSexAllEth19Unknown</v>
      </c>
      <c r="AE65" t="s">
        <v>17</v>
      </c>
      <c r="AF65" t="s">
        <v>27</v>
      </c>
      <c r="AG65">
        <v>19</v>
      </c>
      <c r="AH65">
        <v>98</v>
      </c>
      <c r="AI65" t="s">
        <v>75</v>
      </c>
      <c r="AJ65">
        <v>17</v>
      </c>
      <c r="AK65">
        <v>0</v>
      </c>
      <c r="AL65">
        <v>0</v>
      </c>
      <c r="AM65" t="s">
        <v>83</v>
      </c>
      <c r="AN65">
        <v>200610</v>
      </c>
      <c r="AQ65" t="str">
        <f t="shared" si="2"/>
        <v>2005FemaleUrban24</v>
      </c>
      <c r="AR65">
        <v>2005</v>
      </c>
      <c r="AS65" t="s">
        <v>8</v>
      </c>
      <c r="AT65" t="s">
        <v>97</v>
      </c>
      <c r="AU65">
        <v>24</v>
      </c>
      <c r="AV65">
        <v>27</v>
      </c>
      <c r="AW65">
        <v>6.5293093441671504</v>
      </c>
      <c r="AX65">
        <v>2.5</v>
      </c>
      <c r="AZ65" t="str">
        <f t="shared" si="6"/>
        <v>2015AllSexNon-Maori5</v>
      </c>
      <c r="BA65">
        <v>2015</v>
      </c>
      <c r="BB65" t="s">
        <v>17</v>
      </c>
      <c r="BC65" t="s">
        <v>19</v>
      </c>
      <c r="BD65">
        <v>5</v>
      </c>
      <c r="BE65">
        <v>34</v>
      </c>
      <c r="BF65">
        <v>12.2363780321025</v>
      </c>
      <c r="BG65" s="83">
        <v>4.0999999999999996</v>
      </c>
      <c r="BH65">
        <v>142</v>
      </c>
      <c r="BI65">
        <v>23.9</v>
      </c>
      <c r="BS65" t="str">
        <f t="shared" si="7"/>
        <v>AllSexAsian212</v>
      </c>
      <c r="BT65" t="s">
        <v>17</v>
      </c>
      <c r="BU65" t="s">
        <v>78</v>
      </c>
      <c r="BV65">
        <v>21</v>
      </c>
      <c r="BW65">
        <v>2</v>
      </c>
      <c r="BX65">
        <v>0</v>
      </c>
      <c r="CB65" t="str">
        <f t="shared" si="8"/>
        <v>AllSexMaori24Firearms and explosives</v>
      </c>
      <c r="CC65" t="s">
        <v>17</v>
      </c>
      <c r="CD65" t="s">
        <v>18</v>
      </c>
      <c r="CE65" t="s">
        <v>42</v>
      </c>
      <c r="CF65">
        <v>24</v>
      </c>
      <c r="CG65">
        <v>2</v>
      </c>
      <c r="CH65">
        <v>65</v>
      </c>
      <c r="CI65">
        <v>3.1</v>
      </c>
      <c r="CL65" t="str">
        <f t="shared" si="9"/>
        <v>2008AllSexMaori9</v>
      </c>
      <c r="CM65">
        <v>2008</v>
      </c>
      <c r="CN65" t="s">
        <v>17</v>
      </c>
      <c r="CO65" t="s">
        <v>18</v>
      </c>
      <c r="CP65">
        <v>9</v>
      </c>
      <c r="CQ65">
        <v>2</v>
      </c>
    </row>
    <row r="66" spans="1:95" x14ac:dyDescent="0.2">
      <c r="A66" t="str">
        <f t="shared" si="0"/>
        <v>1998FemaleAllEth19</v>
      </c>
      <c r="B66">
        <v>1998</v>
      </c>
      <c r="C66" t="s">
        <v>8</v>
      </c>
      <c r="D66" t="s">
        <v>27</v>
      </c>
      <c r="E66">
        <v>19</v>
      </c>
      <c r="F66">
        <v>133</v>
      </c>
      <c r="G66">
        <v>6.7999900162587199</v>
      </c>
      <c r="H66">
        <v>1.2</v>
      </c>
      <c r="J66" s="358" t="str">
        <f t="shared" si="1"/>
        <v>2013AllSexAllEth193</v>
      </c>
      <c r="K66" s="359">
        <v>2013</v>
      </c>
      <c r="L66" t="s">
        <v>17</v>
      </c>
      <c r="M66" t="s">
        <v>27</v>
      </c>
      <c r="N66">
        <v>19</v>
      </c>
      <c r="O66">
        <v>3</v>
      </c>
      <c r="P66">
        <v>98</v>
      </c>
      <c r="Q66">
        <v>10.0161311543428</v>
      </c>
      <c r="R66">
        <v>2</v>
      </c>
      <c r="T66" s="358" t="str">
        <f t="shared" si="4"/>
        <v>1996AllSexNon-Maori22Other</v>
      </c>
      <c r="U66" s="360">
        <v>1996</v>
      </c>
      <c r="V66" s="360" t="s">
        <v>17</v>
      </c>
      <c r="W66" s="360" t="s">
        <v>19</v>
      </c>
      <c r="X66" s="360">
        <v>22</v>
      </c>
      <c r="Y66" s="360" t="s">
        <v>45</v>
      </c>
      <c r="Z66" s="360">
        <v>3</v>
      </c>
      <c r="AA66" s="360">
        <v>104</v>
      </c>
      <c r="AB66" s="360">
        <v>2.9</v>
      </c>
      <c r="AD66" s="358" t="str">
        <f t="shared" si="5"/>
        <v>200610AllSexAllEth22Auckland</v>
      </c>
      <c r="AE66" t="s">
        <v>17</v>
      </c>
      <c r="AF66" t="s">
        <v>27</v>
      </c>
      <c r="AG66">
        <v>22</v>
      </c>
      <c r="AH66">
        <v>3</v>
      </c>
      <c r="AI66" t="s">
        <v>56</v>
      </c>
      <c r="AJ66">
        <v>53</v>
      </c>
      <c r="AK66">
        <v>14.928315916964801</v>
      </c>
      <c r="AL66">
        <v>5.3</v>
      </c>
      <c r="AM66" t="s">
        <v>82</v>
      </c>
      <c r="AN66">
        <v>200610</v>
      </c>
      <c r="AQ66" t="str">
        <f t="shared" si="2"/>
        <v>2005FemaleRural25</v>
      </c>
      <c r="AR66">
        <v>2005</v>
      </c>
      <c r="AS66" t="s">
        <v>8</v>
      </c>
      <c r="AT66" t="s">
        <v>96</v>
      </c>
      <c r="AU66">
        <v>25</v>
      </c>
      <c r="AV66">
        <v>0</v>
      </c>
      <c r="AW66">
        <v>0</v>
      </c>
      <c r="AZ66" t="str">
        <f t="shared" si="6"/>
        <v>2015AllSexNon-Maori6</v>
      </c>
      <c r="BA66">
        <v>2015</v>
      </c>
      <c r="BB66" t="s">
        <v>17</v>
      </c>
      <c r="BC66" t="s">
        <v>19</v>
      </c>
      <c r="BD66">
        <v>6</v>
      </c>
      <c r="BE66">
        <v>32</v>
      </c>
      <c r="BF66">
        <v>12.0818545646757</v>
      </c>
      <c r="BG66" s="83">
        <v>4.2</v>
      </c>
      <c r="BH66">
        <v>121</v>
      </c>
      <c r="BI66">
        <v>26.4</v>
      </c>
      <c r="BS66" t="str">
        <f t="shared" si="7"/>
        <v>AllSexAsian213</v>
      </c>
      <c r="BT66" t="s">
        <v>17</v>
      </c>
      <c r="BU66" t="s">
        <v>78</v>
      </c>
      <c r="BV66">
        <v>21</v>
      </c>
      <c r="BW66">
        <v>3</v>
      </c>
      <c r="BX66">
        <v>0</v>
      </c>
      <c r="CB66" t="str">
        <f t="shared" si="8"/>
        <v>AllSexMaori21Hanging, strangulation and suffocation</v>
      </c>
      <c r="CC66" t="s">
        <v>17</v>
      </c>
      <c r="CD66" t="s">
        <v>18</v>
      </c>
      <c r="CE66" t="s">
        <v>43</v>
      </c>
      <c r="CF66">
        <v>21</v>
      </c>
      <c r="CG66">
        <v>17</v>
      </c>
      <c r="CH66">
        <v>19</v>
      </c>
      <c r="CI66">
        <v>89.5</v>
      </c>
      <c r="CL66" t="str">
        <f t="shared" si="9"/>
        <v>2008AllSexNon-Maori9</v>
      </c>
      <c r="CM66">
        <v>2008</v>
      </c>
      <c r="CN66" t="s">
        <v>17</v>
      </c>
      <c r="CO66" t="s">
        <v>19</v>
      </c>
      <c r="CP66">
        <v>9</v>
      </c>
      <c r="CQ66">
        <v>48</v>
      </c>
    </row>
    <row r="67" spans="1:95" x14ac:dyDescent="0.2">
      <c r="A67" t="str">
        <f t="shared" si="0"/>
        <v>1999FemaleAllEth19</v>
      </c>
      <c r="B67">
        <v>1999</v>
      </c>
      <c r="C67" t="s">
        <v>8</v>
      </c>
      <c r="D67" t="s">
        <v>27</v>
      </c>
      <c r="E67">
        <v>19</v>
      </c>
      <c r="F67">
        <v>132</v>
      </c>
      <c r="G67">
        <v>6.7167156494892</v>
      </c>
      <c r="H67">
        <v>1.1000000000000001</v>
      </c>
      <c r="J67" s="358" t="str">
        <f t="shared" si="1"/>
        <v>2013AllSexAllEth194</v>
      </c>
      <c r="K67" s="359">
        <v>2013</v>
      </c>
      <c r="L67" t="s">
        <v>17</v>
      </c>
      <c r="M67" t="s">
        <v>27</v>
      </c>
      <c r="N67">
        <v>19</v>
      </c>
      <c r="O67">
        <v>4</v>
      </c>
      <c r="P67">
        <v>99</v>
      </c>
      <c r="Q67">
        <v>11.2169143637633</v>
      </c>
      <c r="R67">
        <v>2.2000000000000002</v>
      </c>
      <c r="T67" s="358" t="str">
        <f t="shared" si="4"/>
        <v>1996AllSexNon-Maori23Other</v>
      </c>
      <c r="U67" s="360">
        <v>1996</v>
      </c>
      <c r="V67" s="360" t="s">
        <v>17</v>
      </c>
      <c r="W67" s="360" t="s">
        <v>19</v>
      </c>
      <c r="X67" s="360">
        <v>23</v>
      </c>
      <c r="Y67" s="360" t="s">
        <v>45</v>
      </c>
      <c r="Z67" s="360">
        <v>5</v>
      </c>
      <c r="AA67" s="360">
        <v>177</v>
      </c>
      <c r="AB67" s="360">
        <v>2.8</v>
      </c>
      <c r="AD67" s="358" t="str">
        <f t="shared" si="5"/>
        <v>200610AllSexAllEth22Bay of Plenty</v>
      </c>
      <c r="AE67" t="s">
        <v>17</v>
      </c>
      <c r="AF67" t="s">
        <v>27</v>
      </c>
      <c r="AG67">
        <v>22</v>
      </c>
      <c r="AH67">
        <v>7</v>
      </c>
      <c r="AI67" t="s">
        <v>60</v>
      </c>
      <c r="AJ67">
        <v>33</v>
      </c>
      <c r="AK67">
        <v>26.8358136130764</v>
      </c>
      <c r="AL67">
        <v>12</v>
      </c>
      <c r="AM67" t="s">
        <v>82</v>
      </c>
      <c r="AN67">
        <v>200610</v>
      </c>
      <c r="AQ67" t="str">
        <f t="shared" si="2"/>
        <v>2005FemaleUrban25</v>
      </c>
      <c r="AR67">
        <v>2005</v>
      </c>
      <c r="AS67" t="s">
        <v>8</v>
      </c>
      <c r="AT67" t="s">
        <v>97</v>
      </c>
      <c r="AU67">
        <v>25</v>
      </c>
      <c r="AV67">
        <v>16</v>
      </c>
      <c r="AW67">
        <v>6.4373365520016099</v>
      </c>
      <c r="AX67">
        <v>3.2</v>
      </c>
      <c r="AZ67" t="str">
        <f t="shared" si="6"/>
        <v>2015AllSexNon-Maori7</v>
      </c>
      <c r="BA67">
        <v>2015</v>
      </c>
      <c r="BB67" t="s">
        <v>17</v>
      </c>
      <c r="BC67" t="s">
        <v>19</v>
      </c>
      <c r="BD67">
        <v>7</v>
      </c>
      <c r="BE67">
        <v>25</v>
      </c>
      <c r="BF67">
        <v>10.111223458038401</v>
      </c>
      <c r="BG67" s="83">
        <v>4</v>
      </c>
      <c r="BH67">
        <v>114</v>
      </c>
      <c r="BI67">
        <v>21.9</v>
      </c>
      <c r="BS67" t="str">
        <f t="shared" si="7"/>
        <v>AllSexAsian214</v>
      </c>
      <c r="BT67" t="s">
        <v>17</v>
      </c>
      <c r="BU67" t="s">
        <v>78</v>
      </c>
      <c r="BV67">
        <v>21</v>
      </c>
      <c r="BW67">
        <v>4</v>
      </c>
      <c r="BX67">
        <v>0</v>
      </c>
      <c r="CB67" t="str">
        <f t="shared" si="8"/>
        <v>AllSexMaori22Hanging, strangulation and suffocation</v>
      </c>
      <c r="CC67" t="s">
        <v>17</v>
      </c>
      <c r="CD67" t="s">
        <v>18</v>
      </c>
      <c r="CE67" t="s">
        <v>43</v>
      </c>
      <c r="CF67">
        <v>22</v>
      </c>
      <c r="CG67">
        <v>212</v>
      </c>
      <c r="CH67">
        <v>230</v>
      </c>
      <c r="CI67">
        <v>92.2</v>
      </c>
      <c r="CL67" t="str">
        <f t="shared" si="9"/>
        <v>2008FemaleAllEth9</v>
      </c>
      <c r="CM67">
        <v>2008</v>
      </c>
      <c r="CN67" t="s">
        <v>8</v>
      </c>
      <c r="CO67" t="s">
        <v>27</v>
      </c>
      <c r="CP67">
        <v>9</v>
      </c>
      <c r="CQ67">
        <v>18</v>
      </c>
    </row>
    <row r="68" spans="1:95" x14ac:dyDescent="0.2">
      <c r="A68" t="str">
        <f t="shared" ref="A68:A131" si="11">B68&amp;C68&amp;D68&amp;E68</f>
        <v>2000FemaleAllEth19</v>
      </c>
      <c r="B68">
        <v>2000</v>
      </c>
      <c r="C68" t="s">
        <v>8</v>
      </c>
      <c r="D68" t="s">
        <v>27</v>
      </c>
      <c r="E68">
        <v>19</v>
      </c>
      <c r="F68">
        <v>83</v>
      </c>
      <c r="G68">
        <v>4.1665204234231998</v>
      </c>
      <c r="H68">
        <v>0.9</v>
      </c>
      <c r="J68" s="358" t="str">
        <f t="shared" ref="J68:J131" si="12">K68&amp;L68&amp;M68&amp;N68&amp;O68</f>
        <v>2013AllSexAllEth195</v>
      </c>
      <c r="K68" s="359">
        <v>2013</v>
      </c>
      <c r="L68" t="s">
        <v>17</v>
      </c>
      <c r="M68" t="s">
        <v>27</v>
      </c>
      <c r="N68">
        <v>19</v>
      </c>
      <c r="O68">
        <v>5</v>
      </c>
      <c r="P68">
        <v>134</v>
      </c>
      <c r="Q68">
        <v>15.6036784873721</v>
      </c>
      <c r="R68">
        <v>2.6</v>
      </c>
      <c r="T68" s="358" t="str">
        <f t="shared" si="4"/>
        <v>1996AllSexNon-Maori24Other</v>
      </c>
      <c r="U68" s="360">
        <v>1996</v>
      </c>
      <c r="V68" s="360" t="s">
        <v>17</v>
      </c>
      <c r="W68" s="360" t="s">
        <v>19</v>
      </c>
      <c r="X68" s="360">
        <v>24</v>
      </c>
      <c r="Y68" s="360" t="s">
        <v>45</v>
      </c>
      <c r="Z68" s="360">
        <v>2</v>
      </c>
      <c r="AA68" s="360">
        <v>94</v>
      </c>
      <c r="AB68" s="360">
        <v>2.1</v>
      </c>
      <c r="AD68" s="358" t="str">
        <f t="shared" si="5"/>
        <v>200610AllSexAllEth22Canterbury</v>
      </c>
      <c r="AE68" t="s">
        <v>17</v>
      </c>
      <c r="AF68" t="s">
        <v>27</v>
      </c>
      <c r="AG68">
        <v>22</v>
      </c>
      <c r="AH68">
        <v>18</v>
      </c>
      <c r="AI68" t="s">
        <v>71</v>
      </c>
      <c r="AJ68">
        <v>60</v>
      </c>
      <c r="AK68">
        <v>16.984176408979</v>
      </c>
      <c r="AL68">
        <v>5.6</v>
      </c>
      <c r="AM68" t="s">
        <v>82</v>
      </c>
      <c r="AN68">
        <v>200610</v>
      </c>
      <c r="AQ68" t="str">
        <f t="shared" ref="AQ68:AQ131" si="13">AR68&amp;AS68&amp;AT68&amp;AU68</f>
        <v>2005MaleRural22</v>
      </c>
      <c r="AR68">
        <v>2005</v>
      </c>
      <c r="AS68" t="s">
        <v>20</v>
      </c>
      <c r="AT68" t="s">
        <v>96</v>
      </c>
      <c r="AU68">
        <v>22</v>
      </c>
      <c r="AV68">
        <v>10</v>
      </c>
      <c r="AW68">
        <v>30.571690614491001</v>
      </c>
      <c r="AX68">
        <v>18.899999999999999</v>
      </c>
      <c r="AZ68" t="str">
        <f t="shared" si="6"/>
        <v>2015AllSexNon-Maori8</v>
      </c>
      <c r="BA68">
        <v>2015</v>
      </c>
      <c r="BB68" t="s">
        <v>17</v>
      </c>
      <c r="BC68" t="s">
        <v>19</v>
      </c>
      <c r="BD68">
        <v>8</v>
      </c>
      <c r="BE68">
        <v>31</v>
      </c>
      <c r="BF68">
        <v>13.1858783496385</v>
      </c>
      <c r="BG68" s="83">
        <v>4.5999999999999996</v>
      </c>
      <c r="BH68">
        <v>162</v>
      </c>
      <c r="BI68">
        <v>19.100000000000001</v>
      </c>
      <c r="BS68" t="str">
        <f t="shared" si="7"/>
        <v>AllSexAsian215</v>
      </c>
      <c r="BT68" t="s">
        <v>17</v>
      </c>
      <c r="BU68" t="s">
        <v>78</v>
      </c>
      <c r="BV68">
        <v>21</v>
      </c>
      <c r="BW68">
        <v>5</v>
      </c>
      <c r="BX68">
        <v>0</v>
      </c>
      <c r="CB68" t="str">
        <f t="shared" si="8"/>
        <v>AllSexMaori23Hanging, strangulation and suffocation</v>
      </c>
      <c r="CC68" t="s">
        <v>17</v>
      </c>
      <c r="CD68" t="s">
        <v>18</v>
      </c>
      <c r="CE68" t="s">
        <v>43</v>
      </c>
      <c r="CF68">
        <v>23</v>
      </c>
      <c r="CG68">
        <v>197</v>
      </c>
      <c r="CH68">
        <v>232</v>
      </c>
      <c r="CI68">
        <v>84.9</v>
      </c>
      <c r="CL68" t="str">
        <f t="shared" si="9"/>
        <v>2008FemaleMaori9</v>
      </c>
      <c r="CM68">
        <v>2008</v>
      </c>
      <c r="CN68" t="s">
        <v>8</v>
      </c>
      <c r="CO68" t="s">
        <v>18</v>
      </c>
      <c r="CP68">
        <v>9</v>
      </c>
      <c r="CQ68">
        <v>2</v>
      </c>
    </row>
    <row r="69" spans="1:95" x14ac:dyDescent="0.2">
      <c r="A69" t="str">
        <f t="shared" si="11"/>
        <v>2001FemaleAllEth19</v>
      </c>
      <c r="B69">
        <v>2001</v>
      </c>
      <c r="C69" t="s">
        <v>8</v>
      </c>
      <c r="D69" t="s">
        <v>27</v>
      </c>
      <c r="E69">
        <v>19</v>
      </c>
      <c r="F69">
        <v>118</v>
      </c>
      <c r="G69">
        <v>5.8286706673737303</v>
      </c>
      <c r="H69">
        <v>1.1000000000000001</v>
      </c>
      <c r="J69" s="358" t="str">
        <f t="shared" si="12"/>
        <v>2014AllSexAllEth191</v>
      </c>
      <c r="K69" s="359">
        <v>2014</v>
      </c>
      <c r="L69" t="s">
        <v>17</v>
      </c>
      <c r="M69" t="s">
        <v>27</v>
      </c>
      <c r="N69">
        <v>19</v>
      </c>
      <c r="O69">
        <v>1</v>
      </c>
      <c r="P69">
        <v>63</v>
      </c>
      <c r="Q69">
        <v>6.6139183761554001</v>
      </c>
      <c r="R69">
        <v>1.6</v>
      </c>
      <c r="T69" s="358" t="str">
        <f t="shared" ref="T69:T132" si="14">U69&amp;V69&amp;W69&amp;X69&amp;Y69</f>
        <v>1996AllSexNon-Maori25Other</v>
      </c>
      <c r="U69" s="360">
        <v>1996</v>
      </c>
      <c r="V69" s="360" t="s">
        <v>17</v>
      </c>
      <c r="W69" s="360" t="s">
        <v>19</v>
      </c>
      <c r="X69" s="360">
        <v>25</v>
      </c>
      <c r="Y69" s="360" t="s">
        <v>45</v>
      </c>
      <c r="Z69" s="360">
        <v>5</v>
      </c>
      <c r="AA69" s="360">
        <v>65</v>
      </c>
      <c r="AB69" s="360">
        <v>7.7</v>
      </c>
      <c r="AD69" s="358" t="str">
        <f t="shared" ref="AD69:AD128" si="15">AN69&amp;AE69&amp;AF69&amp;AG69&amp;AI69</f>
        <v>200610AllSexAllEth22Capital &amp; Coast</v>
      </c>
      <c r="AE69" t="s">
        <v>17</v>
      </c>
      <c r="AF69" t="s">
        <v>27</v>
      </c>
      <c r="AG69">
        <v>22</v>
      </c>
      <c r="AH69">
        <v>13</v>
      </c>
      <c r="AI69" t="s">
        <v>66</v>
      </c>
      <c r="AJ69">
        <v>32</v>
      </c>
      <c r="AK69">
        <v>14.4691625972147</v>
      </c>
      <c r="AL69">
        <v>6.6</v>
      </c>
      <c r="AM69" t="s">
        <v>82</v>
      </c>
      <c r="AN69">
        <v>200610</v>
      </c>
      <c r="AQ69" t="str">
        <f t="shared" si="13"/>
        <v>2005MaleUrban22</v>
      </c>
      <c r="AR69">
        <v>2005</v>
      </c>
      <c r="AS69" t="s">
        <v>20</v>
      </c>
      <c r="AT69" t="s">
        <v>97</v>
      </c>
      <c r="AU69">
        <v>22</v>
      </c>
      <c r="AV69">
        <v>73</v>
      </c>
      <c r="AW69">
        <v>27.2825802593714</v>
      </c>
      <c r="AX69">
        <v>6.3</v>
      </c>
      <c r="AZ69" t="str">
        <f t="shared" ref="AZ69:AZ130" si="16">BA69&amp;BB69&amp;BC69&amp;BD69</f>
        <v>2015AllSexNon-Maori9</v>
      </c>
      <c r="BA69">
        <v>2015</v>
      </c>
      <c r="BB69" t="s">
        <v>17</v>
      </c>
      <c r="BC69" t="s">
        <v>19</v>
      </c>
      <c r="BD69">
        <v>9</v>
      </c>
      <c r="BE69">
        <v>29</v>
      </c>
      <c r="BF69">
        <v>10.883843122537099</v>
      </c>
      <c r="BG69" s="83">
        <v>4</v>
      </c>
      <c r="BH69">
        <v>272</v>
      </c>
      <c r="BI69">
        <v>10.7</v>
      </c>
      <c r="BS69" t="str">
        <f t="shared" ref="BS69:BS132" si="17">BT69&amp;BU69&amp;BV69&amp;BW69</f>
        <v>AllSexMaori211</v>
      </c>
      <c r="BT69" t="s">
        <v>17</v>
      </c>
      <c r="BU69" t="s">
        <v>18</v>
      </c>
      <c r="BV69">
        <v>21</v>
      </c>
      <c r="BW69">
        <v>1</v>
      </c>
      <c r="BX69">
        <v>0</v>
      </c>
      <c r="CB69" t="str">
        <f t="shared" ref="CB69:CB132" si="18">CC69&amp;CD69&amp;CF69&amp;CE69</f>
        <v>AllSexMaori24Hanging, strangulation and suffocation</v>
      </c>
      <c r="CC69" t="s">
        <v>17</v>
      </c>
      <c r="CD69" t="s">
        <v>18</v>
      </c>
      <c r="CE69" t="s">
        <v>43</v>
      </c>
      <c r="CF69">
        <v>24</v>
      </c>
      <c r="CG69">
        <v>43</v>
      </c>
      <c r="CH69">
        <v>65</v>
      </c>
      <c r="CI69">
        <v>66.2</v>
      </c>
      <c r="CL69" t="str">
        <f t="shared" ref="CL69:CL122" si="19">CM69&amp;CN69&amp;CO69&amp;CP69</f>
        <v>2008FemaleNon-Maori9</v>
      </c>
      <c r="CM69">
        <v>2008</v>
      </c>
      <c r="CN69" t="s">
        <v>8</v>
      </c>
      <c r="CO69" t="s">
        <v>19</v>
      </c>
      <c r="CP69">
        <v>9</v>
      </c>
      <c r="CQ69">
        <v>16</v>
      </c>
    </row>
    <row r="70" spans="1:95" x14ac:dyDescent="0.2">
      <c r="A70" t="str">
        <f t="shared" si="11"/>
        <v>2002FemaleAllEth19</v>
      </c>
      <c r="B70">
        <v>2002</v>
      </c>
      <c r="C70" t="s">
        <v>8</v>
      </c>
      <c r="D70" t="s">
        <v>27</v>
      </c>
      <c r="E70">
        <v>19</v>
      </c>
      <c r="F70">
        <v>114</v>
      </c>
      <c r="G70">
        <v>5.6012768971608997</v>
      </c>
      <c r="H70">
        <v>1</v>
      </c>
      <c r="J70" s="358" t="str">
        <f t="shared" si="12"/>
        <v>2014AllSexAllEth192</v>
      </c>
      <c r="K70" s="359">
        <v>2014</v>
      </c>
      <c r="L70" t="s">
        <v>17</v>
      </c>
      <c r="M70" t="s">
        <v>27</v>
      </c>
      <c r="N70">
        <v>19</v>
      </c>
      <c r="O70">
        <v>2</v>
      </c>
      <c r="P70">
        <v>72</v>
      </c>
      <c r="Q70">
        <v>7.53145948142501</v>
      </c>
      <c r="R70">
        <v>1.7</v>
      </c>
      <c r="T70" s="358" t="str">
        <f t="shared" si="14"/>
        <v>1996AllSexNon-Maori22Poisoning by gases and vapours</v>
      </c>
      <c r="U70" s="360">
        <v>1996</v>
      </c>
      <c r="V70" s="360" t="s">
        <v>17</v>
      </c>
      <c r="W70" s="360" t="s">
        <v>19</v>
      </c>
      <c r="X70" s="360">
        <v>22</v>
      </c>
      <c r="Y70" s="360" t="s">
        <v>46</v>
      </c>
      <c r="Z70" s="360">
        <v>24</v>
      </c>
      <c r="AA70" s="360">
        <v>104</v>
      </c>
      <c r="AB70" s="360">
        <v>23.1</v>
      </c>
      <c r="AD70" s="358" t="str">
        <f t="shared" si="15"/>
        <v>200610AllSexAllEth22Counties Manukau</v>
      </c>
      <c r="AE70" t="s">
        <v>17</v>
      </c>
      <c r="AF70" t="s">
        <v>27</v>
      </c>
      <c r="AG70">
        <v>22</v>
      </c>
      <c r="AH70">
        <v>4</v>
      </c>
      <c r="AI70" t="s">
        <v>57</v>
      </c>
      <c r="AJ70">
        <v>62</v>
      </c>
      <c r="AK70">
        <v>17.328600575756699</v>
      </c>
      <c r="AL70">
        <v>5.7</v>
      </c>
      <c r="AM70" t="s">
        <v>82</v>
      </c>
      <c r="AN70">
        <v>200610</v>
      </c>
      <c r="AQ70" t="str">
        <f t="shared" si="13"/>
        <v>2005MaleRural23</v>
      </c>
      <c r="AR70">
        <v>2005</v>
      </c>
      <c r="AS70" t="s">
        <v>20</v>
      </c>
      <c r="AT70" t="s">
        <v>96</v>
      </c>
      <c r="AU70">
        <v>23</v>
      </c>
      <c r="AV70">
        <v>29</v>
      </c>
      <c r="AW70">
        <v>37.933289731850898</v>
      </c>
      <c r="AX70">
        <v>13.8</v>
      </c>
      <c r="AZ70" t="str">
        <f t="shared" si="16"/>
        <v>2015AllSexNon-Maori10</v>
      </c>
      <c r="BA70">
        <v>2015</v>
      </c>
      <c r="BB70" t="s">
        <v>17</v>
      </c>
      <c r="BC70" t="s">
        <v>19</v>
      </c>
      <c r="BD70">
        <v>10</v>
      </c>
      <c r="BE70">
        <v>46</v>
      </c>
      <c r="BF70">
        <v>16.815323877759901</v>
      </c>
      <c r="BG70" s="83">
        <v>4.9000000000000004</v>
      </c>
      <c r="BH70">
        <v>468</v>
      </c>
      <c r="BI70">
        <v>9.8000000000000007</v>
      </c>
      <c r="BS70" t="str">
        <f t="shared" si="17"/>
        <v>AllSexMaori212</v>
      </c>
      <c r="BT70" t="s">
        <v>17</v>
      </c>
      <c r="BU70" t="s">
        <v>18</v>
      </c>
      <c r="BV70">
        <v>21</v>
      </c>
      <c r="BW70">
        <v>2</v>
      </c>
      <c r="BX70">
        <v>1</v>
      </c>
      <c r="CB70" t="str">
        <f t="shared" si="18"/>
        <v>AllSexMaori25Hanging, strangulation and suffocation</v>
      </c>
      <c r="CC70" t="s">
        <v>17</v>
      </c>
      <c r="CD70" t="s">
        <v>18</v>
      </c>
      <c r="CE70" t="s">
        <v>43</v>
      </c>
      <c r="CF70">
        <v>25</v>
      </c>
      <c r="CG70">
        <v>1</v>
      </c>
      <c r="CH70">
        <v>1</v>
      </c>
      <c r="CI70">
        <v>100</v>
      </c>
      <c r="CL70" t="str">
        <f t="shared" si="19"/>
        <v>2008MaleAllEth9</v>
      </c>
      <c r="CM70">
        <v>2008</v>
      </c>
      <c r="CN70" t="s">
        <v>20</v>
      </c>
      <c r="CO70" t="s">
        <v>27</v>
      </c>
      <c r="CP70">
        <v>9</v>
      </c>
      <c r="CQ70">
        <v>32</v>
      </c>
    </row>
    <row r="71" spans="1:95" x14ac:dyDescent="0.2">
      <c r="A71" t="str">
        <f t="shared" si="11"/>
        <v>2003FemaleAllEth19</v>
      </c>
      <c r="B71">
        <v>2003</v>
      </c>
      <c r="C71" t="s">
        <v>8</v>
      </c>
      <c r="D71" t="s">
        <v>27</v>
      </c>
      <c r="E71">
        <v>19</v>
      </c>
      <c r="F71">
        <v>142</v>
      </c>
      <c r="G71">
        <v>6.6355676799870498</v>
      </c>
      <c r="H71">
        <v>1.1000000000000001</v>
      </c>
      <c r="J71" s="358" t="str">
        <f t="shared" si="12"/>
        <v>2014AllSexAllEth193</v>
      </c>
      <c r="K71" s="359">
        <v>2014</v>
      </c>
      <c r="L71" t="s">
        <v>17</v>
      </c>
      <c r="M71" t="s">
        <v>27</v>
      </c>
      <c r="N71">
        <v>19</v>
      </c>
      <c r="O71">
        <v>3</v>
      </c>
      <c r="P71">
        <v>94</v>
      </c>
      <c r="Q71">
        <v>10.115508598999501</v>
      </c>
      <c r="R71">
        <v>2</v>
      </c>
      <c r="T71" s="358" t="str">
        <f t="shared" si="14"/>
        <v>1996AllSexNon-Maori23Poisoning by gases and vapours</v>
      </c>
      <c r="U71" s="360">
        <v>1996</v>
      </c>
      <c r="V71" s="360" t="s">
        <v>17</v>
      </c>
      <c r="W71" s="360" t="s">
        <v>19</v>
      </c>
      <c r="X71" s="360">
        <v>23</v>
      </c>
      <c r="Y71" s="360" t="s">
        <v>46</v>
      </c>
      <c r="Z71" s="360">
        <v>73</v>
      </c>
      <c r="AA71" s="360">
        <v>177</v>
      </c>
      <c r="AB71" s="360">
        <v>41.2</v>
      </c>
      <c r="AD71" s="358" t="str">
        <f t="shared" si="15"/>
        <v>200610AllSexAllEth22Hawke's Bay</v>
      </c>
      <c r="AE71" t="s">
        <v>17</v>
      </c>
      <c r="AF71" t="s">
        <v>27</v>
      </c>
      <c r="AG71">
        <v>22</v>
      </c>
      <c r="AH71">
        <v>9</v>
      </c>
      <c r="AI71" t="s">
        <v>62</v>
      </c>
      <c r="AJ71">
        <v>24</v>
      </c>
      <c r="AK71">
        <v>24.9376558603491</v>
      </c>
      <c r="AL71">
        <v>13.1</v>
      </c>
      <c r="AM71" t="s">
        <v>82</v>
      </c>
      <c r="AN71">
        <v>200610</v>
      </c>
      <c r="AQ71" t="str">
        <f t="shared" si="13"/>
        <v>2005MaleUrban23</v>
      </c>
      <c r="AR71">
        <v>2005</v>
      </c>
      <c r="AS71" t="s">
        <v>20</v>
      </c>
      <c r="AT71" t="s">
        <v>97</v>
      </c>
      <c r="AU71">
        <v>23</v>
      </c>
      <c r="AV71">
        <v>128</v>
      </c>
      <c r="AW71">
        <v>26.002518994027501</v>
      </c>
      <c r="AX71">
        <v>4.5</v>
      </c>
      <c r="AZ71" t="str">
        <f t="shared" si="16"/>
        <v>2015AllSexNon-Maori11</v>
      </c>
      <c r="BA71">
        <v>2015</v>
      </c>
      <c r="BB71" t="s">
        <v>17</v>
      </c>
      <c r="BC71" t="s">
        <v>19</v>
      </c>
      <c r="BD71">
        <v>11</v>
      </c>
      <c r="BE71">
        <v>46</v>
      </c>
      <c r="BF71">
        <v>16.429158184220899</v>
      </c>
      <c r="BG71" s="83">
        <v>4.7</v>
      </c>
      <c r="BH71">
        <v>714</v>
      </c>
      <c r="BI71">
        <v>6.4</v>
      </c>
      <c r="BS71" t="str">
        <f t="shared" si="17"/>
        <v>AllSexMaori213</v>
      </c>
      <c r="BT71" t="s">
        <v>17</v>
      </c>
      <c r="BU71" t="s">
        <v>18</v>
      </c>
      <c r="BV71">
        <v>21</v>
      </c>
      <c r="BW71">
        <v>3</v>
      </c>
      <c r="BX71">
        <v>4</v>
      </c>
      <c r="CB71" t="str">
        <f t="shared" si="18"/>
        <v>AllSexMaori22Jumping from a high place</v>
      </c>
      <c r="CC71" t="s">
        <v>17</v>
      </c>
      <c r="CD71" t="s">
        <v>18</v>
      </c>
      <c r="CE71" t="s">
        <v>44</v>
      </c>
      <c r="CF71">
        <v>22</v>
      </c>
      <c r="CG71">
        <v>3</v>
      </c>
      <c r="CH71">
        <v>230</v>
      </c>
      <c r="CI71">
        <v>1.3</v>
      </c>
      <c r="CL71" t="str">
        <f t="shared" si="19"/>
        <v>2008MaleNon-Maori9</v>
      </c>
      <c r="CM71">
        <v>2008</v>
      </c>
      <c r="CN71" t="s">
        <v>20</v>
      </c>
      <c r="CO71" t="s">
        <v>19</v>
      </c>
      <c r="CP71">
        <v>9</v>
      </c>
      <c r="CQ71">
        <v>32</v>
      </c>
    </row>
    <row r="72" spans="1:95" x14ac:dyDescent="0.2">
      <c r="A72" t="str">
        <f t="shared" si="11"/>
        <v>2004FemaleAllEth19</v>
      </c>
      <c r="B72">
        <v>2004</v>
      </c>
      <c r="C72" t="s">
        <v>8</v>
      </c>
      <c r="D72" t="s">
        <v>27</v>
      </c>
      <c r="E72">
        <v>19</v>
      </c>
      <c r="F72">
        <v>112</v>
      </c>
      <c r="G72">
        <v>5.3216551470799702</v>
      </c>
      <c r="H72">
        <v>1</v>
      </c>
      <c r="J72" s="358" t="str">
        <f t="shared" si="12"/>
        <v>2014AllSexAllEth194</v>
      </c>
      <c r="K72" s="359">
        <v>2014</v>
      </c>
      <c r="L72" t="s">
        <v>17</v>
      </c>
      <c r="M72" t="s">
        <v>27</v>
      </c>
      <c r="N72">
        <v>19</v>
      </c>
      <c r="O72">
        <v>4</v>
      </c>
      <c r="P72">
        <v>120</v>
      </c>
      <c r="Q72">
        <v>12.702250943943399</v>
      </c>
      <c r="R72">
        <v>2.2999999999999998</v>
      </c>
      <c r="T72" s="358" t="str">
        <f t="shared" si="14"/>
        <v>1996AllSexNon-Maori24Poisoning by gases and vapours</v>
      </c>
      <c r="U72" s="360">
        <v>1996</v>
      </c>
      <c r="V72" s="360" t="s">
        <v>17</v>
      </c>
      <c r="W72" s="360" t="s">
        <v>19</v>
      </c>
      <c r="X72" s="360">
        <v>24</v>
      </c>
      <c r="Y72" s="360" t="s">
        <v>46</v>
      </c>
      <c r="Z72" s="360">
        <v>37</v>
      </c>
      <c r="AA72" s="360">
        <v>94</v>
      </c>
      <c r="AB72" s="360">
        <v>39.4</v>
      </c>
      <c r="AD72" s="358" t="str">
        <f t="shared" si="15"/>
        <v>200610AllSexAllEth22Hutt Valley</v>
      </c>
      <c r="AE72" t="s">
        <v>17</v>
      </c>
      <c r="AF72" t="s">
        <v>27</v>
      </c>
      <c r="AG72">
        <v>22</v>
      </c>
      <c r="AH72">
        <v>14</v>
      </c>
      <c r="AI72" t="s">
        <v>67</v>
      </c>
      <c r="AJ72">
        <v>13</v>
      </c>
      <c r="AK72">
        <v>13.443640124095101</v>
      </c>
      <c r="AL72">
        <v>9.6</v>
      </c>
      <c r="AM72" t="s">
        <v>82</v>
      </c>
      <c r="AN72">
        <v>200610</v>
      </c>
      <c r="AQ72" t="str">
        <f t="shared" si="13"/>
        <v>2005MaleRural24</v>
      </c>
      <c r="AR72">
        <v>2005</v>
      </c>
      <c r="AS72" t="s">
        <v>20</v>
      </c>
      <c r="AT72" t="s">
        <v>96</v>
      </c>
      <c r="AU72">
        <v>24</v>
      </c>
      <c r="AV72">
        <v>18</v>
      </c>
      <c r="AW72">
        <v>21.0674157303371</v>
      </c>
      <c r="AX72">
        <v>9.6999999999999993</v>
      </c>
      <c r="AZ72" t="str">
        <f t="shared" si="16"/>
        <v>2015AllSexNon-Maori12</v>
      </c>
      <c r="BA72">
        <v>2015</v>
      </c>
      <c r="BB72" t="s">
        <v>17</v>
      </c>
      <c r="BC72" t="s">
        <v>19</v>
      </c>
      <c r="BD72">
        <v>12</v>
      </c>
      <c r="BE72">
        <v>30</v>
      </c>
      <c r="BF72">
        <v>11.720123451967</v>
      </c>
      <c r="BG72" s="83">
        <v>4.2</v>
      </c>
      <c r="BH72">
        <v>950</v>
      </c>
      <c r="BI72">
        <v>3.2</v>
      </c>
      <c r="BS72" t="str">
        <f t="shared" si="17"/>
        <v>AllSexMaori214</v>
      </c>
      <c r="BT72" t="s">
        <v>17</v>
      </c>
      <c r="BU72" t="s">
        <v>18</v>
      </c>
      <c r="BV72">
        <v>21</v>
      </c>
      <c r="BW72">
        <v>4</v>
      </c>
      <c r="BX72">
        <v>4</v>
      </c>
      <c r="CB72" t="str">
        <f t="shared" si="18"/>
        <v>AllSexMaori23Jumping from a high place</v>
      </c>
      <c r="CC72" t="s">
        <v>17</v>
      </c>
      <c r="CD72" t="s">
        <v>18</v>
      </c>
      <c r="CE72" t="s">
        <v>44</v>
      </c>
      <c r="CF72">
        <v>23</v>
      </c>
      <c r="CG72">
        <v>1</v>
      </c>
      <c r="CH72">
        <v>232</v>
      </c>
      <c r="CI72">
        <v>0.4</v>
      </c>
      <c r="CL72" t="str">
        <f t="shared" si="19"/>
        <v>2009AllSexAllEth9</v>
      </c>
      <c r="CM72">
        <v>2009</v>
      </c>
      <c r="CN72" t="s">
        <v>17</v>
      </c>
      <c r="CO72" t="s">
        <v>27</v>
      </c>
      <c r="CP72">
        <v>9</v>
      </c>
      <c r="CQ72">
        <v>10</v>
      </c>
    </row>
    <row r="73" spans="1:95" x14ac:dyDescent="0.2">
      <c r="A73" t="str">
        <f t="shared" si="11"/>
        <v>2005FemaleAllEth19</v>
      </c>
      <c r="B73">
        <v>2005</v>
      </c>
      <c r="C73" t="s">
        <v>8</v>
      </c>
      <c r="D73" t="s">
        <v>27</v>
      </c>
      <c r="E73">
        <v>19</v>
      </c>
      <c r="F73">
        <v>132</v>
      </c>
      <c r="G73">
        <v>5.9861646575977696</v>
      </c>
      <c r="H73">
        <v>1</v>
      </c>
      <c r="J73" s="358" t="str">
        <f t="shared" si="12"/>
        <v>2014AllSexAllEth195</v>
      </c>
      <c r="K73" s="359">
        <v>2014</v>
      </c>
      <c r="L73" t="s">
        <v>17</v>
      </c>
      <c r="M73" t="s">
        <v>27</v>
      </c>
      <c r="N73">
        <v>19</v>
      </c>
      <c r="O73">
        <v>5</v>
      </c>
      <c r="P73">
        <v>141</v>
      </c>
      <c r="Q73">
        <v>15.887486723761301</v>
      </c>
      <c r="R73">
        <v>2.6</v>
      </c>
      <c r="T73" s="358" t="str">
        <f t="shared" si="14"/>
        <v>1996AllSexNon-Maori25Poisoning by gases and vapours</v>
      </c>
      <c r="U73" s="360">
        <v>1996</v>
      </c>
      <c r="V73" s="360" t="s">
        <v>17</v>
      </c>
      <c r="W73" s="360" t="s">
        <v>19</v>
      </c>
      <c r="X73" s="360">
        <v>25</v>
      </c>
      <c r="Y73" s="360" t="s">
        <v>46</v>
      </c>
      <c r="Z73" s="360">
        <v>13</v>
      </c>
      <c r="AA73" s="360">
        <v>65</v>
      </c>
      <c r="AB73" s="360">
        <v>20</v>
      </c>
      <c r="AD73" s="358" t="str">
        <f t="shared" si="15"/>
        <v>200610AllSexAllEth22Lakes</v>
      </c>
      <c r="AE73" t="s">
        <v>17</v>
      </c>
      <c r="AF73" t="s">
        <v>27</v>
      </c>
      <c r="AG73">
        <v>22</v>
      </c>
      <c r="AH73">
        <v>6</v>
      </c>
      <c r="AI73" t="s">
        <v>59</v>
      </c>
      <c r="AJ73">
        <v>13</v>
      </c>
      <c r="AK73">
        <v>19.5812622382889</v>
      </c>
      <c r="AL73">
        <v>14</v>
      </c>
      <c r="AM73" t="s">
        <v>82</v>
      </c>
      <c r="AN73">
        <v>200610</v>
      </c>
      <c r="AQ73" t="str">
        <f t="shared" si="13"/>
        <v>2005MaleUrban24</v>
      </c>
      <c r="AR73">
        <v>2005</v>
      </c>
      <c r="AS73" t="s">
        <v>20</v>
      </c>
      <c r="AT73" t="s">
        <v>97</v>
      </c>
      <c r="AU73">
        <v>24</v>
      </c>
      <c r="AV73">
        <v>85</v>
      </c>
      <c r="AW73">
        <v>21.626847823321398</v>
      </c>
      <c r="AX73">
        <v>4.5999999999999996</v>
      </c>
      <c r="AZ73" t="str">
        <f t="shared" si="16"/>
        <v>2015AllSexNon-Maori13</v>
      </c>
      <c r="BA73">
        <v>2015</v>
      </c>
      <c r="BB73" t="s">
        <v>17</v>
      </c>
      <c r="BC73" t="s">
        <v>19</v>
      </c>
      <c r="BD73">
        <v>13</v>
      </c>
      <c r="BE73">
        <v>29</v>
      </c>
      <c r="BF73">
        <v>12.7849049949301</v>
      </c>
      <c r="BG73" s="83">
        <v>4.7</v>
      </c>
      <c r="BH73">
        <v>1323</v>
      </c>
      <c r="BI73">
        <v>2.2000000000000002</v>
      </c>
      <c r="BS73" t="str">
        <f t="shared" si="17"/>
        <v>AllSexMaori215</v>
      </c>
      <c r="BT73" t="s">
        <v>17</v>
      </c>
      <c r="BU73" t="s">
        <v>18</v>
      </c>
      <c r="BV73">
        <v>21</v>
      </c>
      <c r="BW73">
        <v>5</v>
      </c>
      <c r="BX73">
        <v>9</v>
      </c>
      <c r="CB73" t="str">
        <f t="shared" si="18"/>
        <v>AllSexMaori24Jumping from a high place</v>
      </c>
      <c r="CC73" t="s">
        <v>17</v>
      </c>
      <c r="CD73" t="s">
        <v>18</v>
      </c>
      <c r="CE73" t="s">
        <v>44</v>
      </c>
      <c r="CF73">
        <v>24</v>
      </c>
      <c r="CG73">
        <v>2</v>
      </c>
      <c r="CH73">
        <v>65</v>
      </c>
      <c r="CI73">
        <v>3.1</v>
      </c>
      <c r="CL73" t="str">
        <f t="shared" si="19"/>
        <v>2009AllSexNon-Maori9</v>
      </c>
      <c r="CM73">
        <v>2009</v>
      </c>
      <c r="CN73" t="s">
        <v>17</v>
      </c>
      <c r="CO73" t="s">
        <v>19</v>
      </c>
      <c r="CP73">
        <v>9</v>
      </c>
      <c r="CQ73">
        <v>10</v>
      </c>
    </row>
    <row r="74" spans="1:95" x14ac:dyDescent="0.2">
      <c r="A74" t="str">
        <f t="shared" si="11"/>
        <v>2006FemaleAllEth19</v>
      </c>
      <c r="B74">
        <v>2006</v>
      </c>
      <c r="C74" t="s">
        <v>8</v>
      </c>
      <c r="D74" t="s">
        <v>27</v>
      </c>
      <c r="E74">
        <v>19</v>
      </c>
      <c r="F74">
        <v>137</v>
      </c>
      <c r="G74">
        <v>6.2050827070238999</v>
      </c>
      <c r="H74">
        <v>1</v>
      </c>
      <c r="J74" s="358" t="str">
        <f t="shared" si="12"/>
        <v>2015AllSexAllEth191</v>
      </c>
      <c r="K74" s="359">
        <v>2015</v>
      </c>
      <c r="L74" t="s">
        <v>17</v>
      </c>
      <c r="M74" t="s">
        <v>27</v>
      </c>
      <c r="N74">
        <v>19</v>
      </c>
      <c r="O74">
        <v>1</v>
      </c>
      <c r="P74">
        <v>81</v>
      </c>
      <c r="Q74">
        <v>8.0896312487476205</v>
      </c>
      <c r="R74">
        <v>1.8</v>
      </c>
      <c r="T74" s="358" t="str">
        <f t="shared" si="14"/>
        <v>1996AllSexNon-Maori22Poisoning by solids and liquids</v>
      </c>
      <c r="U74" s="360">
        <v>1996</v>
      </c>
      <c r="V74" s="360" t="s">
        <v>17</v>
      </c>
      <c r="W74" s="360" t="s">
        <v>19</v>
      </c>
      <c r="X74" s="360">
        <v>22</v>
      </c>
      <c r="Y74" s="360" t="s">
        <v>47</v>
      </c>
      <c r="Z74" s="360">
        <v>12</v>
      </c>
      <c r="AA74" s="360">
        <v>104</v>
      </c>
      <c r="AB74" s="360">
        <v>11.5</v>
      </c>
      <c r="AD74" s="358" t="str">
        <f t="shared" si="15"/>
        <v>200610AllSexAllEth22MidCentral</v>
      </c>
      <c r="AE74" t="s">
        <v>17</v>
      </c>
      <c r="AF74" t="s">
        <v>27</v>
      </c>
      <c r="AG74">
        <v>22</v>
      </c>
      <c r="AH74">
        <v>11</v>
      </c>
      <c r="AI74" t="s">
        <v>64</v>
      </c>
      <c r="AJ74">
        <v>29</v>
      </c>
      <c r="AK74">
        <v>23.140759655282501</v>
      </c>
      <c r="AL74">
        <v>11.1</v>
      </c>
      <c r="AM74" t="s">
        <v>82</v>
      </c>
      <c r="AN74">
        <v>200610</v>
      </c>
      <c r="AQ74" t="str">
        <f t="shared" si="13"/>
        <v>2005MaleRural25</v>
      </c>
      <c r="AR74">
        <v>2005</v>
      </c>
      <c r="AS74" t="s">
        <v>20</v>
      </c>
      <c r="AT74" t="s">
        <v>96</v>
      </c>
      <c r="AU74">
        <v>25</v>
      </c>
      <c r="AV74">
        <v>7</v>
      </c>
      <c r="AW74">
        <v>22.913256955810098</v>
      </c>
      <c r="AX74">
        <v>17</v>
      </c>
      <c r="AZ74" t="str">
        <f t="shared" si="16"/>
        <v>2015AllSexNon-Maori14</v>
      </c>
      <c r="BA74">
        <v>2015</v>
      </c>
      <c r="BB74" t="s">
        <v>17</v>
      </c>
      <c r="BC74" t="s">
        <v>19</v>
      </c>
      <c r="BD74">
        <v>14</v>
      </c>
      <c r="BE74">
        <v>20</v>
      </c>
      <c r="BF74">
        <v>9.5771680314131107</v>
      </c>
      <c r="BG74" s="83">
        <v>4.2</v>
      </c>
      <c r="BH74">
        <v>2029</v>
      </c>
      <c r="BI74">
        <v>1</v>
      </c>
      <c r="BS74" t="str">
        <f t="shared" si="17"/>
        <v>AllSexOther211</v>
      </c>
      <c r="BT74" t="s">
        <v>17</v>
      </c>
      <c r="BU74" t="s">
        <v>45</v>
      </c>
      <c r="BV74">
        <v>21</v>
      </c>
      <c r="BW74">
        <v>1</v>
      </c>
      <c r="BX74">
        <v>1</v>
      </c>
      <c r="CB74" t="str">
        <f t="shared" si="18"/>
        <v>AllSexMaori22Other</v>
      </c>
      <c r="CC74" t="s">
        <v>17</v>
      </c>
      <c r="CD74" t="s">
        <v>18</v>
      </c>
      <c r="CE74" t="s">
        <v>45</v>
      </c>
      <c r="CF74">
        <v>22</v>
      </c>
      <c r="CG74">
        <v>5</v>
      </c>
      <c r="CH74">
        <v>230</v>
      </c>
      <c r="CI74">
        <v>2.2000000000000002</v>
      </c>
      <c r="CL74" t="str">
        <f t="shared" si="19"/>
        <v>2009FemaleAllEth9</v>
      </c>
      <c r="CM74">
        <v>2009</v>
      </c>
      <c r="CN74" t="s">
        <v>8</v>
      </c>
      <c r="CO74" t="s">
        <v>27</v>
      </c>
      <c r="CP74">
        <v>9</v>
      </c>
      <c r="CQ74">
        <v>4</v>
      </c>
    </row>
    <row r="75" spans="1:95" x14ac:dyDescent="0.2">
      <c r="A75" t="str">
        <f t="shared" si="11"/>
        <v>2007FemaleAllEth19</v>
      </c>
      <c r="B75">
        <v>2007</v>
      </c>
      <c r="C75" t="s">
        <v>8</v>
      </c>
      <c r="D75" t="s">
        <v>27</v>
      </c>
      <c r="E75">
        <v>19</v>
      </c>
      <c r="F75">
        <v>120</v>
      </c>
      <c r="G75">
        <v>5.16144825407138</v>
      </c>
      <c r="H75">
        <v>0.9</v>
      </c>
      <c r="J75" s="358" t="str">
        <f t="shared" si="12"/>
        <v>2015AllSexAllEth192</v>
      </c>
      <c r="K75" s="359">
        <v>2015</v>
      </c>
      <c r="L75" t="s">
        <v>17</v>
      </c>
      <c r="M75" t="s">
        <v>27</v>
      </c>
      <c r="N75">
        <v>19</v>
      </c>
      <c r="O75">
        <v>2</v>
      </c>
      <c r="P75">
        <v>92</v>
      </c>
      <c r="Q75">
        <v>8.9755667648996305</v>
      </c>
      <c r="R75">
        <v>1.8</v>
      </c>
      <c r="T75" s="358" t="str">
        <f t="shared" si="14"/>
        <v>1996AllSexNon-Maori23Poisoning by solids and liquids</v>
      </c>
      <c r="U75" s="360">
        <v>1996</v>
      </c>
      <c r="V75" s="360" t="s">
        <v>17</v>
      </c>
      <c r="W75" s="360" t="s">
        <v>19</v>
      </c>
      <c r="X75" s="360">
        <v>23</v>
      </c>
      <c r="Y75" s="360" t="s">
        <v>47</v>
      </c>
      <c r="Z75" s="360">
        <v>13</v>
      </c>
      <c r="AA75" s="360">
        <v>177</v>
      </c>
      <c r="AB75" s="360">
        <v>7.3</v>
      </c>
      <c r="AD75" s="358" t="str">
        <f t="shared" si="15"/>
        <v>200610AllSexAllEth22Nelson Marlborough</v>
      </c>
      <c r="AE75" t="s">
        <v>17</v>
      </c>
      <c r="AF75" t="s">
        <v>27</v>
      </c>
      <c r="AG75">
        <v>22</v>
      </c>
      <c r="AH75">
        <v>16</v>
      </c>
      <c r="AI75" t="s">
        <v>69</v>
      </c>
      <c r="AJ75">
        <v>16</v>
      </c>
      <c r="AK75">
        <v>20.945149888728899</v>
      </c>
      <c r="AL75">
        <v>13.5</v>
      </c>
      <c r="AM75" t="s">
        <v>82</v>
      </c>
      <c r="AN75">
        <v>200610</v>
      </c>
      <c r="AQ75" t="str">
        <f t="shared" si="13"/>
        <v>2005MaleUrban25</v>
      </c>
      <c r="AR75">
        <v>2005</v>
      </c>
      <c r="AS75" t="s">
        <v>20</v>
      </c>
      <c r="AT75" t="s">
        <v>97</v>
      </c>
      <c r="AU75">
        <v>25</v>
      </c>
      <c r="AV75">
        <v>25</v>
      </c>
      <c r="AW75">
        <v>13.1426769004311</v>
      </c>
      <c r="AX75">
        <v>5.2</v>
      </c>
      <c r="AZ75" t="str">
        <f t="shared" si="16"/>
        <v>2015AllSexNon-Maori15</v>
      </c>
      <c r="BA75">
        <v>2015</v>
      </c>
      <c r="BB75" t="s">
        <v>17</v>
      </c>
      <c r="BC75" t="s">
        <v>19</v>
      </c>
      <c r="BD75">
        <v>15</v>
      </c>
      <c r="BE75">
        <v>10</v>
      </c>
      <c r="BF75">
        <v>6.4905562406698296</v>
      </c>
      <c r="BG75" s="83">
        <v>4</v>
      </c>
      <c r="BH75">
        <v>2642</v>
      </c>
      <c r="BI75">
        <v>0.4</v>
      </c>
      <c r="BS75" t="str">
        <f t="shared" si="17"/>
        <v>AllSexOther212</v>
      </c>
      <c r="BT75" t="s">
        <v>17</v>
      </c>
      <c r="BU75" t="s">
        <v>45</v>
      </c>
      <c r="BV75">
        <v>21</v>
      </c>
      <c r="BW75">
        <v>2</v>
      </c>
      <c r="BX75">
        <v>2</v>
      </c>
      <c r="CB75" t="str">
        <f t="shared" si="18"/>
        <v>AllSexMaori23Other</v>
      </c>
      <c r="CC75" t="s">
        <v>17</v>
      </c>
      <c r="CD75" t="s">
        <v>18</v>
      </c>
      <c r="CE75" t="s">
        <v>45</v>
      </c>
      <c r="CF75">
        <v>23</v>
      </c>
      <c r="CG75">
        <v>8</v>
      </c>
      <c r="CH75">
        <v>232</v>
      </c>
      <c r="CI75">
        <v>3.4</v>
      </c>
      <c r="CL75" t="str">
        <f t="shared" si="19"/>
        <v>2009FemaleNon-Maori9</v>
      </c>
      <c r="CM75">
        <v>2009</v>
      </c>
      <c r="CN75" t="s">
        <v>8</v>
      </c>
      <c r="CO75" t="s">
        <v>19</v>
      </c>
      <c r="CP75">
        <v>9</v>
      </c>
      <c r="CQ75">
        <v>4</v>
      </c>
    </row>
    <row r="76" spans="1:95" x14ac:dyDescent="0.2">
      <c r="A76" t="str">
        <f t="shared" si="11"/>
        <v>2008FemaleAllEth19</v>
      </c>
      <c r="B76">
        <v>2008</v>
      </c>
      <c r="C76" t="s">
        <v>8</v>
      </c>
      <c r="D76" t="s">
        <v>27</v>
      </c>
      <c r="E76">
        <v>19</v>
      </c>
      <c r="F76">
        <v>139</v>
      </c>
      <c r="G76">
        <v>6.26512973729122</v>
      </c>
      <c r="H76">
        <v>1</v>
      </c>
      <c r="J76" s="358" t="str">
        <f t="shared" si="12"/>
        <v>2015AllSexAllEth193</v>
      </c>
      <c r="K76" s="359">
        <v>2015</v>
      </c>
      <c r="L76" t="s">
        <v>17</v>
      </c>
      <c r="M76" t="s">
        <v>27</v>
      </c>
      <c r="N76">
        <v>19</v>
      </c>
      <c r="O76">
        <v>3</v>
      </c>
      <c r="P76">
        <v>89</v>
      </c>
      <c r="Q76">
        <v>9.2264696457870095</v>
      </c>
      <c r="R76">
        <v>1.9</v>
      </c>
      <c r="T76" s="358" t="str">
        <f t="shared" si="14"/>
        <v>1996AllSexNon-Maori24Poisoning by solids and liquids</v>
      </c>
      <c r="U76" s="360">
        <v>1996</v>
      </c>
      <c r="V76" s="360" t="s">
        <v>17</v>
      </c>
      <c r="W76" s="360" t="s">
        <v>19</v>
      </c>
      <c r="X76" s="360">
        <v>24</v>
      </c>
      <c r="Y76" s="360" t="s">
        <v>47</v>
      </c>
      <c r="Z76" s="360">
        <v>9</v>
      </c>
      <c r="AA76" s="360">
        <v>94</v>
      </c>
      <c r="AB76" s="360">
        <v>9.6</v>
      </c>
      <c r="AD76" s="358" t="str">
        <f t="shared" si="15"/>
        <v>200610AllSexAllEth22Northland</v>
      </c>
      <c r="AE76" t="s">
        <v>17</v>
      </c>
      <c r="AF76" t="s">
        <v>27</v>
      </c>
      <c r="AG76">
        <v>22</v>
      </c>
      <c r="AH76">
        <v>1</v>
      </c>
      <c r="AI76" t="s">
        <v>54</v>
      </c>
      <c r="AJ76">
        <v>22</v>
      </c>
      <c r="AK76">
        <v>23.184740225524301</v>
      </c>
      <c r="AL76">
        <v>12.7</v>
      </c>
      <c r="AM76" t="s">
        <v>82</v>
      </c>
      <c r="AN76">
        <v>200610</v>
      </c>
      <c r="AQ76" t="str">
        <f t="shared" si="13"/>
        <v>2006AllSexRural22</v>
      </c>
      <c r="AR76">
        <v>2006</v>
      </c>
      <c r="AS76" t="s">
        <v>17</v>
      </c>
      <c r="AT76" t="s">
        <v>96</v>
      </c>
      <c r="AU76">
        <v>22</v>
      </c>
      <c r="AV76">
        <v>20</v>
      </c>
      <c r="AW76">
        <v>31.3185092389602</v>
      </c>
      <c r="AX76">
        <v>13.7</v>
      </c>
      <c r="AZ76" t="str">
        <f t="shared" si="16"/>
        <v>2015AllSexNon-Maori16</v>
      </c>
      <c r="BA76">
        <v>2015</v>
      </c>
      <c r="BB76" t="s">
        <v>17</v>
      </c>
      <c r="BC76" t="s">
        <v>19</v>
      </c>
      <c r="BD76">
        <v>16</v>
      </c>
      <c r="BE76">
        <v>17</v>
      </c>
      <c r="BF76">
        <v>15.016341312604901</v>
      </c>
      <c r="BG76" s="83">
        <v>7.1</v>
      </c>
      <c r="BH76">
        <v>3332</v>
      </c>
      <c r="BI76">
        <v>0.5</v>
      </c>
      <c r="BS76" t="str">
        <f t="shared" si="17"/>
        <v>AllSexOther213</v>
      </c>
      <c r="BT76" t="s">
        <v>17</v>
      </c>
      <c r="BU76" t="s">
        <v>45</v>
      </c>
      <c r="BV76">
        <v>21</v>
      </c>
      <c r="BW76">
        <v>3</v>
      </c>
      <c r="BX76">
        <v>3</v>
      </c>
      <c r="CB76" t="str">
        <f t="shared" si="18"/>
        <v>AllSexMaori24Other</v>
      </c>
      <c r="CC76" t="s">
        <v>17</v>
      </c>
      <c r="CD76" t="s">
        <v>18</v>
      </c>
      <c r="CE76" t="s">
        <v>45</v>
      </c>
      <c r="CF76">
        <v>24</v>
      </c>
      <c r="CG76">
        <v>3</v>
      </c>
      <c r="CH76">
        <v>65</v>
      </c>
      <c r="CI76">
        <v>4.5999999999999996</v>
      </c>
      <c r="CL76" t="str">
        <f t="shared" si="19"/>
        <v>2009MaleAllEth9</v>
      </c>
      <c r="CM76">
        <v>2009</v>
      </c>
      <c r="CN76" t="s">
        <v>20</v>
      </c>
      <c r="CO76" t="s">
        <v>27</v>
      </c>
      <c r="CP76">
        <v>9</v>
      </c>
      <c r="CQ76">
        <v>6</v>
      </c>
    </row>
    <row r="77" spans="1:95" x14ac:dyDescent="0.2">
      <c r="A77" t="str">
        <f t="shared" si="11"/>
        <v>2009FemaleAllEth19</v>
      </c>
      <c r="B77">
        <v>2009</v>
      </c>
      <c r="C77" t="s">
        <v>8</v>
      </c>
      <c r="D77" t="s">
        <v>27</v>
      </c>
      <c r="E77">
        <v>19</v>
      </c>
      <c r="F77">
        <v>118</v>
      </c>
      <c r="G77">
        <v>5.08858477285475</v>
      </c>
      <c r="H77">
        <v>0.9</v>
      </c>
      <c r="J77" s="358" t="str">
        <f t="shared" si="12"/>
        <v>2015AllSexAllEth194</v>
      </c>
      <c r="K77" s="359">
        <v>2015</v>
      </c>
      <c r="L77" t="s">
        <v>17</v>
      </c>
      <c r="M77" t="s">
        <v>27</v>
      </c>
      <c r="N77">
        <v>19</v>
      </c>
      <c r="O77">
        <v>4</v>
      </c>
      <c r="P77">
        <v>118</v>
      </c>
      <c r="Q77">
        <v>12.6359015080068</v>
      </c>
      <c r="R77">
        <v>2.2999999999999998</v>
      </c>
      <c r="T77" s="358" t="str">
        <f t="shared" si="14"/>
        <v>1996AllSexNon-Maori25Poisoning by solids and liquids</v>
      </c>
      <c r="U77" s="360">
        <v>1996</v>
      </c>
      <c r="V77" s="360" t="s">
        <v>17</v>
      </c>
      <c r="W77" s="360" t="s">
        <v>19</v>
      </c>
      <c r="X77" s="360">
        <v>25</v>
      </c>
      <c r="Y77" s="360" t="s">
        <v>47</v>
      </c>
      <c r="Z77" s="360">
        <v>14</v>
      </c>
      <c r="AA77" s="360">
        <v>65</v>
      </c>
      <c r="AB77" s="360">
        <v>21.5</v>
      </c>
      <c r="AD77" s="358" t="str">
        <f t="shared" si="15"/>
        <v>200610AllSexAllEth22South Canterbury</v>
      </c>
      <c r="AE77" t="s">
        <v>17</v>
      </c>
      <c r="AF77" t="s">
        <v>27</v>
      </c>
      <c r="AG77">
        <v>22</v>
      </c>
      <c r="AH77">
        <v>19</v>
      </c>
      <c r="AI77" t="s">
        <v>72</v>
      </c>
      <c r="AJ77">
        <v>13</v>
      </c>
      <c r="AK77">
        <v>42.235217673814198</v>
      </c>
      <c r="AL77">
        <v>30.2</v>
      </c>
      <c r="AM77" t="s">
        <v>82</v>
      </c>
      <c r="AN77">
        <v>200610</v>
      </c>
      <c r="AQ77" t="str">
        <f t="shared" si="13"/>
        <v>2006AllSexUrban22</v>
      </c>
      <c r="AR77">
        <v>2006</v>
      </c>
      <c r="AS77" t="s">
        <v>17</v>
      </c>
      <c r="AT77" t="s">
        <v>97</v>
      </c>
      <c r="AU77">
        <v>22</v>
      </c>
      <c r="AV77">
        <v>96</v>
      </c>
      <c r="AW77">
        <v>17.7514792899408</v>
      </c>
      <c r="AX77">
        <v>3.6</v>
      </c>
      <c r="AZ77" t="str">
        <f t="shared" si="16"/>
        <v>2015AllSexNon-Maori17</v>
      </c>
      <c r="BA77">
        <v>2015</v>
      </c>
      <c r="BB77" t="s">
        <v>17</v>
      </c>
      <c r="BC77" t="s">
        <v>19</v>
      </c>
      <c r="BD77">
        <v>17</v>
      </c>
      <c r="BE77">
        <v>10</v>
      </c>
      <c r="BF77">
        <v>12.5738714950333</v>
      </c>
      <c r="BG77" s="83">
        <v>7.8</v>
      </c>
      <c r="BH77">
        <v>4515</v>
      </c>
      <c r="BI77">
        <v>0.2</v>
      </c>
      <c r="BS77" t="str">
        <f t="shared" si="17"/>
        <v>AllSexOther214</v>
      </c>
      <c r="BT77" t="s">
        <v>17</v>
      </c>
      <c r="BU77" t="s">
        <v>45</v>
      </c>
      <c r="BV77">
        <v>21</v>
      </c>
      <c r="BW77">
        <v>4</v>
      </c>
      <c r="BX77">
        <v>0</v>
      </c>
      <c r="CB77" t="str">
        <f t="shared" si="18"/>
        <v>AllSexMaori22Poisoning by gases and vapours</v>
      </c>
      <c r="CC77" t="s">
        <v>17</v>
      </c>
      <c r="CD77" t="s">
        <v>18</v>
      </c>
      <c r="CE77" t="s">
        <v>46</v>
      </c>
      <c r="CF77">
        <v>22</v>
      </c>
      <c r="CG77">
        <v>2</v>
      </c>
      <c r="CH77">
        <v>230</v>
      </c>
      <c r="CI77">
        <v>0.9</v>
      </c>
      <c r="CL77" t="str">
        <f t="shared" si="19"/>
        <v>2009MaleNon-Maori9</v>
      </c>
      <c r="CM77">
        <v>2009</v>
      </c>
      <c r="CN77" t="s">
        <v>20</v>
      </c>
      <c r="CO77" t="s">
        <v>19</v>
      </c>
      <c r="CP77">
        <v>9</v>
      </c>
      <c r="CQ77">
        <v>6</v>
      </c>
    </row>
    <row r="78" spans="1:95" x14ac:dyDescent="0.2">
      <c r="A78" t="str">
        <f t="shared" si="11"/>
        <v>2010FemaleAllEth19</v>
      </c>
      <c r="B78">
        <v>2010</v>
      </c>
      <c r="C78" t="s">
        <v>8</v>
      </c>
      <c r="D78" t="s">
        <v>27</v>
      </c>
      <c r="E78">
        <v>19</v>
      </c>
      <c r="F78">
        <v>147</v>
      </c>
      <c r="G78">
        <v>6.5442717734968303</v>
      </c>
      <c r="H78">
        <v>1.1000000000000001</v>
      </c>
      <c r="J78" s="358" t="str">
        <f t="shared" si="12"/>
        <v>2015AllSexAllEth195</v>
      </c>
      <c r="K78" s="359">
        <v>2015</v>
      </c>
      <c r="L78" t="s">
        <v>17</v>
      </c>
      <c r="M78" t="s">
        <v>27</v>
      </c>
      <c r="N78">
        <v>19</v>
      </c>
      <c r="O78">
        <v>5</v>
      </c>
      <c r="P78">
        <v>138</v>
      </c>
      <c r="Q78">
        <v>15.3999588320555</v>
      </c>
      <c r="R78">
        <v>2.6</v>
      </c>
      <c r="T78" s="358" t="str">
        <f t="shared" si="14"/>
        <v>1996AllSexNon-Maori23Sharp object</v>
      </c>
      <c r="U78" s="360">
        <v>1996</v>
      </c>
      <c r="V78" s="360" t="s">
        <v>17</v>
      </c>
      <c r="W78" s="360" t="s">
        <v>19</v>
      </c>
      <c r="X78" s="360">
        <v>23</v>
      </c>
      <c r="Y78" s="360" t="s">
        <v>48</v>
      </c>
      <c r="Z78" s="360">
        <v>1</v>
      </c>
      <c r="AA78" s="360">
        <v>177</v>
      </c>
      <c r="AB78" s="360">
        <v>0.6</v>
      </c>
      <c r="AD78" s="358" t="str">
        <f t="shared" si="15"/>
        <v>200610AllSexAllEth22Southern</v>
      </c>
      <c r="AE78" t="s">
        <v>17</v>
      </c>
      <c r="AF78" t="s">
        <v>27</v>
      </c>
      <c r="AG78">
        <v>22</v>
      </c>
      <c r="AH78">
        <v>20</v>
      </c>
      <c r="AI78" t="s">
        <v>73</v>
      </c>
      <c r="AJ78">
        <v>51</v>
      </c>
      <c r="AK78">
        <v>21.740057120934399</v>
      </c>
      <c r="AL78">
        <v>7.8</v>
      </c>
      <c r="AM78" t="s">
        <v>82</v>
      </c>
      <c r="AN78">
        <v>200610</v>
      </c>
      <c r="AQ78" t="str">
        <f t="shared" si="13"/>
        <v>2006AllSexRural23</v>
      </c>
      <c r="AR78">
        <v>2006</v>
      </c>
      <c r="AS78" t="s">
        <v>17</v>
      </c>
      <c r="AT78" t="s">
        <v>96</v>
      </c>
      <c r="AU78">
        <v>23</v>
      </c>
      <c r="AV78">
        <v>30</v>
      </c>
      <c r="AW78">
        <v>19.5337934626905</v>
      </c>
      <c r="AX78">
        <v>7</v>
      </c>
      <c r="AZ78" t="str">
        <f t="shared" si="16"/>
        <v>2015AllSexNon-Maori18</v>
      </c>
      <c r="BA78">
        <v>2015</v>
      </c>
      <c r="BB78" t="s">
        <v>17</v>
      </c>
      <c r="BC78" t="s">
        <v>19</v>
      </c>
      <c r="BD78">
        <v>18</v>
      </c>
      <c r="BE78">
        <v>7</v>
      </c>
      <c r="BF78">
        <v>8.9951169365201693</v>
      </c>
      <c r="BG78" s="83">
        <v>6.7</v>
      </c>
      <c r="BH78">
        <v>11232</v>
      </c>
      <c r="BI78">
        <v>0.1</v>
      </c>
      <c r="BS78" t="str">
        <f t="shared" si="17"/>
        <v>AllSexOther215</v>
      </c>
      <c r="BT78" t="s">
        <v>17</v>
      </c>
      <c r="BU78" t="s">
        <v>45</v>
      </c>
      <c r="BV78">
        <v>21</v>
      </c>
      <c r="BW78">
        <v>5</v>
      </c>
      <c r="BX78">
        <v>2</v>
      </c>
      <c r="CB78" t="str">
        <f t="shared" si="18"/>
        <v>AllSexMaori23Poisoning by gases and vapours</v>
      </c>
      <c r="CC78" t="s">
        <v>17</v>
      </c>
      <c r="CD78" t="s">
        <v>18</v>
      </c>
      <c r="CE78" t="s">
        <v>46</v>
      </c>
      <c r="CF78">
        <v>23</v>
      </c>
      <c r="CG78">
        <v>9</v>
      </c>
      <c r="CH78">
        <v>232</v>
      </c>
      <c r="CI78">
        <v>3.9</v>
      </c>
      <c r="CL78" t="str">
        <f t="shared" si="19"/>
        <v>2010AllSexAllEth9</v>
      </c>
      <c r="CM78">
        <v>2010</v>
      </c>
      <c r="CN78" t="s">
        <v>17</v>
      </c>
      <c r="CO78" t="s">
        <v>27</v>
      </c>
      <c r="CP78">
        <v>9</v>
      </c>
      <c r="CQ78">
        <v>36</v>
      </c>
    </row>
    <row r="79" spans="1:95" x14ac:dyDescent="0.2">
      <c r="A79" t="str">
        <f t="shared" si="11"/>
        <v>2011FemaleAllEth19</v>
      </c>
      <c r="B79">
        <v>2011</v>
      </c>
      <c r="C79" t="s">
        <v>8</v>
      </c>
      <c r="D79" t="s">
        <v>27</v>
      </c>
      <c r="E79">
        <v>19</v>
      </c>
      <c r="F79">
        <v>117</v>
      </c>
      <c r="G79">
        <v>5.1499552709199499</v>
      </c>
      <c r="H79">
        <v>0.9</v>
      </c>
      <c r="J79" s="358" t="str">
        <f t="shared" si="12"/>
        <v>2001AllSexMaori191</v>
      </c>
      <c r="K79" s="359">
        <v>2001</v>
      </c>
      <c r="L79" t="s">
        <v>17</v>
      </c>
      <c r="M79" t="s">
        <v>18</v>
      </c>
      <c r="N79">
        <v>19</v>
      </c>
      <c r="O79">
        <v>1</v>
      </c>
      <c r="P79">
        <v>2</v>
      </c>
      <c r="Q79">
        <v>4.6999067589525501</v>
      </c>
      <c r="R79">
        <v>6.5</v>
      </c>
      <c r="T79" s="358" t="str">
        <f t="shared" si="14"/>
        <v>1996AllSexNon-Maori24Sharp object</v>
      </c>
      <c r="U79" s="360">
        <v>1996</v>
      </c>
      <c r="V79" s="360" t="s">
        <v>17</v>
      </c>
      <c r="W79" s="360" t="s">
        <v>19</v>
      </c>
      <c r="X79" s="360">
        <v>24</v>
      </c>
      <c r="Y79" s="360" t="s">
        <v>48</v>
      </c>
      <c r="Z79" s="360">
        <v>3</v>
      </c>
      <c r="AA79" s="360">
        <v>94</v>
      </c>
      <c r="AB79" s="360">
        <v>3.2</v>
      </c>
      <c r="AD79" s="358" t="str">
        <f t="shared" si="15"/>
        <v>200610AllSexAllEth22Tairawhiti</v>
      </c>
      <c r="AE79" t="s">
        <v>17</v>
      </c>
      <c r="AF79" t="s">
        <v>27</v>
      </c>
      <c r="AG79">
        <v>22</v>
      </c>
      <c r="AH79">
        <v>8</v>
      </c>
      <c r="AI79" t="s">
        <v>61</v>
      </c>
      <c r="AJ79">
        <v>17</v>
      </c>
      <c r="AK79">
        <v>53.968253968253997</v>
      </c>
      <c r="AL79">
        <v>33.700000000000003</v>
      </c>
      <c r="AM79" t="s">
        <v>84</v>
      </c>
      <c r="AN79">
        <v>200610</v>
      </c>
      <c r="AQ79" t="str">
        <f t="shared" si="13"/>
        <v>2006AllSexUrban23</v>
      </c>
      <c r="AR79">
        <v>2006</v>
      </c>
      <c r="AS79" t="s">
        <v>17</v>
      </c>
      <c r="AT79" t="s">
        <v>97</v>
      </c>
      <c r="AU79">
        <v>23</v>
      </c>
      <c r="AV79">
        <v>175</v>
      </c>
      <c r="AW79">
        <v>17.029972752043602</v>
      </c>
      <c r="AX79">
        <v>2.5</v>
      </c>
      <c r="AZ79" t="str">
        <f t="shared" si="16"/>
        <v>2015FemaleMaori3</v>
      </c>
      <c r="BA79">
        <v>2015</v>
      </c>
      <c r="BB79" t="s">
        <v>8</v>
      </c>
      <c r="BC79" t="s">
        <v>18</v>
      </c>
      <c r="BD79">
        <v>3</v>
      </c>
      <c r="BE79">
        <v>1</v>
      </c>
      <c r="BF79">
        <v>2.8935185185185199</v>
      </c>
      <c r="BG79" s="83">
        <v>5.7</v>
      </c>
      <c r="BH79">
        <v>5</v>
      </c>
      <c r="BI79">
        <v>20</v>
      </c>
      <c r="BS79" t="str">
        <f t="shared" si="17"/>
        <v>AllSexPacific211</v>
      </c>
      <c r="BT79" t="s">
        <v>17</v>
      </c>
      <c r="BU79" t="s">
        <v>79</v>
      </c>
      <c r="BV79">
        <v>21</v>
      </c>
      <c r="BW79">
        <v>1</v>
      </c>
      <c r="BX79">
        <v>0</v>
      </c>
      <c r="CB79" t="str">
        <f t="shared" si="18"/>
        <v>AllSexMaori24Poisoning by gases and vapours</v>
      </c>
      <c r="CC79" t="s">
        <v>17</v>
      </c>
      <c r="CD79" t="s">
        <v>18</v>
      </c>
      <c r="CE79" t="s">
        <v>46</v>
      </c>
      <c r="CF79">
        <v>24</v>
      </c>
      <c r="CG79">
        <v>7</v>
      </c>
      <c r="CH79">
        <v>65</v>
      </c>
      <c r="CI79">
        <v>10.8</v>
      </c>
      <c r="CL79" t="str">
        <f t="shared" si="19"/>
        <v>2010AllSexMaori9</v>
      </c>
      <c r="CM79">
        <v>2010</v>
      </c>
      <c r="CN79" t="s">
        <v>17</v>
      </c>
      <c r="CO79" t="s">
        <v>18</v>
      </c>
      <c r="CP79">
        <v>9</v>
      </c>
      <c r="CQ79">
        <v>4</v>
      </c>
    </row>
    <row r="80" spans="1:95" x14ac:dyDescent="0.2">
      <c r="A80" t="str">
        <f t="shared" si="11"/>
        <v>2012FemaleAllEth19</v>
      </c>
      <c r="B80">
        <v>2012</v>
      </c>
      <c r="C80" t="s">
        <v>8</v>
      </c>
      <c r="D80" t="s">
        <v>27</v>
      </c>
      <c r="E80">
        <v>19</v>
      </c>
      <c r="F80">
        <v>145</v>
      </c>
      <c r="G80">
        <v>6.37288192291782</v>
      </c>
      <c r="H80">
        <v>1</v>
      </c>
      <c r="J80" s="358" t="str">
        <f t="shared" si="12"/>
        <v>2001AllSexMaori192</v>
      </c>
      <c r="K80" s="359">
        <v>2001</v>
      </c>
      <c r="L80" t="s">
        <v>17</v>
      </c>
      <c r="M80" t="s">
        <v>18</v>
      </c>
      <c r="N80">
        <v>19</v>
      </c>
      <c r="O80">
        <v>2</v>
      </c>
      <c r="P80">
        <v>7</v>
      </c>
      <c r="Q80">
        <v>12.0123317825753</v>
      </c>
      <c r="R80">
        <v>8.9</v>
      </c>
      <c r="T80" s="358" t="str">
        <f t="shared" si="14"/>
        <v>1996AllSexNon-Maori23Submersion (drowning)</v>
      </c>
      <c r="U80" s="360">
        <v>1996</v>
      </c>
      <c r="V80" s="360" t="s">
        <v>17</v>
      </c>
      <c r="W80" s="360" t="s">
        <v>19</v>
      </c>
      <c r="X80" s="360">
        <v>23</v>
      </c>
      <c r="Y80" s="360" t="s">
        <v>49</v>
      </c>
      <c r="Z80" s="360">
        <v>1</v>
      </c>
      <c r="AA80" s="360">
        <v>177</v>
      </c>
      <c r="AB80" s="360">
        <v>0.6</v>
      </c>
      <c r="AD80" s="358" t="str">
        <f t="shared" si="15"/>
        <v>200610AllSexAllEth22Taranaki</v>
      </c>
      <c r="AE80" t="s">
        <v>17</v>
      </c>
      <c r="AF80" t="s">
        <v>27</v>
      </c>
      <c r="AG80">
        <v>22</v>
      </c>
      <c r="AH80">
        <v>10</v>
      </c>
      <c r="AI80" t="s">
        <v>63</v>
      </c>
      <c r="AJ80">
        <v>13</v>
      </c>
      <c r="AK80">
        <v>18.608645863154901</v>
      </c>
      <c r="AL80">
        <v>13.3</v>
      </c>
      <c r="AM80" t="s">
        <v>82</v>
      </c>
      <c r="AN80">
        <v>200610</v>
      </c>
      <c r="AQ80" t="str">
        <f t="shared" si="13"/>
        <v>2006AllSexRural24</v>
      </c>
      <c r="AR80">
        <v>2006</v>
      </c>
      <c r="AS80" t="s">
        <v>17</v>
      </c>
      <c r="AT80" t="s">
        <v>96</v>
      </c>
      <c r="AU80">
        <v>24</v>
      </c>
      <c r="AV80">
        <v>25</v>
      </c>
      <c r="AW80">
        <v>14.8271158294289</v>
      </c>
      <c r="AX80">
        <v>5.8</v>
      </c>
      <c r="AZ80" t="str">
        <f t="shared" si="16"/>
        <v>2015FemaleMaori4</v>
      </c>
      <c r="BA80">
        <v>2015</v>
      </c>
      <c r="BB80" t="s">
        <v>8</v>
      </c>
      <c r="BC80" t="s">
        <v>18</v>
      </c>
      <c r="BD80">
        <v>4</v>
      </c>
      <c r="BE80">
        <v>14</v>
      </c>
      <c r="BF80">
        <v>40.816326530612201</v>
      </c>
      <c r="BG80" s="83">
        <v>21.4</v>
      </c>
      <c r="BH80">
        <v>22</v>
      </c>
      <c r="BI80">
        <v>63.6</v>
      </c>
      <c r="BS80" t="str">
        <f t="shared" si="17"/>
        <v>AllSexPacific212</v>
      </c>
      <c r="BT80" t="s">
        <v>17</v>
      </c>
      <c r="BU80" t="s">
        <v>79</v>
      </c>
      <c r="BV80">
        <v>21</v>
      </c>
      <c r="BW80">
        <v>2</v>
      </c>
      <c r="BX80">
        <v>1</v>
      </c>
      <c r="CB80" t="str">
        <f t="shared" si="18"/>
        <v>AllSexMaori22Poisoning by solids and liquids</v>
      </c>
      <c r="CC80" t="s">
        <v>17</v>
      </c>
      <c r="CD80" t="s">
        <v>18</v>
      </c>
      <c r="CE80" t="s">
        <v>47</v>
      </c>
      <c r="CF80">
        <v>22</v>
      </c>
      <c r="CG80">
        <v>3</v>
      </c>
      <c r="CH80">
        <v>230</v>
      </c>
      <c r="CI80">
        <v>1.3</v>
      </c>
      <c r="CL80" t="str">
        <f t="shared" si="19"/>
        <v>2010AllSexNon-Maori9</v>
      </c>
      <c r="CM80">
        <v>2010</v>
      </c>
      <c r="CN80" t="s">
        <v>17</v>
      </c>
      <c r="CO80" t="s">
        <v>19</v>
      </c>
      <c r="CP80">
        <v>9</v>
      </c>
      <c r="CQ80">
        <v>32</v>
      </c>
    </row>
    <row r="81" spans="1:95" x14ac:dyDescent="0.2">
      <c r="A81" t="str">
        <f t="shared" si="11"/>
        <v>2013FemaleAllEth19</v>
      </c>
      <c r="B81">
        <v>2013</v>
      </c>
      <c r="C81" t="s">
        <v>8</v>
      </c>
      <c r="D81" t="s">
        <v>27</v>
      </c>
      <c r="E81">
        <v>19</v>
      </c>
      <c r="F81">
        <v>148</v>
      </c>
      <c r="G81">
        <v>6.4674511523826501</v>
      </c>
      <c r="H81">
        <v>1</v>
      </c>
      <c r="J81" s="358" t="str">
        <f t="shared" si="12"/>
        <v>2001AllSexMaori193</v>
      </c>
      <c r="K81" s="359">
        <v>2001</v>
      </c>
      <c r="L81" t="s">
        <v>17</v>
      </c>
      <c r="M81" t="s">
        <v>18</v>
      </c>
      <c r="N81">
        <v>19</v>
      </c>
      <c r="O81">
        <v>3</v>
      </c>
      <c r="P81">
        <v>12</v>
      </c>
      <c r="Q81">
        <v>12.1770978150498</v>
      </c>
      <c r="R81">
        <v>6.9</v>
      </c>
      <c r="T81" s="358" t="str">
        <f t="shared" si="14"/>
        <v>1996AllSexNon-Maori24Submersion (drowning)</v>
      </c>
      <c r="U81" s="360">
        <v>1996</v>
      </c>
      <c r="V81" s="360" t="s">
        <v>17</v>
      </c>
      <c r="W81" s="360" t="s">
        <v>19</v>
      </c>
      <c r="X81" s="360">
        <v>24</v>
      </c>
      <c r="Y81" s="360" t="s">
        <v>49</v>
      </c>
      <c r="Z81" s="360">
        <v>5</v>
      </c>
      <c r="AA81" s="360">
        <v>94</v>
      </c>
      <c r="AB81" s="360">
        <v>5.3</v>
      </c>
      <c r="AD81" s="358" t="str">
        <f t="shared" si="15"/>
        <v>200610AllSexAllEth22Waikato</v>
      </c>
      <c r="AE81" t="s">
        <v>17</v>
      </c>
      <c r="AF81" t="s">
        <v>27</v>
      </c>
      <c r="AG81">
        <v>22</v>
      </c>
      <c r="AH81">
        <v>5</v>
      </c>
      <c r="AI81" t="s">
        <v>58</v>
      </c>
      <c r="AJ81">
        <v>44</v>
      </c>
      <c r="AK81">
        <v>16.760627761694298</v>
      </c>
      <c r="AL81">
        <v>6.5</v>
      </c>
      <c r="AM81" t="s">
        <v>82</v>
      </c>
      <c r="AN81">
        <v>200610</v>
      </c>
      <c r="AQ81" t="str">
        <f t="shared" si="13"/>
        <v>2006AllSexUrban24</v>
      </c>
      <c r="AR81">
        <v>2006</v>
      </c>
      <c r="AS81" t="s">
        <v>17</v>
      </c>
      <c r="AT81" t="s">
        <v>97</v>
      </c>
      <c r="AU81">
        <v>24</v>
      </c>
      <c r="AV81">
        <v>115</v>
      </c>
      <c r="AW81">
        <v>13.8659464412747</v>
      </c>
      <c r="AX81">
        <v>2.5</v>
      </c>
      <c r="AZ81" t="str">
        <f t="shared" si="16"/>
        <v>2015FemaleMaori5</v>
      </c>
      <c r="BA81">
        <v>2015</v>
      </c>
      <c r="BB81" t="s">
        <v>8</v>
      </c>
      <c r="BC81" t="s">
        <v>18</v>
      </c>
      <c r="BD81">
        <v>5</v>
      </c>
      <c r="BE81">
        <v>9</v>
      </c>
      <c r="BF81">
        <v>29.135642602784099</v>
      </c>
      <c r="BG81" s="83">
        <v>19</v>
      </c>
      <c r="BH81">
        <v>18</v>
      </c>
      <c r="BI81">
        <v>50</v>
      </c>
      <c r="BS81" t="str">
        <f t="shared" si="17"/>
        <v>AllSexPacific213</v>
      </c>
      <c r="BT81" t="s">
        <v>17</v>
      </c>
      <c r="BU81" t="s">
        <v>79</v>
      </c>
      <c r="BV81">
        <v>21</v>
      </c>
      <c r="BW81">
        <v>3</v>
      </c>
      <c r="BX81">
        <v>1</v>
      </c>
      <c r="CB81" t="str">
        <f t="shared" si="18"/>
        <v>AllSexMaori23Poisoning by solids and liquids</v>
      </c>
      <c r="CC81" t="s">
        <v>17</v>
      </c>
      <c r="CD81" t="s">
        <v>18</v>
      </c>
      <c r="CE81" t="s">
        <v>47</v>
      </c>
      <c r="CF81">
        <v>23</v>
      </c>
      <c r="CG81">
        <v>11</v>
      </c>
      <c r="CH81">
        <v>232</v>
      </c>
      <c r="CI81">
        <v>4.7</v>
      </c>
      <c r="CL81" t="str">
        <f t="shared" si="19"/>
        <v>2010FemaleAllEth9</v>
      </c>
      <c r="CM81">
        <v>2010</v>
      </c>
      <c r="CN81" t="s">
        <v>8</v>
      </c>
      <c r="CO81" t="s">
        <v>27</v>
      </c>
      <c r="CP81">
        <v>9</v>
      </c>
      <c r="CQ81">
        <v>4</v>
      </c>
    </row>
    <row r="82" spans="1:95" x14ac:dyDescent="0.2">
      <c r="A82" t="str">
        <f t="shared" si="11"/>
        <v>2014FemaleAllEth19</v>
      </c>
      <c r="B82">
        <v>2014</v>
      </c>
      <c r="C82" t="s">
        <v>8</v>
      </c>
      <c r="D82" t="s">
        <v>27</v>
      </c>
      <c r="E82">
        <v>19</v>
      </c>
      <c r="F82">
        <v>130</v>
      </c>
      <c r="G82">
        <v>5.4320300052619803</v>
      </c>
      <c r="H82">
        <v>0.9</v>
      </c>
      <c r="J82" s="358" t="str">
        <f t="shared" si="12"/>
        <v>2001AllSexMaori194</v>
      </c>
      <c r="K82" s="359">
        <v>2001</v>
      </c>
      <c r="L82" t="s">
        <v>17</v>
      </c>
      <c r="M82" t="s">
        <v>18</v>
      </c>
      <c r="N82">
        <v>19</v>
      </c>
      <c r="O82">
        <v>4</v>
      </c>
      <c r="P82">
        <v>15</v>
      </c>
      <c r="Q82">
        <v>10.5345119497534</v>
      </c>
      <c r="R82">
        <v>5.3</v>
      </c>
      <c r="T82" s="358" t="str">
        <f t="shared" si="14"/>
        <v>1996AllSexNon-Maori25Submersion (drowning)</v>
      </c>
      <c r="U82" s="360">
        <v>1996</v>
      </c>
      <c r="V82" s="360" t="s">
        <v>17</v>
      </c>
      <c r="W82" s="360" t="s">
        <v>19</v>
      </c>
      <c r="X82" s="360">
        <v>25</v>
      </c>
      <c r="Y82" s="360" t="s">
        <v>49</v>
      </c>
      <c r="Z82" s="360">
        <v>5</v>
      </c>
      <c r="AA82" s="360">
        <v>65</v>
      </c>
      <c r="AB82" s="360">
        <v>7.7</v>
      </c>
      <c r="AD82" s="358" t="str">
        <f t="shared" si="15"/>
        <v>200610AllSexAllEth22Wairarapa</v>
      </c>
      <c r="AE82" t="s">
        <v>17</v>
      </c>
      <c r="AF82" t="s">
        <v>27</v>
      </c>
      <c r="AG82">
        <v>22</v>
      </c>
      <c r="AH82">
        <v>15</v>
      </c>
      <c r="AI82" t="s">
        <v>68</v>
      </c>
      <c r="AJ82">
        <v>4</v>
      </c>
      <c r="AK82">
        <v>17.7777777777778</v>
      </c>
      <c r="AL82">
        <v>22.9</v>
      </c>
      <c r="AM82" t="s">
        <v>82</v>
      </c>
      <c r="AN82">
        <v>200610</v>
      </c>
      <c r="AQ82" t="str">
        <f t="shared" si="13"/>
        <v>2006AllSexRural25</v>
      </c>
      <c r="AR82">
        <v>2006</v>
      </c>
      <c r="AS82" t="s">
        <v>17</v>
      </c>
      <c r="AT82" t="s">
        <v>96</v>
      </c>
      <c r="AU82">
        <v>25</v>
      </c>
      <c r="AV82">
        <v>7</v>
      </c>
      <c r="AW82">
        <v>11.758777087182899</v>
      </c>
      <c r="AX82">
        <v>8.6999999999999993</v>
      </c>
      <c r="AZ82" t="str">
        <f t="shared" si="16"/>
        <v>2015FemaleMaori6</v>
      </c>
      <c r="BA82">
        <v>2015</v>
      </c>
      <c r="BB82" t="s">
        <v>8</v>
      </c>
      <c r="BC82" t="s">
        <v>18</v>
      </c>
      <c r="BD82">
        <v>6</v>
      </c>
      <c r="BE82">
        <v>4</v>
      </c>
      <c r="BF82">
        <v>15.2497140678612</v>
      </c>
      <c r="BG82" s="83">
        <v>14.9</v>
      </c>
      <c r="BH82">
        <v>14</v>
      </c>
      <c r="BI82">
        <v>28.6</v>
      </c>
      <c r="BS82" t="str">
        <f t="shared" si="17"/>
        <v>AllSexPacific214</v>
      </c>
      <c r="BT82" t="s">
        <v>17</v>
      </c>
      <c r="BU82" t="s">
        <v>79</v>
      </c>
      <c r="BV82">
        <v>21</v>
      </c>
      <c r="BW82">
        <v>4</v>
      </c>
      <c r="BX82">
        <v>0</v>
      </c>
      <c r="CB82" t="str">
        <f t="shared" si="18"/>
        <v>AllSexMaori24Poisoning by solids and liquids</v>
      </c>
      <c r="CC82" t="s">
        <v>17</v>
      </c>
      <c r="CD82" t="s">
        <v>18</v>
      </c>
      <c r="CE82" t="s">
        <v>47</v>
      </c>
      <c r="CF82">
        <v>24</v>
      </c>
      <c r="CG82">
        <v>5</v>
      </c>
      <c r="CH82">
        <v>65</v>
      </c>
      <c r="CI82">
        <v>7.7</v>
      </c>
      <c r="CL82" t="str">
        <f t="shared" si="19"/>
        <v>2010FemaleNon-Maori9</v>
      </c>
      <c r="CM82">
        <v>2010</v>
      </c>
      <c r="CN82" t="s">
        <v>8</v>
      </c>
      <c r="CO82" t="s">
        <v>19</v>
      </c>
      <c r="CP82">
        <v>9</v>
      </c>
      <c r="CQ82">
        <v>4</v>
      </c>
    </row>
    <row r="83" spans="1:95" x14ac:dyDescent="0.2">
      <c r="A83" t="str">
        <f t="shared" si="11"/>
        <v>2015FemaleAllEth19</v>
      </c>
      <c r="B83">
        <v>2015</v>
      </c>
      <c r="C83" t="s">
        <v>8</v>
      </c>
      <c r="D83" t="s">
        <v>27</v>
      </c>
      <c r="E83">
        <v>19</v>
      </c>
      <c r="F83">
        <v>142</v>
      </c>
      <c r="G83">
        <v>5.9998856620394596</v>
      </c>
      <c r="H83">
        <v>1</v>
      </c>
      <c r="J83" s="358" t="str">
        <f t="shared" si="12"/>
        <v>2001AllSexMaori195</v>
      </c>
      <c r="K83" s="359">
        <v>2001</v>
      </c>
      <c r="L83" t="s">
        <v>17</v>
      </c>
      <c r="M83" t="s">
        <v>18</v>
      </c>
      <c r="N83">
        <v>19</v>
      </c>
      <c r="O83">
        <v>5</v>
      </c>
      <c r="P83">
        <v>36</v>
      </c>
      <c r="Q83">
        <v>16.231713177000401</v>
      </c>
      <c r="R83">
        <v>5.3</v>
      </c>
      <c r="T83" s="358" t="str">
        <f t="shared" si="14"/>
        <v>1996FemaleAllEth23Firearms and explosives</v>
      </c>
      <c r="U83" s="360">
        <v>1996</v>
      </c>
      <c r="V83" s="360" t="s">
        <v>8</v>
      </c>
      <c r="W83" s="360" t="s">
        <v>27</v>
      </c>
      <c r="X83" s="360">
        <v>23</v>
      </c>
      <c r="Y83" s="360" t="s">
        <v>42</v>
      </c>
      <c r="Z83" s="360">
        <v>1</v>
      </c>
      <c r="AA83" s="360">
        <v>34</v>
      </c>
      <c r="AB83" s="360">
        <v>2.9</v>
      </c>
      <c r="AD83" s="358" t="str">
        <f t="shared" si="15"/>
        <v>200610AllSexAllEth22Waitemata</v>
      </c>
      <c r="AE83" t="s">
        <v>17</v>
      </c>
      <c r="AF83" t="s">
        <v>27</v>
      </c>
      <c r="AG83">
        <v>22</v>
      </c>
      <c r="AH83">
        <v>2</v>
      </c>
      <c r="AI83" t="s">
        <v>55</v>
      </c>
      <c r="AJ83">
        <v>47</v>
      </c>
      <c r="AK83">
        <v>12.897914379802399</v>
      </c>
      <c r="AL83">
        <v>4.8</v>
      </c>
      <c r="AM83" t="s">
        <v>83</v>
      </c>
      <c r="AN83">
        <v>200610</v>
      </c>
      <c r="AQ83" t="str">
        <f t="shared" si="13"/>
        <v>2006AllSexUrban25</v>
      </c>
      <c r="AR83">
        <v>2006</v>
      </c>
      <c r="AS83" t="s">
        <v>17</v>
      </c>
      <c r="AT83" t="s">
        <v>97</v>
      </c>
      <c r="AU83">
        <v>25</v>
      </c>
      <c r="AV83">
        <v>44</v>
      </c>
      <c r="AW83">
        <v>9.7360210652092096</v>
      </c>
      <c r="AX83">
        <v>2.9</v>
      </c>
      <c r="AZ83" t="str">
        <f t="shared" si="16"/>
        <v>2015FemaleMaori7</v>
      </c>
      <c r="BA83">
        <v>2015</v>
      </c>
      <c r="BB83" t="s">
        <v>8</v>
      </c>
      <c r="BC83" t="s">
        <v>18</v>
      </c>
      <c r="BD83">
        <v>7</v>
      </c>
      <c r="BE83">
        <v>5</v>
      </c>
      <c r="BF83">
        <v>22.841480127912298</v>
      </c>
      <c r="BG83" s="83">
        <v>20</v>
      </c>
      <c r="BH83">
        <v>24</v>
      </c>
      <c r="BI83">
        <v>20.8</v>
      </c>
      <c r="BS83" t="str">
        <f t="shared" si="17"/>
        <v>AllSexPacific215</v>
      </c>
      <c r="BT83" t="s">
        <v>17</v>
      </c>
      <c r="BU83" t="s">
        <v>79</v>
      </c>
      <c r="BV83">
        <v>21</v>
      </c>
      <c r="BW83">
        <v>5</v>
      </c>
      <c r="BX83">
        <v>6</v>
      </c>
      <c r="CB83" t="str">
        <f t="shared" si="18"/>
        <v>AllSexMaori23Sharp object</v>
      </c>
      <c r="CC83" t="s">
        <v>17</v>
      </c>
      <c r="CD83" t="s">
        <v>18</v>
      </c>
      <c r="CE83" t="s">
        <v>48</v>
      </c>
      <c r="CF83">
        <v>23</v>
      </c>
      <c r="CG83">
        <v>3</v>
      </c>
      <c r="CH83">
        <v>232</v>
      </c>
      <c r="CI83">
        <v>1.3</v>
      </c>
      <c r="CL83" t="str">
        <f t="shared" si="19"/>
        <v>2010MaleAllEth9</v>
      </c>
      <c r="CM83">
        <v>2010</v>
      </c>
      <c r="CN83" t="s">
        <v>20</v>
      </c>
      <c r="CO83" t="s">
        <v>27</v>
      </c>
      <c r="CP83">
        <v>9</v>
      </c>
      <c r="CQ83">
        <v>32</v>
      </c>
    </row>
    <row r="84" spans="1:95" x14ac:dyDescent="0.2">
      <c r="A84" t="str">
        <f t="shared" si="11"/>
        <v>1996FemaleMaori19</v>
      </c>
      <c r="B84">
        <v>1996</v>
      </c>
      <c r="C84" t="s">
        <v>8</v>
      </c>
      <c r="D84" t="s">
        <v>18</v>
      </c>
      <c r="E84">
        <v>19</v>
      </c>
      <c r="F84">
        <v>24</v>
      </c>
      <c r="G84">
        <v>9.0066061781584406</v>
      </c>
      <c r="H84">
        <v>3.6</v>
      </c>
      <c r="J84" s="358" t="str">
        <f t="shared" si="12"/>
        <v>2002AllSexMaori191</v>
      </c>
      <c r="K84" s="359">
        <v>2002</v>
      </c>
      <c r="L84" t="s">
        <v>17</v>
      </c>
      <c r="M84" t="s">
        <v>18</v>
      </c>
      <c r="N84">
        <v>19</v>
      </c>
      <c r="O84">
        <v>1</v>
      </c>
      <c r="P84">
        <v>5</v>
      </c>
      <c r="Q84">
        <v>9.7884771271020607</v>
      </c>
      <c r="R84">
        <v>8.6</v>
      </c>
      <c r="T84" s="358" t="str">
        <f t="shared" si="14"/>
        <v>1996FemaleAllEth21Hanging, strangulation and suffocation</v>
      </c>
      <c r="U84" s="360">
        <v>1996</v>
      </c>
      <c r="V84" s="360" t="s">
        <v>8</v>
      </c>
      <c r="W84" s="360" t="s">
        <v>27</v>
      </c>
      <c r="X84" s="360">
        <v>21</v>
      </c>
      <c r="Y84" s="360" t="s">
        <v>43</v>
      </c>
      <c r="Z84" s="360">
        <v>3</v>
      </c>
      <c r="AA84" s="360">
        <v>4</v>
      </c>
      <c r="AB84" s="360">
        <v>75</v>
      </c>
      <c r="AD84" s="358" t="str">
        <f t="shared" si="15"/>
        <v>200610AllSexAllEth22West Coast</v>
      </c>
      <c r="AE84" t="s">
        <v>17</v>
      </c>
      <c r="AF84" t="s">
        <v>27</v>
      </c>
      <c r="AG84">
        <v>22</v>
      </c>
      <c r="AH84">
        <v>17</v>
      </c>
      <c r="AI84" t="s">
        <v>70</v>
      </c>
      <c r="AJ84">
        <v>0</v>
      </c>
      <c r="AK84">
        <v>0</v>
      </c>
      <c r="AN84">
        <v>200610</v>
      </c>
      <c r="AQ84" t="str">
        <f t="shared" si="13"/>
        <v>2006FemaleRural22</v>
      </c>
      <c r="AR84">
        <v>2006</v>
      </c>
      <c r="AS84" t="s">
        <v>8</v>
      </c>
      <c r="AT84" t="s">
        <v>96</v>
      </c>
      <c r="AU84">
        <v>22</v>
      </c>
      <c r="AV84">
        <v>3</v>
      </c>
      <c r="AW84">
        <v>10.211027910143001</v>
      </c>
      <c r="AX84">
        <v>11.6</v>
      </c>
      <c r="AZ84" t="str">
        <f t="shared" si="16"/>
        <v>2015FemaleMaori8</v>
      </c>
      <c r="BA84">
        <v>2015</v>
      </c>
      <c r="BB84" t="s">
        <v>8</v>
      </c>
      <c r="BC84" t="s">
        <v>18</v>
      </c>
      <c r="BD84">
        <v>8</v>
      </c>
      <c r="BE84">
        <v>4</v>
      </c>
      <c r="BF84">
        <v>18.912529550827401</v>
      </c>
      <c r="BG84" s="83">
        <v>18.5</v>
      </c>
      <c r="BH84">
        <v>26</v>
      </c>
      <c r="BI84">
        <v>15.4</v>
      </c>
      <c r="BS84" t="str">
        <f t="shared" si="17"/>
        <v>AllSexAsian221</v>
      </c>
      <c r="BT84" t="s">
        <v>17</v>
      </c>
      <c r="BU84" t="s">
        <v>78</v>
      </c>
      <c r="BV84">
        <v>22</v>
      </c>
      <c r="BW84">
        <v>1</v>
      </c>
      <c r="BX84">
        <v>5</v>
      </c>
      <c r="BY84">
        <v>6.9479555860131397</v>
      </c>
      <c r="BZ84">
        <v>6.1</v>
      </c>
      <c r="CB84" t="str">
        <f t="shared" si="18"/>
        <v>AllSexMaori24Sharp object</v>
      </c>
      <c r="CC84" t="s">
        <v>17</v>
      </c>
      <c r="CD84" t="s">
        <v>18</v>
      </c>
      <c r="CE84" t="s">
        <v>48</v>
      </c>
      <c r="CF84">
        <v>24</v>
      </c>
      <c r="CG84">
        <v>1</v>
      </c>
      <c r="CH84">
        <v>65</v>
      </c>
      <c r="CI84">
        <v>1.5</v>
      </c>
      <c r="CL84" t="str">
        <f t="shared" si="19"/>
        <v>2010MaleMaori9</v>
      </c>
      <c r="CM84">
        <v>2010</v>
      </c>
      <c r="CN84" t="s">
        <v>20</v>
      </c>
      <c r="CO84" t="s">
        <v>18</v>
      </c>
      <c r="CP84">
        <v>9</v>
      </c>
      <c r="CQ84">
        <v>4</v>
      </c>
    </row>
    <row r="85" spans="1:95" x14ac:dyDescent="0.2">
      <c r="A85" t="str">
        <f t="shared" si="11"/>
        <v>1997FemaleMaori19</v>
      </c>
      <c r="B85">
        <v>1997</v>
      </c>
      <c r="C85" t="s">
        <v>8</v>
      </c>
      <c r="D85" t="s">
        <v>18</v>
      </c>
      <c r="E85">
        <v>19</v>
      </c>
      <c r="F85">
        <v>26</v>
      </c>
      <c r="G85">
        <v>9.7792096693832598</v>
      </c>
      <c r="H85">
        <v>3.8</v>
      </c>
      <c r="J85" s="358" t="str">
        <f t="shared" si="12"/>
        <v>2002AllSexMaori192</v>
      </c>
      <c r="K85" s="359">
        <v>2002</v>
      </c>
      <c r="L85" t="s">
        <v>17</v>
      </c>
      <c r="M85" t="s">
        <v>18</v>
      </c>
      <c r="N85">
        <v>19</v>
      </c>
      <c r="O85">
        <v>2</v>
      </c>
      <c r="P85">
        <v>8</v>
      </c>
      <c r="Q85">
        <v>12.7744898539309</v>
      </c>
      <c r="R85">
        <v>8.9</v>
      </c>
      <c r="T85" s="358" t="str">
        <f t="shared" si="14"/>
        <v>1996FemaleAllEth22Hanging, strangulation and suffocation</v>
      </c>
      <c r="U85" s="360">
        <v>1996</v>
      </c>
      <c r="V85" s="360" t="s">
        <v>8</v>
      </c>
      <c r="W85" s="360" t="s">
        <v>27</v>
      </c>
      <c r="X85" s="360">
        <v>22</v>
      </c>
      <c r="Y85" s="360" t="s">
        <v>43</v>
      </c>
      <c r="Z85" s="360">
        <v>17</v>
      </c>
      <c r="AA85" s="360">
        <v>38</v>
      </c>
      <c r="AB85" s="360">
        <v>44.7</v>
      </c>
      <c r="AD85" s="358" t="str">
        <f t="shared" si="15"/>
        <v>200610AllSexAllEth22Whanganui</v>
      </c>
      <c r="AE85" t="s">
        <v>17</v>
      </c>
      <c r="AF85" t="s">
        <v>27</v>
      </c>
      <c r="AG85">
        <v>22</v>
      </c>
      <c r="AH85">
        <v>12</v>
      </c>
      <c r="AI85" t="s">
        <v>65</v>
      </c>
      <c r="AJ85">
        <v>13</v>
      </c>
      <c r="AK85">
        <v>31.630170316301701</v>
      </c>
      <c r="AL85">
        <v>22.6</v>
      </c>
      <c r="AM85" t="s">
        <v>82</v>
      </c>
      <c r="AN85">
        <v>200610</v>
      </c>
      <c r="AQ85" t="str">
        <f t="shared" si="13"/>
        <v>2006FemaleUrban22</v>
      </c>
      <c r="AR85">
        <v>2006</v>
      </c>
      <c r="AS85" t="s">
        <v>8</v>
      </c>
      <c r="AT85" t="s">
        <v>97</v>
      </c>
      <c r="AU85">
        <v>22</v>
      </c>
      <c r="AV85">
        <v>21</v>
      </c>
      <c r="AW85">
        <v>7.7757618395230903</v>
      </c>
      <c r="AX85">
        <v>3.3</v>
      </c>
      <c r="AZ85" t="str">
        <f t="shared" si="16"/>
        <v>2015FemaleMaori9</v>
      </c>
      <c r="BA85">
        <v>2015</v>
      </c>
      <c r="BB85" t="s">
        <v>8</v>
      </c>
      <c r="BC85" t="s">
        <v>18</v>
      </c>
      <c r="BD85">
        <v>9</v>
      </c>
      <c r="BE85">
        <v>1</v>
      </c>
      <c r="BF85">
        <v>4.3687199650502402</v>
      </c>
      <c r="BG85" s="83">
        <v>8.6</v>
      </c>
      <c r="BH85">
        <v>38</v>
      </c>
      <c r="BI85">
        <v>2.6</v>
      </c>
      <c r="BS85" t="str">
        <f t="shared" si="17"/>
        <v>AllSexAsian222</v>
      </c>
      <c r="BT85" t="s">
        <v>17</v>
      </c>
      <c r="BU85" t="s">
        <v>78</v>
      </c>
      <c r="BV85">
        <v>22</v>
      </c>
      <c r="BW85">
        <v>2</v>
      </c>
      <c r="BX85">
        <v>3</v>
      </c>
      <c r="BY85">
        <v>3.2641116861500299</v>
      </c>
      <c r="BZ85">
        <v>3.7</v>
      </c>
      <c r="CB85" t="str">
        <f t="shared" si="18"/>
        <v>AllSexMaori23Submersion (drowning)</v>
      </c>
      <c r="CC85" t="s">
        <v>17</v>
      </c>
      <c r="CD85" t="s">
        <v>18</v>
      </c>
      <c r="CE85" t="s">
        <v>49</v>
      </c>
      <c r="CF85">
        <v>23</v>
      </c>
      <c r="CG85">
        <v>1</v>
      </c>
      <c r="CH85">
        <v>232</v>
      </c>
      <c r="CI85">
        <v>0.4</v>
      </c>
      <c r="CL85" t="str">
        <f t="shared" si="19"/>
        <v>2010MaleNon-Maori9</v>
      </c>
      <c r="CM85">
        <v>2010</v>
      </c>
      <c r="CN85" t="s">
        <v>20</v>
      </c>
      <c r="CO85" t="s">
        <v>19</v>
      </c>
      <c r="CP85">
        <v>9</v>
      </c>
      <c r="CQ85">
        <v>28</v>
      </c>
    </row>
    <row r="86" spans="1:95" x14ac:dyDescent="0.2">
      <c r="A86" t="str">
        <f t="shared" si="11"/>
        <v>1998FemaleMaori19</v>
      </c>
      <c r="B86">
        <v>1998</v>
      </c>
      <c r="C86" t="s">
        <v>8</v>
      </c>
      <c r="D86" t="s">
        <v>18</v>
      </c>
      <c r="E86">
        <v>19</v>
      </c>
      <c r="F86">
        <v>25</v>
      </c>
      <c r="G86">
        <v>8.5337610468083493</v>
      </c>
      <c r="H86">
        <v>3.3</v>
      </c>
      <c r="J86" s="358" t="str">
        <f t="shared" si="12"/>
        <v>2002AllSexMaori193</v>
      </c>
      <c r="K86" s="359">
        <v>2002</v>
      </c>
      <c r="L86" t="s">
        <v>17</v>
      </c>
      <c r="M86" t="s">
        <v>18</v>
      </c>
      <c r="N86">
        <v>19</v>
      </c>
      <c r="O86">
        <v>3</v>
      </c>
      <c r="P86">
        <v>6</v>
      </c>
      <c r="Q86">
        <v>6.1704202861856903</v>
      </c>
      <c r="R86">
        <v>4.9000000000000004</v>
      </c>
      <c r="T86" s="358" t="str">
        <f t="shared" si="14"/>
        <v>1996FemaleAllEth23Hanging, strangulation and suffocation</v>
      </c>
      <c r="U86" s="360">
        <v>1996</v>
      </c>
      <c r="V86" s="360" t="s">
        <v>8</v>
      </c>
      <c r="W86" s="360" t="s">
        <v>27</v>
      </c>
      <c r="X86" s="360">
        <v>23</v>
      </c>
      <c r="Y86" s="360" t="s">
        <v>43</v>
      </c>
      <c r="Z86" s="360">
        <v>11</v>
      </c>
      <c r="AA86" s="360">
        <v>34</v>
      </c>
      <c r="AB86" s="360">
        <v>32.4</v>
      </c>
      <c r="AD86" s="358" t="str">
        <f t="shared" si="15"/>
        <v>200610AllSexAllEth22Unknown</v>
      </c>
      <c r="AE86" t="s">
        <v>17</v>
      </c>
      <c r="AF86" t="s">
        <v>27</v>
      </c>
      <c r="AG86">
        <v>22</v>
      </c>
      <c r="AH86">
        <v>98</v>
      </c>
      <c r="AI86" t="s">
        <v>75</v>
      </c>
      <c r="AJ86">
        <v>2</v>
      </c>
      <c r="AK86">
        <v>0</v>
      </c>
      <c r="AL86">
        <v>0</v>
      </c>
      <c r="AM86" t="s">
        <v>83</v>
      </c>
      <c r="AN86">
        <v>200610</v>
      </c>
      <c r="AQ86" t="str">
        <f t="shared" si="13"/>
        <v>2006FemaleRural23</v>
      </c>
      <c r="AR86">
        <v>2006</v>
      </c>
      <c r="AS86" t="s">
        <v>8</v>
      </c>
      <c r="AT86" t="s">
        <v>96</v>
      </c>
      <c r="AU86">
        <v>23</v>
      </c>
      <c r="AV86">
        <v>4</v>
      </c>
      <c r="AW86">
        <v>5.0961905975283504</v>
      </c>
      <c r="AX86">
        <v>5</v>
      </c>
      <c r="AZ86" t="str">
        <f t="shared" si="16"/>
        <v>2015FemaleMaori11</v>
      </c>
      <c r="BA86">
        <v>2015</v>
      </c>
      <c r="BB86" t="s">
        <v>8</v>
      </c>
      <c r="BC86" t="s">
        <v>18</v>
      </c>
      <c r="BD86">
        <v>11</v>
      </c>
      <c r="BE86">
        <v>2</v>
      </c>
      <c r="BF86">
        <v>9.7703957010258904</v>
      </c>
      <c r="BG86" s="83">
        <v>13.5</v>
      </c>
      <c r="BH86">
        <v>95</v>
      </c>
      <c r="BI86">
        <v>2.1</v>
      </c>
      <c r="BS86" t="str">
        <f t="shared" si="17"/>
        <v>AllSexAsian223</v>
      </c>
      <c r="BT86" t="s">
        <v>17</v>
      </c>
      <c r="BU86" t="s">
        <v>78</v>
      </c>
      <c r="BV86">
        <v>22</v>
      </c>
      <c r="BW86">
        <v>3</v>
      </c>
      <c r="BX86">
        <v>3</v>
      </c>
      <c r="BY86">
        <v>3.1819185559793</v>
      </c>
      <c r="BZ86">
        <v>3.6</v>
      </c>
      <c r="CB86" t="str">
        <f t="shared" si="18"/>
        <v>AllSexMaori24Submersion (drowning)</v>
      </c>
      <c r="CC86" t="s">
        <v>17</v>
      </c>
      <c r="CD86" t="s">
        <v>18</v>
      </c>
      <c r="CE86" t="s">
        <v>49</v>
      </c>
      <c r="CF86">
        <v>24</v>
      </c>
      <c r="CG86">
        <v>2</v>
      </c>
      <c r="CH86">
        <v>65</v>
      </c>
      <c r="CI86">
        <v>3.1</v>
      </c>
      <c r="CL86" t="str">
        <f t="shared" si="19"/>
        <v>2011AllSexAllEth9</v>
      </c>
      <c r="CM86">
        <v>2011</v>
      </c>
      <c r="CN86" t="s">
        <v>17</v>
      </c>
      <c r="CO86" t="s">
        <v>27</v>
      </c>
      <c r="CP86">
        <v>9</v>
      </c>
      <c r="CQ86">
        <v>28</v>
      </c>
    </row>
    <row r="87" spans="1:95" x14ac:dyDescent="0.2">
      <c r="A87" t="str">
        <f t="shared" si="11"/>
        <v>1999FemaleMaori19</v>
      </c>
      <c r="B87">
        <v>1999</v>
      </c>
      <c r="C87" t="s">
        <v>8</v>
      </c>
      <c r="D87" t="s">
        <v>18</v>
      </c>
      <c r="E87">
        <v>19</v>
      </c>
      <c r="F87">
        <v>20</v>
      </c>
      <c r="G87">
        <v>6.5325578987774104</v>
      </c>
      <c r="H87">
        <v>2.9</v>
      </c>
      <c r="J87" s="358" t="str">
        <f t="shared" si="12"/>
        <v>2002AllSexMaori194</v>
      </c>
      <c r="K87" s="359">
        <v>2002</v>
      </c>
      <c r="L87" t="s">
        <v>17</v>
      </c>
      <c r="M87" t="s">
        <v>18</v>
      </c>
      <c r="N87">
        <v>19</v>
      </c>
      <c r="O87">
        <v>4</v>
      </c>
      <c r="P87">
        <v>20</v>
      </c>
      <c r="Q87">
        <v>15.8620261258244</v>
      </c>
      <c r="R87">
        <v>7</v>
      </c>
      <c r="T87" s="358" t="str">
        <f t="shared" si="14"/>
        <v>1996FemaleAllEth24Hanging, strangulation and suffocation</v>
      </c>
      <c r="U87" s="360">
        <v>1996</v>
      </c>
      <c r="V87" s="360" t="s">
        <v>8</v>
      </c>
      <c r="W87" s="360" t="s">
        <v>27</v>
      </c>
      <c r="X87" s="360">
        <v>24</v>
      </c>
      <c r="Y87" s="360" t="s">
        <v>43</v>
      </c>
      <c r="Z87" s="360">
        <v>5</v>
      </c>
      <c r="AA87" s="360">
        <v>22</v>
      </c>
      <c r="AB87" s="360">
        <v>22.7</v>
      </c>
      <c r="AD87" s="358" t="str">
        <f t="shared" si="15"/>
        <v>200105AllSexAllEth19Northland</v>
      </c>
      <c r="AE87" t="s">
        <v>17</v>
      </c>
      <c r="AF87" t="s">
        <v>27</v>
      </c>
      <c r="AG87">
        <v>19</v>
      </c>
      <c r="AH87">
        <v>1</v>
      </c>
      <c r="AI87" t="s">
        <v>54</v>
      </c>
      <c r="AJ87">
        <v>101</v>
      </c>
      <c r="AK87">
        <v>14.919518129217</v>
      </c>
      <c r="AL87">
        <v>3.8</v>
      </c>
      <c r="AM87" t="s">
        <v>82</v>
      </c>
      <c r="AN87">
        <v>200105</v>
      </c>
      <c r="AQ87" t="str">
        <f t="shared" si="13"/>
        <v>2006FemaleUrban23</v>
      </c>
      <c r="AR87">
        <v>2006</v>
      </c>
      <c r="AS87" t="s">
        <v>8</v>
      </c>
      <c r="AT87" t="s">
        <v>97</v>
      </c>
      <c r="AU87">
        <v>23</v>
      </c>
      <c r="AV87">
        <v>55</v>
      </c>
      <c r="AW87">
        <v>10.28671891073</v>
      </c>
      <c r="AX87">
        <v>2.7</v>
      </c>
      <c r="AZ87" t="str">
        <f t="shared" si="16"/>
        <v>2015FemaleMaori12</v>
      </c>
      <c r="BA87">
        <v>2015</v>
      </c>
      <c r="BB87" t="s">
        <v>8</v>
      </c>
      <c r="BC87" t="s">
        <v>18</v>
      </c>
      <c r="BD87">
        <v>12</v>
      </c>
      <c r="BE87">
        <v>1</v>
      </c>
      <c r="BF87">
        <v>5.9737156511350102</v>
      </c>
      <c r="BG87" s="83">
        <v>11.7</v>
      </c>
      <c r="BH87">
        <v>142</v>
      </c>
      <c r="BI87">
        <v>0.7</v>
      </c>
      <c r="BS87" t="str">
        <f t="shared" si="17"/>
        <v>AllSexAsian224</v>
      </c>
      <c r="BT87" t="s">
        <v>17</v>
      </c>
      <c r="BU87" t="s">
        <v>78</v>
      </c>
      <c r="BV87">
        <v>22</v>
      </c>
      <c r="BW87">
        <v>4</v>
      </c>
      <c r="BX87">
        <v>7</v>
      </c>
      <c r="BY87">
        <v>6.5080128030243198</v>
      </c>
      <c r="BZ87">
        <v>4.8</v>
      </c>
      <c r="CB87" t="str">
        <f t="shared" si="18"/>
        <v>AllSexOther21Firearms and explosives</v>
      </c>
      <c r="CC87" t="s">
        <v>17</v>
      </c>
      <c r="CD87" t="s">
        <v>45</v>
      </c>
      <c r="CE87" t="s">
        <v>42</v>
      </c>
      <c r="CF87">
        <v>21</v>
      </c>
      <c r="CG87">
        <v>1</v>
      </c>
      <c r="CH87">
        <v>8</v>
      </c>
      <c r="CI87">
        <v>12.5</v>
      </c>
      <c r="CL87" t="str">
        <f t="shared" si="19"/>
        <v>2011AllSexMaori9</v>
      </c>
      <c r="CM87">
        <v>2011</v>
      </c>
      <c r="CN87" t="s">
        <v>17</v>
      </c>
      <c r="CO87" t="s">
        <v>18</v>
      </c>
      <c r="CP87">
        <v>9</v>
      </c>
      <c r="CQ87">
        <v>2</v>
      </c>
    </row>
    <row r="88" spans="1:95" x14ac:dyDescent="0.2">
      <c r="A88" t="str">
        <f t="shared" si="11"/>
        <v>2000FemaleMaori19</v>
      </c>
      <c r="B88">
        <v>2000</v>
      </c>
      <c r="C88" t="s">
        <v>8</v>
      </c>
      <c r="D88" t="s">
        <v>18</v>
      </c>
      <c r="E88">
        <v>19</v>
      </c>
      <c r="F88">
        <v>11</v>
      </c>
      <c r="G88">
        <v>3.9576666859530998</v>
      </c>
      <c r="H88">
        <v>2.2999999999999998</v>
      </c>
      <c r="J88" s="358" t="str">
        <f t="shared" si="12"/>
        <v>2002AllSexMaori195</v>
      </c>
      <c r="K88" s="359">
        <v>2002</v>
      </c>
      <c r="L88" t="s">
        <v>17</v>
      </c>
      <c r="M88" t="s">
        <v>18</v>
      </c>
      <c r="N88">
        <v>19</v>
      </c>
      <c r="O88">
        <v>5</v>
      </c>
      <c r="P88">
        <v>32</v>
      </c>
      <c r="Q88">
        <v>13.3517217412717</v>
      </c>
      <c r="R88">
        <v>4.5999999999999996</v>
      </c>
      <c r="T88" s="358" t="str">
        <f t="shared" si="14"/>
        <v>1996FemaleAllEth25Hanging, strangulation and suffocation</v>
      </c>
      <c r="U88" s="360">
        <v>1996</v>
      </c>
      <c r="V88" s="360" t="s">
        <v>8</v>
      </c>
      <c r="W88" s="360" t="s">
        <v>27</v>
      </c>
      <c r="X88" s="360">
        <v>25</v>
      </c>
      <c r="Y88" s="360" t="s">
        <v>43</v>
      </c>
      <c r="Z88" s="360">
        <v>4</v>
      </c>
      <c r="AA88" s="360">
        <v>13</v>
      </c>
      <c r="AB88" s="360">
        <v>30.8</v>
      </c>
      <c r="AD88" s="358" t="str">
        <f t="shared" si="15"/>
        <v>200105AllSexAllEth19Waitemata</v>
      </c>
      <c r="AE88" t="s">
        <v>17</v>
      </c>
      <c r="AF88" t="s">
        <v>27</v>
      </c>
      <c r="AG88">
        <v>19</v>
      </c>
      <c r="AH88">
        <v>2</v>
      </c>
      <c r="AI88" t="s">
        <v>55</v>
      </c>
      <c r="AJ88">
        <v>259</v>
      </c>
      <c r="AK88">
        <v>10.5977861910792</v>
      </c>
      <c r="AL88">
        <v>1.7</v>
      </c>
      <c r="AM88" t="s">
        <v>82</v>
      </c>
      <c r="AN88">
        <v>200105</v>
      </c>
      <c r="AQ88" t="str">
        <f t="shared" si="13"/>
        <v>2006FemaleRural24</v>
      </c>
      <c r="AR88">
        <v>2006</v>
      </c>
      <c r="AS88" t="s">
        <v>8</v>
      </c>
      <c r="AT88" t="s">
        <v>96</v>
      </c>
      <c r="AU88">
        <v>24</v>
      </c>
      <c r="AV88">
        <v>4</v>
      </c>
      <c r="AW88">
        <v>4.9230769230769198</v>
      </c>
      <c r="AX88">
        <v>4.8</v>
      </c>
      <c r="AZ88" t="str">
        <f t="shared" si="16"/>
        <v>2015FemaleNon-Maori3</v>
      </c>
      <c r="BA88">
        <v>2015</v>
      </c>
      <c r="BB88" t="s">
        <v>8</v>
      </c>
      <c r="BC88" t="s">
        <v>19</v>
      </c>
      <c r="BD88">
        <v>3</v>
      </c>
      <c r="BE88">
        <v>3</v>
      </c>
      <c r="BF88">
        <v>2.7573529411764701</v>
      </c>
      <c r="BG88" s="83">
        <v>3.1</v>
      </c>
      <c r="BH88">
        <v>9</v>
      </c>
      <c r="BI88">
        <v>33.299999999999997</v>
      </c>
      <c r="BS88" t="str">
        <f t="shared" si="17"/>
        <v>AllSexAsian225</v>
      </c>
      <c r="BT88" t="s">
        <v>17</v>
      </c>
      <c r="BU88" t="s">
        <v>78</v>
      </c>
      <c r="BV88">
        <v>22</v>
      </c>
      <c r="BW88">
        <v>5</v>
      </c>
      <c r="BX88">
        <v>8</v>
      </c>
      <c r="BY88">
        <v>7.7787713648913703</v>
      </c>
      <c r="BZ88">
        <v>5.4</v>
      </c>
      <c r="CB88" t="str">
        <f t="shared" si="18"/>
        <v>AllSexOther22Firearms and explosives</v>
      </c>
      <c r="CC88" t="s">
        <v>17</v>
      </c>
      <c r="CD88" t="s">
        <v>45</v>
      </c>
      <c r="CE88" t="s">
        <v>42</v>
      </c>
      <c r="CF88">
        <v>22</v>
      </c>
      <c r="CG88">
        <v>18</v>
      </c>
      <c r="CH88">
        <v>277</v>
      </c>
      <c r="CI88">
        <v>6.5</v>
      </c>
      <c r="CL88" t="str">
        <f t="shared" si="19"/>
        <v>2011AllSexNon-Maori9</v>
      </c>
      <c r="CM88">
        <v>2011</v>
      </c>
      <c r="CN88" t="s">
        <v>17</v>
      </c>
      <c r="CO88" t="s">
        <v>19</v>
      </c>
      <c r="CP88">
        <v>9</v>
      </c>
      <c r="CQ88">
        <v>26</v>
      </c>
    </row>
    <row r="89" spans="1:95" x14ac:dyDescent="0.2">
      <c r="A89" t="str">
        <f t="shared" si="11"/>
        <v>2001FemaleMaori19</v>
      </c>
      <c r="B89">
        <v>2001</v>
      </c>
      <c r="C89" t="s">
        <v>8</v>
      </c>
      <c r="D89" t="s">
        <v>18</v>
      </c>
      <c r="E89">
        <v>19</v>
      </c>
      <c r="F89">
        <v>21</v>
      </c>
      <c r="G89">
        <v>6.6998382352426704</v>
      </c>
      <c r="H89">
        <v>2.9</v>
      </c>
      <c r="J89" s="358" t="str">
        <f t="shared" si="12"/>
        <v>2003AllSexMaori191</v>
      </c>
      <c r="K89" s="359">
        <v>2003</v>
      </c>
      <c r="L89" t="s">
        <v>17</v>
      </c>
      <c r="M89" t="s">
        <v>18</v>
      </c>
      <c r="N89">
        <v>19</v>
      </c>
      <c r="O89">
        <v>1</v>
      </c>
      <c r="P89">
        <v>4</v>
      </c>
      <c r="Q89">
        <v>10.949409453941101</v>
      </c>
      <c r="R89">
        <v>10.7</v>
      </c>
      <c r="T89" s="358" t="str">
        <f t="shared" si="14"/>
        <v>1996FemaleAllEth22Jumping from a high place</v>
      </c>
      <c r="U89" s="360">
        <v>1996</v>
      </c>
      <c r="V89" s="360" t="s">
        <v>8</v>
      </c>
      <c r="W89" s="360" t="s">
        <v>27</v>
      </c>
      <c r="X89" s="360">
        <v>22</v>
      </c>
      <c r="Y89" s="360" t="s">
        <v>44</v>
      </c>
      <c r="Z89" s="360">
        <v>1</v>
      </c>
      <c r="AA89" s="360">
        <v>38</v>
      </c>
      <c r="AB89" s="360">
        <v>2.6</v>
      </c>
      <c r="AD89" s="358" t="str">
        <f t="shared" si="15"/>
        <v>200105AllSexAllEth19Auckland</v>
      </c>
      <c r="AE89" t="s">
        <v>17</v>
      </c>
      <c r="AF89" t="s">
        <v>27</v>
      </c>
      <c r="AG89">
        <v>19</v>
      </c>
      <c r="AH89">
        <v>3</v>
      </c>
      <c r="AI89" t="s">
        <v>56</v>
      </c>
      <c r="AJ89">
        <v>199</v>
      </c>
      <c r="AK89">
        <v>8.6779080704235891</v>
      </c>
      <c r="AL89">
        <v>1.6</v>
      </c>
      <c r="AM89" t="s">
        <v>83</v>
      </c>
      <c r="AN89">
        <v>200105</v>
      </c>
      <c r="AQ89" t="str">
        <f t="shared" si="13"/>
        <v>2006FemaleUrban24</v>
      </c>
      <c r="AR89">
        <v>2006</v>
      </c>
      <c r="AS89" t="s">
        <v>8</v>
      </c>
      <c r="AT89" t="s">
        <v>97</v>
      </c>
      <c r="AU89">
        <v>24</v>
      </c>
      <c r="AV89">
        <v>27</v>
      </c>
      <c r="AW89">
        <v>6.3378793925025203</v>
      </c>
      <c r="AX89">
        <v>2.4</v>
      </c>
      <c r="AZ89" t="str">
        <f t="shared" si="16"/>
        <v>2015FemaleNon-Maori4</v>
      </c>
      <c r="BA89">
        <v>2015</v>
      </c>
      <c r="BB89" t="s">
        <v>8</v>
      </c>
      <c r="BC89" t="s">
        <v>19</v>
      </c>
      <c r="BD89">
        <v>4</v>
      </c>
      <c r="BE89">
        <v>11</v>
      </c>
      <c r="BF89">
        <v>9.2258659733288599</v>
      </c>
      <c r="BG89" s="83">
        <v>5.5</v>
      </c>
      <c r="BH89">
        <v>26</v>
      </c>
      <c r="BI89">
        <v>42.3</v>
      </c>
      <c r="BS89" t="str">
        <f t="shared" si="17"/>
        <v>AllSexMaori221</v>
      </c>
      <c r="BT89" t="s">
        <v>17</v>
      </c>
      <c r="BU89" t="s">
        <v>18</v>
      </c>
      <c r="BV89">
        <v>22</v>
      </c>
      <c r="BW89">
        <v>1</v>
      </c>
      <c r="BX89">
        <v>9</v>
      </c>
      <c r="BY89">
        <v>16.5653245766933</v>
      </c>
      <c r="BZ89">
        <v>10.8</v>
      </c>
      <c r="CB89" t="str">
        <f t="shared" si="18"/>
        <v>AllSexOther23Firearms and explosives</v>
      </c>
      <c r="CC89" t="s">
        <v>17</v>
      </c>
      <c r="CD89" t="s">
        <v>45</v>
      </c>
      <c r="CE89" t="s">
        <v>42</v>
      </c>
      <c r="CF89">
        <v>23</v>
      </c>
      <c r="CG89">
        <v>36</v>
      </c>
      <c r="CH89">
        <v>560</v>
      </c>
      <c r="CI89">
        <v>6.4</v>
      </c>
      <c r="CL89" t="str">
        <f t="shared" si="19"/>
        <v>2011FemaleAllEth9</v>
      </c>
      <c r="CM89">
        <v>2011</v>
      </c>
      <c r="CN89" t="s">
        <v>8</v>
      </c>
      <c r="CO89" t="s">
        <v>27</v>
      </c>
      <c r="CP89">
        <v>9</v>
      </c>
      <c r="CQ89">
        <v>2</v>
      </c>
    </row>
    <row r="90" spans="1:95" x14ac:dyDescent="0.2">
      <c r="A90" t="str">
        <f t="shared" si="11"/>
        <v>2002FemaleMaori19</v>
      </c>
      <c r="B90">
        <v>2002</v>
      </c>
      <c r="C90" t="s">
        <v>8</v>
      </c>
      <c r="D90" t="s">
        <v>18</v>
      </c>
      <c r="E90">
        <v>19</v>
      </c>
      <c r="F90">
        <v>20</v>
      </c>
      <c r="G90">
        <v>6.4896231886298903</v>
      </c>
      <c r="H90">
        <v>2.8</v>
      </c>
      <c r="J90" s="358" t="str">
        <f t="shared" si="12"/>
        <v>2003AllSexMaori192</v>
      </c>
      <c r="K90" s="359">
        <v>2003</v>
      </c>
      <c r="L90" t="s">
        <v>17</v>
      </c>
      <c r="M90" t="s">
        <v>18</v>
      </c>
      <c r="N90">
        <v>19</v>
      </c>
      <c r="O90">
        <v>2</v>
      </c>
      <c r="P90">
        <v>5</v>
      </c>
      <c r="Q90">
        <v>7.6087568273072401</v>
      </c>
      <c r="R90">
        <v>6.7</v>
      </c>
      <c r="T90" s="358" t="str">
        <f t="shared" si="14"/>
        <v>1996FemaleAllEth22Other</v>
      </c>
      <c r="U90" s="360">
        <v>1996</v>
      </c>
      <c r="V90" s="360" t="s">
        <v>8</v>
      </c>
      <c r="W90" s="360" t="s">
        <v>27</v>
      </c>
      <c r="X90" s="360">
        <v>22</v>
      </c>
      <c r="Y90" s="360" t="s">
        <v>45</v>
      </c>
      <c r="Z90" s="360">
        <v>1</v>
      </c>
      <c r="AA90" s="360">
        <v>38</v>
      </c>
      <c r="AB90" s="360">
        <v>2.6</v>
      </c>
      <c r="AD90" s="358" t="str">
        <f t="shared" si="15"/>
        <v>200105AllSexAllEth19Counties Manukau</v>
      </c>
      <c r="AE90" t="s">
        <v>17</v>
      </c>
      <c r="AF90" t="s">
        <v>27</v>
      </c>
      <c r="AG90">
        <v>19</v>
      </c>
      <c r="AH90">
        <v>4</v>
      </c>
      <c r="AI90" t="s">
        <v>57</v>
      </c>
      <c r="AJ90">
        <v>245</v>
      </c>
      <c r="AK90">
        <v>11.919217101744399</v>
      </c>
      <c r="AL90">
        <v>2</v>
      </c>
      <c r="AM90" t="s">
        <v>82</v>
      </c>
      <c r="AN90">
        <v>200105</v>
      </c>
      <c r="AQ90" t="str">
        <f t="shared" si="13"/>
        <v>2006FemaleRural25</v>
      </c>
      <c r="AR90">
        <v>2006</v>
      </c>
      <c r="AS90" t="s">
        <v>8</v>
      </c>
      <c r="AT90" t="s">
        <v>96</v>
      </c>
      <c r="AU90">
        <v>25</v>
      </c>
      <c r="AV90">
        <v>1</v>
      </c>
      <c r="AW90">
        <v>3.6036036036036001</v>
      </c>
      <c r="AX90">
        <v>7.1</v>
      </c>
      <c r="AZ90" t="str">
        <f t="shared" si="16"/>
        <v>2015FemaleNon-Maori5</v>
      </c>
      <c r="BA90">
        <v>2015</v>
      </c>
      <c r="BB90" t="s">
        <v>8</v>
      </c>
      <c r="BC90" t="s">
        <v>19</v>
      </c>
      <c r="BD90">
        <v>5</v>
      </c>
      <c r="BE90">
        <v>8</v>
      </c>
      <c r="BF90">
        <v>6.0231892787230796</v>
      </c>
      <c r="BG90" s="83">
        <v>4.2</v>
      </c>
      <c r="BH90">
        <v>36</v>
      </c>
      <c r="BI90">
        <v>22.2</v>
      </c>
      <c r="BS90" t="str">
        <f t="shared" si="17"/>
        <v>AllSexMaori222</v>
      </c>
      <c r="BT90" t="s">
        <v>17</v>
      </c>
      <c r="BU90" t="s">
        <v>18</v>
      </c>
      <c r="BV90">
        <v>22</v>
      </c>
      <c r="BW90">
        <v>2</v>
      </c>
      <c r="BX90">
        <v>19</v>
      </c>
      <c r="BY90">
        <v>26.254122034590701</v>
      </c>
      <c r="BZ90">
        <v>11.8</v>
      </c>
      <c r="CB90" t="str">
        <f t="shared" si="18"/>
        <v>AllSexOther24Firearms and explosives</v>
      </c>
      <c r="CC90" t="s">
        <v>17</v>
      </c>
      <c r="CD90" t="s">
        <v>45</v>
      </c>
      <c r="CE90" t="s">
        <v>42</v>
      </c>
      <c r="CF90">
        <v>24</v>
      </c>
      <c r="CG90">
        <v>90</v>
      </c>
      <c r="CH90">
        <v>687</v>
      </c>
      <c r="CI90">
        <v>13.1</v>
      </c>
      <c r="CL90" t="str">
        <f t="shared" si="19"/>
        <v>2011FemaleMaori9</v>
      </c>
      <c r="CM90">
        <v>2011</v>
      </c>
      <c r="CN90" t="s">
        <v>8</v>
      </c>
      <c r="CO90" t="s">
        <v>18</v>
      </c>
      <c r="CP90">
        <v>9</v>
      </c>
      <c r="CQ90">
        <v>2</v>
      </c>
    </row>
    <row r="91" spans="1:95" x14ac:dyDescent="0.2">
      <c r="A91" t="str">
        <f t="shared" si="11"/>
        <v>2003FemaleMaori19</v>
      </c>
      <c r="B91">
        <v>2003</v>
      </c>
      <c r="C91" t="s">
        <v>8</v>
      </c>
      <c r="D91" t="s">
        <v>18</v>
      </c>
      <c r="E91">
        <v>19</v>
      </c>
      <c r="F91">
        <v>20</v>
      </c>
      <c r="G91">
        <v>6.4102244752664204</v>
      </c>
      <c r="H91">
        <v>2.8</v>
      </c>
      <c r="J91" s="358" t="str">
        <f t="shared" si="12"/>
        <v>2003AllSexMaori193</v>
      </c>
      <c r="K91" s="359">
        <v>2003</v>
      </c>
      <c r="L91" t="s">
        <v>17</v>
      </c>
      <c r="M91" t="s">
        <v>18</v>
      </c>
      <c r="N91">
        <v>19</v>
      </c>
      <c r="O91">
        <v>3</v>
      </c>
      <c r="P91">
        <v>15</v>
      </c>
      <c r="Q91">
        <v>14.936881372702301</v>
      </c>
      <c r="R91">
        <v>7.6</v>
      </c>
      <c r="T91" s="358" t="str">
        <f t="shared" si="14"/>
        <v>1996FemaleAllEth23Other</v>
      </c>
      <c r="U91" s="360">
        <v>1996</v>
      </c>
      <c r="V91" s="360" t="s">
        <v>8</v>
      </c>
      <c r="W91" s="360" t="s">
        <v>27</v>
      </c>
      <c r="X91" s="360">
        <v>23</v>
      </c>
      <c r="Y91" s="360" t="s">
        <v>45</v>
      </c>
      <c r="Z91" s="360">
        <v>2</v>
      </c>
      <c r="AA91" s="360">
        <v>34</v>
      </c>
      <c r="AB91" s="360">
        <v>5.9</v>
      </c>
      <c r="AD91" s="358" t="str">
        <f t="shared" si="15"/>
        <v>200105AllSexAllEth19Waikato</v>
      </c>
      <c r="AE91" t="s">
        <v>17</v>
      </c>
      <c r="AF91" t="s">
        <v>27</v>
      </c>
      <c r="AG91">
        <v>19</v>
      </c>
      <c r="AH91">
        <v>5</v>
      </c>
      <c r="AI91" t="s">
        <v>58</v>
      </c>
      <c r="AJ91">
        <v>196</v>
      </c>
      <c r="AK91">
        <v>11.684579819861</v>
      </c>
      <c r="AL91">
        <v>2.1</v>
      </c>
      <c r="AM91" t="s">
        <v>82</v>
      </c>
      <c r="AN91">
        <v>200105</v>
      </c>
      <c r="AQ91" t="str">
        <f t="shared" si="13"/>
        <v>2006FemaleUrban25</v>
      </c>
      <c r="AR91">
        <v>2006</v>
      </c>
      <c r="AS91" t="s">
        <v>8</v>
      </c>
      <c r="AT91" t="s">
        <v>97</v>
      </c>
      <c r="AU91">
        <v>25</v>
      </c>
      <c r="AV91">
        <v>17</v>
      </c>
      <c r="AW91">
        <v>6.6695437247440097</v>
      </c>
      <c r="AX91">
        <v>3.2</v>
      </c>
      <c r="AZ91" t="str">
        <f t="shared" si="16"/>
        <v>2015FemaleNon-Maori6</v>
      </c>
      <c r="BA91">
        <v>2015</v>
      </c>
      <c r="BB91" t="s">
        <v>8</v>
      </c>
      <c r="BC91" t="s">
        <v>19</v>
      </c>
      <c r="BD91">
        <v>6</v>
      </c>
      <c r="BE91">
        <v>4</v>
      </c>
      <c r="BF91">
        <v>3.04669053240917</v>
      </c>
      <c r="BG91" s="83">
        <v>3</v>
      </c>
      <c r="BH91">
        <v>39</v>
      </c>
      <c r="BI91">
        <v>10.3</v>
      </c>
      <c r="BS91" t="str">
        <f t="shared" si="17"/>
        <v>AllSexMaori223</v>
      </c>
      <c r="BT91" t="s">
        <v>17</v>
      </c>
      <c r="BU91" t="s">
        <v>18</v>
      </c>
      <c r="BV91">
        <v>22</v>
      </c>
      <c r="BW91">
        <v>3</v>
      </c>
      <c r="BX91">
        <v>32</v>
      </c>
      <c r="BY91">
        <v>30.428717202819598</v>
      </c>
      <c r="BZ91">
        <v>10.5</v>
      </c>
      <c r="CB91" t="str">
        <f t="shared" si="18"/>
        <v>AllSexOther25Firearms and explosives</v>
      </c>
      <c r="CC91" t="s">
        <v>17</v>
      </c>
      <c r="CD91" t="s">
        <v>45</v>
      </c>
      <c r="CE91" t="s">
        <v>42</v>
      </c>
      <c r="CF91">
        <v>25</v>
      </c>
      <c r="CG91">
        <v>56</v>
      </c>
      <c r="CH91">
        <v>263</v>
      </c>
      <c r="CI91">
        <v>21.3</v>
      </c>
      <c r="CL91" t="str">
        <f t="shared" si="19"/>
        <v>2011MaleAllEth9</v>
      </c>
      <c r="CM91">
        <v>2011</v>
      </c>
      <c r="CN91" t="s">
        <v>20</v>
      </c>
      <c r="CO91" t="s">
        <v>27</v>
      </c>
      <c r="CP91">
        <v>9</v>
      </c>
      <c r="CQ91">
        <v>26</v>
      </c>
    </row>
    <row r="92" spans="1:95" x14ac:dyDescent="0.2">
      <c r="A92" t="str">
        <f t="shared" si="11"/>
        <v>2004FemaleMaori19</v>
      </c>
      <c r="B92">
        <v>2004</v>
      </c>
      <c r="C92" t="s">
        <v>8</v>
      </c>
      <c r="D92" t="s">
        <v>18</v>
      </c>
      <c r="E92">
        <v>19</v>
      </c>
      <c r="F92">
        <v>28</v>
      </c>
      <c r="G92">
        <v>8.6787187808636208</v>
      </c>
      <c r="H92">
        <v>3.2</v>
      </c>
      <c r="J92" s="358" t="str">
        <f t="shared" si="12"/>
        <v>2003AllSexMaori194</v>
      </c>
      <c r="K92" s="359">
        <v>2003</v>
      </c>
      <c r="L92" t="s">
        <v>17</v>
      </c>
      <c r="M92" t="s">
        <v>18</v>
      </c>
      <c r="N92">
        <v>19</v>
      </c>
      <c r="O92">
        <v>4</v>
      </c>
      <c r="P92">
        <v>19</v>
      </c>
      <c r="Q92">
        <v>13.1138969997</v>
      </c>
      <c r="R92">
        <v>5.9</v>
      </c>
      <c r="T92" s="358" t="str">
        <f t="shared" si="14"/>
        <v>1996FemaleAllEth25Other</v>
      </c>
      <c r="U92" s="360">
        <v>1996</v>
      </c>
      <c r="V92" s="360" t="s">
        <v>8</v>
      </c>
      <c r="W92" s="360" t="s">
        <v>27</v>
      </c>
      <c r="X92" s="360">
        <v>25</v>
      </c>
      <c r="Y92" s="360" t="s">
        <v>45</v>
      </c>
      <c r="Z92" s="360">
        <v>1</v>
      </c>
      <c r="AA92" s="360">
        <v>13</v>
      </c>
      <c r="AB92" s="360">
        <v>7.7</v>
      </c>
      <c r="AD92" s="358" t="str">
        <f t="shared" si="15"/>
        <v>200105AllSexAllEth19Lakes</v>
      </c>
      <c r="AE92" t="s">
        <v>17</v>
      </c>
      <c r="AF92" t="s">
        <v>27</v>
      </c>
      <c r="AG92">
        <v>19</v>
      </c>
      <c r="AH92">
        <v>6</v>
      </c>
      <c r="AI92" t="s">
        <v>59</v>
      </c>
      <c r="AJ92">
        <v>61</v>
      </c>
      <c r="AK92">
        <v>12.9299567407505</v>
      </c>
      <c r="AL92">
        <v>4.3</v>
      </c>
      <c r="AM92" t="s">
        <v>82</v>
      </c>
      <c r="AN92">
        <v>200105</v>
      </c>
      <c r="AQ92" t="str">
        <f t="shared" si="13"/>
        <v>2006MaleRural22</v>
      </c>
      <c r="AR92">
        <v>2006</v>
      </c>
      <c r="AS92" t="s">
        <v>20</v>
      </c>
      <c r="AT92" t="s">
        <v>96</v>
      </c>
      <c r="AU92">
        <v>22</v>
      </c>
      <c r="AV92">
        <v>17</v>
      </c>
      <c r="AW92">
        <v>49.303944315545202</v>
      </c>
      <c r="AX92">
        <v>23.4</v>
      </c>
      <c r="AZ92" t="str">
        <f t="shared" si="16"/>
        <v>2015FemaleNon-Maori7</v>
      </c>
      <c r="BA92">
        <v>2015</v>
      </c>
      <c r="BB92" t="s">
        <v>8</v>
      </c>
      <c r="BC92" t="s">
        <v>19</v>
      </c>
      <c r="BD92">
        <v>7</v>
      </c>
      <c r="BE92">
        <v>4</v>
      </c>
      <c r="BF92">
        <v>3.1545741324921099</v>
      </c>
      <c r="BG92" s="83">
        <v>3.1</v>
      </c>
      <c r="BH92">
        <v>45</v>
      </c>
      <c r="BI92">
        <v>8.9</v>
      </c>
      <c r="BS92" t="str">
        <f t="shared" si="17"/>
        <v>AllSexMaori224</v>
      </c>
      <c r="BT92" t="s">
        <v>17</v>
      </c>
      <c r="BU92" t="s">
        <v>18</v>
      </c>
      <c r="BV92">
        <v>22</v>
      </c>
      <c r="BW92">
        <v>4</v>
      </c>
      <c r="BX92">
        <v>58</v>
      </c>
      <c r="BY92">
        <v>38.186562312011603</v>
      </c>
      <c r="BZ92">
        <v>9.8000000000000007</v>
      </c>
      <c r="CB92" t="str">
        <f t="shared" si="18"/>
        <v>AllSexOther21Hanging, strangulation and suffocation</v>
      </c>
      <c r="CC92" t="s">
        <v>17</v>
      </c>
      <c r="CD92" t="s">
        <v>45</v>
      </c>
      <c r="CE92" t="s">
        <v>43</v>
      </c>
      <c r="CF92">
        <v>21</v>
      </c>
      <c r="CG92">
        <v>5</v>
      </c>
      <c r="CH92">
        <v>8</v>
      </c>
      <c r="CI92">
        <v>62.5</v>
      </c>
      <c r="CL92" t="str">
        <f t="shared" si="19"/>
        <v>2011MaleNon-Maori9</v>
      </c>
      <c r="CM92">
        <v>2011</v>
      </c>
      <c r="CN92" t="s">
        <v>20</v>
      </c>
      <c r="CO92" t="s">
        <v>19</v>
      </c>
      <c r="CP92">
        <v>9</v>
      </c>
      <c r="CQ92">
        <v>26</v>
      </c>
    </row>
    <row r="93" spans="1:95" x14ac:dyDescent="0.2">
      <c r="A93" t="str">
        <f t="shared" si="11"/>
        <v>2005FemaleMaori19</v>
      </c>
      <c r="B93">
        <v>2005</v>
      </c>
      <c r="C93" t="s">
        <v>8</v>
      </c>
      <c r="D93" t="s">
        <v>18</v>
      </c>
      <c r="E93">
        <v>19</v>
      </c>
      <c r="F93">
        <v>27</v>
      </c>
      <c r="G93">
        <v>8.7267571514896503</v>
      </c>
      <c r="H93">
        <v>3.3</v>
      </c>
      <c r="J93" s="358" t="str">
        <f t="shared" si="12"/>
        <v>2003AllSexMaori195</v>
      </c>
      <c r="K93" s="359">
        <v>2003</v>
      </c>
      <c r="L93" t="s">
        <v>17</v>
      </c>
      <c r="M93" t="s">
        <v>18</v>
      </c>
      <c r="N93">
        <v>19</v>
      </c>
      <c r="O93">
        <v>5</v>
      </c>
      <c r="P93">
        <v>41</v>
      </c>
      <c r="Q93">
        <v>16.4419222722365</v>
      </c>
      <c r="R93">
        <v>5</v>
      </c>
      <c r="T93" s="358" t="str">
        <f t="shared" si="14"/>
        <v>1996FemaleAllEth22Poisoning by gases and vapours</v>
      </c>
      <c r="U93" s="360">
        <v>1996</v>
      </c>
      <c r="V93" s="360" t="s">
        <v>8</v>
      </c>
      <c r="W93" s="360" t="s">
        <v>27</v>
      </c>
      <c r="X93" s="360">
        <v>22</v>
      </c>
      <c r="Y93" s="360" t="s">
        <v>46</v>
      </c>
      <c r="Z93" s="360">
        <v>11</v>
      </c>
      <c r="AA93" s="360">
        <v>38</v>
      </c>
      <c r="AB93" s="360">
        <v>28.9</v>
      </c>
      <c r="AD93" s="358" t="str">
        <f t="shared" si="15"/>
        <v>200105AllSexAllEth19Bay of Plenty</v>
      </c>
      <c r="AE93" t="s">
        <v>17</v>
      </c>
      <c r="AF93" t="s">
        <v>27</v>
      </c>
      <c r="AG93">
        <v>19</v>
      </c>
      <c r="AH93">
        <v>7</v>
      </c>
      <c r="AI93" t="s">
        <v>60</v>
      </c>
      <c r="AJ93">
        <v>144</v>
      </c>
      <c r="AK93">
        <v>15.257062981689501</v>
      </c>
      <c r="AL93">
        <v>3.3</v>
      </c>
      <c r="AM93" t="s">
        <v>82</v>
      </c>
      <c r="AN93">
        <v>200105</v>
      </c>
      <c r="AQ93" t="str">
        <f t="shared" si="13"/>
        <v>2006MaleUrban22</v>
      </c>
      <c r="AR93">
        <v>2006</v>
      </c>
      <c r="AS93" t="s">
        <v>20</v>
      </c>
      <c r="AT93" t="s">
        <v>97</v>
      </c>
      <c r="AU93">
        <v>22</v>
      </c>
      <c r="AV93">
        <v>75</v>
      </c>
      <c r="AW93">
        <v>27.703900709219901</v>
      </c>
      <c r="AX93">
        <v>6.3</v>
      </c>
      <c r="AZ93" t="str">
        <f t="shared" si="16"/>
        <v>2015FemaleNon-Maori8</v>
      </c>
      <c r="BA93">
        <v>2015</v>
      </c>
      <c r="BB93" t="s">
        <v>8</v>
      </c>
      <c r="BC93" t="s">
        <v>19</v>
      </c>
      <c r="BD93">
        <v>8</v>
      </c>
      <c r="BE93">
        <v>5</v>
      </c>
      <c r="BF93">
        <v>4.0997048212528702</v>
      </c>
      <c r="BG93" s="83">
        <v>3.6</v>
      </c>
      <c r="BH93">
        <v>63</v>
      </c>
      <c r="BI93">
        <v>7.9</v>
      </c>
      <c r="BS93" t="str">
        <f t="shared" si="17"/>
        <v>AllSexMaori225</v>
      </c>
      <c r="BT93" t="s">
        <v>17</v>
      </c>
      <c r="BU93" t="s">
        <v>18</v>
      </c>
      <c r="BV93">
        <v>22</v>
      </c>
      <c r="BW93">
        <v>5</v>
      </c>
      <c r="BX93">
        <v>109</v>
      </c>
      <c r="BY93">
        <v>41.728081837770702</v>
      </c>
      <c r="BZ93">
        <v>7.8</v>
      </c>
      <c r="CB93" t="str">
        <f t="shared" si="18"/>
        <v>AllSexOther22Hanging, strangulation and suffocation</v>
      </c>
      <c r="CC93" t="s">
        <v>17</v>
      </c>
      <c r="CD93" t="s">
        <v>45</v>
      </c>
      <c r="CE93" t="s">
        <v>43</v>
      </c>
      <c r="CF93">
        <v>22</v>
      </c>
      <c r="CG93">
        <v>208</v>
      </c>
      <c r="CH93">
        <v>277</v>
      </c>
      <c r="CI93">
        <v>75.099999999999994</v>
      </c>
      <c r="CL93" t="str">
        <f t="shared" si="19"/>
        <v>2012AllSexAllEth9</v>
      </c>
      <c r="CM93">
        <v>2012</v>
      </c>
      <c r="CN93" t="s">
        <v>17</v>
      </c>
      <c r="CO93" t="s">
        <v>27</v>
      </c>
      <c r="CP93">
        <v>9</v>
      </c>
      <c r="CQ93">
        <v>42</v>
      </c>
    </row>
    <row r="94" spans="1:95" x14ac:dyDescent="0.2">
      <c r="A94" t="str">
        <f t="shared" si="11"/>
        <v>2006FemaleMaori19</v>
      </c>
      <c r="B94">
        <v>2006</v>
      </c>
      <c r="C94" t="s">
        <v>8</v>
      </c>
      <c r="D94" t="s">
        <v>18</v>
      </c>
      <c r="E94">
        <v>19</v>
      </c>
      <c r="F94">
        <v>33</v>
      </c>
      <c r="G94">
        <v>10.6723123955334</v>
      </c>
      <c r="H94">
        <v>3.6</v>
      </c>
      <c r="J94" s="358" t="str">
        <f t="shared" si="12"/>
        <v>2004AllSexMaori191</v>
      </c>
      <c r="K94" s="359">
        <v>2004</v>
      </c>
      <c r="L94" t="s">
        <v>17</v>
      </c>
      <c r="M94" t="s">
        <v>18</v>
      </c>
      <c r="N94">
        <v>19</v>
      </c>
      <c r="O94">
        <v>1</v>
      </c>
      <c r="P94">
        <v>2</v>
      </c>
      <c r="Q94">
        <v>3.8213890787633198</v>
      </c>
      <c r="R94">
        <v>5.3</v>
      </c>
      <c r="T94" s="358" t="str">
        <f t="shared" si="14"/>
        <v>1996FemaleAllEth23Poisoning by gases and vapours</v>
      </c>
      <c r="U94" s="360">
        <v>1996</v>
      </c>
      <c r="V94" s="360" t="s">
        <v>8</v>
      </c>
      <c r="W94" s="360" t="s">
        <v>27</v>
      </c>
      <c r="X94" s="360">
        <v>23</v>
      </c>
      <c r="Y94" s="360" t="s">
        <v>46</v>
      </c>
      <c r="Z94" s="360">
        <v>11</v>
      </c>
      <c r="AA94" s="360">
        <v>34</v>
      </c>
      <c r="AB94" s="360">
        <v>32.4</v>
      </c>
      <c r="AD94" s="358" t="str">
        <f t="shared" si="15"/>
        <v>200105AllSexAllEth19Tairawhiti</v>
      </c>
      <c r="AE94" t="s">
        <v>17</v>
      </c>
      <c r="AF94" t="s">
        <v>27</v>
      </c>
      <c r="AG94">
        <v>19</v>
      </c>
      <c r="AH94">
        <v>8</v>
      </c>
      <c r="AI94" t="s">
        <v>61</v>
      </c>
      <c r="AJ94">
        <v>34</v>
      </c>
      <c r="AK94">
        <v>15.269486939145301</v>
      </c>
      <c r="AL94">
        <v>6.7</v>
      </c>
      <c r="AM94" t="s">
        <v>82</v>
      </c>
      <c r="AN94">
        <v>200105</v>
      </c>
      <c r="AQ94" t="str">
        <f t="shared" si="13"/>
        <v>2006MaleRural23</v>
      </c>
      <c r="AR94">
        <v>2006</v>
      </c>
      <c r="AS94" t="s">
        <v>20</v>
      </c>
      <c r="AT94" t="s">
        <v>96</v>
      </c>
      <c r="AU94">
        <v>23</v>
      </c>
      <c r="AV94">
        <v>26</v>
      </c>
      <c r="AW94">
        <v>34.625116526834503</v>
      </c>
      <c r="AX94">
        <v>13.3</v>
      </c>
      <c r="AZ94" t="str">
        <f t="shared" si="16"/>
        <v>2015FemaleNon-Maori9</v>
      </c>
      <c r="BA94">
        <v>2015</v>
      </c>
      <c r="BB94" t="s">
        <v>8</v>
      </c>
      <c r="BC94" t="s">
        <v>19</v>
      </c>
      <c r="BD94">
        <v>9</v>
      </c>
      <c r="BE94">
        <v>8</v>
      </c>
      <c r="BF94">
        <v>5.7463008188478701</v>
      </c>
      <c r="BG94" s="83">
        <v>4</v>
      </c>
      <c r="BH94">
        <v>119</v>
      </c>
      <c r="BI94">
        <v>6.7</v>
      </c>
      <c r="BS94" t="str">
        <f t="shared" si="17"/>
        <v>AllSexOther221</v>
      </c>
      <c r="BT94" t="s">
        <v>17</v>
      </c>
      <c r="BU94" t="s">
        <v>45</v>
      </c>
      <c r="BV94">
        <v>22</v>
      </c>
      <c r="BW94">
        <v>1</v>
      </c>
      <c r="BX94">
        <v>44</v>
      </c>
      <c r="BY94">
        <v>10.4230437536922</v>
      </c>
      <c r="BZ94">
        <v>3.1</v>
      </c>
      <c r="CB94" t="str">
        <f t="shared" si="18"/>
        <v>AllSexOther23Hanging, strangulation and suffocation</v>
      </c>
      <c r="CC94" t="s">
        <v>17</v>
      </c>
      <c r="CD94" t="s">
        <v>45</v>
      </c>
      <c r="CE94" t="s">
        <v>43</v>
      </c>
      <c r="CF94">
        <v>23</v>
      </c>
      <c r="CG94">
        <v>329</v>
      </c>
      <c r="CH94">
        <v>560</v>
      </c>
      <c r="CI94">
        <v>58.8</v>
      </c>
      <c r="CL94" t="str">
        <f t="shared" si="19"/>
        <v>2012AllSexMaori9</v>
      </c>
      <c r="CM94">
        <v>2012</v>
      </c>
      <c r="CN94" t="s">
        <v>17</v>
      </c>
      <c r="CO94" t="s">
        <v>18</v>
      </c>
      <c r="CP94">
        <v>9</v>
      </c>
      <c r="CQ94">
        <v>6</v>
      </c>
    </row>
    <row r="95" spans="1:95" x14ac:dyDescent="0.2">
      <c r="A95" t="str">
        <f t="shared" si="11"/>
        <v>2007FemaleMaori19</v>
      </c>
      <c r="B95">
        <v>2007</v>
      </c>
      <c r="C95" t="s">
        <v>8</v>
      </c>
      <c r="D95" t="s">
        <v>18</v>
      </c>
      <c r="E95">
        <v>19</v>
      </c>
      <c r="F95">
        <v>23</v>
      </c>
      <c r="G95">
        <v>7.2545885050603403</v>
      </c>
      <c r="H95">
        <v>3</v>
      </c>
      <c r="J95" s="358" t="str">
        <f t="shared" si="12"/>
        <v>2004AllSexMaori192</v>
      </c>
      <c r="K95" s="359">
        <v>2004</v>
      </c>
      <c r="L95" t="s">
        <v>17</v>
      </c>
      <c r="M95" t="s">
        <v>18</v>
      </c>
      <c r="N95">
        <v>19</v>
      </c>
      <c r="O95">
        <v>2</v>
      </c>
      <c r="P95">
        <v>10</v>
      </c>
      <c r="Q95">
        <v>15.6240596280155</v>
      </c>
      <c r="R95">
        <v>9.6999999999999993</v>
      </c>
      <c r="T95" s="358" t="str">
        <f t="shared" si="14"/>
        <v>1996FemaleAllEth24Poisoning by gases and vapours</v>
      </c>
      <c r="U95" s="360">
        <v>1996</v>
      </c>
      <c r="V95" s="360" t="s">
        <v>8</v>
      </c>
      <c r="W95" s="360" t="s">
        <v>27</v>
      </c>
      <c r="X95" s="360">
        <v>24</v>
      </c>
      <c r="Y95" s="360" t="s">
        <v>46</v>
      </c>
      <c r="Z95" s="360">
        <v>7</v>
      </c>
      <c r="AA95" s="360">
        <v>22</v>
      </c>
      <c r="AB95" s="360">
        <v>31.8</v>
      </c>
      <c r="AD95" s="358" t="str">
        <f t="shared" si="15"/>
        <v>200105AllSexAllEth19Hawke's Bay</v>
      </c>
      <c r="AE95" t="s">
        <v>17</v>
      </c>
      <c r="AF95" t="s">
        <v>27</v>
      </c>
      <c r="AG95">
        <v>19</v>
      </c>
      <c r="AH95">
        <v>9</v>
      </c>
      <c r="AI95" t="s">
        <v>62</v>
      </c>
      <c r="AJ95">
        <v>125</v>
      </c>
      <c r="AK95">
        <v>17.732863754023001</v>
      </c>
      <c r="AL95">
        <v>4.0999999999999996</v>
      </c>
      <c r="AM95" t="s">
        <v>84</v>
      </c>
      <c r="AN95">
        <v>200105</v>
      </c>
      <c r="AQ95" t="str">
        <f t="shared" si="13"/>
        <v>2006MaleUrban23</v>
      </c>
      <c r="AR95">
        <v>2006</v>
      </c>
      <c r="AS95" t="s">
        <v>20</v>
      </c>
      <c r="AT95" t="s">
        <v>97</v>
      </c>
      <c r="AU95">
        <v>23</v>
      </c>
      <c r="AV95">
        <v>120</v>
      </c>
      <c r="AW95">
        <v>24.344721252941699</v>
      </c>
      <c r="AX95">
        <v>4.4000000000000004</v>
      </c>
      <c r="AZ95" t="str">
        <f t="shared" si="16"/>
        <v>2015FemaleNon-Maori10</v>
      </c>
      <c r="BA95">
        <v>2015</v>
      </c>
      <c r="BB95" t="s">
        <v>8</v>
      </c>
      <c r="BC95" t="s">
        <v>19</v>
      </c>
      <c r="BD95">
        <v>10</v>
      </c>
      <c r="BE95">
        <v>12</v>
      </c>
      <c r="BF95">
        <v>8.4507042253521103</v>
      </c>
      <c r="BG95" s="83">
        <v>4.8</v>
      </c>
      <c r="BH95">
        <v>219</v>
      </c>
      <c r="BI95">
        <v>5.5</v>
      </c>
      <c r="BS95" t="str">
        <f t="shared" si="17"/>
        <v>AllSexOther222</v>
      </c>
      <c r="BT95" t="s">
        <v>17</v>
      </c>
      <c r="BU95" t="s">
        <v>45</v>
      </c>
      <c r="BV95">
        <v>22</v>
      </c>
      <c r="BW95">
        <v>2</v>
      </c>
      <c r="BX95">
        <v>50</v>
      </c>
      <c r="BY95">
        <v>13.0321093542806</v>
      </c>
      <c r="BZ95">
        <v>3.6</v>
      </c>
      <c r="CB95" t="str">
        <f t="shared" si="18"/>
        <v>AllSexOther24Hanging, strangulation and suffocation</v>
      </c>
      <c r="CC95" t="s">
        <v>17</v>
      </c>
      <c r="CD95" t="s">
        <v>45</v>
      </c>
      <c r="CE95" t="s">
        <v>43</v>
      </c>
      <c r="CF95">
        <v>24</v>
      </c>
      <c r="CG95">
        <v>286</v>
      </c>
      <c r="CH95">
        <v>687</v>
      </c>
      <c r="CI95">
        <v>41.6</v>
      </c>
      <c r="CL95" t="str">
        <f t="shared" si="19"/>
        <v>2012AllSexNon-Maori9</v>
      </c>
      <c r="CM95">
        <v>2012</v>
      </c>
      <c r="CN95" t="s">
        <v>17</v>
      </c>
      <c r="CO95" t="s">
        <v>19</v>
      </c>
      <c r="CP95">
        <v>9</v>
      </c>
      <c r="CQ95">
        <v>36</v>
      </c>
    </row>
    <row r="96" spans="1:95" x14ac:dyDescent="0.2">
      <c r="A96" t="str">
        <f t="shared" si="11"/>
        <v>2008FemaleMaori19</v>
      </c>
      <c r="B96">
        <v>2008</v>
      </c>
      <c r="C96" t="s">
        <v>8</v>
      </c>
      <c r="D96" t="s">
        <v>18</v>
      </c>
      <c r="E96">
        <v>19</v>
      </c>
      <c r="F96">
        <v>31</v>
      </c>
      <c r="G96">
        <v>8.8796426541518301</v>
      </c>
      <c r="H96">
        <v>3.1</v>
      </c>
      <c r="J96" s="358" t="str">
        <f t="shared" si="12"/>
        <v>2004AllSexMaori193</v>
      </c>
      <c r="K96" s="359">
        <v>2004</v>
      </c>
      <c r="L96" t="s">
        <v>17</v>
      </c>
      <c r="M96" t="s">
        <v>18</v>
      </c>
      <c r="N96">
        <v>19</v>
      </c>
      <c r="O96">
        <v>3</v>
      </c>
      <c r="P96">
        <v>10</v>
      </c>
      <c r="Q96">
        <v>9.6242370656077494</v>
      </c>
      <c r="R96">
        <v>6</v>
      </c>
      <c r="T96" s="358" t="str">
        <f t="shared" si="14"/>
        <v>1996FemaleAllEth25Poisoning by gases and vapours</v>
      </c>
      <c r="U96" s="360">
        <v>1996</v>
      </c>
      <c r="V96" s="360" t="s">
        <v>8</v>
      </c>
      <c r="W96" s="360" t="s">
        <v>27</v>
      </c>
      <c r="X96" s="360">
        <v>25</v>
      </c>
      <c r="Y96" s="360" t="s">
        <v>46</v>
      </c>
      <c r="Z96" s="360">
        <v>2</v>
      </c>
      <c r="AA96" s="360">
        <v>13</v>
      </c>
      <c r="AB96" s="360">
        <v>15.4</v>
      </c>
      <c r="AD96" s="358" t="str">
        <f t="shared" si="15"/>
        <v>200105AllSexAllEth19Taranaki</v>
      </c>
      <c r="AE96" t="s">
        <v>17</v>
      </c>
      <c r="AF96" t="s">
        <v>27</v>
      </c>
      <c r="AG96">
        <v>19</v>
      </c>
      <c r="AH96">
        <v>10</v>
      </c>
      <c r="AI96" t="s">
        <v>63</v>
      </c>
      <c r="AJ96">
        <v>65</v>
      </c>
      <c r="AK96">
        <v>12.5794777612091</v>
      </c>
      <c r="AL96">
        <v>4</v>
      </c>
      <c r="AM96" t="s">
        <v>82</v>
      </c>
      <c r="AN96">
        <v>200105</v>
      </c>
      <c r="AQ96" t="str">
        <f t="shared" si="13"/>
        <v>2006MaleRural24</v>
      </c>
      <c r="AR96">
        <v>2006</v>
      </c>
      <c r="AS96" t="s">
        <v>20</v>
      </c>
      <c r="AT96" t="s">
        <v>96</v>
      </c>
      <c r="AU96">
        <v>24</v>
      </c>
      <c r="AV96">
        <v>21</v>
      </c>
      <c r="AW96">
        <v>24.043966109457301</v>
      </c>
      <c r="AX96">
        <v>10.3</v>
      </c>
      <c r="AZ96" t="str">
        <f t="shared" si="16"/>
        <v>2015FemaleNon-Maori11</v>
      </c>
      <c r="BA96">
        <v>2015</v>
      </c>
      <c r="BB96" t="s">
        <v>8</v>
      </c>
      <c r="BC96" t="s">
        <v>19</v>
      </c>
      <c r="BD96">
        <v>11</v>
      </c>
      <c r="BE96">
        <v>13</v>
      </c>
      <c r="BF96">
        <v>9.0152565880721198</v>
      </c>
      <c r="BG96" s="83">
        <v>4.9000000000000004</v>
      </c>
      <c r="BH96">
        <v>324</v>
      </c>
      <c r="BI96">
        <v>4</v>
      </c>
      <c r="BS96" t="str">
        <f t="shared" si="17"/>
        <v>AllSexOther223</v>
      </c>
      <c r="BT96" t="s">
        <v>17</v>
      </c>
      <c r="BU96" t="s">
        <v>45</v>
      </c>
      <c r="BV96">
        <v>22</v>
      </c>
      <c r="BW96">
        <v>3</v>
      </c>
      <c r="BX96">
        <v>65</v>
      </c>
      <c r="BY96">
        <v>17.4186552228071</v>
      </c>
      <c r="BZ96">
        <v>4.2</v>
      </c>
      <c r="CB96" t="str">
        <f t="shared" si="18"/>
        <v>AllSexOther25Hanging, strangulation and suffocation</v>
      </c>
      <c r="CC96" t="s">
        <v>17</v>
      </c>
      <c r="CD96" t="s">
        <v>45</v>
      </c>
      <c r="CE96" t="s">
        <v>43</v>
      </c>
      <c r="CF96">
        <v>25</v>
      </c>
      <c r="CG96">
        <v>90</v>
      </c>
      <c r="CH96">
        <v>263</v>
      </c>
      <c r="CI96">
        <v>34.200000000000003</v>
      </c>
      <c r="CL96" t="str">
        <f t="shared" si="19"/>
        <v>2012FemaleAllEth9</v>
      </c>
      <c r="CM96">
        <v>2012</v>
      </c>
      <c r="CN96" t="s">
        <v>8</v>
      </c>
      <c r="CO96" t="s">
        <v>27</v>
      </c>
      <c r="CP96">
        <v>9</v>
      </c>
      <c r="CQ96">
        <v>16</v>
      </c>
    </row>
    <row r="97" spans="1:95" x14ac:dyDescent="0.2">
      <c r="A97" t="str">
        <f t="shared" si="11"/>
        <v>2009FemaleMaori19</v>
      </c>
      <c r="B97">
        <v>2009</v>
      </c>
      <c r="C97" t="s">
        <v>8</v>
      </c>
      <c r="D97" t="s">
        <v>18</v>
      </c>
      <c r="E97">
        <v>19</v>
      </c>
      <c r="F97">
        <v>25</v>
      </c>
      <c r="G97">
        <v>7.3206868063360204</v>
      </c>
      <c r="H97">
        <v>2.9</v>
      </c>
      <c r="J97" s="358" t="str">
        <f t="shared" si="12"/>
        <v>2004AllSexMaori194</v>
      </c>
      <c r="K97" s="359">
        <v>2004</v>
      </c>
      <c r="L97" t="s">
        <v>17</v>
      </c>
      <c r="M97" t="s">
        <v>18</v>
      </c>
      <c r="N97">
        <v>19</v>
      </c>
      <c r="O97">
        <v>4</v>
      </c>
      <c r="P97">
        <v>30</v>
      </c>
      <c r="Q97">
        <v>21.626805575247701</v>
      </c>
      <c r="R97">
        <v>7.7</v>
      </c>
      <c r="T97" s="358" t="str">
        <f t="shared" si="14"/>
        <v>1996FemaleAllEth21Poisoning by solids and liquids</v>
      </c>
      <c r="U97" s="360">
        <v>1996</v>
      </c>
      <c r="V97" s="360" t="s">
        <v>8</v>
      </c>
      <c r="W97" s="360" t="s">
        <v>27</v>
      </c>
      <c r="X97" s="360">
        <v>21</v>
      </c>
      <c r="Y97" s="360" t="s">
        <v>47</v>
      </c>
      <c r="Z97" s="360">
        <v>1</v>
      </c>
      <c r="AA97" s="360">
        <v>4</v>
      </c>
      <c r="AB97" s="360">
        <v>25</v>
      </c>
      <c r="AD97" s="358" t="str">
        <f t="shared" si="15"/>
        <v>200105AllSexAllEth19MidCentral</v>
      </c>
      <c r="AE97" t="s">
        <v>17</v>
      </c>
      <c r="AF97" t="s">
        <v>27</v>
      </c>
      <c r="AG97">
        <v>19</v>
      </c>
      <c r="AH97">
        <v>11</v>
      </c>
      <c r="AI97" t="s">
        <v>64</v>
      </c>
      <c r="AJ97">
        <v>125</v>
      </c>
      <c r="AK97">
        <v>15.2352311858623</v>
      </c>
      <c r="AL97">
        <v>3.5</v>
      </c>
      <c r="AM97" t="s">
        <v>82</v>
      </c>
      <c r="AN97">
        <v>200105</v>
      </c>
      <c r="AQ97" t="str">
        <f t="shared" si="13"/>
        <v>2006MaleUrban24</v>
      </c>
      <c r="AR97">
        <v>2006</v>
      </c>
      <c r="AS97" t="s">
        <v>20</v>
      </c>
      <c r="AT97" t="s">
        <v>97</v>
      </c>
      <c r="AU97">
        <v>24</v>
      </c>
      <c r="AV97">
        <v>88</v>
      </c>
      <c r="AW97">
        <v>21.816198527406598</v>
      </c>
      <c r="AX97">
        <v>4.5999999999999996</v>
      </c>
      <c r="AZ97" t="str">
        <f t="shared" si="16"/>
        <v>2015FemaleNon-Maori12</v>
      </c>
      <c r="BA97">
        <v>2015</v>
      </c>
      <c r="BB97" t="s">
        <v>8</v>
      </c>
      <c r="BC97" t="s">
        <v>19</v>
      </c>
      <c r="BD97">
        <v>12</v>
      </c>
      <c r="BE97">
        <v>6</v>
      </c>
      <c r="BF97">
        <v>4.5735193231191396</v>
      </c>
      <c r="BG97" s="83">
        <v>3.7</v>
      </c>
      <c r="BH97">
        <v>391</v>
      </c>
      <c r="BI97">
        <v>1.5</v>
      </c>
      <c r="BS97" t="str">
        <f t="shared" si="17"/>
        <v>AllSexOther224</v>
      </c>
      <c r="BT97" t="s">
        <v>17</v>
      </c>
      <c r="BU97" t="s">
        <v>45</v>
      </c>
      <c r="BV97">
        <v>22</v>
      </c>
      <c r="BW97">
        <v>4</v>
      </c>
      <c r="BX97">
        <v>57</v>
      </c>
      <c r="BY97">
        <v>15.7554403360839</v>
      </c>
      <c r="BZ97">
        <v>4.0999999999999996</v>
      </c>
      <c r="CB97" t="str">
        <f t="shared" si="18"/>
        <v>AllSexOther22Jumping from a high place</v>
      </c>
      <c r="CC97" t="s">
        <v>17</v>
      </c>
      <c r="CD97" t="s">
        <v>45</v>
      </c>
      <c r="CE97" t="s">
        <v>44</v>
      </c>
      <c r="CF97">
        <v>22</v>
      </c>
      <c r="CG97">
        <v>8</v>
      </c>
      <c r="CH97">
        <v>277</v>
      </c>
      <c r="CI97">
        <v>2.9</v>
      </c>
      <c r="CL97" t="str">
        <f t="shared" si="19"/>
        <v>2012FemaleMaori9</v>
      </c>
      <c r="CM97">
        <v>2012</v>
      </c>
      <c r="CN97" t="s">
        <v>8</v>
      </c>
      <c r="CO97" t="s">
        <v>18</v>
      </c>
      <c r="CP97">
        <v>9</v>
      </c>
      <c r="CQ97">
        <v>2</v>
      </c>
    </row>
    <row r="98" spans="1:95" x14ac:dyDescent="0.2">
      <c r="A98" t="str">
        <f t="shared" si="11"/>
        <v>2010FemaleMaori19</v>
      </c>
      <c r="B98">
        <v>2010</v>
      </c>
      <c r="C98" t="s">
        <v>8</v>
      </c>
      <c r="D98" t="s">
        <v>18</v>
      </c>
      <c r="E98">
        <v>19</v>
      </c>
      <c r="F98">
        <v>30</v>
      </c>
      <c r="G98">
        <v>8.74468389486562</v>
      </c>
      <c r="H98">
        <v>3.1</v>
      </c>
      <c r="J98" s="358" t="str">
        <f t="shared" si="12"/>
        <v>2004AllSexMaori195</v>
      </c>
      <c r="K98" s="359">
        <v>2004</v>
      </c>
      <c r="L98" t="s">
        <v>17</v>
      </c>
      <c r="M98" t="s">
        <v>18</v>
      </c>
      <c r="N98">
        <v>19</v>
      </c>
      <c r="O98">
        <v>5</v>
      </c>
      <c r="P98">
        <v>57</v>
      </c>
      <c r="Q98">
        <v>23.929632154016701</v>
      </c>
      <c r="R98">
        <v>6.2</v>
      </c>
      <c r="T98" s="358" t="str">
        <f t="shared" si="14"/>
        <v>1996FemaleAllEth22Poisoning by solids and liquids</v>
      </c>
      <c r="U98" s="360">
        <v>1996</v>
      </c>
      <c r="V98" s="360" t="s">
        <v>8</v>
      </c>
      <c r="W98" s="360" t="s">
        <v>27</v>
      </c>
      <c r="X98" s="360">
        <v>22</v>
      </c>
      <c r="Y98" s="360" t="s">
        <v>47</v>
      </c>
      <c r="Z98" s="360">
        <v>8</v>
      </c>
      <c r="AA98" s="360">
        <v>38</v>
      </c>
      <c r="AB98" s="360">
        <v>21.1</v>
      </c>
      <c r="AD98" s="358" t="str">
        <f t="shared" si="15"/>
        <v>200105AllSexAllEth19Whanganui</v>
      </c>
      <c r="AE98" t="s">
        <v>17</v>
      </c>
      <c r="AF98" t="s">
        <v>27</v>
      </c>
      <c r="AG98">
        <v>19</v>
      </c>
      <c r="AH98">
        <v>12</v>
      </c>
      <c r="AI98" t="s">
        <v>65</v>
      </c>
      <c r="AJ98">
        <v>53</v>
      </c>
      <c r="AK98">
        <v>16.724750057544099</v>
      </c>
      <c r="AL98">
        <v>5.9</v>
      </c>
      <c r="AM98" t="s">
        <v>82</v>
      </c>
      <c r="AN98">
        <v>200105</v>
      </c>
      <c r="AQ98" t="str">
        <f t="shared" si="13"/>
        <v>2006MaleRural25</v>
      </c>
      <c r="AR98">
        <v>2006</v>
      </c>
      <c r="AS98" t="s">
        <v>20</v>
      </c>
      <c r="AT98" t="s">
        <v>96</v>
      </c>
      <c r="AU98">
        <v>25</v>
      </c>
      <c r="AV98">
        <v>6</v>
      </c>
      <c r="AW98">
        <v>18.879798615481398</v>
      </c>
      <c r="AX98">
        <v>15.1</v>
      </c>
      <c r="AZ98" t="str">
        <f t="shared" si="16"/>
        <v>2015FemaleNon-Maori13</v>
      </c>
      <c r="BA98">
        <v>2015</v>
      </c>
      <c r="BB98" t="s">
        <v>8</v>
      </c>
      <c r="BC98" t="s">
        <v>19</v>
      </c>
      <c r="BD98">
        <v>13</v>
      </c>
      <c r="BE98">
        <v>11</v>
      </c>
      <c r="BF98">
        <v>9.4737748686590297</v>
      </c>
      <c r="BG98" s="83">
        <v>5.6</v>
      </c>
      <c r="BH98">
        <v>524</v>
      </c>
      <c r="BI98">
        <v>2.1</v>
      </c>
      <c r="BS98" t="str">
        <f t="shared" si="17"/>
        <v>AllSexOther225</v>
      </c>
      <c r="BT98" t="s">
        <v>17</v>
      </c>
      <c r="BU98" t="s">
        <v>45</v>
      </c>
      <c r="BV98">
        <v>22</v>
      </c>
      <c r="BW98">
        <v>5</v>
      </c>
      <c r="BX98">
        <v>55</v>
      </c>
      <c r="BY98">
        <v>22.0090513298838</v>
      </c>
      <c r="BZ98">
        <v>5.8</v>
      </c>
      <c r="CB98" t="str">
        <f t="shared" si="18"/>
        <v>AllSexOther23Jumping from a high place</v>
      </c>
      <c r="CC98" t="s">
        <v>17</v>
      </c>
      <c r="CD98" t="s">
        <v>45</v>
      </c>
      <c r="CE98" t="s">
        <v>44</v>
      </c>
      <c r="CF98">
        <v>23</v>
      </c>
      <c r="CG98">
        <v>18</v>
      </c>
      <c r="CH98">
        <v>560</v>
      </c>
      <c r="CI98">
        <v>3.2</v>
      </c>
      <c r="CL98" t="str">
        <f t="shared" si="19"/>
        <v>2012FemaleNon-Maori9</v>
      </c>
      <c r="CM98">
        <v>2012</v>
      </c>
      <c r="CN98" t="s">
        <v>8</v>
      </c>
      <c r="CO98" t="s">
        <v>19</v>
      </c>
      <c r="CP98">
        <v>9</v>
      </c>
      <c r="CQ98">
        <v>14</v>
      </c>
    </row>
    <row r="99" spans="1:95" x14ac:dyDescent="0.2">
      <c r="A99" t="str">
        <f t="shared" si="11"/>
        <v>2011FemaleMaori19</v>
      </c>
      <c r="B99">
        <v>2011</v>
      </c>
      <c r="C99" t="s">
        <v>8</v>
      </c>
      <c r="D99" t="s">
        <v>18</v>
      </c>
      <c r="E99">
        <v>19</v>
      </c>
      <c r="F99">
        <v>32</v>
      </c>
      <c r="G99">
        <v>9.3323745071337907</v>
      </c>
      <c r="H99">
        <v>3.2</v>
      </c>
      <c r="J99" s="358" t="str">
        <f t="shared" si="12"/>
        <v>2005AllSexMaori191</v>
      </c>
      <c r="K99" s="359">
        <v>2005</v>
      </c>
      <c r="L99" t="s">
        <v>17</v>
      </c>
      <c r="M99" t="s">
        <v>18</v>
      </c>
      <c r="N99">
        <v>19</v>
      </c>
      <c r="O99">
        <v>1</v>
      </c>
      <c r="P99">
        <v>4</v>
      </c>
      <c r="Q99">
        <v>9.2788158150234192</v>
      </c>
      <c r="R99">
        <v>9.1</v>
      </c>
      <c r="T99" s="358" t="str">
        <f t="shared" si="14"/>
        <v>1996FemaleAllEth23Poisoning by solids and liquids</v>
      </c>
      <c r="U99" s="360">
        <v>1996</v>
      </c>
      <c r="V99" s="360" t="s">
        <v>8</v>
      </c>
      <c r="W99" s="360" t="s">
        <v>27</v>
      </c>
      <c r="X99" s="360">
        <v>23</v>
      </c>
      <c r="Y99" s="360" t="s">
        <v>47</v>
      </c>
      <c r="Z99" s="360">
        <v>9</v>
      </c>
      <c r="AA99" s="360">
        <v>34</v>
      </c>
      <c r="AB99" s="360">
        <v>26.5</v>
      </c>
      <c r="AD99" s="358" t="str">
        <f t="shared" si="15"/>
        <v>200105AllSexAllEth19Capital &amp; Coast</v>
      </c>
      <c r="AE99" t="s">
        <v>17</v>
      </c>
      <c r="AF99" t="s">
        <v>27</v>
      </c>
      <c r="AG99">
        <v>19</v>
      </c>
      <c r="AH99">
        <v>13</v>
      </c>
      <c r="AI99" t="s">
        <v>66</v>
      </c>
      <c r="AJ99">
        <v>145</v>
      </c>
      <c r="AK99">
        <v>10.2100708945399</v>
      </c>
      <c r="AL99">
        <v>2.2000000000000002</v>
      </c>
      <c r="AM99" t="s">
        <v>82</v>
      </c>
      <c r="AN99">
        <v>200105</v>
      </c>
      <c r="AQ99" t="str">
        <f t="shared" si="13"/>
        <v>2006MaleUrban25</v>
      </c>
      <c r="AR99">
        <v>2006</v>
      </c>
      <c r="AS99" t="s">
        <v>20</v>
      </c>
      <c r="AT99" t="s">
        <v>97</v>
      </c>
      <c r="AU99">
        <v>25</v>
      </c>
      <c r="AV99">
        <v>27</v>
      </c>
      <c r="AW99">
        <v>13.7028014616322</v>
      </c>
      <c r="AX99">
        <v>5.2</v>
      </c>
      <c r="AZ99" t="str">
        <f t="shared" si="16"/>
        <v>2015FemaleNon-Maori14</v>
      </c>
      <c r="BA99">
        <v>2015</v>
      </c>
      <c r="BB99" t="s">
        <v>8</v>
      </c>
      <c r="BC99" t="s">
        <v>19</v>
      </c>
      <c r="BD99">
        <v>14</v>
      </c>
      <c r="BE99">
        <v>7</v>
      </c>
      <c r="BF99">
        <v>6.5740045078888096</v>
      </c>
      <c r="BG99" s="83">
        <v>4.9000000000000004</v>
      </c>
      <c r="BH99">
        <v>835</v>
      </c>
      <c r="BI99">
        <v>0.8</v>
      </c>
      <c r="BS99" t="str">
        <f t="shared" si="17"/>
        <v>AllSexPacific221</v>
      </c>
      <c r="BT99" t="s">
        <v>17</v>
      </c>
      <c r="BU99" t="s">
        <v>79</v>
      </c>
      <c r="BV99">
        <v>22</v>
      </c>
      <c r="BW99">
        <v>1</v>
      </c>
      <c r="BX99">
        <v>1</v>
      </c>
      <c r="BY99">
        <v>7.8569743374446297</v>
      </c>
      <c r="BZ99">
        <v>15.4</v>
      </c>
      <c r="CB99" t="str">
        <f t="shared" si="18"/>
        <v>AllSexOther24Jumping from a high place</v>
      </c>
      <c r="CC99" t="s">
        <v>17</v>
      </c>
      <c r="CD99" t="s">
        <v>45</v>
      </c>
      <c r="CE99" t="s">
        <v>44</v>
      </c>
      <c r="CF99">
        <v>24</v>
      </c>
      <c r="CG99">
        <v>21</v>
      </c>
      <c r="CH99">
        <v>687</v>
      </c>
      <c r="CI99">
        <v>3.1</v>
      </c>
      <c r="CL99" t="str">
        <f t="shared" si="19"/>
        <v>2012MaleAllEth9</v>
      </c>
      <c r="CM99">
        <v>2012</v>
      </c>
      <c r="CN99" t="s">
        <v>20</v>
      </c>
      <c r="CO99" t="s">
        <v>27</v>
      </c>
      <c r="CP99">
        <v>9</v>
      </c>
      <c r="CQ99">
        <v>26</v>
      </c>
    </row>
    <row r="100" spans="1:95" x14ac:dyDescent="0.2">
      <c r="A100" t="str">
        <f t="shared" si="11"/>
        <v>2012FemaleMaori19</v>
      </c>
      <c r="B100">
        <v>2012</v>
      </c>
      <c r="C100" t="s">
        <v>8</v>
      </c>
      <c r="D100" t="s">
        <v>18</v>
      </c>
      <c r="E100">
        <v>19</v>
      </c>
      <c r="F100">
        <v>37</v>
      </c>
      <c r="G100">
        <v>10.376266848783301</v>
      </c>
      <c r="H100">
        <v>3.3</v>
      </c>
      <c r="J100" s="358" t="str">
        <f t="shared" si="12"/>
        <v>2005AllSexMaori192</v>
      </c>
      <c r="K100" s="359">
        <v>2005</v>
      </c>
      <c r="L100" t="s">
        <v>17</v>
      </c>
      <c r="M100" t="s">
        <v>18</v>
      </c>
      <c r="N100">
        <v>19</v>
      </c>
      <c r="O100">
        <v>2</v>
      </c>
      <c r="P100">
        <v>7</v>
      </c>
      <c r="Q100">
        <v>9.6156496948201706</v>
      </c>
      <c r="R100">
        <v>7.1</v>
      </c>
      <c r="T100" s="358" t="str">
        <f t="shared" si="14"/>
        <v>1996FemaleAllEth24Poisoning by solids and liquids</v>
      </c>
      <c r="U100" s="360">
        <v>1996</v>
      </c>
      <c r="V100" s="360" t="s">
        <v>8</v>
      </c>
      <c r="W100" s="360" t="s">
        <v>27</v>
      </c>
      <c r="X100" s="360">
        <v>24</v>
      </c>
      <c r="Y100" s="360" t="s">
        <v>47</v>
      </c>
      <c r="Z100" s="360">
        <v>6</v>
      </c>
      <c r="AA100" s="360">
        <v>22</v>
      </c>
      <c r="AB100" s="360">
        <v>27.3</v>
      </c>
      <c r="AD100" s="358" t="str">
        <f t="shared" si="15"/>
        <v>200105AllSexAllEth19Hutt Valley</v>
      </c>
      <c r="AE100" t="s">
        <v>17</v>
      </c>
      <c r="AF100" t="s">
        <v>27</v>
      </c>
      <c r="AG100">
        <v>19</v>
      </c>
      <c r="AH100">
        <v>14</v>
      </c>
      <c r="AI100" t="s">
        <v>67</v>
      </c>
      <c r="AJ100">
        <v>68</v>
      </c>
      <c r="AK100">
        <v>10.0405019285545</v>
      </c>
      <c r="AL100">
        <v>3.1</v>
      </c>
      <c r="AM100" t="s">
        <v>82</v>
      </c>
      <c r="AN100">
        <v>200105</v>
      </c>
      <c r="AQ100" t="str">
        <f t="shared" si="13"/>
        <v>2007AllSexRural22</v>
      </c>
      <c r="AR100">
        <v>2007</v>
      </c>
      <c r="AS100" t="s">
        <v>17</v>
      </c>
      <c r="AT100" t="s">
        <v>96</v>
      </c>
      <c r="AU100">
        <v>22</v>
      </c>
      <c r="AV100">
        <v>16</v>
      </c>
      <c r="AW100">
        <v>24.2792109256449</v>
      </c>
      <c r="AX100">
        <v>11.9</v>
      </c>
      <c r="AZ100" t="str">
        <f t="shared" si="16"/>
        <v>2015FemaleNon-Maori15</v>
      </c>
      <c r="BA100">
        <v>2015</v>
      </c>
      <c r="BB100" t="s">
        <v>8</v>
      </c>
      <c r="BC100" t="s">
        <v>19</v>
      </c>
      <c r="BD100">
        <v>15</v>
      </c>
      <c r="BE100">
        <v>3</v>
      </c>
      <c r="BF100">
        <v>3.76553282289444</v>
      </c>
      <c r="BG100" s="83">
        <v>4.3</v>
      </c>
      <c r="BH100">
        <v>1053</v>
      </c>
      <c r="BI100">
        <v>0.3</v>
      </c>
      <c r="BS100" t="str">
        <f t="shared" si="17"/>
        <v>AllSexPacific222</v>
      </c>
      <c r="BT100" t="s">
        <v>17</v>
      </c>
      <c r="BU100" t="s">
        <v>79</v>
      </c>
      <c r="BV100">
        <v>22</v>
      </c>
      <c r="BW100">
        <v>2</v>
      </c>
      <c r="BX100">
        <v>0</v>
      </c>
      <c r="BY100">
        <v>0</v>
      </c>
      <c r="CB100" t="str">
        <f t="shared" si="18"/>
        <v>AllSexOther25Jumping from a high place</v>
      </c>
      <c r="CC100" t="s">
        <v>17</v>
      </c>
      <c r="CD100" t="s">
        <v>45</v>
      </c>
      <c r="CE100" t="s">
        <v>44</v>
      </c>
      <c r="CF100">
        <v>25</v>
      </c>
      <c r="CG100">
        <v>5</v>
      </c>
      <c r="CH100">
        <v>263</v>
      </c>
      <c r="CI100">
        <v>1.9</v>
      </c>
      <c r="CL100" t="str">
        <f t="shared" si="19"/>
        <v>2012MaleMaori9</v>
      </c>
      <c r="CM100">
        <v>2012</v>
      </c>
      <c r="CN100" t="s">
        <v>20</v>
      </c>
      <c r="CO100" t="s">
        <v>18</v>
      </c>
      <c r="CP100">
        <v>9</v>
      </c>
      <c r="CQ100">
        <v>4</v>
      </c>
    </row>
    <row r="101" spans="1:95" x14ac:dyDescent="0.2">
      <c r="A101" t="str">
        <f t="shared" si="11"/>
        <v>2013FemaleMaori19</v>
      </c>
      <c r="B101">
        <v>2013</v>
      </c>
      <c r="C101" t="s">
        <v>8</v>
      </c>
      <c r="D101" t="s">
        <v>18</v>
      </c>
      <c r="E101">
        <v>19</v>
      </c>
      <c r="F101">
        <v>39</v>
      </c>
      <c r="G101">
        <v>11.129535195000299</v>
      </c>
      <c r="H101">
        <v>3.5</v>
      </c>
      <c r="J101" s="358" t="str">
        <f t="shared" si="12"/>
        <v>2005AllSexMaori193</v>
      </c>
      <c r="K101" s="359">
        <v>2005</v>
      </c>
      <c r="L101" t="s">
        <v>17</v>
      </c>
      <c r="M101" t="s">
        <v>18</v>
      </c>
      <c r="N101">
        <v>19</v>
      </c>
      <c r="O101">
        <v>3</v>
      </c>
      <c r="P101">
        <v>15</v>
      </c>
      <c r="Q101">
        <v>14.8208739002058</v>
      </c>
      <c r="R101">
        <v>7.5</v>
      </c>
      <c r="T101" s="358" t="str">
        <f t="shared" si="14"/>
        <v>1996FemaleAllEth25Poisoning by solids and liquids</v>
      </c>
      <c r="U101" s="360">
        <v>1996</v>
      </c>
      <c r="V101" s="360" t="s">
        <v>8</v>
      </c>
      <c r="W101" s="360" t="s">
        <v>27</v>
      </c>
      <c r="X101" s="360">
        <v>25</v>
      </c>
      <c r="Y101" s="360" t="s">
        <v>47</v>
      </c>
      <c r="Z101" s="360">
        <v>5</v>
      </c>
      <c r="AA101" s="360">
        <v>13</v>
      </c>
      <c r="AB101" s="360">
        <v>38.5</v>
      </c>
      <c r="AD101" s="358" t="str">
        <f t="shared" si="15"/>
        <v>200105AllSexAllEth19Wairarapa</v>
      </c>
      <c r="AE101" t="s">
        <v>17</v>
      </c>
      <c r="AF101" t="s">
        <v>27</v>
      </c>
      <c r="AG101">
        <v>19</v>
      </c>
      <c r="AH101">
        <v>15</v>
      </c>
      <c r="AI101" t="s">
        <v>68</v>
      </c>
      <c r="AJ101">
        <v>35</v>
      </c>
      <c r="AK101">
        <v>18.893739860702102</v>
      </c>
      <c r="AL101">
        <v>8.1999999999999993</v>
      </c>
      <c r="AM101" t="s">
        <v>82</v>
      </c>
      <c r="AN101">
        <v>200105</v>
      </c>
      <c r="AQ101" t="str">
        <f t="shared" si="13"/>
        <v>2007AllSexUrban22</v>
      </c>
      <c r="AR101">
        <v>2007</v>
      </c>
      <c r="AS101" t="s">
        <v>17</v>
      </c>
      <c r="AT101" t="s">
        <v>97</v>
      </c>
      <c r="AU101">
        <v>22</v>
      </c>
      <c r="AV101">
        <v>77</v>
      </c>
      <c r="AW101">
        <v>14.2724745134384</v>
      </c>
      <c r="AX101">
        <v>3.2</v>
      </c>
      <c r="AZ101" t="str">
        <f t="shared" si="16"/>
        <v>2015FemaleNon-Maori16</v>
      </c>
      <c r="BA101">
        <v>2015</v>
      </c>
      <c r="BB101" t="s">
        <v>8</v>
      </c>
      <c r="BC101" t="s">
        <v>19</v>
      </c>
      <c r="BD101">
        <v>16</v>
      </c>
      <c r="BE101">
        <v>4</v>
      </c>
      <c r="BF101">
        <v>6.6412086999833999</v>
      </c>
      <c r="BG101" s="83">
        <v>6.5</v>
      </c>
      <c r="BH101">
        <v>1471</v>
      </c>
      <c r="BI101">
        <v>0.3</v>
      </c>
      <c r="BS101" t="str">
        <f t="shared" si="17"/>
        <v>AllSexPacific223</v>
      </c>
      <c r="BT101" t="s">
        <v>17</v>
      </c>
      <c r="BU101" t="s">
        <v>79</v>
      </c>
      <c r="BV101">
        <v>22</v>
      </c>
      <c r="BW101">
        <v>3</v>
      </c>
      <c r="BX101">
        <v>5</v>
      </c>
      <c r="BY101">
        <v>17.086249734864001</v>
      </c>
      <c r="BZ101">
        <v>15</v>
      </c>
      <c r="CB101" t="str">
        <f t="shared" si="18"/>
        <v>AllSexOther21Other</v>
      </c>
      <c r="CC101" t="s">
        <v>17</v>
      </c>
      <c r="CD101" t="s">
        <v>45</v>
      </c>
      <c r="CE101" t="s">
        <v>45</v>
      </c>
      <c r="CF101">
        <v>21</v>
      </c>
      <c r="CG101">
        <v>1</v>
      </c>
      <c r="CH101">
        <v>8</v>
      </c>
      <c r="CI101">
        <v>12.5</v>
      </c>
      <c r="CL101" t="str">
        <f t="shared" si="19"/>
        <v>2012MaleNon-Maori9</v>
      </c>
      <c r="CM101">
        <v>2012</v>
      </c>
      <c r="CN101" t="s">
        <v>20</v>
      </c>
      <c r="CO101" t="s">
        <v>19</v>
      </c>
      <c r="CP101">
        <v>9</v>
      </c>
      <c r="CQ101">
        <v>22</v>
      </c>
    </row>
    <row r="102" spans="1:95" x14ac:dyDescent="0.2">
      <c r="A102" t="str">
        <f t="shared" si="11"/>
        <v>2014FemaleMaori19</v>
      </c>
      <c r="B102">
        <v>2014</v>
      </c>
      <c r="C102" t="s">
        <v>8</v>
      </c>
      <c r="D102" t="s">
        <v>18</v>
      </c>
      <c r="E102">
        <v>19</v>
      </c>
      <c r="F102">
        <v>25</v>
      </c>
      <c r="G102">
        <v>7.4271825890909202</v>
      </c>
      <c r="H102">
        <v>2.9</v>
      </c>
      <c r="J102" s="358" t="str">
        <f t="shared" si="12"/>
        <v>2005AllSexMaori194</v>
      </c>
      <c r="K102" s="359">
        <v>2005</v>
      </c>
      <c r="L102" t="s">
        <v>17</v>
      </c>
      <c r="M102" t="s">
        <v>18</v>
      </c>
      <c r="N102">
        <v>19</v>
      </c>
      <c r="O102">
        <v>4</v>
      </c>
      <c r="P102">
        <v>26</v>
      </c>
      <c r="Q102">
        <v>17.832670801693698</v>
      </c>
      <c r="R102">
        <v>6.9</v>
      </c>
      <c r="T102" s="358" t="str">
        <f t="shared" si="14"/>
        <v>1996FemaleAllEth24Sharp object</v>
      </c>
      <c r="U102" s="360">
        <v>1996</v>
      </c>
      <c r="V102" s="360" t="s">
        <v>8</v>
      </c>
      <c r="W102" s="360" t="s">
        <v>27</v>
      </c>
      <c r="X102" s="360">
        <v>24</v>
      </c>
      <c r="Y102" s="360" t="s">
        <v>48</v>
      </c>
      <c r="Z102" s="360">
        <v>2</v>
      </c>
      <c r="AA102" s="360">
        <v>22</v>
      </c>
      <c r="AB102" s="360">
        <v>9.1</v>
      </c>
      <c r="AD102" s="358" t="str">
        <f t="shared" si="15"/>
        <v>200105AllSexAllEth19Nelson Marlborough</v>
      </c>
      <c r="AE102" t="s">
        <v>17</v>
      </c>
      <c r="AF102" t="s">
        <v>27</v>
      </c>
      <c r="AG102">
        <v>19</v>
      </c>
      <c r="AH102">
        <v>16</v>
      </c>
      <c r="AI102" t="s">
        <v>69</v>
      </c>
      <c r="AJ102">
        <v>83</v>
      </c>
      <c r="AK102">
        <v>12.857145446404401</v>
      </c>
      <c r="AL102">
        <v>3.6</v>
      </c>
      <c r="AM102" t="s">
        <v>82</v>
      </c>
      <c r="AN102">
        <v>200105</v>
      </c>
      <c r="AQ102" t="str">
        <f t="shared" si="13"/>
        <v>2007AllSexRural23</v>
      </c>
      <c r="AR102">
        <v>2007</v>
      </c>
      <c r="AS102" t="s">
        <v>17</v>
      </c>
      <c r="AT102" t="s">
        <v>96</v>
      </c>
      <c r="AU102">
        <v>23</v>
      </c>
      <c r="AV102">
        <v>30</v>
      </c>
      <c r="AW102">
        <v>19.822915290075301</v>
      </c>
      <c r="AX102">
        <v>7.1</v>
      </c>
      <c r="AZ102" t="str">
        <f t="shared" si="16"/>
        <v>2015FemaleNon-Maori17</v>
      </c>
      <c r="BA102">
        <v>2015</v>
      </c>
      <c r="BB102" t="s">
        <v>8</v>
      </c>
      <c r="BC102" t="s">
        <v>19</v>
      </c>
      <c r="BD102">
        <v>17</v>
      </c>
      <c r="BE102">
        <v>1</v>
      </c>
      <c r="BF102">
        <v>2.2779043280182201</v>
      </c>
      <c r="BG102" s="83">
        <v>4.5</v>
      </c>
      <c r="BH102">
        <v>2206</v>
      </c>
      <c r="BI102">
        <v>0</v>
      </c>
      <c r="BS102" t="str">
        <f t="shared" si="17"/>
        <v>AllSexPacific224</v>
      </c>
      <c r="BT102" t="s">
        <v>17</v>
      </c>
      <c r="BU102" t="s">
        <v>79</v>
      </c>
      <c r="BV102">
        <v>22</v>
      </c>
      <c r="BW102">
        <v>4</v>
      </c>
      <c r="BX102">
        <v>9</v>
      </c>
      <c r="BY102">
        <v>16.269476026754401</v>
      </c>
      <c r="BZ102">
        <v>10.6</v>
      </c>
      <c r="CB102" t="str">
        <f t="shared" si="18"/>
        <v>AllSexOther22Other</v>
      </c>
      <c r="CC102" t="s">
        <v>17</v>
      </c>
      <c r="CD102" t="s">
        <v>45</v>
      </c>
      <c r="CE102" t="s">
        <v>45</v>
      </c>
      <c r="CF102">
        <v>22</v>
      </c>
      <c r="CG102">
        <v>8</v>
      </c>
      <c r="CH102">
        <v>277</v>
      </c>
      <c r="CI102">
        <v>2.9</v>
      </c>
      <c r="CL102" t="str">
        <f t="shared" si="19"/>
        <v>2013AllSexAllEth9</v>
      </c>
      <c r="CM102">
        <v>2013</v>
      </c>
      <c r="CN102" t="s">
        <v>17</v>
      </c>
      <c r="CO102" t="s">
        <v>27</v>
      </c>
      <c r="CP102">
        <v>9</v>
      </c>
      <c r="CQ102">
        <v>56</v>
      </c>
    </row>
    <row r="103" spans="1:95" x14ac:dyDescent="0.2">
      <c r="A103" t="str">
        <f t="shared" si="11"/>
        <v>2015FemaleMaori19</v>
      </c>
      <c r="B103">
        <v>2015</v>
      </c>
      <c r="C103" t="s">
        <v>8</v>
      </c>
      <c r="D103" t="s">
        <v>18</v>
      </c>
      <c r="E103">
        <v>19</v>
      </c>
      <c r="F103">
        <v>41</v>
      </c>
      <c r="G103">
        <v>11.481074678715</v>
      </c>
      <c r="H103">
        <v>3.5</v>
      </c>
      <c r="J103" s="358" t="str">
        <f t="shared" si="12"/>
        <v>2005AllSexMaori195</v>
      </c>
      <c r="K103" s="359">
        <v>2005</v>
      </c>
      <c r="L103" t="s">
        <v>17</v>
      </c>
      <c r="M103" t="s">
        <v>18</v>
      </c>
      <c r="N103">
        <v>19</v>
      </c>
      <c r="O103">
        <v>5</v>
      </c>
      <c r="P103">
        <v>48</v>
      </c>
      <c r="Q103">
        <v>20.815605396419599</v>
      </c>
      <c r="R103">
        <v>5.9</v>
      </c>
      <c r="T103" s="358" t="str">
        <f t="shared" si="14"/>
        <v>1996FemaleAllEth24Submersion (drowning)</v>
      </c>
      <c r="U103" s="360">
        <v>1996</v>
      </c>
      <c r="V103" s="360" t="s">
        <v>8</v>
      </c>
      <c r="W103" s="360" t="s">
        <v>27</v>
      </c>
      <c r="X103" s="360">
        <v>24</v>
      </c>
      <c r="Y103" s="360" t="s">
        <v>49</v>
      </c>
      <c r="Z103" s="360">
        <v>2</v>
      </c>
      <c r="AA103" s="360">
        <v>22</v>
      </c>
      <c r="AB103" s="360">
        <v>9.1</v>
      </c>
      <c r="AD103" s="358" t="str">
        <f t="shared" si="15"/>
        <v>200105AllSexAllEth19West Coast</v>
      </c>
      <c r="AE103" t="s">
        <v>17</v>
      </c>
      <c r="AF103" t="s">
        <v>27</v>
      </c>
      <c r="AG103">
        <v>19</v>
      </c>
      <c r="AH103">
        <v>17</v>
      </c>
      <c r="AI103" t="s">
        <v>70</v>
      </c>
      <c r="AJ103">
        <v>21</v>
      </c>
      <c r="AK103">
        <v>11.7883813845277</v>
      </c>
      <c r="AL103">
        <v>6.6</v>
      </c>
      <c r="AM103" t="s">
        <v>82</v>
      </c>
      <c r="AN103">
        <v>200105</v>
      </c>
      <c r="AQ103" t="str">
        <f t="shared" si="13"/>
        <v>2007AllSexUrban23</v>
      </c>
      <c r="AR103">
        <v>2007</v>
      </c>
      <c r="AS103" t="s">
        <v>17</v>
      </c>
      <c r="AT103" t="s">
        <v>97</v>
      </c>
      <c r="AU103">
        <v>23</v>
      </c>
      <c r="AV103">
        <v>183</v>
      </c>
      <c r="AW103">
        <v>17.842169919856499</v>
      </c>
      <c r="AX103">
        <v>2.6</v>
      </c>
      <c r="AZ103" t="str">
        <f t="shared" si="16"/>
        <v>2015FemaleNon-Maori18</v>
      </c>
      <c r="BA103">
        <v>2015</v>
      </c>
      <c r="BB103" t="s">
        <v>8</v>
      </c>
      <c r="BC103" t="s">
        <v>19</v>
      </c>
      <c r="BD103">
        <v>18</v>
      </c>
      <c r="BE103">
        <v>1</v>
      </c>
      <c r="BF103">
        <v>2.04206657137023</v>
      </c>
      <c r="BG103" s="83">
        <v>4</v>
      </c>
      <c r="BH103">
        <v>6779</v>
      </c>
      <c r="BI103">
        <v>0</v>
      </c>
      <c r="BS103" t="str">
        <f t="shared" si="17"/>
        <v>AllSexPacific225</v>
      </c>
      <c r="BT103" t="s">
        <v>17</v>
      </c>
      <c r="BU103" t="s">
        <v>79</v>
      </c>
      <c r="BV103">
        <v>22</v>
      </c>
      <c r="BW103">
        <v>5</v>
      </c>
      <c r="BX103">
        <v>37</v>
      </c>
      <c r="BY103">
        <v>24.125662655816701</v>
      </c>
      <c r="BZ103">
        <v>7.8</v>
      </c>
      <c r="CB103" t="str">
        <f t="shared" si="18"/>
        <v>AllSexOther23Other</v>
      </c>
      <c r="CC103" t="s">
        <v>17</v>
      </c>
      <c r="CD103" t="s">
        <v>45</v>
      </c>
      <c r="CE103" t="s">
        <v>45</v>
      </c>
      <c r="CF103">
        <v>23</v>
      </c>
      <c r="CG103">
        <v>19</v>
      </c>
      <c r="CH103">
        <v>560</v>
      </c>
      <c r="CI103">
        <v>3.4</v>
      </c>
      <c r="CL103" t="str">
        <f t="shared" si="19"/>
        <v>2013AllSexMaori9</v>
      </c>
      <c r="CM103">
        <v>2013</v>
      </c>
      <c r="CN103" t="s">
        <v>17</v>
      </c>
      <c r="CO103" t="s">
        <v>18</v>
      </c>
      <c r="CP103">
        <v>9</v>
      </c>
      <c r="CQ103">
        <v>2</v>
      </c>
    </row>
    <row r="104" spans="1:95" x14ac:dyDescent="0.2">
      <c r="A104" t="str">
        <f t="shared" si="11"/>
        <v>1996FemaleNon-Maori19</v>
      </c>
      <c r="B104">
        <v>1996</v>
      </c>
      <c r="C104" t="s">
        <v>8</v>
      </c>
      <c r="D104" t="s">
        <v>19</v>
      </c>
      <c r="E104">
        <v>19</v>
      </c>
      <c r="F104">
        <v>87</v>
      </c>
      <c r="G104">
        <v>5.2986962640135697</v>
      </c>
      <c r="H104">
        <v>1.1000000000000001</v>
      </c>
      <c r="J104" s="358" t="str">
        <f t="shared" si="12"/>
        <v>2006AllSexMaori191</v>
      </c>
      <c r="K104" s="359">
        <v>2006</v>
      </c>
      <c r="L104" t="s">
        <v>17</v>
      </c>
      <c r="M104" t="s">
        <v>18</v>
      </c>
      <c r="N104">
        <v>19</v>
      </c>
      <c r="O104">
        <v>1</v>
      </c>
      <c r="P104">
        <v>8</v>
      </c>
      <c r="Q104">
        <v>17.005569407786499</v>
      </c>
      <c r="R104">
        <v>11.8</v>
      </c>
      <c r="T104" s="358" t="str">
        <f t="shared" si="14"/>
        <v>1996FemaleAllEth25Submersion (drowning)</v>
      </c>
      <c r="U104" s="360">
        <v>1996</v>
      </c>
      <c r="V104" s="360" t="s">
        <v>8</v>
      </c>
      <c r="W104" s="360" t="s">
        <v>27</v>
      </c>
      <c r="X104" s="360">
        <v>25</v>
      </c>
      <c r="Y104" s="360" t="s">
        <v>49</v>
      </c>
      <c r="Z104" s="360">
        <v>1</v>
      </c>
      <c r="AA104" s="360">
        <v>13</v>
      </c>
      <c r="AB104" s="360">
        <v>7.7</v>
      </c>
      <c r="AD104" s="358" t="str">
        <f t="shared" si="15"/>
        <v>200105AllSexAllEth19Canterbury</v>
      </c>
      <c r="AE104" t="s">
        <v>17</v>
      </c>
      <c r="AF104" t="s">
        <v>27</v>
      </c>
      <c r="AG104">
        <v>19</v>
      </c>
      <c r="AH104">
        <v>18</v>
      </c>
      <c r="AI104" t="s">
        <v>71</v>
      </c>
      <c r="AJ104">
        <v>323</v>
      </c>
      <c r="AK104">
        <v>13.1906994158328</v>
      </c>
      <c r="AL104">
        <v>1.9</v>
      </c>
      <c r="AM104" t="s">
        <v>82</v>
      </c>
      <c r="AN104">
        <v>200105</v>
      </c>
      <c r="AQ104" t="str">
        <f t="shared" si="13"/>
        <v>2007AllSexRural24</v>
      </c>
      <c r="AR104">
        <v>2007</v>
      </c>
      <c r="AS104" t="s">
        <v>17</v>
      </c>
      <c r="AT104" t="s">
        <v>96</v>
      </c>
      <c r="AU104">
        <v>24</v>
      </c>
      <c r="AV104">
        <v>20</v>
      </c>
      <c r="AW104">
        <v>11.5160937410031</v>
      </c>
      <c r="AX104">
        <v>5</v>
      </c>
      <c r="AZ104" t="str">
        <f t="shared" si="16"/>
        <v>2015MaleMaori3</v>
      </c>
      <c r="BA104">
        <v>2015</v>
      </c>
      <c r="BB104" t="s">
        <v>20</v>
      </c>
      <c r="BC104" t="s">
        <v>18</v>
      </c>
      <c r="BD104">
        <v>3</v>
      </c>
      <c r="BE104">
        <v>3</v>
      </c>
      <c r="BF104">
        <v>8.2304526748971192</v>
      </c>
      <c r="BG104" s="83">
        <v>9.3000000000000007</v>
      </c>
      <c r="BH104">
        <v>5</v>
      </c>
      <c r="BI104">
        <v>60</v>
      </c>
      <c r="BS104" t="str">
        <f t="shared" si="17"/>
        <v>AllSexAsian231</v>
      </c>
      <c r="BT104" t="s">
        <v>17</v>
      </c>
      <c r="BU104" t="s">
        <v>78</v>
      </c>
      <c r="BV104">
        <v>23</v>
      </c>
      <c r="BW104">
        <v>1</v>
      </c>
      <c r="BX104">
        <v>2</v>
      </c>
      <c r="BY104">
        <v>1.3598619363080899</v>
      </c>
      <c r="BZ104">
        <v>1.9</v>
      </c>
      <c r="CB104" t="str">
        <f t="shared" si="18"/>
        <v>AllSexOther24Other</v>
      </c>
      <c r="CC104" t="s">
        <v>17</v>
      </c>
      <c r="CD104" t="s">
        <v>45</v>
      </c>
      <c r="CE104" t="s">
        <v>45</v>
      </c>
      <c r="CF104">
        <v>24</v>
      </c>
      <c r="CG104">
        <v>34</v>
      </c>
      <c r="CH104">
        <v>687</v>
      </c>
      <c r="CI104">
        <v>4.9000000000000004</v>
      </c>
      <c r="CL104" t="str">
        <f t="shared" si="19"/>
        <v>2013AllSexNon-Maori9</v>
      </c>
      <c r="CM104">
        <v>2013</v>
      </c>
      <c r="CN104" t="s">
        <v>17</v>
      </c>
      <c r="CO104" t="s">
        <v>19</v>
      </c>
      <c r="CP104">
        <v>9</v>
      </c>
      <c r="CQ104">
        <v>54</v>
      </c>
    </row>
    <row r="105" spans="1:95" x14ac:dyDescent="0.2">
      <c r="A105" t="str">
        <f t="shared" si="11"/>
        <v>1997FemaleNon-Maori19</v>
      </c>
      <c r="B105">
        <v>1997</v>
      </c>
      <c r="C105" t="s">
        <v>8</v>
      </c>
      <c r="D105" t="s">
        <v>19</v>
      </c>
      <c r="E105">
        <v>19</v>
      </c>
      <c r="F105">
        <v>95</v>
      </c>
      <c r="G105">
        <v>5.6892468332060497</v>
      </c>
      <c r="H105">
        <v>1.1000000000000001</v>
      </c>
      <c r="J105" s="358" t="str">
        <f t="shared" si="12"/>
        <v>2006AllSexMaori192</v>
      </c>
      <c r="K105" s="359">
        <v>2006</v>
      </c>
      <c r="L105" t="s">
        <v>17</v>
      </c>
      <c r="M105" t="s">
        <v>18</v>
      </c>
      <c r="N105">
        <v>19</v>
      </c>
      <c r="O105">
        <v>2</v>
      </c>
      <c r="P105">
        <v>7</v>
      </c>
      <c r="Q105">
        <v>10.3413491121837</v>
      </c>
      <c r="R105">
        <v>7.7</v>
      </c>
      <c r="T105" s="358" t="str">
        <f t="shared" si="14"/>
        <v>1996FemaleMaori23Firearms and explosives</v>
      </c>
      <c r="U105" s="360">
        <v>1996</v>
      </c>
      <c r="V105" s="360" t="s">
        <v>8</v>
      </c>
      <c r="W105" s="360" t="s">
        <v>18</v>
      </c>
      <c r="X105" s="360">
        <v>23</v>
      </c>
      <c r="Y105" s="360" t="s">
        <v>42</v>
      </c>
      <c r="Z105" s="360">
        <v>1</v>
      </c>
      <c r="AA105" s="360">
        <v>9</v>
      </c>
      <c r="AB105" s="360">
        <v>11.1</v>
      </c>
      <c r="AD105" s="358" t="str">
        <f t="shared" si="15"/>
        <v>200105AllSexAllEth19South Canterbury</v>
      </c>
      <c r="AE105" t="s">
        <v>17</v>
      </c>
      <c r="AF105" t="s">
        <v>27</v>
      </c>
      <c r="AG105">
        <v>19</v>
      </c>
      <c r="AH105">
        <v>19</v>
      </c>
      <c r="AI105" t="s">
        <v>72</v>
      </c>
      <c r="AJ105">
        <v>31</v>
      </c>
      <c r="AK105">
        <v>11.5882048799751</v>
      </c>
      <c r="AL105">
        <v>5.4</v>
      </c>
      <c r="AM105" t="s">
        <v>82</v>
      </c>
      <c r="AN105">
        <v>200105</v>
      </c>
      <c r="AQ105" t="str">
        <f t="shared" si="13"/>
        <v>2007AllSexUrban24</v>
      </c>
      <c r="AR105">
        <v>2007</v>
      </c>
      <c r="AS105" t="s">
        <v>17</v>
      </c>
      <c r="AT105" t="s">
        <v>97</v>
      </c>
      <c r="AU105">
        <v>24</v>
      </c>
      <c r="AV105">
        <v>120</v>
      </c>
      <c r="AW105">
        <v>14.1096792399586</v>
      </c>
      <c r="AX105">
        <v>2.5</v>
      </c>
      <c r="AZ105" t="str">
        <f t="shared" si="16"/>
        <v>2015MaleMaori4</v>
      </c>
      <c r="BA105">
        <v>2015</v>
      </c>
      <c r="BB105" t="s">
        <v>20</v>
      </c>
      <c r="BC105" t="s">
        <v>18</v>
      </c>
      <c r="BD105">
        <v>4</v>
      </c>
      <c r="BE105">
        <v>8</v>
      </c>
      <c r="BF105">
        <v>22.123893805309699</v>
      </c>
      <c r="BG105" s="83">
        <v>15.3</v>
      </c>
      <c r="BH105">
        <v>32</v>
      </c>
      <c r="BI105">
        <v>25</v>
      </c>
      <c r="BS105" t="str">
        <f t="shared" si="17"/>
        <v>AllSexAsian232</v>
      </c>
      <c r="BT105" t="s">
        <v>17</v>
      </c>
      <c r="BU105" t="s">
        <v>78</v>
      </c>
      <c r="BV105">
        <v>23</v>
      </c>
      <c r="BW105">
        <v>2</v>
      </c>
      <c r="BX105">
        <v>6</v>
      </c>
      <c r="BY105">
        <v>3.1099711669846899</v>
      </c>
      <c r="BZ105">
        <v>2.5</v>
      </c>
      <c r="CB105" t="str">
        <f t="shared" si="18"/>
        <v>AllSexOther25Other</v>
      </c>
      <c r="CC105" t="s">
        <v>17</v>
      </c>
      <c r="CD105" t="s">
        <v>45</v>
      </c>
      <c r="CE105" t="s">
        <v>45</v>
      </c>
      <c r="CF105">
        <v>25</v>
      </c>
      <c r="CG105">
        <v>10</v>
      </c>
      <c r="CH105">
        <v>263</v>
      </c>
      <c r="CI105">
        <v>3.8</v>
      </c>
      <c r="CL105" t="str">
        <f t="shared" si="19"/>
        <v>2013FemaleAllEth9</v>
      </c>
      <c r="CM105">
        <v>2013</v>
      </c>
      <c r="CN105" t="s">
        <v>8</v>
      </c>
      <c r="CO105" t="s">
        <v>27</v>
      </c>
      <c r="CP105">
        <v>9</v>
      </c>
      <c r="CQ105">
        <v>16</v>
      </c>
    </row>
    <row r="106" spans="1:95" x14ac:dyDescent="0.2">
      <c r="A106" t="str">
        <f t="shared" si="11"/>
        <v>1998FemaleNon-Maori19</v>
      </c>
      <c r="B106">
        <v>1998</v>
      </c>
      <c r="C106" t="s">
        <v>8</v>
      </c>
      <c r="D106" t="s">
        <v>19</v>
      </c>
      <c r="E106">
        <v>19</v>
      </c>
      <c r="F106">
        <v>108</v>
      </c>
      <c r="G106">
        <v>6.1878498162513402</v>
      </c>
      <c r="H106">
        <v>1.2</v>
      </c>
      <c r="J106" s="358" t="str">
        <f t="shared" si="12"/>
        <v>2006AllSexMaori193</v>
      </c>
      <c r="K106" s="359">
        <v>2006</v>
      </c>
      <c r="L106" t="s">
        <v>17</v>
      </c>
      <c r="M106" t="s">
        <v>18</v>
      </c>
      <c r="N106">
        <v>19</v>
      </c>
      <c r="O106">
        <v>3</v>
      </c>
      <c r="P106">
        <v>13</v>
      </c>
      <c r="Q106">
        <v>14.744848230571399</v>
      </c>
      <c r="R106">
        <v>8</v>
      </c>
      <c r="T106" s="358" t="str">
        <f t="shared" si="14"/>
        <v>1996FemaleMaori21Hanging, strangulation and suffocation</v>
      </c>
      <c r="U106" s="360">
        <v>1996</v>
      </c>
      <c r="V106" s="360" t="s">
        <v>8</v>
      </c>
      <c r="W106" s="360" t="s">
        <v>18</v>
      </c>
      <c r="X106" s="360">
        <v>21</v>
      </c>
      <c r="Y106" s="360" t="s">
        <v>43</v>
      </c>
      <c r="Z106" s="360">
        <v>2</v>
      </c>
      <c r="AA106" s="360">
        <v>3</v>
      </c>
      <c r="AB106" s="360">
        <v>66.7</v>
      </c>
      <c r="AD106" s="358" t="str">
        <f t="shared" si="15"/>
        <v>200105AllSexAllEth19Southern</v>
      </c>
      <c r="AE106" t="s">
        <v>17</v>
      </c>
      <c r="AF106" t="s">
        <v>27</v>
      </c>
      <c r="AG106">
        <v>19</v>
      </c>
      <c r="AH106">
        <v>20</v>
      </c>
      <c r="AI106" t="s">
        <v>73</v>
      </c>
      <c r="AJ106">
        <v>185</v>
      </c>
      <c r="AK106">
        <v>12.5191542438086</v>
      </c>
      <c r="AL106">
        <v>2.4</v>
      </c>
      <c r="AM106" t="s">
        <v>82</v>
      </c>
      <c r="AN106">
        <v>200105</v>
      </c>
      <c r="AQ106" t="str">
        <f t="shared" si="13"/>
        <v>2007AllSexRural25</v>
      </c>
      <c r="AR106">
        <v>2007</v>
      </c>
      <c r="AS106" t="s">
        <v>17</v>
      </c>
      <c r="AT106" t="s">
        <v>96</v>
      </c>
      <c r="AU106">
        <v>25</v>
      </c>
      <c r="AV106">
        <v>12</v>
      </c>
      <c r="AW106">
        <v>19.132653061224499</v>
      </c>
      <c r="AX106">
        <v>10.8</v>
      </c>
      <c r="AZ106" t="str">
        <f t="shared" si="16"/>
        <v>2015MaleMaori5</v>
      </c>
      <c r="BA106">
        <v>2015</v>
      </c>
      <c r="BB106" t="s">
        <v>20</v>
      </c>
      <c r="BC106" t="s">
        <v>18</v>
      </c>
      <c r="BD106">
        <v>5</v>
      </c>
      <c r="BE106">
        <v>11</v>
      </c>
      <c r="BF106">
        <v>35.795639440286401</v>
      </c>
      <c r="BG106" s="83">
        <v>21.2</v>
      </c>
      <c r="BH106">
        <v>32</v>
      </c>
      <c r="BI106">
        <v>34.4</v>
      </c>
      <c r="BS106" t="str">
        <f t="shared" si="17"/>
        <v>AllSexAsian233</v>
      </c>
      <c r="BT106" t="s">
        <v>17</v>
      </c>
      <c r="BU106" t="s">
        <v>78</v>
      </c>
      <c r="BV106">
        <v>23</v>
      </c>
      <c r="BW106">
        <v>3</v>
      </c>
      <c r="BX106">
        <v>16</v>
      </c>
      <c r="BY106">
        <v>7.6142112762901402</v>
      </c>
      <c r="BZ106">
        <v>3.7</v>
      </c>
      <c r="CB106" t="str">
        <f t="shared" si="18"/>
        <v>AllSexOther22Poisoning by gases and vapours</v>
      </c>
      <c r="CC106" t="s">
        <v>17</v>
      </c>
      <c r="CD106" t="s">
        <v>45</v>
      </c>
      <c r="CE106" t="s">
        <v>46</v>
      </c>
      <c r="CF106">
        <v>22</v>
      </c>
      <c r="CG106">
        <v>14</v>
      </c>
      <c r="CH106">
        <v>277</v>
      </c>
      <c r="CI106">
        <v>5.0999999999999996</v>
      </c>
      <c r="CL106" t="str">
        <f t="shared" si="19"/>
        <v>2013FemaleNon-Maori9</v>
      </c>
      <c r="CM106">
        <v>2013</v>
      </c>
      <c r="CN106" t="s">
        <v>8</v>
      </c>
      <c r="CO106" t="s">
        <v>19</v>
      </c>
      <c r="CP106">
        <v>9</v>
      </c>
      <c r="CQ106">
        <v>16</v>
      </c>
    </row>
    <row r="107" spans="1:95" x14ac:dyDescent="0.2">
      <c r="A107" t="str">
        <f t="shared" si="11"/>
        <v>1999FemaleNon-Maori19</v>
      </c>
      <c r="B107">
        <v>1999</v>
      </c>
      <c r="C107" t="s">
        <v>8</v>
      </c>
      <c r="D107" t="s">
        <v>19</v>
      </c>
      <c r="E107">
        <v>19</v>
      </c>
      <c r="F107">
        <v>112</v>
      </c>
      <c r="G107">
        <v>6.4624543900880198</v>
      </c>
      <c r="H107">
        <v>1.2</v>
      </c>
      <c r="J107" s="358" t="str">
        <f t="shared" si="12"/>
        <v>2006AllSexMaori194</v>
      </c>
      <c r="K107" s="359">
        <v>2006</v>
      </c>
      <c r="L107" t="s">
        <v>17</v>
      </c>
      <c r="M107" t="s">
        <v>18</v>
      </c>
      <c r="N107">
        <v>19</v>
      </c>
      <c r="O107">
        <v>4</v>
      </c>
      <c r="P107">
        <v>24</v>
      </c>
      <c r="Q107">
        <v>16.629745393731099</v>
      </c>
      <c r="R107">
        <v>6.7</v>
      </c>
      <c r="T107" s="358" t="str">
        <f t="shared" si="14"/>
        <v>1996FemaleMaori22Hanging, strangulation and suffocation</v>
      </c>
      <c r="U107" s="360">
        <v>1996</v>
      </c>
      <c r="V107" s="360" t="s">
        <v>8</v>
      </c>
      <c r="W107" s="360" t="s">
        <v>18</v>
      </c>
      <c r="X107" s="360">
        <v>22</v>
      </c>
      <c r="Y107" s="360" t="s">
        <v>43</v>
      </c>
      <c r="Z107" s="360">
        <v>7</v>
      </c>
      <c r="AA107" s="360">
        <v>9</v>
      </c>
      <c r="AB107" s="360">
        <v>77.8</v>
      </c>
      <c r="AD107" s="358" t="str">
        <f t="shared" si="15"/>
        <v>200105AllSexAllEth19Unknown</v>
      </c>
      <c r="AE107" t="s">
        <v>17</v>
      </c>
      <c r="AF107" t="s">
        <v>27</v>
      </c>
      <c r="AG107">
        <v>19</v>
      </c>
      <c r="AH107">
        <v>98</v>
      </c>
      <c r="AI107" t="s">
        <v>75</v>
      </c>
      <c r="AJ107">
        <v>11</v>
      </c>
      <c r="AK107">
        <v>0</v>
      </c>
      <c r="AL107">
        <v>0</v>
      </c>
      <c r="AM107" t="s">
        <v>83</v>
      </c>
      <c r="AN107">
        <v>200105</v>
      </c>
      <c r="AQ107" t="str">
        <f t="shared" si="13"/>
        <v>2007AllSexUrban25</v>
      </c>
      <c r="AR107">
        <v>2007</v>
      </c>
      <c r="AS107" t="s">
        <v>17</v>
      </c>
      <c r="AT107" t="s">
        <v>97</v>
      </c>
      <c r="AU107">
        <v>25</v>
      </c>
      <c r="AV107">
        <v>38</v>
      </c>
      <c r="AW107">
        <v>8.2181708081922196</v>
      </c>
      <c r="AX107">
        <v>2.6</v>
      </c>
      <c r="AZ107" t="str">
        <f t="shared" si="16"/>
        <v>2015MaleMaori6</v>
      </c>
      <c r="BA107">
        <v>2015</v>
      </c>
      <c r="BB107" t="s">
        <v>20</v>
      </c>
      <c r="BC107" t="s">
        <v>18</v>
      </c>
      <c r="BD107">
        <v>6</v>
      </c>
      <c r="BE107">
        <v>14</v>
      </c>
      <c r="BF107">
        <v>61.755624172915702</v>
      </c>
      <c r="BG107" s="83">
        <v>32.299999999999997</v>
      </c>
      <c r="BH107">
        <v>41</v>
      </c>
      <c r="BI107">
        <v>34.1</v>
      </c>
      <c r="BS107" t="str">
        <f t="shared" si="17"/>
        <v>AllSexAsian234</v>
      </c>
      <c r="BT107" t="s">
        <v>17</v>
      </c>
      <c r="BU107" t="s">
        <v>78</v>
      </c>
      <c r="BV107">
        <v>23</v>
      </c>
      <c r="BW107">
        <v>4</v>
      </c>
      <c r="BX107">
        <v>8</v>
      </c>
      <c r="BY107">
        <v>3.6138896764825099</v>
      </c>
      <c r="BZ107">
        <v>2.5</v>
      </c>
      <c r="CB107" t="str">
        <f t="shared" si="18"/>
        <v>AllSexOther23Poisoning by gases and vapours</v>
      </c>
      <c r="CC107" t="s">
        <v>17</v>
      </c>
      <c r="CD107" t="s">
        <v>45</v>
      </c>
      <c r="CE107" t="s">
        <v>46</v>
      </c>
      <c r="CF107">
        <v>23</v>
      </c>
      <c r="CG107">
        <v>74</v>
      </c>
      <c r="CH107">
        <v>560</v>
      </c>
      <c r="CI107">
        <v>13.2</v>
      </c>
      <c r="CL107" t="str">
        <f t="shared" si="19"/>
        <v>2013MaleAllEth9</v>
      </c>
      <c r="CM107">
        <v>2013</v>
      </c>
      <c r="CN107" t="s">
        <v>20</v>
      </c>
      <c r="CO107" t="s">
        <v>27</v>
      </c>
      <c r="CP107">
        <v>9</v>
      </c>
      <c r="CQ107">
        <v>40</v>
      </c>
    </row>
    <row r="108" spans="1:95" x14ac:dyDescent="0.2">
      <c r="A108" t="str">
        <f t="shared" si="11"/>
        <v>2000FemaleNon-Maori19</v>
      </c>
      <c r="B108">
        <v>2000</v>
      </c>
      <c r="C108" t="s">
        <v>8</v>
      </c>
      <c r="D108" t="s">
        <v>19</v>
      </c>
      <c r="E108">
        <v>19</v>
      </c>
      <c r="F108">
        <v>72</v>
      </c>
      <c r="G108">
        <v>4.1381655103116204</v>
      </c>
      <c r="H108">
        <v>1</v>
      </c>
      <c r="J108" s="358" t="str">
        <f t="shared" si="12"/>
        <v>2006AllSexMaori195</v>
      </c>
      <c r="K108" s="359">
        <v>2006</v>
      </c>
      <c r="L108" t="s">
        <v>17</v>
      </c>
      <c r="M108" t="s">
        <v>18</v>
      </c>
      <c r="N108">
        <v>19</v>
      </c>
      <c r="O108">
        <v>5</v>
      </c>
      <c r="P108">
        <v>54</v>
      </c>
      <c r="Q108">
        <v>21.657972259840701</v>
      </c>
      <c r="R108">
        <v>5.8</v>
      </c>
      <c r="T108" s="358" t="str">
        <f t="shared" si="14"/>
        <v>1996FemaleMaori23Hanging, strangulation and suffocation</v>
      </c>
      <c r="U108" s="360">
        <v>1996</v>
      </c>
      <c r="V108" s="360" t="s">
        <v>8</v>
      </c>
      <c r="W108" s="360" t="s">
        <v>18</v>
      </c>
      <c r="X108" s="360">
        <v>23</v>
      </c>
      <c r="Y108" s="360" t="s">
        <v>43</v>
      </c>
      <c r="Z108" s="360">
        <v>4</v>
      </c>
      <c r="AA108" s="360">
        <v>9</v>
      </c>
      <c r="AB108" s="360">
        <v>44.4</v>
      </c>
      <c r="AD108" s="358" t="str">
        <f t="shared" si="15"/>
        <v>200105AllSexAllEth22Auckland</v>
      </c>
      <c r="AE108" t="s">
        <v>17</v>
      </c>
      <c r="AF108" t="s">
        <v>27</v>
      </c>
      <c r="AG108">
        <v>22</v>
      </c>
      <c r="AH108">
        <v>3</v>
      </c>
      <c r="AI108" t="s">
        <v>56</v>
      </c>
      <c r="AJ108">
        <v>37</v>
      </c>
      <c r="AK108">
        <v>11.2554375931616</v>
      </c>
      <c r="AL108">
        <v>4.8</v>
      </c>
      <c r="AM108" t="s">
        <v>83</v>
      </c>
      <c r="AN108">
        <v>200105</v>
      </c>
      <c r="AQ108" t="str">
        <f t="shared" si="13"/>
        <v>2007FemaleRural22</v>
      </c>
      <c r="AR108">
        <v>2007</v>
      </c>
      <c r="AS108" t="s">
        <v>8</v>
      </c>
      <c r="AT108" t="s">
        <v>96</v>
      </c>
      <c r="AU108">
        <v>22</v>
      </c>
      <c r="AV108">
        <v>5</v>
      </c>
      <c r="AW108">
        <v>16.382699868938399</v>
      </c>
      <c r="AX108">
        <v>14.4</v>
      </c>
      <c r="AZ108" t="str">
        <f t="shared" si="16"/>
        <v>2015MaleMaori7</v>
      </c>
      <c r="BA108">
        <v>2015</v>
      </c>
      <c r="BB108" t="s">
        <v>20</v>
      </c>
      <c r="BC108" t="s">
        <v>18</v>
      </c>
      <c r="BD108">
        <v>7</v>
      </c>
      <c r="BE108">
        <v>12</v>
      </c>
      <c r="BF108">
        <v>65.466448445171807</v>
      </c>
      <c r="BG108" s="83">
        <v>37</v>
      </c>
      <c r="BH108">
        <v>44</v>
      </c>
      <c r="BI108">
        <v>27.3</v>
      </c>
      <c r="BS108" t="str">
        <f t="shared" si="17"/>
        <v>AllSexAsian235</v>
      </c>
      <c r="BT108" t="s">
        <v>17</v>
      </c>
      <c r="BU108" t="s">
        <v>78</v>
      </c>
      <c r="BV108">
        <v>23</v>
      </c>
      <c r="BW108">
        <v>5</v>
      </c>
      <c r="BX108">
        <v>9</v>
      </c>
      <c r="BY108">
        <v>5.1717518530658797</v>
      </c>
      <c r="BZ108">
        <v>3.4</v>
      </c>
      <c r="CB108" t="str">
        <f t="shared" si="18"/>
        <v>AllSexOther24Poisoning by gases and vapours</v>
      </c>
      <c r="CC108" t="s">
        <v>17</v>
      </c>
      <c r="CD108" t="s">
        <v>45</v>
      </c>
      <c r="CE108" t="s">
        <v>46</v>
      </c>
      <c r="CF108">
        <v>24</v>
      </c>
      <c r="CG108">
        <v>92</v>
      </c>
      <c r="CH108">
        <v>687</v>
      </c>
      <c r="CI108">
        <v>13.4</v>
      </c>
      <c r="CL108" t="str">
        <f t="shared" si="19"/>
        <v>2013MaleMaori9</v>
      </c>
      <c r="CM108">
        <v>2013</v>
      </c>
      <c r="CN108" t="s">
        <v>20</v>
      </c>
      <c r="CO108" t="s">
        <v>18</v>
      </c>
      <c r="CP108">
        <v>9</v>
      </c>
      <c r="CQ108">
        <v>2</v>
      </c>
    </row>
    <row r="109" spans="1:95" x14ac:dyDescent="0.2">
      <c r="A109" t="str">
        <f t="shared" si="11"/>
        <v>2001FemaleNon-Maori19</v>
      </c>
      <c r="B109">
        <v>2001</v>
      </c>
      <c r="C109" t="s">
        <v>8</v>
      </c>
      <c r="D109" t="s">
        <v>19</v>
      </c>
      <c r="E109">
        <v>19</v>
      </c>
      <c r="F109">
        <v>97</v>
      </c>
      <c r="G109">
        <v>5.3611446727339196</v>
      </c>
      <c r="H109">
        <v>1.1000000000000001</v>
      </c>
      <c r="J109" s="358" t="str">
        <f t="shared" si="12"/>
        <v>2007AllSexMaori191</v>
      </c>
      <c r="K109" s="359">
        <v>2007</v>
      </c>
      <c r="L109" t="s">
        <v>17</v>
      </c>
      <c r="M109" t="s">
        <v>18</v>
      </c>
      <c r="N109">
        <v>19</v>
      </c>
      <c r="O109">
        <v>1</v>
      </c>
      <c r="P109">
        <v>9</v>
      </c>
      <c r="Q109">
        <v>19.531752536884898</v>
      </c>
      <c r="R109">
        <v>12.8</v>
      </c>
      <c r="T109" s="358" t="str">
        <f t="shared" si="14"/>
        <v>1996FemaleMaori24Hanging, strangulation and suffocation</v>
      </c>
      <c r="U109" s="360">
        <v>1996</v>
      </c>
      <c r="V109" s="360" t="s">
        <v>8</v>
      </c>
      <c r="W109" s="360" t="s">
        <v>18</v>
      </c>
      <c r="X109" s="360">
        <v>24</v>
      </c>
      <c r="Y109" s="360" t="s">
        <v>43</v>
      </c>
      <c r="Z109" s="360">
        <v>1</v>
      </c>
      <c r="AA109" s="360">
        <v>3</v>
      </c>
      <c r="AB109" s="360">
        <v>33.299999999999997</v>
      </c>
      <c r="AD109" s="358" t="str">
        <f t="shared" si="15"/>
        <v>200105AllSexAllEth22Bay of Plenty</v>
      </c>
      <c r="AE109" t="s">
        <v>17</v>
      </c>
      <c r="AF109" t="s">
        <v>27</v>
      </c>
      <c r="AG109">
        <v>22</v>
      </c>
      <c r="AH109">
        <v>7</v>
      </c>
      <c r="AI109" t="s">
        <v>60</v>
      </c>
      <c r="AJ109">
        <v>22</v>
      </c>
      <c r="AK109">
        <v>19.727403156384501</v>
      </c>
      <c r="AL109">
        <v>10.8</v>
      </c>
      <c r="AM109" t="s">
        <v>82</v>
      </c>
      <c r="AN109">
        <v>200105</v>
      </c>
      <c r="AQ109" t="str">
        <f t="shared" si="13"/>
        <v>2007FemaleUrban22</v>
      </c>
      <c r="AR109">
        <v>2007</v>
      </c>
      <c r="AS109" t="s">
        <v>8</v>
      </c>
      <c r="AT109" t="s">
        <v>97</v>
      </c>
      <c r="AU109">
        <v>22</v>
      </c>
      <c r="AV109">
        <v>18</v>
      </c>
      <c r="AW109">
        <v>6.6671605304096602</v>
      </c>
      <c r="AX109">
        <v>3.1</v>
      </c>
      <c r="AZ109" t="str">
        <f t="shared" si="16"/>
        <v>2015MaleMaori8</v>
      </c>
      <c r="BA109">
        <v>2015</v>
      </c>
      <c r="BB109" t="s">
        <v>20</v>
      </c>
      <c r="BC109" t="s">
        <v>18</v>
      </c>
      <c r="BD109">
        <v>8</v>
      </c>
      <c r="BE109">
        <v>7</v>
      </c>
      <c r="BF109">
        <v>39.084310441094402</v>
      </c>
      <c r="BG109" s="83">
        <v>29</v>
      </c>
      <c r="BH109">
        <v>31</v>
      </c>
      <c r="BI109">
        <v>22.6</v>
      </c>
      <c r="BS109" t="str">
        <f t="shared" si="17"/>
        <v>AllSexMaori231</v>
      </c>
      <c r="BT109" t="s">
        <v>17</v>
      </c>
      <c r="BU109" t="s">
        <v>18</v>
      </c>
      <c r="BV109">
        <v>23</v>
      </c>
      <c r="BW109">
        <v>1</v>
      </c>
      <c r="BX109">
        <v>11</v>
      </c>
      <c r="BY109">
        <v>14.708415860123999</v>
      </c>
      <c r="BZ109">
        <v>8.6999999999999993</v>
      </c>
      <c r="CB109" t="str">
        <f t="shared" si="18"/>
        <v>AllSexOther25Poisoning by gases and vapours</v>
      </c>
      <c r="CC109" t="s">
        <v>17</v>
      </c>
      <c r="CD109" t="s">
        <v>45</v>
      </c>
      <c r="CE109" t="s">
        <v>46</v>
      </c>
      <c r="CF109">
        <v>25</v>
      </c>
      <c r="CG109">
        <v>18</v>
      </c>
      <c r="CH109">
        <v>263</v>
      </c>
      <c r="CI109">
        <v>6.8</v>
      </c>
      <c r="CL109" t="str">
        <f t="shared" si="19"/>
        <v>2013MaleNon-Maori9</v>
      </c>
      <c r="CM109">
        <v>2013</v>
      </c>
      <c r="CN109" t="s">
        <v>20</v>
      </c>
      <c r="CO109" t="s">
        <v>19</v>
      </c>
      <c r="CP109">
        <v>9</v>
      </c>
      <c r="CQ109">
        <v>38</v>
      </c>
    </row>
    <row r="110" spans="1:95" x14ac:dyDescent="0.2">
      <c r="A110" t="str">
        <f t="shared" si="11"/>
        <v>2002FemaleNon-Maori19</v>
      </c>
      <c r="B110">
        <v>2002</v>
      </c>
      <c r="C110" t="s">
        <v>8</v>
      </c>
      <c r="D110" t="s">
        <v>19</v>
      </c>
      <c r="E110">
        <v>19</v>
      </c>
      <c r="F110">
        <v>94</v>
      </c>
      <c r="G110">
        <v>5.26343516708328</v>
      </c>
      <c r="H110">
        <v>1.1000000000000001</v>
      </c>
      <c r="J110" s="358" t="str">
        <f t="shared" si="12"/>
        <v>2007AllSexMaori192</v>
      </c>
      <c r="K110" s="359">
        <v>2007</v>
      </c>
      <c r="L110" t="s">
        <v>17</v>
      </c>
      <c r="M110" t="s">
        <v>18</v>
      </c>
      <c r="N110">
        <v>19</v>
      </c>
      <c r="O110">
        <v>2</v>
      </c>
      <c r="P110">
        <v>6</v>
      </c>
      <c r="Q110">
        <v>8.1565810584055303</v>
      </c>
      <c r="R110">
        <v>6.5</v>
      </c>
      <c r="T110" s="358" t="str">
        <f t="shared" si="14"/>
        <v>1996FemaleMaori22Poisoning by gases and vapours</v>
      </c>
      <c r="U110" s="360">
        <v>1996</v>
      </c>
      <c r="V110" s="360" t="s">
        <v>8</v>
      </c>
      <c r="W110" s="360" t="s">
        <v>18</v>
      </c>
      <c r="X110" s="360">
        <v>22</v>
      </c>
      <c r="Y110" s="360" t="s">
        <v>46</v>
      </c>
      <c r="Z110" s="360">
        <v>1</v>
      </c>
      <c r="AA110" s="360">
        <v>9</v>
      </c>
      <c r="AB110" s="360">
        <v>11.1</v>
      </c>
      <c r="AD110" s="358" t="str">
        <f t="shared" si="15"/>
        <v>200105AllSexAllEth22Canterbury</v>
      </c>
      <c r="AE110" t="s">
        <v>17</v>
      </c>
      <c r="AF110" t="s">
        <v>27</v>
      </c>
      <c r="AG110">
        <v>22</v>
      </c>
      <c r="AH110">
        <v>18</v>
      </c>
      <c r="AI110" t="s">
        <v>71</v>
      </c>
      <c r="AJ110">
        <v>63</v>
      </c>
      <c r="AK110">
        <v>19.199707433029602</v>
      </c>
      <c r="AL110">
        <v>6.2</v>
      </c>
      <c r="AM110" t="s">
        <v>82</v>
      </c>
      <c r="AN110">
        <v>200105</v>
      </c>
      <c r="AQ110" t="str">
        <f t="shared" si="13"/>
        <v>2007FemaleRural23</v>
      </c>
      <c r="AR110">
        <v>2007</v>
      </c>
      <c r="AS110" t="s">
        <v>8</v>
      </c>
      <c r="AT110" t="s">
        <v>96</v>
      </c>
      <c r="AU110">
        <v>23</v>
      </c>
      <c r="AV110">
        <v>4</v>
      </c>
      <c r="AW110">
        <v>5.1679586563307502</v>
      </c>
      <c r="AX110">
        <v>5.0999999999999996</v>
      </c>
      <c r="AZ110" t="str">
        <f t="shared" si="16"/>
        <v>2015MaleMaori9</v>
      </c>
      <c r="BA110">
        <v>2015</v>
      </c>
      <c r="BB110" t="s">
        <v>20</v>
      </c>
      <c r="BC110" t="s">
        <v>18</v>
      </c>
      <c r="BD110">
        <v>9</v>
      </c>
      <c r="BE110">
        <v>7</v>
      </c>
      <c r="BF110">
        <v>35.934291581108802</v>
      </c>
      <c r="BG110" s="83">
        <v>26.6</v>
      </c>
      <c r="BH110">
        <v>59</v>
      </c>
      <c r="BI110">
        <v>11.9</v>
      </c>
      <c r="BS110" t="str">
        <f t="shared" si="17"/>
        <v>AllSexMaori232</v>
      </c>
      <c r="BT110" t="s">
        <v>17</v>
      </c>
      <c r="BU110" t="s">
        <v>18</v>
      </c>
      <c r="BV110">
        <v>23</v>
      </c>
      <c r="BW110">
        <v>2</v>
      </c>
      <c r="BX110">
        <v>24</v>
      </c>
      <c r="BY110">
        <v>23.132834079308701</v>
      </c>
      <c r="BZ110">
        <v>9.3000000000000007</v>
      </c>
      <c r="CB110" t="str">
        <f t="shared" si="18"/>
        <v>AllSexOther21Poisoning by solids and liquids</v>
      </c>
      <c r="CC110" t="s">
        <v>17</v>
      </c>
      <c r="CD110" t="s">
        <v>45</v>
      </c>
      <c r="CE110" t="s">
        <v>47</v>
      </c>
      <c r="CF110">
        <v>21</v>
      </c>
      <c r="CG110">
        <v>1</v>
      </c>
      <c r="CH110">
        <v>8</v>
      </c>
      <c r="CI110">
        <v>12.5</v>
      </c>
      <c r="CL110" t="str">
        <f t="shared" si="19"/>
        <v>2014AllSexAllEth9</v>
      </c>
      <c r="CM110">
        <v>2014</v>
      </c>
      <c r="CN110" t="s">
        <v>17</v>
      </c>
      <c r="CO110" t="s">
        <v>27</v>
      </c>
      <c r="CP110">
        <v>9</v>
      </c>
      <c r="CQ110">
        <v>38</v>
      </c>
    </row>
    <row r="111" spans="1:95" x14ac:dyDescent="0.2">
      <c r="A111" t="str">
        <f t="shared" si="11"/>
        <v>2003FemaleNon-Maori19</v>
      </c>
      <c r="B111">
        <v>2003</v>
      </c>
      <c r="C111" t="s">
        <v>8</v>
      </c>
      <c r="D111" t="s">
        <v>19</v>
      </c>
      <c r="E111">
        <v>19</v>
      </c>
      <c r="F111">
        <v>122</v>
      </c>
      <c r="G111">
        <v>6.4039999122093398</v>
      </c>
      <c r="H111">
        <v>1.1000000000000001</v>
      </c>
      <c r="J111" s="358" t="str">
        <f t="shared" si="12"/>
        <v>2007AllSexMaori193</v>
      </c>
      <c r="K111" s="359">
        <v>2007</v>
      </c>
      <c r="L111" t="s">
        <v>17</v>
      </c>
      <c r="M111" t="s">
        <v>18</v>
      </c>
      <c r="N111">
        <v>19</v>
      </c>
      <c r="O111">
        <v>3</v>
      </c>
      <c r="P111">
        <v>18</v>
      </c>
      <c r="Q111">
        <v>18.388081375555899</v>
      </c>
      <c r="R111">
        <v>8.5</v>
      </c>
      <c r="T111" s="358" t="str">
        <f t="shared" si="14"/>
        <v>1996FemaleMaori21Poisoning by solids and liquids</v>
      </c>
      <c r="U111" s="360">
        <v>1996</v>
      </c>
      <c r="V111" s="360" t="s">
        <v>8</v>
      </c>
      <c r="W111" s="360" t="s">
        <v>18</v>
      </c>
      <c r="X111" s="360">
        <v>21</v>
      </c>
      <c r="Y111" s="360" t="s">
        <v>47</v>
      </c>
      <c r="Z111" s="360">
        <v>1</v>
      </c>
      <c r="AA111" s="360">
        <v>3</v>
      </c>
      <c r="AB111" s="360">
        <v>33.299999999999997</v>
      </c>
      <c r="AD111" s="358" t="str">
        <f t="shared" si="15"/>
        <v>200105AllSexAllEth22Capital &amp; Coast</v>
      </c>
      <c r="AE111" t="s">
        <v>17</v>
      </c>
      <c r="AF111" t="s">
        <v>27</v>
      </c>
      <c r="AG111">
        <v>22</v>
      </c>
      <c r="AH111">
        <v>13</v>
      </c>
      <c r="AI111" t="s">
        <v>66</v>
      </c>
      <c r="AJ111">
        <v>40</v>
      </c>
      <c r="AK111">
        <v>19.632865416707599</v>
      </c>
      <c r="AL111">
        <v>8</v>
      </c>
      <c r="AM111" t="s">
        <v>82</v>
      </c>
      <c r="AN111">
        <v>200105</v>
      </c>
      <c r="AQ111" t="str">
        <f t="shared" si="13"/>
        <v>2007FemaleUrban23</v>
      </c>
      <c r="AR111">
        <v>2007</v>
      </c>
      <c r="AS111" t="s">
        <v>8</v>
      </c>
      <c r="AT111" t="s">
        <v>97</v>
      </c>
      <c r="AU111">
        <v>23</v>
      </c>
      <c r="AV111">
        <v>44</v>
      </c>
      <c r="AW111">
        <v>8.2418611621024205</v>
      </c>
      <c r="AX111">
        <v>2.4</v>
      </c>
      <c r="AZ111" t="str">
        <f t="shared" si="16"/>
        <v>2015MaleMaori10</v>
      </c>
      <c r="BA111">
        <v>2015</v>
      </c>
      <c r="BB111" t="s">
        <v>20</v>
      </c>
      <c r="BC111" t="s">
        <v>18</v>
      </c>
      <c r="BD111">
        <v>10</v>
      </c>
      <c r="BE111">
        <v>4</v>
      </c>
      <c r="BF111">
        <v>21.367521367521402</v>
      </c>
      <c r="BG111" s="83">
        <v>20.9</v>
      </c>
      <c r="BH111">
        <v>92</v>
      </c>
      <c r="BI111">
        <v>4.3</v>
      </c>
      <c r="BS111" t="str">
        <f t="shared" si="17"/>
        <v>AllSexMaori233</v>
      </c>
      <c r="BT111" t="s">
        <v>17</v>
      </c>
      <c r="BU111" t="s">
        <v>18</v>
      </c>
      <c r="BV111">
        <v>23</v>
      </c>
      <c r="BW111">
        <v>3</v>
      </c>
      <c r="BX111">
        <v>31</v>
      </c>
      <c r="BY111">
        <v>21.466556304874199</v>
      </c>
      <c r="BZ111">
        <v>7.6</v>
      </c>
      <c r="CB111" t="str">
        <f t="shared" si="18"/>
        <v>AllSexOther22Poisoning by solids and liquids</v>
      </c>
      <c r="CC111" t="s">
        <v>17</v>
      </c>
      <c r="CD111" t="s">
        <v>45</v>
      </c>
      <c r="CE111" t="s">
        <v>47</v>
      </c>
      <c r="CF111">
        <v>22</v>
      </c>
      <c r="CG111">
        <v>14</v>
      </c>
      <c r="CH111">
        <v>277</v>
      </c>
      <c r="CI111">
        <v>5.0999999999999996</v>
      </c>
      <c r="CL111" t="str">
        <f t="shared" si="19"/>
        <v>2014AllSexMaori9</v>
      </c>
      <c r="CM111">
        <v>2014</v>
      </c>
      <c r="CN111" t="s">
        <v>17</v>
      </c>
      <c r="CO111" t="s">
        <v>18</v>
      </c>
      <c r="CP111">
        <v>9</v>
      </c>
      <c r="CQ111">
        <v>6</v>
      </c>
    </row>
    <row r="112" spans="1:95" x14ac:dyDescent="0.2">
      <c r="A112" t="str">
        <f t="shared" si="11"/>
        <v>2004FemaleNon-Maori19</v>
      </c>
      <c r="B112">
        <v>2004</v>
      </c>
      <c r="C112" t="s">
        <v>8</v>
      </c>
      <c r="D112" t="s">
        <v>19</v>
      </c>
      <c r="E112">
        <v>19</v>
      </c>
      <c r="F112">
        <v>84</v>
      </c>
      <c r="G112">
        <v>4.5051607691466504</v>
      </c>
      <c r="H112">
        <v>1</v>
      </c>
      <c r="J112" s="358" t="str">
        <f t="shared" si="12"/>
        <v>2007AllSexMaori194</v>
      </c>
      <c r="K112" s="359">
        <v>2007</v>
      </c>
      <c r="L112" t="s">
        <v>17</v>
      </c>
      <c r="M112" t="s">
        <v>18</v>
      </c>
      <c r="N112">
        <v>19</v>
      </c>
      <c r="O112">
        <v>4</v>
      </c>
      <c r="P112">
        <v>16</v>
      </c>
      <c r="Q112">
        <v>11.358463125385599</v>
      </c>
      <c r="R112">
        <v>5.6</v>
      </c>
      <c r="T112" s="358" t="str">
        <f t="shared" si="14"/>
        <v>1996FemaleMaori22Poisoning by solids and liquids</v>
      </c>
      <c r="U112" s="360">
        <v>1996</v>
      </c>
      <c r="V112" s="360" t="s">
        <v>8</v>
      </c>
      <c r="W112" s="360" t="s">
        <v>18</v>
      </c>
      <c r="X112" s="360">
        <v>22</v>
      </c>
      <c r="Y112" s="360" t="s">
        <v>47</v>
      </c>
      <c r="Z112" s="360">
        <v>1</v>
      </c>
      <c r="AA112" s="360">
        <v>9</v>
      </c>
      <c r="AB112" s="360">
        <v>11.1</v>
      </c>
      <c r="AD112" s="358" t="str">
        <f t="shared" si="15"/>
        <v>200105AllSexAllEth22Counties Manukau</v>
      </c>
      <c r="AE112" t="s">
        <v>17</v>
      </c>
      <c r="AF112" t="s">
        <v>27</v>
      </c>
      <c r="AG112">
        <v>22</v>
      </c>
      <c r="AH112">
        <v>4</v>
      </c>
      <c r="AI112" t="s">
        <v>57</v>
      </c>
      <c r="AJ112">
        <v>71</v>
      </c>
      <c r="AK112">
        <v>22.622992607698201</v>
      </c>
      <c r="AL112">
        <v>6.9</v>
      </c>
      <c r="AM112" t="s">
        <v>82</v>
      </c>
      <c r="AN112">
        <v>200105</v>
      </c>
      <c r="AQ112" t="str">
        <f t="shared" si="13"/>
        <v>2007FemaleRural24</v>
      </c>
      <c r="AR112">
        <v>2007</v>
      </c>
      <c r="AS112" t="s">
        <v>8</v>
      </c>
      <c r="AT112" t="s">
        <v>96</v>
      </c>
      <c r="AU112">
        <v>24</v>
      </c>
      <c r="AV112">
        <v>6</v>
      </c>
      <c r="AW112">
        <v>7.1437075842362203</v>
      </c>
      <c r="AX112">
        <v>5.7</v>
      </c>
      <c r="AZ112" t="str">
        <f t="shared" si="16"/>
        <v>2015MaleMaori11</v>
      </c>
      <c r="BA112">
        <v>2015</v>
      </c>
      <c r="BB112" t="s">
        <v>20</v>
      </c>
      <c r="BC112" t="s">
        <v>18</v>
      </c>
      <c r="BD112">
        <v>11</v>
      </c>
      <c r="BE112">
        <v>4</v>
      </c>
      <c r="BF112">
        <v>22.148394241417499</v>
      </c>
      <c r="BG112" s="83">
        <v>21.7</v>
      </c>
      <c r="BH112">
        <v>137</v>
      </c>
      <c r="BI112">
        <v>2.9</v>
      </c>
      <c r="BS112" t="str">
        <f t="shared" si="17"/>
        <v>AllSexMaori234</v>
      </c>
      <c r="BT112" t="s">
        <v>17</v>
      </c>
      <c r="BU112" t="s">
        <v>18</v>
      </c>
      <c r="BV112">
        <v>23</v>
      </c>
      <c r="BW112">
        <v>4</v>
      </c>
      <c r="BX112">
        <v>56</v>
      </c>
      <c r="BY112">
        <v>28.099081472152701</v>
      </c>
      <c r="BZ112">
        <v>7.4</v>
      </c>
      <c r="CB112" t="str">
        <f t="shared" si="18"/>
        <v>AllSexOther23Poisoning by solids and liquids</v>
      </c>
      <c r="CC112" t="s">
        <v>17</v>
      </c>
      <c r="CD112" t="s">
        <v>45</v>
      </c>
      <c r="CE112" t="s">
        <v>47</v>
      </c>
      <c r="CF112">
        <v>23</v>
      </c>
      <c r="CG112">
        <v>67</v>
      </c>
      <c r="CH112">
        <v>560</v>
      </c>
      <c r="CI112">
        <v>12</v>
      </c>
      <c r="CL112" t="str">
        <f t="shared" si="19"/>
        <v>2014AllSexNon-Maori9</v>
      </c>
      <c r="CM112">
        <v>2014</v>
      </c>
      <c r="CN112" t="s">
        <v>17</v>
      </c>
      <c r="CO112" t="s">
        <v>19</v>
      </c>
      <c r="CP112">
        <v>9</v>
      </c>
      <c r="CQ112">
        <v>32</v>
      </c>
    </row>
    <row r="113" spans="1:95" x14ac:dyDescent="0.2">
      <c r="A113" t="str">
        <f t="shared" si="11"/>
        <v>2005FemaleNon-Maori19</v>
      </c>
      <c r="B113">
        <v>2005</v>
      </c>
      <c r="C113" t="s">
        <v>8</v>
      </c>
      <c r="D113" t="s">
        <v>19</v>
      </c>
      <c r="E113">
        <v>19</v>
      </c>
      <c r="F113">
        <v>105</v>
      </c>
      <c r="G113">
        <v>5.2590011370533496</v>
      </c>
      <c r="H113">
        <v>1</v>
      </c>
      <c r="J113" s="358" t="str">
        <f t="shared" si="12"/>
        <v>2007AllSexMaori195</v>
      </c>
      <c r="K113" s="359">
        <v>2007</v>
      </c>
      <c r="L113" t="s">
        <v>17</v>
      </c>
      <c r="M113" t="s">
        <v>18</v>
      </c>
      <c r="N113">
        <v>19</v>
      </c>
      <c r="O113">
        <v>5</v>
      </c>
      <c r="P113">
        <v>47</v>
      </c>
      <c r="Q113">
        <v>19.169053604398101</v>
      </c>
      <c r="R113">
        <v>5.5</v>
      </c>
      <c r="T113" s="358" t="str">
        <f t="shared" si="14"/>
        <v>1996FemaleMaori23Poisoning by solids and liquids</v>
      </c>
      <c r="U113" s="360">
        <v>1996</v>
      </c>
      <c r="V113" s="360" t="s">
        <v>8</v>
      </c>
      <c r="W113" s="360" t="s">
        <v>18</v>
      </c>
      <c r="X113" s="360">
        <v>23</v>
      </c>
      <c r="Y113" s="360" t="s">
        <v>47</v>
      </c>
      <c r="Z113" s="360">
        <v>4</v>
      </c>
      <c r="AA113" s="360">
        <v>9</v>
      </c>
      <c r="AB113" s="360">
        <v>44.4</v>
      </c>
      <c r="AD113" s="358" t="str">
        <f t="shared" si="15"/>
        <v>200105AllSexAllEth22Hawke's Bay</v>
      </c>
      <c r="AE113" t="s">
        <v>17</v>
      </c>
      <c r="AF113" t="s">
        <v>27</v>
      </c>
      <c r="AG113">
        <v>22</v>
      </c>
      <c r="AH113">
        <v>9</v>
      </c>
      <c r="AI113" t="s">
        <v>62</v>
      </c>
      <c r="AJ113">
        <v>27</v>
      </c>
      <c r="AK113">
        <v>28.9048281768547</v>
      </c>
      <c r="AL113">
        <v>14.3</v>
      </c>
      <c r="AM113" t="s">
        <v>82</v>
      </c>
      <c r="AN113">
        <v>200105</v>
      </c>
      <c r="AQ113" t="str">
        <f t="shared" si="13"/>
        <v>2007FemaleUrban24</v>
      </c>
      <c r="AR113">
        <v>2007</v>
      </c>
      <c r="AS113" t="s">
        <v>8</v>
      </c>
      <c r="AT113" t="s">
        <v>97</v>
      </c>
      <c r="AU113">
        <v>24</v>
      </c>
      <c r="AV113">
        <v>34</v>
      </c>
      <c r="AW113">
        <v>7.7724945135332799</v>
      </c>
      <c r="AX113">
        <v>2.6</v>
      </c>
      <c r="AZ113" t="str">
        <f t="shared" si="16"/>
        <v>2015MaleMaori12</v>
      </c>
      <c r="BA113">
        <v>2015</v>
      </c>
      <c r="BB113" t="s">
        <v>20</v>
      </c>
      <c r="BC113" t="s">
        <v>18</v>
      </c>
      <c r="BD113">
        <v>12</v>
      </c>
      <c r="BE113">
        <v>3</v>
      </c>
      <c r="BF113">
        <v>20.3665987780041</v>
      </c>
      <c r="BG113" s="83">
        <v>23</v>
      </c>
      <c r="BH113">
        <v>180</v>
      </c>
      <c r="BI113">
        <v>1.7</v>
      </c>
      <c r="BS113" t="str">
        <f t="shared" si="17"/>
        <v>AllSexMaori235</v>
      </c>
      <c r="BT113" t="s">
        <v>17</v>
      </c>
      <c r="BU113" t="s">
        <v>18</v>
      </c>
      <c r="BV113">
        <v>23</v>
      </c>
      <c r="BW113">
        <v>5</v>
      </c>
      <c r="BX113">
        <v>107</v>
      </c>
      <c r="BY113">
        <v>33.171723694847401</v>
      </c>
      <c r="BZ113">
        <v>6.3</v>
      </c>
      <c r="CB113" t="str">
        <f t="shared" si="18"/>
        <v>AllSexOther24Poisoning by solids and liquids</v>
      </c>
      <c r="CC113" t="s">
        <v>17</v>
      </c>
      <c r="CD113" t="s">
        <v>45</v>
      </c>
      <c r="CE113" t="s">
        <v>47</v>
      </c>
      <c r="CF113">
        <v>24</v>
      </c>
      <c r="CG113">
        <v>126</v>
      </c>
      <c r="CH113">
        <v>687</v>
      </c>
      <c r="CI113">
        <v>18.3</v>
      </c>
      <c r="CL113" t="str">
        <f t="shared" si="19"/>
        <v>2014FemaleAllEth9</v>
      </c>
      <c r="CM113">
        <v>2014</v>
      </c>
      <c r="CN113" t="s">
        <v>8</v>
      </c>
      <c r="CO113" t="s">
        <v>27</v>
      </c>
      <c r="CP113">
        <v>9</v>
      </c>
      <c r="CQ113">
        <v>8</v>
      </c>
    </row>
    <row r="114" spans="1:95" x14ac:dyDescent="0.2">
      <c r="A114" t="str">
        <f t="shared" si="11"/>
        <v>2006FemaleNon-Maori19</v>
      </c>
      <c r="B114">
        <v>2006</v>
      </c>
      <c r="C114" t="s">
        <v>8</v>
      </c>
      <c r="D114" t="s">
        <v>19</v>
      </c>
      <c r="E114">
        <v>19</v>
      </c>
      <c r="F114">
        <v>104</v>
      </c>
      <c r="G114">
        <v>5.2009651380039701</v>
      </c>
      <c r="H114">
        <v>1</v>
      </c>
      <c r="J114" s="358" t="str">
        <f t="shared" si="12"/>
        <v>2008AllSexMaori191</v>
      </c>
      <c r="K114" s="359">
        <v>2008</v>
      </c>
      <c r="L114" t="s">
        <v>17</v>
      </c>
      <c r="M114" t="s">
        <v>18</v>
      </c>
      <c r="N114">
        <v>19</v>
      </c>
      <c r="O114">
        <v>1</v>
      </c>
      <c r="P114">
        <v>3</v>
      </c>
      <c r="Q114">
        <v>6.2774543550903399</v>
      </c>
      <c r="R114">
        <v>7.1</v>
      </c>
      <c r="T114" s="358" t="str">
        <f t="shared" si="14"/>
        <v>1996FemaleMaori24Poisoning by solids and liquids</v>
      </c>
      <c r="U114" s="360">
        <v>1996</v>
      </c>
      <c r="V114" s="360" t="s">
        <v>8</v>
      </c>
      <c r="W114" s="360" t="s">
        <v>18</v>
      </c>
      <c r="X114" s="360">
        <v>24</v>
      </c>
      <c r="Y114" s="360" t="s">
        <v>47</v>
      </c>
      <c r="Z114" s="360">
        <v>1</v>
      </c>
      <c r="AA114" s="360">
        <v>3</v>
      </c>
      <c r="AB114" s="360">
        <v>33.299999999999997</v>
      </c>
      <c r="AD114" s="358" t="str">
        <f t="shared" si="15"/>
        <v>200105AllSexAllEth22Hutt Valley</v>
      </c>
      <c r="AE114" t="s">
        <v>17</v>
      </c>
      <c r="AF114" t="s">
        <v>27</v>
      </c>
      <c r="AG114">
        <v>22</v>
      </c>
      <c r="AH114">
        <v>14</v>
      </c>
      <c r="AI114" t="s">
        <v>67</v>
      </c>
      <c r="AJ114">
        <v>20</v>
      </c>
      <c r="AK114">
        <v>21.296986476413601</v>
      </c>
      <c r="AL114">
        <v>12.3</v>
      </c>
      <c r="AM114" t="s">
        <v>82</v>
      </c>
      <c r="AN114">
        <v>200105</v>
      </c>
      <c r="AQ114" t="str">
        <f t="shared" si="13"/>
        <v>2007FemaleRural25</v>
      </c>
      <c r="AR114">
        <v>2007</v>
      </c>
      <c r="AS114" t="s">
        <v>8</v>
      </c>
      <c r="AT114" t="s">
        <v>96</v>
      </c>
      <c r="AU114">
        <v>25</v>
      </c>
      <c r="AV114">
        <v>0</v>
      </c>
      <c r="AW114">
        <v>0</v>
      </c>
      <c r="AZ114" t="str">
        <f t="shared" si="16"/>
        <v>2015MaleMaori13</v>
      </c>
      <c r="BA114">
        <v>2015</v>
      </c>
      <c r="BB114" t="s">
        <v>20</v>
      </c>
      <c r="BC114" t="s">
        <v>18</v>
      </c>
      <c r="BD114">
        <v>13</v>
      </c>
      <c r="BE114">
        <v>4</v>
      </c>
      <c r="BF114">
        <v>36.363636363636402</v>
      </c>
      <c r="BG114" s="83">
        <v>35.6</v>
      </c>
      <c r="BH114">
        <v>202</v>
      </c>
      <c r="BI114">
        <v>2</v>
      </c>
      <c r="BS114" t="str">
        <f t="shared" si="17"/>
        <v>AllSexOther231</v>
      </c>
      <c r="BT114" t="s">
        <v>17</v>
      </c>
      <c r="BU114" t="s">
        <v>45</v>
      </c>
      <c r="BV114">
        <v>23</v>
      </c>
      <c r="BW114">
        <v>1</v>
      </c>
      <c r="BX114">
        <v>88</v>
      </c>
      <c r="BY114">
        <v>10.2918729980764</v>
      </c>
      <c r="BZ114">
        <v>2.2000000000000002</v>
      </c>
      <c r="CB114" t="str">
        <f t="shared" si="18"/>
        <v>AllSexOther25Poisoning by solids and liquids</v>
      </c>
      <c r="CC114" t="s">
        <v>17</v>
      </c>
      <c r="CD114" t="s">
        <v>45</v>
      </c>
      <c r="CE114" t="s">
        <v>47</v>
      </c>
      <c r="CF114">
        <v>25</v>
      </c>
      <c r="CG114">
        <v>58</v>
      </c>
      <c r="CH114">
        <v>263</v>
      </c>
      <c r="CI114">
        <v>22.1</v>
      </c>
      <c r="CL114" t="str">
        <f t="shared" si="19"/>
        <v>2014FemaleMaori9</v>
      </c>
      <c r="CM114">
        <v>2014</v>
      </c>
      <c r="CN114" t="s">
        <v>8</v>
      </c>
      <c r="CO114" t="s">
        <v>18</v>
      </c>
      <c r="CP114">
        <v>9</v>
      </c>
      <c r="CQ114">
        <v>4</v>
      </c>
    </row>
    <row r="115" spans="1:95" x14ac:dyDescent="0.2">
      <c r="A115" t="str">
        <f t="shared" si="11"/>
        <v>2007FemaleNon-Maori19</v>
      </c>
      <c r="B115">
        <v>2007</v>
      </c>
      <c r="C115" t="s">
        <v>8</v>
      </c>
      <c r="D115" t="s">
        <v>19</v>
      </c>
      <c r="E115">
        <v>19</v>
      </c>
      <c r="F115">
        <v>97</v>
      </c>
      <c r="G115">
        <v>4.6012421251756503</v>
      </c>
      <c r="H115">
        <v>0.9</v>
      </c>
      <c r="J115" s="358" t="str">
        <f t="shared" si="12"/>
        <v>2008AllSexMaori192</v>
      </c>
      <c r="K115" s="359">
        <v>2008</v>
      </c>
      <c r="L115" t="s">
        <v>17</v>
      </c>
      <c r="M115" t="s">
        <v>18</v>
      </c>
      <c r="N115">
        <v>19</v>
      </c>
      <c r="O115">
        <v>2</v>
      </c>
      <c r="P115">
        <v>7</v>
      </c>
      <c r="Q115">
        <v>9.4013724061805295</v>
      </c>
      <c r="R115">
        <v>7</v>
      </c>
      <c r="T115" s="358" t="str">
        <f t="shared" si="14"/>
        <v>1996FemaleMaori24Sharp object</v>
      </c>
      <c r="U115" s="360">
        <v>1996</v>
      </c>
      <c r="V115" s="360" t="s">
        <v>8</v>
      </c>
      <c r="W115" s="360" t="s">
        <v>18</v>
      </c>
      <c r="X115" s="360">
        <v>24</v>
      </c>
      <c r="Y115" s="360" t="s">
        <v>48</v>
      </c>
      <c r="Z115" s="360">
        <v>1</v>
      </c>
      <c r="AA115" s="360">
        <v>3</v>
      </c>
      <c r="AB115" s="360">
        <v>33.299999999999997</v>
      </c>
      <c r="AD115" s="358" t="str">
        <f t="shared" si="15"/>
        <v>200105AllSexAllEth22Lakes</v>
      </c>
      <c r="AE115" t="s">
        <v>17</v>
      </c>
      <c r="AF115" t="s">
        <v>27</v>
      </c>
      <c r="AG115">
        <v>22</v>
      </c>
      <c r="AH115">
        <v>6</v>
      </c>
      <c r="AI115" t="s">
        <v>59</v>
      </c>
      <c r="AJ115">
        <v>12</v>
      </c>
      <c r="AK115">
        <v>18.140589569161001</v>
      </c>
      <c r="AL115">
        <v>13.5</v>
      </c>
      <c r="AM115" t="s">
        <v>82</v>
      </c>
      <c r="AN115">
        <v>200105</v>
      </c>
      <c r="AQ115" t="str">
        <f t="shared" si="13"/>
        <v>2007FemaleUrban25</v>
      </c>
      <c r="AR115">
        <v>2007</v>
      </c>
      <c r="AS115" t="s">
        <v>8</v>
      </c>
      <c r="AT115" t="s">
        <v>97</v>
      </c>
      <c r="AU115">
        <v>25</v>
      </c>
      <c r="AV115">
        <v>8</v>
      </c>
      <c r="AW115">
        <v>3.0790547301978299</v>
      </c>
      <c r="AX115">
        <v>2.1</v>
      </c>
      <c r="AZ115" t="str">
        <f t="shared" si="16"/>
        <v>2015MaleNon-Maori3</v>
      </c>
      <c r="BA115">
        <v>2015</v>
      </c>
      <c r="BB115" t="s">
        <v>20</v>
      </c>
      <c r="BC115" t="s">
        <v>19</v>
      </c>
      <c r="BD115">
        <v>3</v>
      </c>
      <c r="BE115">
        <v>3</v>
      </c>
      <c r="BF115">
        <v>2.63736263736264</v>
      </c>
      <c r="BG115" s="83">
        <v>3</v>
      </c>
      <c r="BH115">
        <v>17</v>
      </c>
      <c r="BI115">
        <v>17.600000000000001</v>
      </c>
      <c r="BS115" t="str">
        <f t="shared" si="17"/>
        <v>AllSexOther232</v>
      </c>
      <c r="BT115" t="s">
        <v>17</v>
      </c>
      <c r="BU115" t="s">
        <v>45</v>
      </c>
      <c r="BV115">
        <v>23</v>
      </c>
      <c r="BW115">
        <v>2</v>
      </c>
      <c r="BX115">
        <v>95</v>
      </c>
      <c r="BY115">
        <v>11.0868348363995</v>
      </c>
      <c r="BZ115">
        <v>2.2000000000000002</v>
      </c>
      <c r="CB115" t="str">
        <f t="shared" si="18"/>
        <v>AllSexOther22Sharp object</v>
      </c>
      <c r="CC115" t="s">
        <v>17</v>
      </c>
      <c r="CD115" t="s">
        <v>45</v>
      </c>
      <c r="CE115" t="s">
        <v>48</v>
      </c>
      <c r="CF115">
        <v>22</v>
      </c>
      <c r="CG115">
        <v>2</v>
      </c>
      <c r="CH115">
        <v>277</v>
      </c>
      <c r="CI115">
        <v>0.7</v>
      </c>
      <c r="CL115" t="str">
        <f t="shared" si="19"/>
        <v>2014FemaleNon-Maori9</v>
      </c>
      <c r="CM115">
        <v>2014</v>
      </c>
      <c r="CN115" t="s">
        <v>8</v>
      </c>
      <c r="CO115" t="s">
        <v>19</v>
      </c>
      <c r="CP115">
        <v>9</v>
      </c>
      <c r="CQ115">
        <v>4</v>
      </c>
    </row>
    <row r="116" spans="1:95" x14ac:dyDescent="0.2">
      <c r="A116" t="str">
        <f t="shared" si="11"/>
        <v>2008FemaleNon-Maori19</v>
      </c>
      <c r="B116">
        <v>2008</v>
      </c>
      <c r="C116" t="s">
        <v>8</v>
      </c>
      <c r="D116" t="s">
        <v>19</v>
      </c>
      <c r="E116">
        <v>19</v>
      </c>
      <c r="F116">
        <v>108</v>
      </c>
      <c r="G116">
        <v>5.4589151940525902</v>
      </c>
      <c r="H116">
        <v>1</v>
      </c>
      <c r="J116" s="358" t="str">
        <f t="shared" si="12"/>
        <v>2008AllSexMaori193</v>
      </c>
      <c r="K116" s="359">
        <v>2008</v>
      </c>
      <c r="L116" t="s">
        <v>17</v>
      </c>
      <c r="M116" t="s">
        <v>18</v>
      </c>
      <c r="N116">
        <v>19</v>
      </c>
      <c r="O116">
        <v>3</v>
      </c>
      <c r="P116">
        <v>15</v>
      </c>
      <c r="Q116">
        <v>15.677335095772801</v>
      </c>
      <c r="R116">
        <v>7.9</v>
      </c>
      <c r="T116" s="358" t="str">
        <f t="shared" si="14"/>
        <v>1996FemaleNon-Maori21Hanging, strangulation and suffocation</v>
      </c>
      <c r="U116" s="360">
        <v>1996</v>
      </c>
      <c r="V116" s="360" t="s">
        <v>8</v>
      </c>
      <c r="W116" s="360" t="s">
        <v>19</v>
      </c>
      <c r="X116" s="360">
        <v>21</v>
      </c>
      <c r="Y116" s="360" t="s">
        <v>43</v>
      </c>
      <c r="Z116" s="360">
        <v>1</v>
      </c>
      <c r="AA116" s="360">
        <v>1</v>
      </c>
      <c r="AB116" s="360">
        <v>100</v>
      </c>
      <c r="AD116" s="358" t="str">
        <f t="shared" si="15"/>
        <v>200105AllSexAllEth22MidCentral</v>
      </c>
      <c r="AE116" t="s">
        <v>17</v>
      </c>
      <c r="AF116" t="s">
        <v>27</v>
      </c>
      <c r="AG116">
        <v>22</v>
      </c>
      <c r="AH116">
        <v>11</v>
      </c>
      <c r="AI116" t="s">
        <v>64</v>
      </c>
      <c r="AJ116">
        <v>22</v>
      </c>
      <c r="AK116">
        <v>17.6806236438158</v>
      </c>
      <c r="AL116">
        <v>9.6999999999999993</v>
      </c>
      <c r="AM116" t="s">
        <v>82</v>
      </c>
      <c r="AN116">
        <v>200105</v>
      </c>
      <c r="AQ116" t="str">
        <f t="shared" si="13"/>
        <v>2007MaleRural22</v>
      </c>
      <c r="AR116">
        <v>2007</v>
      </c>
      <c r="AS116" t="s">
        <v>20</v>
      </c>
      <c r="AT116" t="s">
        <v>96</v>
      </c>
      <c r="AU116">
        <v>22</v>
      </c>
      <c r="AV116">
        <v>11</v>
      </c>
      <c r="AW116">
        <v>31.108597285067901</v>
      </c>
      <c r="AX116">
        <v>18.399999999999999</v>
      </c>
      <c r="AZ116" t="str">
        <f t="shared" si="16"/>
        <v>2015MaleNon-Maori4</v>
      </c>
      <c r="BA116">
        <v>2015</v>
      </c>
      <c r="BB116" t="s">
        <v>20</v>
      </c>
      <c r="BC116" t="s">
        <v>19</v>
      </c>
      <c r="BD116">
        <v>4</v>
      </c>
      <c r="BE116">
        <v>24</v>
      </c>
      <c r="BF116">
        <v>18.8397833424916</v>
      </c>
      <c r="BG116" s="83">
        <v>7.5</v>
      </c>
      <c r="BH116">
        <v>67</v>
      </c>
      <c r="BI116">
        <v>35.799999999999997</v>
      </c>
      <c r="BS116" t="str">
        <f t="shared" si="17"/>
        <v>AllSexOther233</v>
      </c>
      <c r="BT116" t="s">
        <v>17</v>
      </c>
      <c r="BU116" t="s">
        <v>45</v>
      </c>
      <c r="BV116">
        <v>23</v>
      </c>
      <c r="BW116">
        <v>3</v>
      </c>
      <c r="BX116">
        <v>108</v>
      </c>
      <c r="BY116">
        <v>13.404750950238901</v>
      </c>
      <c r="BZ116">
        <v>2.5</v>
      </c>
      <c r="CB116" t="str">
        <f t="shared" si="18"/>
        <v>AllSexOther23Sharp object</v>
      </c>
      <c r="CC116" t="s">
        <v>17</v>
      </c>
      <c r="CD116" t="s">
        <v>45</v>
      </c>
      <c r="CE116" t="s">
        <v>48</v>
      </c>
      <c r="CF116">
        <v>23</v>
      </c>
      <c r="CG116">
        <v>11</v>
      </c>
      <c r="CH116">
        <v>560</v>
      </c>
      <c r="CI116">
        <v>2</v>
      </c>
      <c r="CL116" t="str">
        <f t="shared" si="19"/>
        <v>2014MaleAllEth9</v>
      </c>
      <c r="CM116">
        <v>2014</v>
      </c>
      <c r="CN116" t="s">
        <v>20</v>
      </c>
      <c r="CO116" t="s">
        <v>27</v>
      </c>
      <c r="CP116">
        <v>9</v>
      </c>
      <c r="CQ116">
        <v>30</v>
      </c>
    </row>
    <row r="117" spans="1:95" x14ac:dyDescent="0.2">
      <c r="A117" t="str">
        <f t="shared" si="11"/>
        <v>2009FemaleNon-Maori19</v>
      </c>
      <c r="B117">
        <v>2009</v>
      </c>
      <c r="C117" t="s">
        <v>8</v>
      </c>
      <c r="D117" t="s">
        <v>19</v>
      </c>
      <c r="E117">
        <v>19</v>
      </c>
      <c r="F117">
        <v>93</v>
      </c>
      <c r="G117">
        <v>4.4437437379171101</v>
      </c>
      <c r="H117">
        <v>0.9</v>
      </c>
      <c r="J117" s="358" t="str">
        <f t="shared" si="12"/>
        <v>2008AllSexMaori194</v>
      </c>
      <c r="K117" s="359">
        <v>2008</v>
      </c>
      <c r="L117" t="s">
        <v>17</v>
      </c>
      <c r="M117" t="s">
        <v>18</v>
      </c>
      <c r="N117">
        <v>19</v>
      </c>
      <c r="O117">
        <v>4</v>
      </c>
      <c r="P117">
        <v>20</v>
      </c>
      <c r="Q117">
        <v>13.3027935406478</v>
      </c>
      <c r="R117">
        <v>5.8</v>
      </c>
      <c r="T117" s="358" t="str">
        <f t="shared" si="14"/>
        <v>1996FemaleNon-Maori22Hanging, strangulation and suffocation</v>
      </c>
      <c r="U117" s="360">
        <v>1996</v>
      </c>
      <c r="V117" s="360" t="s">
        <v>8</v>
      </c>
      <c r="W117" s="360" t="s">
        <v>19</v>
      </c>
      <c r="X117" s="360">
        <v>22</v>
      </c>
      <c r="Y117" s="360" t="s">
        <v>43</v>
      </c>
      <c r="Z117" s="360">
        <v>10</v>
      </c>
      <c r="AA117" s="360">
        <v>29</v>
      </c>
      <c r="AB117" s="360">
        <v>34.5</v>
      </c>
      <c r="AD117" s="358" t="str">
        <f t="shared" si="15"/>
        <v>200105AllSexAllEth22Nelson Marlborough</v>
      </c>
      <c r="AE117" t="s">
        <v>17</v>
      </c>
      <c r="AF117" t="s">
        <v>27</v>
      </c>
      <c r="AG117">
        <v>22</v>
      </c>
      <c r="AH117">
        <v>16</v>
      </c>
      <c r="AI117" t="s">
        <v>69</v>
      </c>
      <c r="AJ117">
        <v>15</v>
      </c>
      <c r="AK117">
        <v>20.115327879844401</v>
      </c>
      <c r="AL117">
        <v>13.4</v>
      </c>
      <c r="AM117" t="s">
        <v>82</v>
      </c>
      <c r="AN117">
        <v>200105</v>
      </c>
      <c r="AQ117" t="str">
        <f t="shared" si="13"/>
        <v>2007MaleUrban22</v>
      </c>
      <c r="AR117">
        <v>2007</v>
      </c>
      <c r="AS117" t="s">
        <v>20</v>
      </c>
      <c r="AT117" t="s">
        <v>97</v>
      </c>
      <c r="AU117">
        <v>22</v>
      </c>
      <c r="AV117">
        <v>59</v>
      </c>
      <c r="AW117">
        <v>21.889956591103001</v>
      </c>
      <c r="AX117">
        <v>5.6</v>
      </c>
      <c r="AZ117" t="str">
        <f t="shared" si="16"/>
        <v>2015MaleNon-Maori5</v>
      </c>
      <c r="BA117">
        <v>2015</v>
      </c>
      <c r="BB117" t="s">
        <v>20</v>
      </c>
      <c r="BC117" t="s">
        <v>19</v>
      </c>
      <c r="BD117">
        <v>5</v>
      </c>
      <c r="BE117">
        <v>26</v>
      </c>
      <c r="BF117">
        <v>17.9260893546608</v>
      </c>
      <c r="BG117" s="83">
        <v>6.9</v>
      </c>
      <c r="BH117">
        <v>106</v>
      </c>
      <c r="BI117">
        <v>24.5</v>
      </c>
      <c r="BS117" t="str">
        <f t="shared" si="17"/>
        <v>AllSexOther234</v>
      </c>
      <c r="BT117" t="s">
        <v>17</v>
      </c>
      <c r="BU117" t="s">
        <v>45</v>
      </c>
      <c r="BV117">
        <v>23</v>
      </c>
      <c r="BW117">
        <v>4</v>
      </c>
      <c r="BX117">
        <v>127</v>
      </c>
      <c r="BY117">
        <v>18.664598160702301</v>
      </c>
      <c r="BZ117">
        <v>3.2</v>
      </c>
      <c r="CB117" t="str">
        <f t="shared" si="18"/>
        <v>AllSexOther24Sharp object</v>
      </c>
      <c r="CC117" t="s">
        <v>17</v>
      </c>
      <c r="CD117" t="s">
        <v>45</v>
      </c>
      <c r="CE117" t="s">
        <v>48</v>
      </c>
      <c r="CF117">
        <v>24</v>
      </c>
      <c r="CG117">
        <v>18</v>
      </c>
      <c r="CH117">
        <v>687</v>
      </c>
      <c r="CI117">
        <v>2.6</v>
      </c>
      <c r="CL117" t="str">
        <f t="shared" si="19"/>
        <v>2014MaleMaori9</v>
      </c>
      <c r="CM117">
        <v>2014</v>
      </c>
      <c r="CN117" t="s">
        <v>20</v>
      </c>
      <c r="CO117" t="s">
        <v>18</v>
      </c>
      <c r="CP117">
        <v>9</v>
      </c>
      <c r="CQ117">
        <v>2</v>
      </c>
    </row>
    <row r="118" spans="1:95" x14ac:dyDescent="0.2">
      <c r="A118" t="str">
        <f t="shared" si="11"/>
        <v>2010FemaleNon-Maori19</v>
      </c>
      <c r="B118">
        <v>2010</v>
      </c>
      <c r="C118" t="s">
        <v>8</v>
      </c>
      <c r="D118" t="s">
        <v>19</v>
      </c>
      <c r="E118">
        <v>19</v>
      </c>
      <c r="F118">
        <v>117</v>
      </c>
      <c r="G118">
        <v>5.9134650848101904</v>
      </c>
      <c r="H118">
        <v>1.1000000000000001</v>
      </c>
      <c r="J118" s="358" t="str">
        <f t="shared" si="12"/>
        <v>2008AllSexMaori195</v>
      </c>
      <c r="K118" s="359">
        <v>2008</v>
      </c>
      <c r="L118" t="s">
        <v>17</v>
      </c>
      <c r="M118" t="s">
        <v>18</v>
      </c>
      <c r="N118">
        <v>19</v>
      </c>
      <c r="O118">
        <v>5</v>
      </c>
      <c r="P118">
        <v>41</v>
      </c>
      <c r="Q118">
        <v>16.099910181965601</v>
      </c>
      <c r="R118">
        <v>4.9000000000000004</v>
      </c>
      <c r="T118" s="358" t="str">
        <f t="shared" si="14"/>
        <v>1996FemaleNon-Maori23Hanging, strangulation and suffocation</v>
      </c>
      <c r="U118" s="360">
        <v>1996</v>
      </c>
      <c r="V118" s="360" t="s">
        <v>8</v>
      </c>
      <c r="W118" s="360" t="s">
        <v>19</v>
      </c>
      <c r="X118" s="360">
        <v>23</v>
      </c>
      <c r="Y118" s="360" t="s">
        <v>43</v>
      </c>
      <c r="Z118" s="360">
        <v>7</v>
      </c>
      <c r="AA118" s="360">
        <v>25</v>
      </c>
      <c r="AB118" s="360">
        <v>28</v>
      </c>
      <c r="AD118" s="358" t="str">
        <f t="shared" si="15"/>
        <v>200105AllSexAllEth22Northland</v>
      </c>
      <c r="AE118" t="s">
        <v>17</v>
      </c>
      <c r="AF118" t="s">
        <v>27</v>
      </c>
      <c r="AG118">
        <v>22</v>
      </c>
      <c r="AH118">
        <v>1</v>
      </c>
      <c r="AI118" t="s">
        <v>54</v>
      </c>
      <c r="AJ118">
        <v>19</v>
      </c>
      <c r="AK118">
        <v>22.026431718061701</v>
      </c>
      <c r="AL118">
        <v>13</v>
      </c>
      <c r="AM118" t="s">
        <v>82</v>
      </c>
      <c r="AN118">
        <v>200105</v>
      </c>
      <c r="AQ118" t="str">
        <f t="shared" si="13"/>
        <v>2007MaleRural23</v>
      </c>
      <c r="AR118">
        <v>2007</v>
      </c>
      <c r="AS118" t="s">
        <v>20</v>
      </c>
      <c r="AT118" t="s">
        <v>96</v>
      </c>
      <c r="AU118">
        <v>23</v>
      </c>
      <c r="AV118">
        <v>26</v>
      </c>
      <c r="AW118">
        <v>35.163646199621297</v>
      </c>
      <c r="AX118">
        <v>13.5</v>
      </c>
      <c r="AZ118" t="str">
        <f t="shared" si="16"/>
        <v>2015MaleNon-Maori6</v>
      </c>
      <c r="BA118">
        <v>2015</v>
      </c>
      <c r="BB118" t="s">
        <v>20</v>
      </c>
      <c r="BC118" t="s">
        <v>19</v>
      </c>
      <c r="BD118">
        <v>6</v>
      </c>
      <c r="BE118">
        <v>28</v>
      </c>
      <c r="BF118">
        <v>20.964360587002101</v>
      </c>
      <c r="BG118" s="83">
        <v>7.8</v>
      </c>
      <c r="BH118">
        <v>82</v>
      </c>
      <c r="BI118">
        <v>34.1</v>
      </c>
      <c r="BS118" t="str">
        <f t="shared" si="17"/>
        <v>AllSexOther235</v>
      </c>
      <c r="BT118" t="s">
        <v>17</v>
      </c>
      <c r="BU118" t="s">
        <v>45</v>
      </c>
      <c r="BV118">
        <v>23</v>
      </c>
      <c r="BW118">
        <v>5</v>
      </c>
      <c r="BX118">
        <v>120</v>
      </c>
      <c r="BY118">
        <v>28.6893791566876</v>
      </c>
      <c r="BZ118">
        <v>5.0999999999999996</v>
      </c>
      <c r="CB118" t="str">
        <f t="shared" si="18"/>
        <v>AllSexOther25Sharp object</v>
      </c>
      <c r="CC118" t="s">
        <v>17</v>
      </c>
      <c r="CD118" t="s">
        <v>45</v>
      </c>
      <c r="CE118" t="s">
        <v>48</v>
      </c>
      <c r="CF118">
        <v>25</v>
      </c>
      <c r="CG118">
        <v>10</v>
      </c>
      <c r="CH118">
        <v>263</v>
      </c>
      <c r="CI118">
        <v>3.8</v>
      </c>
      <c r="CL118" t="str">
        <f t="shared" si="19"/>
        <v>2014MaleNon-Maori9</v>
      </c>
      <c r="CM118">
        <v>2014</v>
      </c>
      <c r="CN118" t="s">
        <v>20</v>
      </c>
      <c r="CO118" t="s">
        <v>19</v>
      </c>
      <c r="CP118">
        <v>9</v>
      </c>
      <c r="CQ118">
        <v>28</v>
      </c>
    </row>
    <row r="119" spans="1:95" x14ac:dyDescent="0.2">
      <c r="A119" t="str">
        <f t="shared" si="11"/>
        <v>2011FemaleNon-Maori19</v>
      </c>
      <c r="B119">
        <v>2011</v>
      </c>
      <c r="C119" t="s">
        <v>8</v>
      </c>
      <c r="D119" t="s">
        <v>19</v>
      </c>
      <c r="E119">
        <v>19</v>
      </c>
      <c r="F119">
        <v>85</v>
      </c>
      <c r="G119">
        <v>4.0833090975863904</v>
      </c>
      <c r="H119">
        <v>0.9</v>
      </c>
      <c r="J119" s="358" t="str">
        <f t="shared" si="12"/>
        <v>2009AllSexMaori191</v>
      </c>
      <c r="K119" s="359">
        <v>2009</v>
      </c>
      <c r="L119" t="s">
        <v>17</v>
      </c>
      <c r="M119" t="s">
        <v>18</v>
      </c>
      <c r="N119">
        <v>19</v>
      </c>
      <c r="O119">
        <v>1</v>
      </c>
      <c r="P119">
        <v>4</v>
      </c>
      <c r="Q119">
        <v>10.415543391410299</v>
      </c>
      <c r="R119">
        <v>10.199999999999999</v>
      </c>
      <c r="T119" s="358" t="str">
        <f t="shared" si="14"/>
        <v>1996FemaleNon-Maori24Hanging, strangulation and suffocation</v>
      </c>
      <c r="U119" s="360">
        <v>1996</v>
      </c>
      <c r="V119" s="360" t="s">
        <v>8</v>
      </c>
      <c r="W119" s="360" t="s">
        <v>19</v>
      </c>
      <c r="X119" s="360">
        <v>24</v>
      </c>
      <c r="Y119" s="360" t="s">
        <v>43</v>
      </c>
      <c r="Z119" s="360">
        <v>4</v>
      </c>
      <c r="AA119" s="360">
        <v>19</v>
      </c>
      <c r="AB119" s="360">
        <v>21.1</v>
      </c>
      <c r="AD119" s="358" t="str">
        <f t="shared" si="15"/>
        <v>200105AllSexAllEth22South Canterbury</v>
      </c>
      <c r="AE119" t="s">
        <v>17</v>
      </c>
      <c r="AF119" t="s">
        <v>27</v>
      </c>
      <c r="AG119">
        <v>22</v>
      </c>
      <c r="AH119">
        <v>19</v>
      </c>
      <c r="AI119" t="s">
        <v>72</v>
      </c>
      <c r="AJ119">
        <v>5</v>
      </c>
      <c r="AK119">
        <v>17.094017094017101</v>
      </c>
      <c r="AL119">
        <v>19.7</v>
      </c>
      <c r="AM119" t="s">
        <v>82</v>
      </c>
      <c r="AN119">
        <v>200105</v>
      </c>
      <c r="AQ119" t="str">
        <f t="shared" si="13"/>
        <v>2007MaleUrban23</v>
      </c>
      <c r="AR119">
        <v>2007</v>
      </c>
      <c r="AS119" t="s">
        <v>20</v>
      </c>
      <c r="AT119" t="s">
        <v>97</v>
      </c>
      <c r="AU119">
        <v>23</v>
      </c>
      <c r="AV119">
        <v>139</v>
      </c>
      <c r="AW119">
        <v>28.263521756811699</v>
      </c>
      <c r="AX119">
        <v>4.7</v>
      </c>
      <c r="AZ119" t="str">
        <f t="shared" si="16"/>
        <v>2015MaleNon-Maori7</v>
      </c>
      <c r="BA119">
        <v>2015</v>
      </c>
      <c r="BB119" t="s">
        <v>20</v>
      </c>
      <c r="BC119" t="s">
        <v>19</v>
      </c>
      <c r="BD119">
        <v>7</v>
      </c>
      <c r="BE119">
        <v>21</v>
      </c>
      <c r="BF119">
        <v>17.4346201743462</v>
      </c>
      <c r="BG119" s="83">
        <v>7.5</v>
      </c>
      <c r="BH119">
        <v>69</v>
      </c>
      <c r="BI119">
        <v>30.4</v>
      </c>
      <c r="BS119" t="str">
        <f t="shared" si="17"/>
        <v>AllSexPacific231</v>
      </c>
      <c r="BT119" t="s">
        <v>17</v>
      </c>
      <c r="BU119" t="s">
        <v>79</v>
      </c>
      <c r="BV119">
        <v>23</v>
      </c>
      <c r="BW119">
        <v>1</v>
      </c>
      <c r="BX119">
        <v>1</v>
      </c>
      <c r="BY119">
        <v>4.7671103481830999</v>
      </c>
      <c r="BZ119">
        <v>9.3000000000000007</v>
      </c>
      <c r="CB119" t="str">
        <f t="shared" si="18"/>
        <v>AllSexOther22Submersion (drowning)</v>
      </c>
      <c r="CC119" t="s">
        <v>17</v>
      </c>
      <c r="CD119" t="s">
        <v>45</v>
      </c>
      <c r="CE119" t="s">
        <v>49</v>
      </c>
      <c r="CF119">
        <v>22</v>
      </c>
      <c r="CG119">
        <v>5</v>
      </c>
      <c r="CH119">
        <v>277</v>
      </c>
      <c r="CI119">
        <v>1.8</v>
      </c>
      <c r="CL119" t="str">
        <f t="shared" si="19"/>
        <v>2015AllSexAllEth9</v>
      </c>
      <c r="CM119">
        <v>2015</v>
      </c>
      <c r="CN119" t="s">
        <v>17</v>
      </c>
      <c r="CO119" t="s">
        <v>27</v>
      </c>
      <c r="CP119">
        <v>9</v>
      </c>
      <c r="CQ119">
        <v>14</v>
      </c>
    </row>
    <row r="120" spans="1:95" x14ac:dyDescent="0.2">
      <c r="A120" t="str">
        <f t="shared" si="11"/>
        <v>2012FemaleNon-Maori19</v>
      </c>
      <c r="B120">
        <v>2012</v>
      </c>
      <c r="C120" t="s">
        <v>8</v>
      </c>
      <c r="D120" t="s">
        <v>19</v>
      </c>
      <c r="E120">
        <v>19</v>
      </c>
      <c r="F120">
        <v>108</v>
      </c>
      <c r="G120">
        <v>5.1528651892542001</v>
      </c>
      <c r="H120">
        <v>1</v>
      </c>
      <c r="J120" s="358" t="str">
        <f t="shared" si="12"/>
        <v>2009AllSexMaori192</v>
      </c>
      <c r="K120" s="359">
        <v>2009</v>
      </c>
      <c r="L120" t="s">
        <v>17</v>
      </c>
      <c r="M120" t="s">
        <v>18</v>
      </c>
      <c r="N120">
        <v>19</v>
      </c>
      <c r="O120">
        <v>2</v>
      </c>
      <c r="P120">
        <v>8</v>
      </c>
      <c r="Q120">
        <v>11.764406152372301</v>
      </c>
      <c r="R120">
        <v>8.1999999999999993</v>
      </c>
      <c r="T120" s="358" t="str">
        <f t="shared" si="14"/>
        <v>1996FemaleNon-Maori25Hanging, strangulation and suffocation</v>
      </c>
      <c r="U120" s="360">
        <v>1996</v>
      </c>
      <c r="V120" s="360" t="s">
        <v>8</v>
      </c>
      <c r="W120" s="360" t="s">
        <v>19</v>
      </c>
      <c r="X120" s="360">
        <v>25</v>
      </c>
      <c r="Y120" s="360" t="s">
        <v>43</v>
      </c>
      <c r="Z120" s="360">
        <v>4</v>
      </c>
      <c r="AA120" s="360">
        <v>13</v>
      </c>
      <c r="AB120" s="360">
        <v>30.8</v>
      </c>
      <c r="AD120" s="358" t="str">
        <f t="shared" si="15"/>
        <v>200105AllSexAllEth22Southern</v>
      </c>
      <c r="AE120" t="s">
        <v>17</v>
      </c>
      <c r="AF120" t="s">
        <v>27</v>
      </c>
      <c r="AG120">
        <v>22</v>
      </c>
      <c r="AH120">
        <v>20</v>
      </c>
      <c r="AI120" t="s">
        <v>73</v>
      </c>
      <c r="AJ120">
        <v>42</v>
      </c>
      <c r="AK120">
        <v>18.314219683425598</v>
      </c>
      <c r="AL120">
        <v>7.3</v>
      </c>
      <c r="AM120" t="s">
        <v>82</v>
      </c>
      <c r="AN120">
        <v>200105</v>
      </c>
      <c r="AQ120" t="str">
        <f t="shared" si="13"/>
        <v>2007MaleRural24</v>
      </c>
      <c r="AR120">
        <v>2007</v>
      </c>
      <c r="AS120" t="s">
        <v>20</v>
      </c>
      <c r="AT120" t="s">
        <v>96</v>
      </c>
      <c r="AU120">
        <v>24</v>
      </c>
      <c r="AV120">
        <v>14</v>
      </c>
      <c r="AW120">
        <v>15.612802498048399</v>
      </c>
      <c r="AX120">
        <v>8.1999999999999993</v>
      </c>
      <c r="AZ120" t="str">
        <f t="shared" si="16"/>
        <v>2015MaleNon-Maori8</v>
      </c>
      <c r="BA120">
        <v>2015</v>
      </c>
      <c r="BB120" t="s">
        <v>20</v>
      </c>
      <c r="BC120" t="s">
        <v>19</v>
      </c>
      <c r="BD120">
        <v>8</v>
      </c>
      <c r="BE120">
        <v>26</v>
      </c>
      <c r="BF120">
        <v>22.9824096172545</v>
      </c>
      <c r="BG120" s="83">
        <v>8.8000000000000007</v>
      </c>
      <c r="BH120">
        <v>99</v>
      </c>
      <c r="BI120">
        <v>26.3</v>
      </c>
      <c r="BS120" t="str">
        <f t="shared" si="17"/>
        <v>AllSexPacific232</v>
      </c>
      <c r="BT120" t="s">
        <v>17</v>
      </c>
      <c r="BU120" t="s">
        <v>79</v>
      </c>
      <c r="BV120">
        <v>23</v>
      </c>
      <c r="BW120">
        <v>2</v>
      </c>
      <c r="BX120">
        <v>5</v>
      </c>
      <c r="BY120">
        <v>15.448463282755499</v>
      </c>
      <c r="BZ120">
        <v>13.5</v>
      </c>
      <c r="CB120" t="str">
        <f t="shared" si="18"/>
        <v>AllSexOther23Submersion (drowning)</v>
      </c>
      <c r="CC120" t="s">
        <v>17</v>
      </c>
      <c r="CD120" t="s">
        <v>45</v>
      </c>
      <c r="CE120" t="s">
        <v>49</v>
      </c>
      <c r="CF120">
        <v>23</v>
      </c>
      <c r="CG120">
        <v>6</v>
      </c>
      <c r="CH120">
        <v>560</v>
      </c>
      <c r="CI120">
        <v>1.1000000000000001</v>
      </c>
      <c r="CL120" t="str">
        <f t="shared" si="19"/>
        <v>2015AllSexNon-Maori9</v>
      </c>
      <c r="CM120">
        <v>2015</v>
      </c>
      <c r="CN120" t="s">
        <v>17</v>
      </c>
      <c r="CO120" t="s">
        <v>19</v>
      </c>
      <c r="CP120">
        <v>9</v>
      </c>
      <c r="CQ120">
        <v>14</v>
      </c>
    </row>
    <row r="121" spans="1:95" x14ac:dyDescent="0.2">
      <c r="A121" t="str">
        <f t="shared" si="11"/>
        <v>2013FemaleNon-Maori19</v>
      </c>
      <c r="B121">
        <v>2013</v>
      </c>
      <c r="C121" t="s">
        <v>8</v>
      </c>
      <c r="D121" t="s">
        <v>19</v>
      </c>
      <c r="E121">
        <v>19</v>
      </c>
      <c r="F121">
        <v>109</v>
      </c>
      <c r="G121">
        <v>5.2765407142672398</v>
      </c>
      <c r="H121">
        <v>1</v>
      </c>
      <c r="J121" s="358" t="str">
        <f t="shared" si="12"/>
        <v>2009AllSexMaori193</v>
      </c>
      <c r="K121" s="359">
        <v>2009</v>
      </c>
      <c r="L121" t="s">
        <v>17</v>
      </c>
      <c r="M121" t="s">
        <v>18</v>
      </c>
      <c r="N121">
        <v>19</v>
      </c>
      <c r="O121">
        <v>3</v>
      </c>
      <c r="P121">
        <v>14</v>
      </c>
      <c r="Q121">
        <v>13.2947520863601</v>
      </c>
      <c r="R121">
        <v>7</v>
      </c>
      <c r="T121" s="358" t="str">
        <f t="shared" si="14"/>
        <v>1996FemaleNon-Maori22Jumping from a high place</v>
      </c>
      <c r="U121" s="360">
        <v>1996</v>
      </c>
      <c r="V121" s="360" t="s">
        <v>8</v>
      </c>
      <c r="W121" s="360" t="s">
        <v>19</v>
      </c>
      <c r="X121" s="360">
        <v>22</v>
      </c>
      <c r="Y121" s="360" t="s">
        <v>44</v>
      </c>
      <c r="Z121" s="360">
        <v>1</v>
      </c>
      <c r="AA121" s="360">
        <v>29</v>
      </c>
      <c r="AB121" s="360">
        <v>3.4</v>
      </c>
      <c r="AD121" s="358" t="str">
        <f t="shared" si="15"/>
        <v>200105AllSexAllEth22Tairawhiti</v>
      </c>
      <c r="AE121" t="s">
        <v>17</v>
      </c>
      <c r="AF121" t="s">
        <v>27</v>
      </c>
      <c r="AG121">
        <v>22</v>
      </c>
      <c r="AH121">
        <v>8</v>
      </c>
      <c r="AI121" t="s">
        <v>61</v>
      </c>
      <c r="AJ121">
        <v>5</v>
      </c>
      <c r="AK121">
        <v>16.700066800267201</v>
      </c>
      <c r="AL121">
        <v>19.2</v>
      </c>
      <c r="AM121" t="s">
        <v>82</v>
      </c>
      <c r="AN121">
        <v>200105</v>
      </c>
      <c r="AQ121" t="str">
        <f t="shared" si="13"/>
        <v>2007MaleUrban24</v>
      </c>
      <c r="AR121">
        <v>2007</v>
      </c>
      <c r="AS121" t="s">
        <v>20</v>
      </c>
      <c r="AT121" t="s">
        <v>97</v>
      </c>
      <c r="AU121">
        <v>24</v>
      </c>
      <c r="AV121">
        <v>86</v>
      </c>
      <c r="AW121">
        <v>20.821732077573099</v>
      </c>
      <c r="AX121">
        <v>4.4000000000000004</v>
      </c>
      <c r="AZ121" t="str">
        <f t="shared" si="16"/>
        <v>2015MaleNon-Maori9</v>
      </c>
      <c r="BA121">
        <v>2015</v>
      </c>
      <c r="BB121" t="s">
        <v>20</v>
      </c>
      <c r="BC121" t="s">
        <v>19</v>
      </c>
      <c r="BD121">
        <v>9</v>
      </c>
      <c r="BE121">
        <v>21</v>
      </c>
      <c r="BF121">
        <v>16.505541145956101</v>
      </c>
      <c r="BG121" s="83">
        <v>7.1</v>
      </c>
      <c r="BH121">
        <v>153</v>
      </c>
      <c r="BI121">
        <v>13.7</v>
      </c>
      <c r="BS121" t="str">
        <f t="shared" si="17"/>
        <v>AllSexPacific233</v>
      </c>
      <c r="BT121" t="s">
        <v>17</v>
      </c>
      <c r="BU121" t="s">
        <v>79</v>
      </c>
      <c r="BV121">
        <v>23</v>
      </c>
      <c r="BW121">
        <v>3</v>
      </c>
      <c r="BX121">
        <v>3</v>
      </c>
      <c r="BY121">
        <v>6.1699577811621502</v>
      </c>
      <c r="BZ121">
        <v>7</v>
      </c>
      <c r="CB121" t="str">
        <f t="shared" si="18"/>
        <v>AllSexOther24Submersion (drowning)</v>
      </c>
      <c r="CC121" t="s">
        <v>17</v>
      </c>
      <c r="CD121" t="s">
        <v>45</v>
      </c>
      <c r="CE121" t="s">
        <v>49</v>
      </c>
      <c r="CF121">
        <v>24</v>
      </c>
      <c r="CG121">
        <v>20</v>
      </c>
      <c r="CH121">
        <v>687</v>
      </c>
      <c r="CI121">
        <v>2.9</v>
      </c>
      <c r="CL121" t="str">
        <f t="shared" si="19"/>
        <v>2015MaleAllEth9</v>
      </c>
      <c r="CM121">
        <v>2015</v>
      </c>
      <c r="CN121" t="s">
        <v>20</v>
      </c>
      <c r="CO121" t="s">
        <v>27</v>
      </c>
      <c r="CP121">
        <v>9</v>
      </c>
      <c r="CQ121">
        <v>14</v>
      </c>
    </row>
    <row r="122" spans="1:95" x14ac:dyDescent="0.2">
      <c r="A122" t="str">
        <f t="shared" si="11"/>
        <v>2014FemaleNon-Maori19</v>
      </c>
      <c r="B122">
        <v>2014</v>
      </c>
      <c r="C122" t="s">
        <v>8</v>
      </c>
      <c r="D122" t="s">
        <v>19</v>
      </c>
      <c r="E122">
        <v>19</v>
      </c>
      <c r="F122">
        <v>105</v>
      </c>
      <c r="G122">
        <v>4.9008932000909704</v>
      </c>
      <c r="H122">
        <v>0.9</v>
      </c>
      <c r="J122" s="358" t="str">
        <f t="shared" si="12"/>
        <v>2009AllSexMaori194</v>
      </c>
      <c r="K122" s="359">
        <v>2009</v>
      </c>
      <c r="L122" t="s">
        <v>17</v>
      </c>
      <c r="M122" t="s">
        <v>18</v>
      </c>
      <c r="N122">
        <v>19</v>
      </c>
      <c r="O122">
        <v>4</v>
      </c>
      <c r="P122">
        <v>19</v>
      </c>
      <c r="Q122">
        <v>12.5866132128183</v>
      </c>
      <c r="R122">
        <v>5.7</v>
      </c>
      <c r="T122" s="358" t="str">
        <f t="shared" si="14"/>
        <v>1996FemaleNon-Maori22Other</v>
      </c>
      <c r="U122" s="360">
        <v>1996</v>
      </c>
      <c r="V122" s="360" t="s">
        <v>8</v>
      </c>
      <c r="W122" s="360" t="s">
        <v>19</v>
      </c>
      <c r="X122" s="360">
        <v>22</v>
      </c>
      <c r="Y122" s="360" t="s">
        <v>45</v>
      </c>
      <c r="Z122" s="360">
        <v>1</v>
      </c>
      <c r="AA122" s="360">
        <v>29</v>
      </c>
      <c r="AB122" s="360">
        <v>3.4</v>
      </c>
      <c r="AD122" s="358" t="str">
        <f t="shared" si="15"/>
        <v>200105AllSexAllEth22Taranaki</v>
      </c>
      <c r="AE122" t="s">
        <v>17</v>
      </c>
      <c r="AF122" t="s">
        <v>27</v>
      </c>
      <c r="AG122">
        <v>22</v>
      </c>
      <c r="AH122">
        <v>10</v>
      </c>
      <c r="AI122" t="s">
        <v>63</v>
      </c>
      <c r="AJ122">
        <v>8</v>
      </c>
      <c r="AK122">
        <v>11.8413262285376</v>
      </c>
      <c r="AL122">
        <v>10.8</v>
      </c>
      <c r="AM122" t="s">
        <v>82</v>
      </c>
      <c r="AN122">
        <v>200105</v>
      </c>
      <c r="AQ122" t="str">
        <f t="shared" si="13"/>
        <v>2007MaleRural25</v>
      </c>
      <c r="AR122">
        <v>2007</v>
      </c>
      <c r="AS122" t="s">
        <v>20</v>
      </c>
      <c r="AT122" t="s">
        <v>96</v>
      </c>
      <c r="AU122">
        <v>25</v>
      </c>
      <c r="AV122">
        <v>12</v>
      </c>
      <c r="AW122">
        <v>35.810205908683997</v>
      </c>
      <c r="AX122">
        <v>20.3</v>
      </c>
      <c r="AZ122" t="str">
        <f t="shared" si="16"/>
        <v>2015MaleNon-Maori10</v>
      </c>
      <c r="BA122">
        <v>2015</v>
      </c>
      <c r="BB122" t="s">
        <v>20</v>
      </c>
      <c r="BC122" t="s">
        <v>19</v>
      </c>
      <c r="BD122">
        <v>10</v>
      </c>
      <c r="BE122">
        <v>34</v>
      </c>
      <c r="BF122">
        <v>25.843721495895402</v>
      </c>
      <c r="BG122" s="83">
        <v>8.6999999999999993</v>
      </c>
      <c r="BH122">
        <v>249</v>
      </c>
      <c r="BI122">
        <v>13.7</v>
      </c>
      <c r="BS122" t="str">
        <f t="shared" si="17"/>
        <v>AllSexPacific234</v>
      </c>
      <c r="BT122" t="s">
        <v>17</v>
      </c>
      <c r="BU122" t="s">
        <v>79</v>
      </c>
      <c r="BV122">
        <v>23</v>
      </c>
      <c r="BW122">
        <v>4</v>
      </c>
      <c r="BX122">
        <v>6</v>
      </c>
      <c r="BY122">
        <v>7.2269737051807503</v>
      </c>
      <c r="BZ122">
        <v>5.8</v>
      </c>
      <c r="CB122" t="str">
        <f t="shared" si="18"/>
        <v>AllSexOther25Submersion (drowning)</v>
      </c>
      <c r="CC122" t="s">
        <v>17</v>
      </c>
      <c r="CD122" t="s">
        <v>45</v>
      </c>
      <c r="CE122" t="s">
        <v>49</v>
      </c>
      <c r="CF122">
        <v>25</v>
      </c>
      <c r="CG122">
        <v>16</v>
      </c>
      <c r="CH122">
        <v>263</v>
      </c>
      <c r="CI122">
        <v>6.1</v>
      </c>
      <c r="CL122" t="str">
        <f t="shared" si="19"/>
        <v>2015MaleNon-Maori9</v>
      </c>
      <c r="CM122">
        <v>2015</v>
      </c>
      <c r="CN122" t="s">
        <v>20</v>
      </c>
      <c r="CO122" t="s">
        <v>19</v>
      </c>
      <c r="CP122">
        <v>9</v>
      </c>
      <c r="CQ122">
        <v>14</v>
      </c>
    </row>
    <row r="123" spans="1:95" x14ac:dyDescent="0.2">
      <c r="A123" t="str">
        <f t="shared" si="11"/>
        <v>2015FemaleNon-Maori19</v>
      </c>
      <c r="B123">
        <v>2015</v>
      </c>
      <c r="C123" t="s">
        <v>8</v>
      </c>
      <c r="D123" t="s">
        <v>19</v>
      </c>
      <c r="E123">
        <v>19</v>
      </c>
      <c r="F123">
        <v>101</v>
      </c>
      <c r="G123">
        <v>4.6330361677979601</v>
      </c>
      <c r="H123">
        <v>0.9</v>
      </c>
      <c r="J123" s="358" t="str">
        <f t="shared" si="12"/>
        <v>2009AllSexMaori195</v>
      </c>
      <c r="K123" s="359">
        <v>2009</v>
      </c>
      <c r="L123" t="s">
        <v>17</v>
      </c>
      <c r="M123" t="s">
        <v>18</v>
      </c>
      <c r="N123">
        <v>19</v>
      </c>
      <c r="O123">
        <v>5</v>
      </c>
      <c r="P123">
        <v>38</v>
      </c>
      <c r="Q123">
        <v>14.498638527004401</v>
      </c>
      <c r="R123">
        <v>4.5999999999999996</v>
      </c>
      <c r="T123" s="358" t="str">
        <f t="shared" si="14"/>
        <v>1996FemaleNon-Maori23Other</v>
      </c>
      <c r="U123" s="360">
        <v>1996</v>
      </c>
      <c r="V123" s="360" t="s">
        <v>8</v>
      </c>
      <c r="W123" s="360" t="s">
        <v>19</v>
      </c>
      <c r="X123" s="360">
        <v>23</v>
      </c>
      <c r="Y123" s="360" t="s">
        <v>45</v>
      </c>
      <c r="Z123" s="360">
        <v>2</v>
      </c>
      <c r="AA123" s="360">
        <v>25</v>
      </c>
      <c r="AB123" s="360">
        <v>8</v>
      </c>
      <c r="AD123" s="358" t="str">
        <f t="shared" si="15"/>
        <v>200105AllSexAllEth22Waikato</v>
      </c>
      <c r="AE123" t="s">
        <v>17</v>
      </c>
      <c r="AF123" t="s">
        <v>27</v>
      </c>
      <c r="AG123">
        <v>22</v>
      </c>
      <c r="AH123">
        <v>5</v>
      </c>
      <c r="AI123" t="s">
        <v>58</v>
      </c>
      <c r="AJ123">
        <v>45</v>
      </c>
      <c r="AK123">
        <v>18.2837640175524</v>
      </c>
      <c r="AL123">
        <v>7</v>
      </c>
      <c r="AM123" t="s">
        <v>82</v>
      </c>
      <c r="AN123">
        <v>200105</v>
      </c>
      <c r="AQ123" t="str">
        <f t="shared" si="13"/>
        <v>2007MaleUrban25</v>
      </c>
      <c r="AR123">
        <v>2007</v>
      </c>
      <c r="AS123" t="s">
        <v>20</v>
      </c>
      <c r="AT123" t="s">
        <v>97</v>
      </c>
      <c r="AU123">
        <v>25</v>
      </c>
      <c r="AV123">
        <v>30</v>
      </c>
      <c r="AW123">
        <v>14.8089643597591</v>
      </c>
      <c r="AX123">
        <v>5.3</v>
      </c>
      <c r="AZ123" t="str">
        <f t="shared" si="16"/>
        <v>2015MaleNon-Maori11</v>
      </c>
      <c r="BA123">
        <v>2015</v>
      </c>
      <c r="BB123" t="s">
        <v>20</v>
      </c>
      <c r="BC123" t="s">
        <v>19</v>
      </c>
      <c r="BD123">
        <v>11</v>
      </c>
      <c r="BE123">
        <v>33</v>
      </c>
      <c r="BF123">
        <v>24.300441826215</v>
      </c>
      <c r="BG123" s="83">
        <v>8.3000000000000007</v>
      </c>
      <c r="BH123">
        <v>390</v>
      </c>
      <c r="BI123">
        <v>8.5</v>
      </c>
      <c r="BS123" t="str">
        <f t="shared" si="17"/>
        <v>AllSexPacific235</v>
      </c>
      <c r="BT123" t="s">
        <v>17</v>
      </c>
      <c r="BU123" t="s">
        <v>79</v>
      </c>
      <c r="BV123">
        <v>23</v>
      </c>
      <c r="BW123">
        <v>5</v>
      </c>
      <c r="BX123">
        <v>18</v>
      </c>
      <c r="BY123">
        <v>8.9839033250727809</v>
      </c>
      <c r="BZ123">
        <v>4.2</v>
      </c>
      <c r="CB123" t="str">
        <f t="shared" si="18"/>
        <v>AllSexPacific21Hanging, strangulation and suffocation</v>
      </c>
      <c r="CC123" t="s">
        <v>17</v>
      </c>
      <c r="CD123" t="s">
        <v>79</v>
      </c>
      <c r="CE123" t="s">
        <v>43</v>
      </c>
      <c r="CF123">
        <v>21</v>
      </c>
      <c r="CG123">
        <v>7</v>
      </c>
      <c r="CH123">
        <v>8</v>
      </c>
      <c r="CI123">
        <v>87.5</v>
      </c>
    </row>
    <row r="124" spans="1:95" x14ac:dyDescent="0.2">
      <c r="A124" t="str">
        <f t="shared" si="11"/>
        <v>1996MaleAllEth19</v>
      </c>
      <c r="B124">
        <v>1996</v>
      </c>
      <c r="C124" t="s">
        <v>20</v>
      </c>
      <c r="D124" t="s">
        <v>27</v>
      </c>
      <c r="E124">
        <v>19</v>
      </c>
      <c r="F124">
        <v>429</v>
      </c>
      <c r="G124">
        <v>22.945293453419598</v>
      </c>
      <c r="H124">
        <v>2.2000000000000002</v>
      </c>
      <c r="J124" s="358" t="str">
        <f t="shared" si="12"/>
        <v>2010AllSexMaori191</v>
      </c>
      <c r="K124" s="359">
        <v>2010</v>
      </c>
      <c r="L124" t="s">
        <v>17</v>
      </c>
      <c r="M124" t="s">
        <v>18</v>
      </c>
      <c r="N124">
        <v>19</v>
      </c>
      <c r="O124">
        <v>1</v>
      </c>
      <c r="P124">
        <v>2</v>
      </c>
      <c r="Q124">
        <v>3.3201516246012401</v>
      </c>
      <c r="R124">
        <v>4.5999999999999996</v>
      </c>
      <c r="T124" s="358" t="str">
        <f t="shared" si="14"/>
        <v>1996FemaleNon-Maori25Other</v>
      </c>
      <c r="U124" s="360">
        <v>1996</v>
      </c>
      <c r="V124" s="360" t="s">
        <v>8</v>
      </c>
      <c r="W124" s="360" t="s">
        <v>19</v>
      </c>
      <c r="X124" s="360">
        <v>25</v>
      </c>
      <c r="Y124" s="360" t="s">
        <v>45</v>
      </c>
      <c r="Z124" s="360">
        <v>1</v>
      </c>
      <c r="AA124" s="360">
        <v>13</v>
      </c>
      <c r="AB124" s="360">
        <v>7.7</v>
      </c>
      <c r="AD124" s="358" t="str">
        <f t="shared" si="15"/>
        <v>200105AllSexAllEth22Wairarapa</v>
      </c>
      <c r="AE124" t="s">
        <v>17</v>
      </c>
      <c r="AF124" t="s">
        <v>27</v>
      </c>
      <c r="AG124">
        <v>22</v>
      </c>
      <c r="AH124">
        <v>15</v>
      </c>
      <c r="AI124" t="s">
        <v>68</v>
      </c>
      <c r="AJ124">
        <v>5</v>
      </c>
      <c r="AK124">
        <v>22.542831379621301</v>
      </c>
      <c r="AL124">
        <v>26</v>
      </c>
      <c r="AM124" t="s">
        <v>82</v>
      </c>
      <c r="AN124">
        <v>200105</v>
      </c>
      <c r="AQ124" t="str">
        <f t="shared" si="13"/>
        <v>2008AllSexRural22</v>
      </c>
      <c r="AR124">
        <v>2008</v>
      </c>
      <c r="AS124" t="s">
        <v>17</v>
      </c>
      <c r="AT124" t="s">
        <v>96</v>
      </c>
      <c r="AU124">
        <v>22</v>
      </c>
      <c r="AV124">
        <v>15</v>
      </c>
      <c r="AW124">
        <v>22.199200828770199</v>
      </c>
      <c r="AX124">
        <v>11.2</v>
      </c>
      <c r="AZ124" t="str">
        <f t="shared" si="16"/>
        <v>2015MaleNon-Maori12</v>
      </c>
      <c r="BA124">
        <v>2015</v>
      </c>
      <c r="BB124" t="s">
        <v>20</v>
      </c>
      <c r="BC124" t="s">
        <v>19</v>
      </c>
      <c r="BD124">
        <v>12</v>
      </c>
      <c r="BE124">
        <v>24</v>
      </c>
      <c r="BF124">
        <v>19.233851578778602</v>
      </c>
      <c r="BG124" s="83">
        <v>7.7</v>
      </c>
      <c r="BH124">
        <v>559</v>
      </c>
      <c r="BI124">
        <v>4.3</v>
      </c>
      <c r="BS124" t="str">
        <f t="shared" si="17"/>
        <v>AllSexAsian241</v>
      </c>
      <c r="BT124" t="s">
        <v>17</v>
      </c>
      <c r="BU124" t="s">
        <v>78</v>
      </c>
      <c r="BV124">
        <v>24</v>
      </c>
      <c r="BW124">
        <v>1</v>
      </c>
      <c r="BX124">
        <v>7</v>
      </c>
      <c r="BY124">
        <v>5.8598765731440796</v>
      </c>
      <c r="BZ124">
        <v>4.3</v>
      </c>
      <c r="CB124" t="str">
        <f t="shared" si="18"/>
        <v>AllSexPacific22Hanging, strangulation and suffocation</v>
      </c>
      <c r="CC124" t="s">
        <v>17</v>
      </c>
      <c r="CD124" t="s">
        <v>79</v>
      </c>
      <c r="CE124" t="s">
        <v>43</v>
      </c>
      <c r="CF124">
        <v>22</v>
      </c>
      <c r="CG124">
        <v>54</v>
      </c>
      <c r="CH124">
        <v>57</v>
      </c>
      <c r="CI124">
        <v>94.7</v>
      </c>
    </row>
    <row r="125" spans="1:95" x14ac:dyDescent="0.2">
      <c r="A125" t="str">
        <f t="shared" si="11"/>
        <v>1997MaleAllEth19</v>
      </c>
      <c r="B125">
        <v>1997</v>
      </c>
      <c r="C125" t="s">
        <v>20</v>
      </c>
      <c r="D125" t="s">
        <v>27</v>
      </c>
      <c r="E125">
        <v>19</v>
      </c>
      <c r="F125">
        <v>441</v>
      </c>
      <c r="G125">
        <v>23.553351547621599</v>
      </c>
      <c r="H125">
        <v>2.2000000000000002</v>
      </c>
      <c r="J125" s="358" t="str">
        <f t="shared" si="12"/>
        <v>2010AllSexMaori192</v>
      </c>
      <c r="K125" s="359">
        <v>2010</v>
      </c>
      <c r="L125" t="s">
        <v>17</v>
      </c>
      <c r="M125" t="s">
        <v>18</v>
      </c>
      <c r="N125">
        <v>19</v>
      </c>
      <c r="O125">
        <v>2</v>
      </c>
      <c r="P125">
        <v>10</v>
      </c>
      <c r="Q125">
        <v>13.234319650344901</v>
      </c>
      <c r="R125">
        <v>8.1999999999999993</v>
      </c>
      <c r="T125" s="358" t="str">
        <f t="shared" si="14"/>
        <v>1996FemaleNon-Maori22Poisoning by gases and vapours</v>
      </c>
      <c r="U125" s="360">
        <v>1996</v>
      </c>
      <c r="V125" s="360" t="s">
        <v>8</v>
      </c>
      <c r="W125" s="360" t="s">
        <v>19</v>
      </c>
      <c r="X125" s="360">
        <v>22</v>
      </c>
      <c r="Y125" s="360" t="s">
        <v>46</v>
      </c>
      <c r="Z125" s="360">
        <v>10</v>
      </c>
      <c r="AA125" s="360">
        <v>29</v>
      </c>
      <c r="AB125" s="360">
        <v>34.5</v>
      </c>
      <c r="AD125" s="358" t="str">
        <f t="shared" si="15"/>
        <v>200105AllSexAllEth22Waitemata</v>
      </c>
      <c r="AE125" t="s">
        <v>17</v>
      </c>
      <c r="AF125" t="s">
        <v>27</v>
      </c>
      <c r="AG125">
        <v>22</v>
      </c>
      <c r="AH125">
        <v>2</v>
      </c>
      <c r="AI125" t="s">
        <v>55</v>
      </c>
      <c r="AJ125">
        <v>54</v>
      </c>
      <c r="AK125">
        <v>16.348773841961901</v>
      </c>
      <c r="AL125">
        <v>5.7</v>
      </c>
      <c r="AM125" t="s">
        <v>82</v>
      </c>
      <c r="AN125">
        <v>200105</v>
      </c>
      <c r="AQ125" t="str">
        <f t="shared" si="13"/>
        <v>2008AllSexUrban22</v>
      </c>
      <c r="AR125">
        <v>2008</v>
      </c>
      <c r="AS125" t="s">
        <v>17</v>
      </c>
      <c r="AT125" t="s">
        <v>97</v>
      </c>
      <c r="AU125">
        <v>22</v>
      </c>
      <c r="AV125">
        <v>104</v>
      </c>
      <c r="AW125">
        <v>19.326185122554001</v>
      </c>
      <c r="AX125">
        <v>3.7</v>
      </c>
      <c r="AZ125" t="str">
        <f t="shared" si="16"/>
        <v>2015MaleNon-Maori13</v>
      </c>
      <c r="BA125">
        <v>2015</v>
      </c>
      <c r="BB125" t="s">
        <v>20</v>
      </c>
      <c r="BC125" t="s">
        <v>19</v>
      </c>
      <c r="BD125">
        <v>13</v>
      </c>
      <c r="BE125">
        <v>18</v>
      </c>
      <c r="BF125">
        <v>16.257225433525999</v>
      </c>
      <c r="BG125" s="83">
        <v>7.5</v>
      </c>
      <c r="BH125">
        <v>799</v>
      </c>
      <c r="BI125">
        <v>2.2999999999999998</v>
      </c>
      <c r="BS125" t="str">
        <f t="shared" si="17"/>
        <v>AllSexAsian242</v>
      </c>
      <c r="BT125" t="s">
        <v>17</v>
      </c>
      <c r="BU125" t="s">
        <v>78</v>
      </c>
      <c r="BV125">
        <v>24</v>
      </c>
      <c r="BW125">
        <v>2</v>
      </c>
      <c r="BX125">
        <v>8</v>
      </c>
      <c r="BY125">
        <v>6.0365376073340098</v>
      </c>
      <c r="BZ125">
        <v>4.2</v>
      </c>
      <c r="CB125" t="str">
        <f t="shared" si="18"/>
        <v>AllSexPacific23Hanging, strangulation and suffocation</v>
      </c>
      <c r="CC125" t="s">
        <v>17</v>
      </c>
      <c r="CD125" t="s">
        <v>79</v>
      </c>
      <c r="CE125" t="s">
        <v>43</v>
      </c>
      <c r="CF125">
        <v>23</v>
      </c>
      <c r="CG125">
        <v>28</v>
      </c>
      <c r="CH125">
        <v>34</v>
      </c>
      <c r="CI125">
        <v>82.4</v>
      </c>
    </row>
    <row r="126" spans="1:95" x14ac:dyDescent="0.2">
      <c r="A126" t="str">
        <f t="shared" si="11"/>
        <v>1998MaleAllEth19</v>
      </c>
      <c r="B126">
        <v>1998</v>
      </c>
      <c r="C126" t="s">
        <v>20</v>
      </c>
      <c r="D126" t="s">
        <v>27</v>
      </c>
      <c r="E126">
        <v>19</v>
      </c>
      <c r="F126">
        <v>446</v>
      </c>
      <c r="G126">
        <v>23.645478379784802</v>
      </c>
      <c r="H126">
        <v>2.2000000000000002</v>
      </c>
      <c r="J126" s="358" t="str">
        <f t="shared" si="12"/>
        <v>2010AllSexMaori193</v>
      </c>
      <c r="K126" s="359">
        <v>2010</v>
      </c>
      <c r="L126" t="s">
        <v>17</v>
      </c>
      <c r="M126" t="s">
        <v>18</v>
      </c>
      <c r="N126">
        <v>19</v>
      </c>
      <c r="O126">
        <v>3</v>
      </c>
      <c r="P126">
        <v>12</v>
      </c>
      <c r="Q126">
        <v>11.7392941235848</v>
      </c>
      <c r="R126">
        <v>6.6</v>
      </c>
      <c r="T126" s="358" t="str">
        <f t="shared" si="14"/>
        <v>1996FemaleNon-Maori23Poisoning by gases and vapours</v>
      </c>
      <c r="U126" s="360">
        <v>1996</v>
      </c>
      <c r="V126" s="360" t="s">
        <v>8</v>
      </c>
      <c r="W126" s="360" t="s">
        <v>19</v>
      </c>
      <c r="X126" s="360">
        <v>23</v>
      </c>
      <c r="Y126" s="360" t="s">
        <v>46</v>
      </c>
      <c r="Z126" s="360">
        <v>11</v>
      </c>
      <c r="AA126" s="360">
        <v>25</v>
      </c>
      <c r="AB126" s="360">
        <v>44</v>
      </c>
      <c r="AD126" s="358" t="str">
        <f t="shared" si="15"/>
        <v>200105AllSexAllEth22West Coast</v>
      </c>
      <c r="AE126" t="s">
        <v>17</v>
      </c>
      <c r="AF126" t="s">
        <v>27</v>
      </c>
      <c r="AG126">
        <v>22</v>
      </c>
      <c r="AH126">
        <v>17</v>
      </c>
      <c r="AI126" t="s">
        <v>70</v>
      </c>
      <c r="AJ126">
        <v>1</v>
      </c>
      <c r="AK126">
        <v>5.8445353594389298</v>
      </c>
      <c r="AL126">
        <v>15.1</v>
      </c>
      <c r="AM126" t="s">
        <v>82</v>
      </c>
      <c r="AN126">
        <v>200105</v>
      </c>
      <c r="AQ126" t="str">
        <f t="shared" si="13"/>
        <v>2008AllSexRural23</v>
      </c>
      <c r="AR126">
        <v>2008</v>
      </c>
      <c r="AS126" t="s">
        <v>17</v>
      </c>
      <c r="AT126" t="s">
        <v>96</v>
      </c>
      <c r="AU126">
        <v>23</v>
      </c>
      <c r="AV126">
        <v>28</v>
      </c>
      <c r="AW126">
        <v>18.736616702355501</v>
      </c>
      <c r="AX126">
        <v>6.9</v>
      </c>
      <c r="AZ126" t="str">
        <f t="shared" si="16"/>
        <v>2015MaleNon-Maori14</v>
      </c>
      <c r="BA126">
        <v>2015</v>
      </c>
      <c r="BB126" t="s">
        <v>20</v>
      </c>
      <c r="BC126" t="s">
        <v>19</v>
      </c>
      <c r="BD126">
        <v>14</v>
      </c>
      <c r="BE126">
        <v>13</v>
      </c>
      <c r="BF126">
        <v>12.701514411333701</v>
      </c>
      <c r="BG126" s="83">
        <v>6.9</v>
      </c>
      <c r="BH126">
        <v>1194</v>
      </c>
      <c r="BI126">
        <v>1.1000000000000001</v>
      </c>
      <c r="BS126" t="str">
        <f t="shared" si="17"/>
        <v>AllSexAsian243</v>
      </c>
      <c r="BT126" t="s">
        <v>17</v>
      </c>
      <c r="BU126" t="s">
        <v>78</v>
      </c>
      <c r="BV126">
        <v>24</v>
      </c>
      <c r="BW126">
        <v>3</v>
      </c>
      <c r="BX126">
        <v>4</v>
      </c>
      <c r="BY126">
        <v>3.3321328864306898</v>
      </c>
      <c r="BZ126">
        <v>3.3</v>
      </c>
      <c r="CB126" t="str">
        <f t="shared" si="18"/>
        <v>AllSexPacific24Hanging, strangulation and suffocation</v>
      </c>
      <c r="CC126" t="s">
        <v>17</v>
      </c>
      <c r="CD126" t="s">
        <v>79</v>
      </c>
      <c r="CE126" t="s">
        <v>43</v>
      </c>
      <c r="CF126">
        <v>24</v>
      </c>
      <c r="CG126">
        <v>15</v>
      </c>
      <c r="CH126">
        <v>22</v>
      </c>
      <c r="CI126">
        <v>68.2</v>
      </c>
    </row>
    <row r="127" spans="1:95" x14ac:dyDescent="0.2">
      <c r="A127" t="str">
        <f t="shared" si="11"/>
        <v>1999MaleAllEth19</v>
      </c>
      <c r="B127">
        <v>1999</v>
      </c>
      <c r="C127" t="s">
        <v>20</v>
      </c>
      <c r="D127" t="s">
        <v>27</v>
      </c>
      <c r="E127">
        <v>19</v>
      </c>
      <c r="F127">
        <v>385</v>
      </c>
      <c r="G127">
        <v>20.3315431402172</v>
      </c>
      <c r="H127">
        <v>2</v>
      </c>
      <c r="J127" s="358" t="str">
        <f t="shared" si="12"/>
        <v>2010AllSexMaori194</v>
      </c>
      <c r="K127" s="359">
        <v>2010</v>
      </c>
      <c r="L127" t="s">
        <v>17</v>
      </c>
      <c r="M127" t="s">
        <v>18</v>
      </c>
      <c r="N127">
        <v>19</v>
      </c>
      <c r="O127">
        <v>4</v>
      </c>
      <c r="P127">
        <v>20</v>
      </c>
      <c r="Q127">
        <v>12.8928666096258</v>
      </c>
      <c r="R127">
        <v>5.7</v>
      </c>
      <c r="T127" s="358" t="str">
        <f t="shared" si="14"/>
        <v>1996FemaleNon-Maori24Poisoning by gases and vapours</v>
      </c>
      <c r="U127" s="360">
        <v>1996</v>
      </c>
      <c r="V127" s="360" t="s">
        <v>8</v>
      </c>
      <c r="W127" s="360" t="s">
        <v>19</v>
      </c>
      <c r="X127" s="360">
        <v>24</v>
      </c>
      <c r="Y127" s="360" t="s">
        <v>46</v>
      </c>
      <c r="Z127" s="360">
        <v>7</v>
      </c>
      <c r="AA127" s="360">
        <v>19</v>
      </c>
      <c r="AB127" s="360">
        <v>36.799999999999997</v>
      </c>
      <c r="AD127" s="358" t="str">
        <f t="shared" si="15"/>
        <v>200105AllSexAllEth22Whanganui</v>
      </c>
      <c r="AE127" t="s">
        <v>17</v>
      </c>
      <c r="AF127" t="s">
        <v>27</v>
      </c>
      <c r="AG127">
        <v>22</v>
      </c>
      <c r="AH127">
        <v>12</v>
      </c>
      <c r="AI127" t="s">
        <v>65</v>
      </c>
      <c r="AJ127">
        <v>12</v>
      </c>
      <c r="AK127">
        <v>28.639618138424801</v>
      </c>
      <c r="AL127">
        <v>21.3</v>
      </c>
      <c r="AM127" t="s">
        <v>82</v>
      </c>
      <c r="AN127">
        <v>200105</v>
      </c>
      <c r="AQ127" t="str">
        <f t="shared" si="13"/>
        <v>2008AllSexUrban23</v>
      </c>
      <c r="AR127">
        <v>2008</v>
      </c>
      <c r="AS127" t="s">
        <v>17</v>
      </c>
      <c r="AT127" t="s">
        <v>97</v>
      </c>
      <c r="AU127">
        <v>23</v>
      </c>
      <c r="AV127">
        <v>151</v>
      </c>
      <c r="AW127">
        <v>14.802325239435</v>
      </c>
      <c r="AX127">
        <v>2.4</v>
      </c>
      <c r="AZ127" t="str">
        <f t="shared" si="16"/>
        <v>2015MaleNon-Maori15</v>
      </c>
      <c r="BA127">
        <v>2015</v>
      </c>
      <c r="BB127" t="s">
        <v>20</v>
      </c>
      <c r="BC127" t="s">
        <v>19</v>
      </c>
      <c r="BD127">
        <v>15</v>
      </c>
      <c r="BE127">
        <v>7</v>
      </c>
      <c r="BF127">
        <v>9.4098669175964496</v>
      </c>
      <c r="BG127" s="83">
        <v>7</v>
      </c>
      <c r="BH127">
        <v>1589</v>
      </c>
      <c r="BI127">
        <v>0.4</v>
      </c>
      <c r="BS127" t="str">
        <f t="shared" si="17"/>
        <v>AllSexAsian244</v>
      </c>
      <c r="BT127" t="s">
        <v>17</v>
      </c>
      <c r="BU127" t="s">
        <v>78</v>
      </c>
      <c r="BV127">
        <v>24</v>
      </c>
      <c r="BW127">
        <v>4</v>
      </c>
      <c r="BX127">
        <v>9</v>
      </c>
      <c r="BY127">
        <v>8.2331673076052798</v>
      </c>
      <c r="BZ127">
        <v>5.4</v>
      </c>
      <c r="CB127" t="str">
        <f t="shared" si="18"/>
        <v>AllSexPacific25Hanging, strangulation and suffocation</v>
      </c>
      <c r="CC127" t="s">
        <v>17</v>
      </c>
      <c r="CD127" t="s">
        <v>79</v>
      </c>
      <c r="CE127" t="s">
        <v>43</v>
      </c>
      <c r="CF127">
        <v>25</v>
      </c>
      <c r="CG127">
        <v>2</v>
      </c>
      <c r="CH127">
        <v>3</v>
      </c>
      <c r="CI127">
        <v>66.7</v>
      </c>
    </row>
    <row r="128" spans="1:95" x14ac:dyDescent="0.2">
      <c r="A128" t="str">
        <f t="shared" si="11"/>
        <v>2000MaleAllEth19</v>
      </c>
      <c r="B128">
        <v>2000</v>
      </c>
      <c r="C128" t="s">
        <v>20</v>
      </c>
      <c r="D128" t="s">
        <v>27</v>
      </c>
      <c r="E128">
        <v>19</v>
      </c>
      <c r="F128">
        <v>376</v>
      </c>
      <c r="G128">
        <v>19.947436156558702</v>
      </c>
      <c r="H128">
        <v>2</v>
      </c>
      <c r="J128" s="358" t="str">
        <f t="shared" si="12"/>
        <v>2010AllSexMaori195</v>
      </c>
      <c r="K128" s="359">
        <v>2010</v>
      </c>
      <c r="L128" t="s">
        <v>17</v>
      </c>
      <c r="M128" t="s">
        <v>18</v>
      </c>
      <c r="N128">
        <v>19</v>
      </c>
      <c r="O128">
        <v>5</v>
      </c>
      <c r="P128">
        <v>56</v>
      </c>
      <c r="Q128">
        <v>21.5974219861146</v>
      </c>
      <c r="R128">
        <v>5.7</v>
      </c>
      <c r="T128" s="358" t="str">
        <f t="shared" si="14"/>
        <v>1996FemaleNon-Maori25Poisoning by gases and vapours</v>
      </c>
      <c r="U128" s="360">
        <v>1996</v>
      </c>
      <c r="V128" s="360" t="s">
        <v>8</v>
      </c>
      <c r="W128" s="360" t="s">
        <v>19</v>
      </c>
      <c r="X128" s="360">
        <v>25</v>
      </c>
      <c r="Y128" s="360" t="s">
        <v>46</v>
      </c>
      <c r="Z128" s="360">
        <v>2</v>
      </c>
      <c r="AA128" s="360">
        <v>13</v>
      </c>
      <c r="AB128" s="360">
        <v>15.4</v>
      </c>
      <c r="AD128" s="358" t="str">
        <f t="shared" si="15"/>
        <v>200105AllSexAllEth22Unknown</v>
      </c>
      <c r="AE128" t="s">
        <v>17</v>
      </c>
      <c r="AF128" t="s">
        <v>27</v>
      </c>
      <c r="AG128">
        <v>22</v>
      </c>
      <c r="AH128">
        <v>98</v>
      </c>
      <c r="AI128" t="s">
        <v>75</v>
      </c>
      <c r="AJ128">
        <v>2</v>
      </c>
      <c r="AK128">
        <v>0</v>
      </c>
      <c r="AL128">
        <v>0</v>
      </c>
      <c r="AM128" t="s">
        <v>83</v>
      </c>
      <c r="AN128">
        <v>200105</v>
      </c>
      <c r="AQ128" t="str">
        <f t="shared" si="13"/>
        <v>2008AllSexRural24</v>
      </c>
      <c r="AR128">
        <v>2008</v>
      </c>
      <c r="AS128" t="s">
        <v>17</v>
      </c>
      <c r="AT128" t="s">
        <v>96</v>
      </c>
      <c r="AU128">
        <v>24</v>
      </c>
      <c r="AV128">
        <v>33</v>
      </c>
      <c r="AW128">
        <v>18.391573315499102</v>
      </c>
      <c r="AX128">
        <v>6.3</v>
      </c>
      <c r="AZ128" t="str">
        <f t="shared" si="16"/>
        <v>2015MaleNon-Maori16</v>
      </c>
      <c r="BA128">
        <v>2015</v>
      </c>
      <c r="BB128" t="s">
        <v>20</v>
      </c>
      <c r="BC128" t="s">
        <v>19</v>
      </c>
      <c r="BD128">
        <v>16</v>
      </c>
      <c r="BE128">
        <v>13</v>
      </c>
      <c r="BF128">
        <v>24.537561343903398</v>
      </c>
      <c r="BG128" s="83">
        <v>13.3</v>
      </c>
      <c r="BH128">
        <v>1861</v>
      </c>
      <c r="BI128">
        <v>0.7</v>
      </c>
      <c r="BS128" t="str">
        <f t="shared" si="17"/>
        <v>AllSexAsian245</v>
      </c>
      <c r="BT128" t="s">
        <v>17</v>
      </c>
      <c r="BU128" t="s">
        <v>78</v>
      </c>
      <c r="BV128">
        <v>24</v>
      </c>
      <c r="BW128">
        <v>5</v>
      </c>
      <c r="BX128">
        <v>8</v>
      </c>
      <c r="BY128">
        <v>9.6611580117446305</v>
      </c>
      <c r="BZ128">
        <v>6.7</v>
      </c>
      <c r="CB128" t="str">
        <f t="shared" si="18"/>
        <v>AllSexPacific22Jumping from a high place</v>
      </c>
      <c r="CC128" t="s">
        <v>17</v>
      </c>
      <c r="CD128" t="s">
        <v>79</v>
      </c>
      <c r="CE128" t="s">
        <v>44</v>
      </c>
      <c r="CF128">
        <v>22</v>
      </c>
      <c r="CG128">
        <v>1</v>
      </c>
      <c r="CH128">
        <v>57</v>
      </c>
      <c r="CI128">
        <v>1.8</v>
      </c>
    </row>
    <row r="129" spans="1:87" x14ac:dyDescent="0.2">
      <c r="A129" t="str">
        <f t="shared" si="11"/>
        <v>2001MaleAllEth19</v>
      </c>
      <c r="B129">
        <v>2001</v>
      </c>
      <c r="C129" t="s">
        <v>20</v>
      </c>
      <c r="D129" t="s">
        <v>27</v>
      </c>
      <c r="E129">
        <v>19</v>
      </c>
      <c r="F129">
        <v>390</v>
      </c>
      <c r="G129">
        <v>20.356398349177098</v>
      </c>
      <c r="H129">
        <v>2</v>
      </c>
      <c r="J129" s="358" t="str">
        <f t="shared" si="12"/>
        <v>2011AllSexMaori191</v>
      </c>
      <c r="K129" s="359">
        <v>2011</v>
      </c>
      <c r="L129" t="s">
        <v>17</v>
      </c>
      <c r="M129" t="s">
        <v>18</v>
      </c>
      <c r="N129">
        <v>19</v>
      </c>
      <c r="O129">
        <v>1</v>
      </c>
      <c r="P129">
        <v>6</v>
      </c>
      <c r="Q129">
        <v>10.4968045124853</v>
      </c>
      <c r="R129">
        <v>8.4</v>
      </c>
      <c r="T129" s="358" t="str">
        <f t="shared" si="14"/>
        <v>1996FemaleNon-Maori22Poisoning by solids and liquids</v>
      </c>
      <c r="U129" s="360">
        <v>1996</v>
      </c>
      <c r="V129" s="360" t="s">
        <v>8</v>
      </c>
      <c r="W129" s="360" t="s">
        <v>19</v>
      </c>
      <c r="X129" s="360">
        <v>22</v>
      </c>
      <c r="Y129" s="360" t="s">
        <v>47</v>
      </c>
      <c r="Z129" s="360">
        <v>7</v>
      </c>
      <c r="AA129" s="360">
        <v>29</v>
      </c>
      <c r="AB129" s="360">
        <v>24.1</v>
      </c>
      <c r="AQ129" t="str">
        <f t="shared" si="13"/>
        <v>2008AllSexUrban24</v>
      </c>
      <c r="AR129">
        <v>2008</v>
      </c>
      <c r="AS129" t="s">
        <v>17</v>
      </c>
      <c r="AT129" t="s">
        <v>97</v>
      </c>
      <c r="AU129">
        <v>24</v>
      </c>
      <c r="AV129">
        <v>124</v>
      </c>
      <c r="AW129">
        <v>14.190727961456201</v>
      </c>
      <c r="AX129">
        <v>2.5</v>
      </c>
      <c r="AZ129" t="str">
        <f t="shared" si="16"/>
        <v>2015MaleNon-Maori17</v>
      </c>
      <c r="BA129">
        <v>2015</v>
      </c>
      <c r="BB129" t="s">
        <v>20</v>
      </c>
      <c r="BC129" t="s">
        <v>19</v>
      </c>
      <c r="BD129">
        <v>17</v>
      </c>
      <c r="BE129">
        <v>9</v>
      </c>
      <c r="BF129">
        <v>25.259612685938801</v>
      </c>
      <c r="BG129" s="83">
        <v>16.5</v>
      </c>
      <c r="BH129">
        <v>2309</v>
      </c>
      <c r="BI129">
        <v>0.4</v>
      </c>
      <c r="BS129" t="str">
        <f t="shared" si="17"/>
        <v>AllSexMaori241</v>
      </c>
      <c r="BT129" t="s">
        <v>17</v>
      </c>
      <c r="BU129" t="s">
        <v>18</v>
      </c>
      <c r="BV129">
        <v>24</v>
      </c>
      <c r="BW129">
        <v>1</v>
      </c>
      <c r="BX129">
        <v>1</v>
      </c>
      <c r="BY129">
        <v>1.60467761456489</v>
      </c>
      <c r="BZ129">
        <v>3.1</v>
      </c>
      <c r="CB129" t="str">
        <f t="shared" si="18"/>
        <v>AllSexPacific23Jumping from a high place</v>
      </c>
      <c r="CC129" t="s">
        <v>17</v>
      </c>
      <c r="CD129" t="s">
        <v>79</v>
      </c>
      <c r="CE129" t="s">
        <v>44</v>
      </c>
      <c r="CF129">
        <v>23</v>
      </c>
      <c r="CG129">
        <v>1</v>
      </c>
      <c r="CH129">
        <v>34</v>
      </c>
      <c r="CI129">
        <v>2.9</v>
      </c>
    </row>
    <row r="130" spans="1:87" x14ac:dyDescent="0.2">
      <c r="A130" t="str">
        <f t="shared" si="11"/>
        <v>2002MaleAllEth19</v>
      </c>
      <c r="B130">
        <v>2002</v>
      </c>
      <c r="C130" t="s">
        <v>20</v>
      </c>
      <c r="D130" t="s">
        <v>27</v>
      </c>
      <c r="E130">
        <v>19</v>
      </c>
      <c r="F130">
        <v>356</v>
      </c>
      <c r="G130">
        <v>18.167720892576899</v>
      </c>
      <c r="H130">
        <v>1.9</v>
      </c>
      <c r="J130" s="358" t="str">
        <f t="shared" si="12"/>
        <v>2011AllSexMaori192</v>
      </c>
      <c r="K130" s="359">
        <v>2011</v>
      </c>
      <c r="L130" t="s">
        <v>17</v>
      </c>
      <c r="M130" t="s">
        <v>18</v>
      </c>
      <c r="N130">
        <v>19</v>
      </c>
      <c r="O130">
        <v>2</v>
      </c>
      <c r="P130">
        <v>17</v>
      </c>
      <c r="Q130">
        <v>21.6531984067813</v>
      </c>
      <c r="R130">
        <v>10.3</v>
      </c>
      <c r="T130" s="358" t="str">
        <f t="shared" si="14"/>
        <v>1996FemaleNon-Maori23Poisoning by solids and liquids</v>
      </c>
      <c r="U130" s="360">
        <v>1996</v>
      </c>
      <c r="V130" s="360" t="s">
        <v>8</v>
      </c>
      <c r="W130" s="360" t="s">
        <v>19</v>
      </c>
      <c r="X130" s="360">
        <v>23</v>
      </c>
      <c r="Y130" s="360" t="s">
        <v>47</v>
      </c>
      <c r="Z130" s="360">
        <v>5</v>
      </c>
      <c r="AA130" s="360">
        <v>25</v>
      </c>
      <c r="AB130" s="360">
        <v>20</v>
      </c>
      <c r="AQ130" t="str">
        <f t="shared" si="13"/>
        <v>2008AllSexRural25</v>
      </c>
      <c r="AR130">
        <v>2008</v>
      </c>
      <c r="AS130" t="s">
        <v>17</v>
      </c>
      <c r="AT130" t="s">
        <v>96</v>
      </c>
      <c r="AU130">
        <v>25</v>
      </c>
      <c r="AV130">
        <v>10</v>
      </c>
      <c r="AW130">
        <v>15.2695067949305</v>
      </c>
      <c r="AX130">
        <v>9.5</v>
      </c>
      <c r="AZ130" t="str">
        <f t="shared" si="16"/>
        <v>2015MaleNon-Maori18</v>
      </c>
      <c r="BA130">
        <v>2015</v>
      </c>
      <c r="BB130" t="s">
        <v>20</v>
      </c>
      <c r="BC130" t="s">
        <v>19</v>
      </c>
      <c r="BD130">
        <v>18</v>
      </c>
      <c r="BE130">
        <v>6</v>
      </c>
      <c r="BF130">
        <v>20.790020790020801</v>
      </c>
      <c r="BG130" s="83">
        <v>16.600000000000001</v>
      </c>
      <c r="BH130">
        <v>4453</v>
      </c>
      <c r="BI130">
        <v>0.1</v>
      </c>
      <c r="BS130" t="str">
        <f t="shared" si="17"/>
        <v>AllSexMaori242</v>
      </c>
      <c r="BT130" t="s">
        <v>17</v>
      </c>
      <c r="BU130" t="s">
        <v>18</v>
      </c>
      <c r="BV130">
        <v>24</v>
      </c>
      <c r="BW130">
        <v>2</v>
      </c>
      <c r="BX130">
        <v>10</v>
      </c>
      <c r="BY130">
        <v>12.804901003397701</v>
      </c>
      <c r="BZ130">
        <v>7.9</v>
      </c>
      <c r="CB130" t="str">
        <f t="shared" si="18"/>
        <v>AllSexPacific24Jumping from a high place</v>
      </c>
      <c r="CC130" t="s">
        <v>17</v>
      </c>
      <c r="CD130" t="s">
        <v>79</v>
      </c>
      <c r="CE130" t="s">
        <v>44</v>
      </c>
      <c r="CF130">
        <v>24</v>
      </c>
      <c r="CG130">
        <v>3</v>
      </c>
      <c r="CH130">
        <v>22</v>
      </c>
      <c r="CI130">
        <v>13.6</v>
      </c>
    </row>
    <row r="131" spans="1:87" x14ac:dyDescent="0.2">
      <c r="A131" t="str">
        <f t="shared" si="11"/>
        <v>2003MaleAllEth19</v>
      </c>
      <c r="B131">
        <v>2003</v>
      </c>
      <c r="C131" t="s">
        <v>20</v>
      </c>
      <c r="D131" t="s">
        <v>27</v>
      </c>
      <c r="E131">
        <v>19</v>
      </c>
      <c r="F131">
        <v>380</v>
      </c>
      <c r="G131">
        <v>18.574084657112099</v>
      </c>
      <c r="H131">
        <v>1.9</v>
      </c>
      <c r="J131" s="358" t="str">
        <f t="shared" si="12"/>
        <v>2011AllSexMaori193</v>
      </c>
      <c r="K131" s="359">
        <v>2011</v>
      </c>
      <c r="L131" t="s">
        <v>17</v>
      </c>
      <c r="M131" t="s">
        <v>18</v>
      </c>
      <c r="N131">
        <v>19</v>
      </c>
      <c r="O131">
        <v>3</v>
      </c>
      <c r="P131">
        <v>14</v>
      </c>
      <c r="Q131">
        <v>12.3556696064809</v>
      </c>
      <c r="R131">
        <v>6.5</v>
      </c>
      <c r="T131" s="358" t="str">
        <f t="shared" si="14"/>
        <v>1996FemaleNon-Maori24Poisoning by solids and liquids</v>
      </c>
      <c r="U131" s="360">
        <v>1996</v>
      </c>
      <c r="V131" s="360" t="s">
        <v>8</v>
      </c>
      <c r="W131" s="360" t="s">
        <v>19</v>
      </c>
      <c r="X131" s="360">
        <v>24</v>
      </c>
      <c r="Y131" s="360" t="s">
        <v>47</v>
      </c>
      <c r="Z131" s="360">
        <v>5</v>
      </c>
      <c r="AA131" s="360">
        <v>19</v>
      </c>
      <c r="AB131" s="360">
        <v>26.3</v>
      </c>
      <c r="AQ131" t="str">
        <f t="shared" si="13"/>
        <v>2008AllSexUrban25</v>
      </c>
      <c r="AR131">
        <v>2008</v>
      </c>
      <c r="AS131" t="s">
        <v>17</v>
      </c>
      <c r="AT131" t="s">
        <v>97</v>
      </c>
      <c r="AU131">
        <v>25</v>
      </c>
      <c r="AV131">
        <v>41</v>
      </c>
      <c r="AW131">
        <v>8.7336244541484707</v>
      </c>
      <c r="AX131">
        <v>2.7</v>
      </c>
      <c r="BS131" t="str">
        <f t="shared" si="17"/>
        <v>AllSexMaori243</v>
      </c>
      <c r="BT131" t="s">
        <v>17</v>
      </c>
      <c r="BU131" t="s">
        <v>18</v>
      </c>
      <c r="BV131">
        <v>24</v>
      </c>
      <c r="BW131">
        <v>3</v>
      </c>
      <c r="BX131">
        <v>11</v>
      </c>
      <c r="BY131">
        <v>10.6977954712178</v>
      </c>
      <c r="BZ131">
        <v>6.3</v>
      </c>
      <c r="CB131" t="str">
        <f t="shared" si="18"/>
        <v>AllSexPacific21Other</v>
      </c>
      <c r="CC131" t="s">
        <v>17</v>
      </c>
      <c r="CD131" t="s">
        <v>79</v>
      </c>
      <c r="CE131" t="s">
        <v>45</v>
      </c>
      <c r="CF131">
        <v>21</v>
      </c>
      <c r="CG131">
        <v>1</v>
      </c>
      <c r="CH131">
        <v>8</v>
      </c>
      <c r="CI131">
        <v>12.5</v>
      </c>
    </row>
    <row r="132" spans="1:87" x14ac:dyDescent="0.2">
      <c r="A132" t="str">
        <f t="shared" ref="A132:A195" si="20">B132&amp;C132&amp;D132&amp;E132</f>
        <v>2004MaleAllEth19</v>
      </c>
      <c r="B132">
        <v>2004</v>
      </c>
      <c r="C132" t="s">
        <v>20</v>
      </c>
      <c r="D132" t="s">
        <v>27</v>
      </c>
      <c r="E132">
        <v>19</v>
      </c>
      <c r="F132">
        <v>382</v>
      </c>
      <c r="G132">
        <v>18.725315817265901</v>
      </c>
      <c r="H132">
        <v>1.9</v>
      </c>
      <c r="J132" s="358" t="str">
        <f t="shared" ref="J132:J195" si="21">K132&amp;L132&amp;M132&amp;N132&amp;O132</f>
        <v>2011AllSexMaori194</v>
      </c>
      <c r="K132" s="359">
        <v>2011</v>
      </c>
      <c r="L132" t="s">
        <v>17</v>
      </c>
      <c r="M132" t="s">
        <v>18</v>
      </c>
      <c r="N132">
        <v>19</v>
      </c>
      <c r="O132">
        <v>4</v>
      </c>
      <c r="P132">
        <v>20</v>
      </c>
      <c r="Q132">
        <v>12.891795717896899</v>
      </c>
      <c r="R132">
        <v>5.6</v>
      </c>
      <c r="T132" s="358" t="str">
        <f t="shared" si="14"/>
        <v>1996FemaleNon-Maori25Poisoning by solids and liquids</v>
      </c>
      <c r="U132" s="360">
        <v>1996</v>
      </c>
      <c r="V132" s="360" t="s">
        <v>8</v>
      </c>
      <c r="W132" s="360" t="s">
        <v>19</v>
      </c>
      <c r="X132" s="360">
        <v>25</v>
      </c>
      <c r="Y132" s="360" t="s">
        <v>47</v>
      </c>
      <c r="Z132" s="360">
        <v>5</v>
      </c>
      <c r="AA132" s="360">
        <v>13</v>
      </c>
      <c r="AB132" s="360">
        <v>38.5</v>
      </c>
      <c r="AQ132" t="str">
        <f t="shared" ref="AQ132:AQ195" si="22">AR132&amp;AS132&amp;AT132&amp;AU132</f>
        <v>2008FemaleRural22</v>
      </c>
      <c r="AR132">
        <v>2008</v>
      </c>
      <c r="AS132" t="s">
        <v>8</v>
      </c>
      <c r="AT132" t="s">
        <v>96</v>
      </c>
      <c r="AU132">
        <v>22</v>
      </c>
      <c r="AV132">
        <v>3</v>
      </c>
      <c r="AW132">
        <v>9.5450206808781406</v>
      </c>
      <c r="AX132">
        <v>10.8</v>
      </c>
      <c r="BS132" t="str">
        <f t="shared" si="17"/>
        <v>AllSexMaori244</v>
      </c>
      <c r="BT132" t="s">
        <v>17</v>
      </c>
      <c r="BU132" t="s">
        <v>18</v>
      </c>
      <c r="BV132">
        <v>24</v>
      </c>
      <c r="BW132">
        <v>4</v>
      </c>
      <c r="BX132">
        <v>12</v>
      </c>
      <c r="BY132">
        <v>8.3929513486549308</v>
      </c>
      <c r="BZ132">
        <v>4.7</v>
      </c>
      <c r="CB132" t="str">
        <f t="shared" si="18"/>
        <v>AllSexPacific23Other</v>
      </c>
      <c r="CC132" t="s">
        <v>17</v>
      </c>
      <c r="CD132" t="s">
        <v>79</v>
      </c>
      <c r="CE132" t="s">
        <v>45</v>
      </c>
      <c r="CF132">
        <v>23</v>
      </c>
      <c r="CG132">
        <v>1</v>
      </c>
      <c r="CH132">
        <v>34</v>
      </c>
      <c r="CI132">
        <v>2.9</v>
      </c>
    </row>
    <row r="133" spans="1:87" x14ac:dyDescent="0.2">
      <c r="A133" t="str">
        <f t="shared" si="20"/>
        <v>2005MaleAllEth19</v>
      </c>
      <c r="B133">
        <v>2005</v>
      </c>
      <c r="C133" t="s">
        <v>20</v>
      </c>
      <c r="D133" t="s">
        <v>27</v>
      </c>
      <c r="E133">
        <v>19</v>
      </c>
      <c r="F133">
        <v>383</v>
      </c>
      <c r="G133">
        <v>18.722380905625801</v>
      </c>
      <c r="H133">
        <v>1.9</v>
      </c>
      <c r="J133" s="358" t="str">
        <f t="shared" si="21"/>
        <v>2011AllSexMaori195</v>
      </c>
      <c r="K133" s="359">
        <v>2011</v>
      </c>
      <c r="L133" t="s">
        <v>17</v>
      </c>
      <c r="M133" t="s">
        <v>18</v>
      </c>
      <c r="N133">
        <v>19</v>
      </c>
      <c r="O133">
        <v>5</v>
      </c>
      <c r="P133">
        <v>55</v>
      </c>
      <c r="Q133">
        <v>21.835288706363301</v>
      </c>
      <c r="R133">
        <v>5.8</v>
      </c>
      <c r="T133" s="358" t="str">
        <f t="shared" ref="T133:T196" si="23">U133&amp;V133&amp;W133&amp;X133&amp;Y133</f>
        <v>1996FemaleNon-Maori24Sharp object</v>
      </c>
      <c r="U133" s="360">
        <v>1996</v>
      </c>
      <c r="V133" s="360" t="s">
        <v>8</v>
      </c>
      <c r="W133" s="360" t="s">
        <v>19</v>
      </c>
      <c r="X133" s="360">
        <v>24</v>
      </c>
      <c r="Y133" s="360" t="s">
        <v>48</v>
      </c>
      <c r="Z133" s="360">
        <v>1</v>
      </c>
      <c r="AA133" s="360">
        <v>19</v>
      </c>
      <c r="AB133" s="360">
        <v>5.3</v>
      </c>
      <c r="AQ133" t="str">
        <f t="shared" si="22"/>
        <v>2008FemaleUrban22</v>
      </c>
      <c r="AR133">
        <v>2008</v>
      </c>
      <c r="AS133" t="s">
        <v>8</v>
      </c>
      <c r="AT133" t="s">
        <v>97</v>
      </c>
      <c r="AU133">
        <v>22</v>
      </c>
      <c r="AV133">
        <v>35</v>
      </c>
      <c r="AW133">
        <v>12.990387113536</v>
      </c>
      <c r="AX133">
        <v>4.3</v>
      </c>
      <c r="BS133" t="str">
        <f t="shared" ref="BS133:BS196" si="24">BT133&amp;BU133&amp;BV133&amp;BW133</f>
        <v>AllSexMaori245</v>
      </c>
      <c r="BT133" t="s">
        <v>17</v>
      </c>
      <c r="BU133" t="s">
        <v>18</v>
      </c>
      <c r="BV133">
        <v>24</v>
      </c>
      <c r="BW133">
        <v>5</v>
      </c>
      <c r="BX133">
        <v>30</v>
      </c>
      <c r="BY133">
        <v>12.012837458843199</v>
      </c>
      <c r="BZ133">
        <v>4.3</v>
      </c>
      <c r="CB133" t="str">
        <f t="shared" ref="CB133:CB196" si="25">CC133&amp;CD133&amp;CF133&amp;CE133</f>
        <v>AllSexPacific24Other</v>
      </c>
      <c r="CC133" t="s">
        <v>17</v>
      </c>
      <c r="CD133" t="s">
        <v>79</v>
      </c>
      <c r="CE133" t="s">
        <v>45</v>
      </c>
      <c r="CF133">
        <v>24</v>
      </c>
      <c r="CG133">
        <v>1</v>
      </c>
      <c r="CH133">
        <v>22</v>
      </c>
      <c r="CI133">
        <v>4.5</v>
      </c>
    </row>
    <row r="134" spans="1:87" x14ac:dyDescent="0.2">
      <c r="A134" t="str">
        <f t="shared" si="20"/>
        <v>2006MaleAllEth19</v>
      </c>
      <c r="B134">
        <v>2006</v>
      </c>
      <c r="C134" t="s">
        <v>20</v>
      </c>
      <c r="D134" t="s">
        <v>27</v>
      </c>
      <c r="E134">
        <v>19</v>
      </c>
      <c r="F134">
        <v>387</v>
      </c>
      <c r="G134">
        <v>18.521171460464299</v>
      </c>
      <c r="H134">
        <v>1.8</v>
      </c>
      <c r="J134" s="358" t="str">
        <f t="shared" si="21"/>
        <v>2012AllSexMaori191</v>
      </c>
      <c r="K134" s="359">
        <v>2012</v>
      </c>
      <c r="L134" t="s">
        <v>17</v>
      </c>
      <c r="M134" t="s">
        <v>18</v>
      </c>
      <c r="N134">
        <v>19</v>
      </c>
      <c r="O134">
        <v>1</v>
      </c>
      <c r="P134">
        <v>2</v>
      </c>
      <c r="Q134">
        <v>4.9396268264284497</v>
      </c>
      <c r="R134">
        <v>6.8</v>
      </c>
      <c r="T134" s="358" t="str">
        <f t="shared" si="23"/>
        <v>1996FemaleNon-Maori24Submersion (drowning)</v>
      </c>
      <c r="U134" s="360">
        <v>1996</v>
      </c>
      <c r="V134" s="360" t="s">
        <v>8</v>
      </c>
      <c r="W134" s="360" t="s">
        <v>19</v>
      </c>
      <c r="X134" s="360">
        <v>24</v>
      </c>
      <c r="Y134" s="360" t="s">
        <v>49</v>
      </c>
      <c r="Z134" s="360">
        <v>2</v>
      </c>
      <c r="AA134" s="360">
        <v>19</v>
      </c>
      <c r="AB134" s="360">
        <v>10.5</v>
      </c>
      <c r="AQ134" t="str">
        <f t="shared" si="22"/>
        <v>2008FemaleRural23</v>
      </c>
      <c r="AR134">
        <v>2008</v>
      </c>
      <c r="AS134" t="s">
        <v>8</v>
      </c>
      <c r="AT134" t="s">
        <v>96</v>
      </c>
      <c r="AU134">
        <v>23</v>
      </c>
      <c r="AV134">
        <v>5</v>
      </c>
      <c r="AW134">
        <v>6.5436461196178497</v>
      </c>
      <c r="AX134">
        <v>5.7</v>
      </c>
      <c r="BS134" t="str">
        <f t="shared" si="24"/>
        <v>AllSexOther241</v>
      </c>
      <c r="BT134" t="s">
        <v>17</v>
      </c>
      <c r="BU134" t="s">
        <v>45</v>
      </c>
      <c r="BV134">
        <v>24</v>
      </c>
      <c r="BW134">
        <v>1</v>
      </c>
      <c r="BX134">
        <v>123</v>
      </c>
      <c r="BY134">
        <v>10.356786918969</v>
      </c>
      <c r="BZ134">
        <v>1.8</v>
      </c>
      <c r="CB134" t="str">
        <f t="shared" si="25"/>
        <v>AllSexPacific23Poisoning by gases and vapours</v>
      </c>
      <c r="CC134" t="s">
        <v>17</v>
      </c>
      <c r="CD134" t="s">
        <v>79</v>
      </c>
      <c r="CE134" t="s">
        <v>46</v>
      </c>
      <c r="CF134">
        <v>23</v>
      </c>
      <c r="CG134">
        <v>1</v>
      </c>
      <c r="CH134">
        <v>34</v>
      </c>
      <c r="CI134">
        <v>2.9</v>
      </c>
    </row>
    <row r="135" spans="1:87" x14ac:dyDescent="0.2">
      <c r="A135" t="str">
        <f t="shared" si="20"/>
        <v>2007MaleAllEth19</v>
      </c>
      <c r="B135">
        <v>2007</v>
      </c>
      <c r="C135" t="s">
        <v>20</v>
      </c>
      <c r="D135" t="s">
        <v>27</v>
      </c>
      <c r="E135">
        <v>19</v>
      </c>
      <c r="F135">
        <v>381</v>
      </c>
      <c r="G135">
        <v>17.981880281474702</v>
      </c>
      <c r="H135">
        <v>1.8</v>
      </c>
      <c r="J135" s="358" t="str">
        <f t="shared" si="21"/>
        <v>2012AllSexMaori192</v>
      </c>
      <c r="K135" s="359">
        <v>2012</v>
      </c>
      <c r="L135" t="s">
        <v>17</v>
      </c>
      <c r="M135" t="s">
        <v>18</v>
      </c>
      <c r="N135">
        <v>19</v>
      </c>
      <c r="O135">
        <v>2</v>
      </c>
      <c r="P135">
        <v>12</v>
      </c>
      <c r="Q135">
        <v>16.637221219970201</v>
      </c>
      <c r="R135">
        <v>9.4</v>
      </c>
      <c r="T135" s="358" t="str">
        <f t="shared" si="23"/>
        <v>1996FemaleNon-Maori25Submersion (drowning)</v>
      </c>
      <c r="U135" s="360">
        <v>1996</v>
      </c>
      <c r="V135" s="360" t="s">
        <v>8</v>
      </c>
      <c r="W135" s="360" t="s">
        <v>19</v>
      </c>
      <c r="X135" s="360">
        <v>25</v>
      </c>
      <c r="Y135" s="360" t="s">
        <v>49</v>
      </c>
      <c r="Z135" s="360">
        <v>1</v>
      </c>
      <c r="AA135" s="360">
        <v>13</v>
      </c>
      <c r="AB135" s="360">
        <v>7.7</v>
      </c>
      <c r="AQ135" t="str">
        <f t="shared" si="22"/>
        <v>2008FemaleUrban23</v>
      </c>
      <c r="AR135">
        <v>2008</v>
      </c>
      <c r="AS135" t="s">
        <v>8</v>
      </c>
      <c r="AT135" t="s">
        <v>97</v>
      </c>
      <c r="AU135">
        <v>23</v>
      </c>
      <c r="AV135">
        <v>43</v>
      </c>
      <c r="AW135">
        <v>8.0962512473875492</v>
      </c>
      <c r="AX135">
        <v>2.4</v>
      </c>
      <c r="BS135" t="str">
        <f t="shared" si="24"/>
        <v>AllSexOther242</v>
      </c>
      <c r="BT135" t="s">
        <v>17</v>
      </c>
      <c r="BU135" t="s">
        <v>45</v>
      </c>
      <c r="BV135">
        <v>24</v>
      </c>
      <c r="BW135">
        <v>2</v>
      </c>
      <c r="BX135">
        <v>131</v>
      </c>
      <c r="BY135">
        <v>13.0299181243916</v>
      </c>
      <c r="BZ135">
        <v>2.2000000000000002</v>
      </c>
      <c r="CB135" t="str">
        <f t="shared" si="25"/>
        <v>AllSexPacific22Poisoning by solids and liquids</v>
      </c>
      <c r="CC135" t="s">
        <v>17</v>
      </c>
      <c r="CD135" t="s">
        <v>79</v>
      </c>
      <c r="CE135" t="s">
        <v>47</v>
      </c>
      <c r="CF135">
        <v>22</v>
      </c>
      <c r="CG135">
        <v>2</v>
      </c>
      <c r="CH135">
        <v>57</v>
      </c>
      <c r="CI135">
        <v>3.5</v>
      </c>
    </row>
    <row r="136" spans="1:87" x14ac:dyDescent="0.2">
      <c r="A136" t="str">
        <f t="shared" si="20"/>
        <v>2008MaleAllEth19</v>
      </c>
      <c r="B136">
        <v>2008</v>
      </c>
      <c r="C136" t="s">
        <v>20</v>
      </c>
      <c r="D136" t="s">
        <v>27</v>
      </c>
      <c r="E136">
        <v>19</v>
      </c>
      <c r="F136">
        <v>379</v>
      </c>
      <c r="G136">
        <v>17.700121249097698</v>
      </c>
      <c r="H136">
        <v>1.8</v>
      </c>
      <c r="J136" s="358" t="str">
        <f t="shared" si="21"/>
        <v>2012AllSexMaori193</v>
      </c>
      <c r="K136" s="359">
        <v>2012</v>
      </c>
      <c r="L136" t="s">
        <v>17</v>
      </c>
      <c r="M136" t="s">
        <v>18</v>
      </c>
      <c r="N136">
        <v>19</v>
      </c>
      <c r="O136">
        <v>3</v>
      </c>
      <c r="P136">
        <v>18</v>
      </c>
      <c r="Q136">
        <v>15.938378032392</v>
      </c>
      <c r="R136">
        <v>7.4</v>
      </c>
      <c r="T136" s="358" t="str">
        <f t="shared" si="23"/>
        <v>1996MaleAllEth22Firearms and explosives</v>
      </c>
      <c r="U136" s="360">
        <v>1996</v>
      </c>
      <c r="V136" s="360" t="s">
        <v>20</v>
      </c>
      <c r="W136" s="360" t="s">
        <v>27</v>
      </c>
      <c r="X136" s="360">
        <v>22</v>
      </c>
      <c r="Y136" s="360" t="s">
        <v>42</v>
      </c>
      <c r="Z136" s="360">
        <v>8</v>
      </c>
      <c r="AA136" s="360">
        <v>105</v>
      </c>
      <c r="AB136" s="360">
        <v>7.6</v>
      </c>
      <c r="AQ136" t="str">
        <f t="shared" si="22"/>
        <v>2008FemaleRural24</v>
      </c>
      <c r="AR136">
        <v>2008</v>
      </c>
      <c r="AS136" t="s">
        <v>8</v>
      </c>
      <c r="AT136" t="s">
        <v>96</v>
      </c>
      <c r="AU136">
        <v>24</v>
      </c>
      <c r="AV136">
        <v>6</v>
      </c>
      <c r="AW136">
        <v>6.8949666743277396</v>
      </c>
      <c r="AX136">
        <v>5.5</v>
      </c>
      <c r="BS136" t="str">
        <f t="shared" si="24"/>
        <v>AllSexOther243</v>
      </c>
      <c r="BT136" t="s">
        <v>17</v>
      </c>
      <c r="BU136" t="s">
        <v>45</v>
      </c>
      <c r="BV136">
        <v>24</v>
      </c>
      <c r="BW136">
        <v>3</v>
      </c>
      <c r="BX136">
        <v>140</v>
      </c>
      <c r="BY136">
        <v>16.150118178770501</v>
      </c>
      <c r="BZ136">
        <v>2.7</v>
      </c>
      <c r="CB136" t="str">
        <f t="shared" si="25"/>
        <v>AllSexPacific23Poisoning by solids and liquids</v>
      </c>
      <c r="CC136" t="s">
        <v>17</v>
      </c>
      <c r="CD136" t="s">
        <v>79</v>
      </c>
      <c r="CE136" t="s">
        <v>47</v>
      </c>
      <c r="CF136">
        <v>23</v>
      </c>
      <c r="CG136">
        <v>2</v>
      </c>
      <c r="CH136">
        <v>34</v>
      </c>
      <c r="CI136">
        <v>5.9</v>
      </c>
    </row>
    <row r="137" spans="1:87" x14ac:dyDescent="0.2">
      <c r="A137" t="str">
        <f t="shared" si="20"/>
        <v>2009MaleAllEth19</v>
      </c>
      <c r="B137">
        <v>2009</v>
      </c>
      <c r="C137" t="s">
        <v>20</v>
      </c>
      <c r="D137" t="s">
        <v>27</v>
      </c>
      <c r="E137">
        <v>19</v>
      </c>
      <c r="F137">
        <v>394</v>
      </c>
      <c r="G137">
        <v>18.249471294450601</v>
      </c>
      <c r="H137">
        <v>1.8</v>
      </c>
      <c r="J137" s="358" t="str">
        <f t="shared" si="21"/>
        <v>2012AllSexMaori194</v>
      </c>
      <c r="K137" s="359">
        <v>2012</v>
      </c>
      <c r="L137" t="s">
        <v>17</v>
      </c>
      <c r="M137" t="s">
        <v>18</v>
      </c>
      <c r="N137">
        <v>19</v>
      </c>
      <c r="O137">
        <v>4</v>
      </c>
      <c r="P137">
        <v>34</v>
      </c>
      <c r="Q137">
        <v>21.7493772047203</v>
      </c>
      <c r="R137">
        <v>7.3</v>
      </c>
      <c r="T137" s="358" t="str">
        <f t="shared" si="23"/>
        <v>1996MaleAllEth23Firearms and explosives</v>
      </c>
      <c r="U137" s="360">
        <v>1996</v>
      </c>
      <c r="V137" s="360" t="s">
        <v>20</v>
      </c>
      <c r="W137" s="360" t="s">
        <v>27</v>
      </c>
      <c r="X137" s="360">
        <v>23</v>
      </c>
      <c r="Y137" s="360" t="s">
        <v>42</v>
      </c>
      <c r="Z137" s="360">
        <v>20</v>
      </c>
      <c r="AA137" s="360">
        <v>188</v>
      </c>
      <c r="AB137" s="360">
        <v>10.6</v>
      </c>
      <c r="AQ137" t="str">
        <f t="shared" si="22"/>
        <v>2008FemaleUrban24</v>
      </c>
      <c r="AR137">
        <v>2008</v>
      </c>
      <c r="AS137" t="s">
        <v>8</v>
      </c>
      <c r="AT137" t="s">
        <v>97</v>
      </c>
      <c r="AU137">
        <v>24</v>
      </c>
      <c r="AV137">
        <v>27</v>
      </c>
      <c r="AW137">
        <v>5.9950707196305304</v>
      </c>
      <c r="AX137">
        <v>2.2999999999999998</v>
      </c>
      <c r="BS137" t="str">
        <f t="shared" si="24"/>
        <v>AllSexOther244</v>
      </c>
      <c r="BT137" t="s">
        <v>17</v>
      </c>
      <c r="BU137" t="s">
        <v>45</v>
      </c>
      <c r="BV137">
        <v>24</v>
      </c>
      <c r="BW137">
        <v>4</v>
      </c>
      <c r="BX137">
        <v>144</v>
      </c>
      <c r="BY137">
        <v>20.1860034901439</v>
      </c>
      <c r="BZ137">
        <v>3.3</v>
      </c>
      <c r="CB137" t="str">
        <f t="shared" si="25"/>
        <v>AllSexPacific24Poisoning by solids and liquids</v>
      </c>
      <c r="CC137" t="s">
        <v>17</v>
      </c>
      <c r="CD137" t="s">
        <v>79</v>
      </c>
      <c r="CE137" t="s">
        <v>47</v>
      </c>
      <c r="CF137">
        <v>24</v>
      </c>
      <c r="CG137">
        <v>2</v>
      </c>
      <c r="CH137">
        <v>22</v>
      </c>
      <c r="CI137">
        <v>9.1</v>
      </c>
    </row>
    <row r="138" spans="1:87" x14ac:dyDescent="0.2">
      <c r="A138" t="str">
        <f t="shared" si="20"/>
        <v>2010MaleAllEth19</v>
      </c>
      <c r="B138">
        <v>2010</v>
      </c>
      <c r="C138" t="s">
        <v>20</v>
      </c>
      <c r="D138" t="s">
        <v>27</v>
      </c>
      <c r="E138">
        <v>19</v>
      </c>
      <c r="F138">
        <v>387</v>
      </c>
      <c r="G138">
        <v>17.638688314312301</v>
      </c>
      <c r="H138">
        <v>1.8</v>
      </c>
      <c r="J138" s="358" t="str">
        <f t="shared" si="21"/>
        <v>2012AllSexMaori195</v>
      </c>
      <c r="K138" s="359">
        <v>2012</v>
      </c>
      <c r="L138" t="s">
        <v>17</v>
      </c>
      <c r="M138" t="s">
        <v>18</v>
      </c>
      <c r="N138">
        <v>19</v>
      </c>
      <c r="O138">
        <v>5</v>
      </c>
      <c r="P138">
        <v>50</v>
      </c>
      <c r="Q138">
        <v>18.144466542874301</v>
      </c>
      <c r="R138">
        <v>5</v>
      </c>
      <c r="T138" s="358" t="str">
        <f t="shared" si="23"/>
        <v>1996MaleAllEth24Firearms and explosives</v>
      </c>
      <c r="U138" s="360">
        <v>1996</v>
      </c>
      <c r="V138" s="360" t="s">
        <v>20</v>
      </c>
      <c r="W138" s="360" t="s">
        <v>27</v>
      </c>
      <c r="X138" s="360">
        <v>24</v>
      </c>
      <c r="Y138" s="360" t="s">
        <v>42</v>
      </c>
      <c r="Z138" s="360">
        <v>9</v>
      </c>
      <c r="AA138" s="360">
        <v>80</v>
      </c>
      <c r="AB138" s="360">
        <v>11.2</v>
      </c>
      <c r="AQ138" t="str">
        <f t="shared" si="22"/>
        <v>2008FemaleRural25</v>
      </c>
      <c r="AR138">
        <v>2008</v>
      </c>
      <c r="AS138" t="s">
        <v>8</v>
      </c>
      <c r="AT138" t="s">
        <v>96</v>
      </c>
      <c r="AU138">
        <v>25</v>
      </c>
      <c r="AV138">
        <v>0</v>
      </c>
      <c r="AW138">
        <v>0</v>
      </c>
      <c r="BS138" t="str">
        <f t="shared" si="24"/>
        <v>AllSexOther245</v>
      </c>
      <c r="BT138" t="s">
        <v>17</v>
      </c>
      <c r="BU138" t="s">
        <v>45</v>
      </c>
      <c r="BV138">
        <v>24</v>
      </c>
      <c r="BW138">
        <v>5</v>
      </c>
      <c r="BX138">
        <v>118</v>
      </c>
      <c r="BY138">
        <v>25.430356177929099</v>
      </c>
      <c r="BZ138">
        <v>4.5999999999999996</v>
      </c>
      <c r="CB138" t="str">
        <f t="shared" si="25"/>
        <v>AllSexPacific25Poisoning by solids and liquids</v>
      </c>
      <c r="CC138" t="s">
        <v>17</v>
      </c>
      <c r="CD138" t="s">
        <v>79</v>
      </c>
      <c r="CE138" t="s">
        <v>47</v>
      </c>
      <c r="CF138">
        <v>25</v>
      </c>
      <c r="CG138">
        <v>1</v>
      </c>
      <c r="CH138">
        <v>3</v>
      </c>
      <c r="CI138">
        <v>33.299999999999997</v>
      </c>
    </row>
    <row r="139" spans="1:87" x14ac:dyDescent="0.2">
      <c r="A139" t="str">
        <f t="shared" si="20"/>
        <v>2011MaleAllEth19</v>
      </c>
      <c r="B139">
        <v>2011</v>
      </c>
      <c r="C139" t="s">
        <v>20</v>
      </c>
      <c r="D139" t="s">
        <v>27</v>
      </c>
      <c r="E139">
        <v>19</v>
      </c>
      <c r="F139">
        <v>377</v>
      </c>
      <c r="G139">
        <v>17.402217133944198</v>
      </c>
      <c r="H139">
        <v>1.8</v>
      </c>
      <c r="J139" s="358" t="str">
        <f t="shared" si="21"/>
        <v>2013AllSexMaori191</v>
      </c>
      <c r="K139" s="359">
        <v>2013</v>
      </c>
      <c r="L139" t="s">
        <v>17</v>
      </c>
      <c r="M139" t="s">
        <v>18</v>
      </c>
      <c r="N139">
        <v>19</v>
      </c>
      <c r="O139">
        <v>1</v>
      </c>
      <c r="P139">
        <v>2</v>
      </c>
      <c r="Q139">
        <v>3.1805744136982801</v>
      </c>
      <c r="R139">
        <v>4.4000000000000004</v>
      </c>
      <c r="T139" s="358" t="str">
        <f t="shared" si="23"/>
        <v>1996MaleAllEth25Firearms and explosives</v>
      </c>
      <c r="U139" s="360">
        <v>1996</v>
      </c>
      <c r="V139" s="360" t="s">
        <v>20</v>
      </c>
      <c r="W139" s="360" t="s">
        <v>27</v>
      </c>
      <c r="X139" s="360">
        <v>25</v>
      </c>
      <c r="Y139" s="360" t="s">
        <v>42</v>
      </c>
      <c r="Z139" s="360">
        <v>9</v>
      </c>
      <c r="AA139" s="360">
        <v>53</v>
      </c>
      <c r="AB139" s="360">
        <v>17</v>
      </c>
      <c r="AQ139" t="str">
        <f t="shared" si="22"/>
        <v>2008FemaleUrban25</v>
      </c>
      <c r="AR139">
        <v>2008</v>
      </c>
      <c r="AS139" t="s">
        <v>8</v>
      </c>
      <c r="AT139" t="s">
        <v>97</v>
      </c>
      <c r="AU139">
        <v>25</v>
      </c>
      <c r="AV139">
        <v>15</v>
      </c>
      <c r="AW139">
        <v>5.7038558065252101</v>
      </c>
      <c r="AX139">
        <v>2.9</v>
      </c>
      <c r="BS139" t="str">
        <f t="shared" si="24"/>
        <v>AllSexPacific241</v>
      </c>
      <c r="BT139" t="s">
        <v>17</v>
      </c>
      <c r="BU139" t="s">
        <v>79</v>
      </c>
      <c r="BV139">
        <v>24</v>
      </c>
      <c r="BW139">
        <v>1</v>
      </c>
      <c r="BX139">
        <v>1</v>
      </c>
      <c r="BY139">
        <v>6.1862010331755002</v>
      </c>
      <c r="BZ139">
        <v>12.1</v>
      </c>
      <c r="CB139" t="str">
        <f t="shared" si="25"/>
        <v>AllSexPacific24Sharp object</v>
      </c>
      <c r="CC139" t="s">
        <v>17</v>
      </c>
      <c r="CD139" t="s">
        <v>79</v>
      </c>
      <c r="CE139" t="s">
        <v>48</v>
      </c>
      <c r="CF139">
        <v>24</v>
      </c>
      <c r="CG139">
        <v>1</v>
      </c>
      <c r="CH139">
        <v>22</v>
      </c>
      <c r="CI139">
        <v>4.5</v>
      </c>
    </row>
    <row r="140" spans="1:87" x14ac:dyDescent="0.2">
      <c r="A140" t="str">
        <f t="shared" si="20"/>
        <v>2012MaleAllEth19</v>
      </c>
      <c r="B140">
        <v>2012</v>
      </c>
      <c r="C140" t="s">
        <v>20</v>
      </c>
      <c r="D140" t="s">
        <v>27</v>
      </c>
      <c r="E140">
        <v>19</v>
      </c>
      <c r="F140">
        <v>405</v>
      </c>
      <c r="G140">
        <v>18.616289554563799</v>
      </c>
      <c r="H140">
        <v>1.8</v>
      </c>
      <c r="J140" s="358" t="str">
        <f t="shared" si="21"/>
        <v>2013AllSexMaori192</v>
      </c>
      <c r="K140" s="359">
        <v>2013</v>
      </c>
      <c r="L140" t="s">
        <v>17</v>
      </c>
      <c r="M140" t="s">
        <v>18</v>
      </c>
      <c r="N140">
        <v>19</v>
      </c>
      <c r="O140">
        <v>2</v>
      </c>
      <c r="P140">
        <v>9</v>
      </c>
      <c r="Q140">
        <v>12.8935925880459</v>
      </c>
      <c r="R140">
        <v>8.4</v>
      </c>
      <c r="T140" s="358" t="str">
        <f t="shared" si="23"/>
        <v>1996MaleAllEth21Hanging, strangulation and suffocation</v>
      </c>
      <c r="U140" s="360">
        <v>1996</v>
      </c>
      <c r="V140" s="360" t="s">
        <v>20</v>
      </c>
      <c r="W140" s="360" t="s">
        <v>27</v>
      </c>
      <c r="X140" s="360">
        <v>21</v>
      </c>
      <c r="Y140" s="360" t="s">
        <v>43</v>
      </c>
      <c r="Z140" s="360">
        <v>3</v>
      </c>
      <c r="AA140" s="360">
        <v>3</v>
      </c>
      <c r="AB140" s="360">
        <v>100</v>
      </c>
      <c r="AQ140" t="str">
        <f t="shared" si="22"/>
        <v>2008MaleRural22</v>
      </c>
      <c r="AR140">
        <v>2008</v>
      </c>
      <c r="AS140" t="s">
        <v>20</v>
      </c>
      <c r="AT140" t="s">
        <v>96</v>
      </c>
      <c r="AU140">
        <v>22</v>
      </c>
      <c r="AV140">
        <v>12</v>
      </c>
      <c r="AW140">
        <v>33.176665745092599</v>
      </c>
      <c r="AX140">
        <v>18.8</v>
      </c>
      <c r="BS140" t="str">
        <f t="shared" si="24"/>
        <v>AllSexPacific242</v>
      </c>
      <c r="BT140" t="s">
        <v>17</v>
      </c>
      <c r="BU140" t="s">
        <v>79</v>
      </c>
      <c r="BV140">
        <v>24</v>
      </c>
      <c r="BW140">
        <v>2</v>
      </c>
      <c r="BX140">
        <v>3</v>
      </c>
      <c r="BY140">
        <v>13.723366541515601</v>
      </c>
      <c r="BZ140">
        <v>15.5</v>
      </c>
      <c r="CB140" t="str">
        <f t="shared" si="25"/>
        <v>AllSexPacific23Submersion (drowning)</v>
      </c>
      <c r="CC140" t="s">
        <v>17</v>
      </c>
      <c r="CD140" t="s">
        <v>79</v>
      </c>
      <c r="CE140" t="s">
        <v>49</v>
      </c>
      <c r="CF140">
        <v>23</v>
      </c>
      <c r="CG140">
        <v>1</v>
      </c>
      <c r="CH140">
        <v>34</v>
      </c>
      <c r="CI140">
        <v>2.9</v>
      </c>
    </row>
    <row r="141" spans="1:87" x14ac:dyDescent="0.2">
      <c r="A141" t="str">
        <f t="shared" si="20"/>
        <v>2013MaleAllEth19</v>
      </c>
      <c r="B141">
        <v>2013</v>
      </c>
      <c r="C141" t="s">
        <v>20</v>
      </c>
      <c r="D141" t="s">
        <v>27</v>
      </c>
      <c r="E141">
        <v>19</v>
      </c>
      <c r="F141">
        <v>366</v>
      </c>
      <c r="G141">
        <v>15.948704143969101</v>
      </c>
      <c r="H141">
        <v>1.6</v>
      </c>
      <c r="J141" s="358" t="str">
        <f t="shared" si="21"/>
        <v>2013AllSexMaori193</v>
      </c>
      <c r="K141" s="359">
        <v>2013</v>
      </c>
      <c r="L141" t="s">
        <v>17</v>
      </c>
      <c r="M141" t="s">
        <v>18</v>
      </c>
      <c r="N141">
        <v>19</v>
      </c>
      <c r="O141">
        <v>3</v>
      </c>
      <c r="P141">
        <v>11</v>
      </c>
      <c r="Q141">
        <v>9.6904713196985099</v>
      </c>
      <c r="R141">
        <v>5.7</v>
      </c>
      <c r="T141" s="358" t="str">
        <f t="shared" si="23"/>
        <v>1996MaleAllEth22Hanging, strangulation and suffocation</v>
      </c>
      <c r="U141" s="360">
        <v>1996</v>
      </c>
      <c r="V141" s="360" t="s">
        <v>20</v>
      </c>
      <c r="W141" s="360" t="s">
        <v>27</v>
      </c>
      <c r="X141" s="360">
        <v>22</v>
      </c>
      <c r="Y141" s="360" t="s">
        <v>43</v>
      </c>
      <c r="Z141" s="360">
        <v>71</v>
      </c>
      <c r="AA141" s="360">
        <v>105</v>
      </c>
      <c r="AB141" s="360">
        <v>67.599999999999994</v>
      </c>
      <c r="AQ141" t="str">
        <f t="shared" si="22"/>
        <v>2008MaleUrban22</v>
      </c>
      <c r="AR141">
        <v>2008</v>
      </c>
      <c r="AS141" t="s">
        <v>20</v>
      </c>
      <c r="AT141" t="s">
        <v>97</v>
      </c>
      <c r="AU141">
        <v>22</v>
      </c>
      <c r="AV141">
        <v>69</v>
      </c>
      <c r="AW141">
        <v>25.6801518478544</v>
      </c>
      <c r="AX141">
        <v>6.1</v>
      </c>
      <c r="BS141" t="str">
        <f t="shared" si="24"/>
        <v>AllSexPacific243</v>
      </c>
      <c r="BT141" t="s">
        <v>17</v>
      </c>
      <c r="BU141" t="s">
        <v>79</v>
      </c>
      <c r="BV141">
        <v>24</v>
      </c>
      <c r="BW141">
        <v>3</v>
      </c>
      <c r="BX141">
        <v>1</v>
      </c>
      <c r="BY141">
        <v>3.2428762951944199</v>
      </c>
      <c r="BZ141">
        <v>6.4</v>
      </c>
      <c r="CB141" t="str">
        <f t="shared" si="25"/>
        <v>FemaleAllEth21Firearms and explosives</v>
      </c>
      <c r="CC141" t="s">
        <v>8</v>
      </c>
      <c r="CD141" t="s">
        <v>27</v>
      </c>
      <c r="CE141" t="s">
        <v>42</v>
      </c>
      <c r="CF141">
        <v>21</v>
      </c>
      <c r="CG141">
        <v>1</v>
      </c>
      <c r="CH141">
        <v>17</v>
      </c>
      <c r="CI141">
        <v>5.9</v>
      </c>
    </row>
    <row r="142" spans="1:87" x14ac:dyDescent="0.2">
      <c r="A142" t="str">
        <f t="shared" si="20"/>
        <v>2014MaleAllEth19</v>
      </c>
      <c r="B142">
        <v>2014</v>
      </c>
      <c r="C142" t="s">
        <v>20</v>
      </c>
      <c r="D142" t="s">
        <v>27</v>
      </c>
      <c r="E142">
        <v>19</v>
      </c>
      <c r="F142">
        <v>379</v>
      </c>
      <c r="G142">
        <v>16.462028222989101</v>
      </c>
      <c r="H142">
        <v>1.7</v>
      </c>
      <c r="J142" s="358" t="str">
        <f t="shared" si="21"/>
        <v>2013AllSexMaori194</v>
      </c>
      <c r="K142" s="359">
        <v>2013</v>
      </c>
      <c r="L142" t="s">
        <v>17</v>
      </c>
      <c r="M142" t="s">
        <v>18</v>
      </c>
      <c r="N142">
        <v>19</v>
      </c>
      <c r="O142">
        <v>4</v>
      </c>
      <c r="P142">
        <v>28</v>
      </c>
      <c r="Q142">
        <v>17.802485127361699</v>
      </c>
      <c r="R142">
        <v>6.6</v>
      </c>
      <c r="T142" s="358" t="str">
        <f t="shared" si="23"/>
        <v>1996MaleAllEth23Hanging, strangulation and suffocation</v>
      </c>
      <c r="U142" s="360">
        <v>1996</v>
      </c>
      <c r="V142" s="360" t="s">
        <v>20</v>
      </c>
      <c r="W142" s="360" t="s">
        <v>27</v>
      </c>
      <c r="X142" s="360">
        <v>23</v>
      </c>
      <c r="Y142" s="360" t="s">
        <v>43</v>
      </c>
      <c r="Z142" s="360">
        <v>76</v>
      </c>
      <c r="AA142" s="360">
        <v>188</v>
      </c>
      <c r="AB142" s="360">
        <v>40.4</v>
      </c>
      <c r="AQ142" t="str">
        <f t="shared" si="22"/>
        <v>2008MaleRural23</v>
      </c>
      <c r="AR142">
        <v>2008</v>
      </c>
      <c r="AS142" t="s">
        <v>20</v>
      </c>
      <c r="AT142" t="s">
        <v>96</v>
      </c>
      <c r="AU142">
        <v>23</v>
      </c>
      <c r="AV142">
        <v>23</v>
      </c>
      <c r="AW142">
        <v>31.5111659131388</v>
      </c>
      <c r="AX142">
        <v>12.9</v>
      </c>
      <c r="BS142" t="str">
        <f t="shared" si="24"/>
        <v>AllSexPacific244</v>
      </c>
      <c r="BT142" t="s">
        <v>17</v>
      </c>
      <c r="BU142" t="s">
        <v>79</v>
      </c>
      <c r="BV142">
        <v>24</v>
      </c>
      <c r="BW142">
        <v>4</v>
      </c>
      <c r="BX142">
        <v>8</v>
      </c>
      <c r="BY142">
        <v>15.3560222651977</v>
      </c>
      <c r="BZ142">
        <v>10.6</v>
      </c>
      <c r="CB142" t="str">
        <f t="shared" si="25"/>
        <v>FemaleAllEth22Firearms and explosives</v>
      </c>
      <c r="CC142" t="s">
        <v>8</v>
      </c>
      <c r="CD142" t="s">
        <v>27</v>
      </c>
      <c r="CE142" t="s">
        <v>42</v>
      </c>
      <c r="CF142">
        <v>22</v>
      </c>
      <c r="CG142">
        <v>2</v>
      </c>
      <c r="CH142">
        <v>177</v>
      </c>
      <c r="CI142">
        <v>1.1000000000000001</v>
      </c>
    </row>
    <row r="143" spans="1:87" x14ac:dyDescent="0.2">
      <c r="A143" t="str">
        <f t="shared" si="20"/>
        <v>2015MaleAllEth19</v>
      </c>
      <c r="B143">
        <v>2015</v>
      </c>
      <c r="C143" t="s">
        <v>20</v>
      </c>
      <c r="D143" t="s">
        <v>27</v>
      </c>
      <c r="E143">
        <v>19</v>
      </c>
      <c r="F143">
        <v>383</v>
      </c>
      <c r="G143">
        <v>16.341274903858402</v>
      </c>
      <c r="H143">
        <v>1.6</v>
      </c>
      <c r="J143" s="358" t="str">
        <f t="shared" si="21"/>
        <v>2013AllSexMaori195</v>
      </c>
      <c r="K143" s="359">
        <v>2013</v>
      </c>
      <c r="L143" t="s">
        <v>17</v>
      </c>
      <c r="M143" t="s">
        <v>18</v>
      </c>
      <c r="N143">
        <v>19</v>
      </c>
      <c r="O143">
        <v>5</v>
      </c>
      <c r="P143">
        <v>54</v>
      </c>
      <c r="Q143">
        <v>20.706632827755101</v>
      </c>
      <c r="R143">
        <v>5.5</v>
      </c>
      <c r="T143" s="358" t="str">
        <f t="shared" si="23"/>
        <v>1996MaleAllEth24Hanging, strangulation and suffocation</v>
      </c>
      <c r="U143" s="360">
        <v>1996</v>
      </c>
      <c r="V143" s="360" t="s">
        <v>20</v>
      </c>
      <c r="W143" s="360" t="s">
        <v>27</v>
      </c>
      <c r="X143" s="360">
        <v>24</v>
      </c>
      <c r="Y143" s="360" t="s">
        <v>43</v>
      </c>
      <c r="Z143" s="360">
        <v>25</v>
      </c>
      <c r="AA143" s="360">
        <v>80</v>
      </c>
      <c r="AB143" s="360">
        <v>31.2</v>
      </c>
      <c r="AQ143" t="str">
        <f t="shared" si="22"/>
        <v>2008MaleUrban23</v>
      </c>
      <c r="AR143">
        <v>2008</v>
      </c>
      <c r="AS143" t="s">
        <v>20</v>
      </c>
      <c r="AT143" t="s">
        <v>97</v>
      </c>
      <c r="AU143">
        <v>23</v>
      </c>
      <c r="AV143">
        <v>108</v>
      </c>
      <c r="AW143">
        <v>22.086341233972099</v>
      </c>
      <c r="AX143">
        <v>4.2</v>
      </c>
      <c r="BS143" t="str">
        <f t="shared" si="24"/>
        <v>AllSexPacific245</v>
      </c>
      <c r="BT143" t="s">
        <v>17</v>
      </c>
      <c r="BU143" t="s">
        <v>79</v>
      </c>
      <c r="BV143">
        <v>24</v>
      </c>
      <c r="BW143">
        <v>5</v>
      </c>
      <c r="BX143">
        <v>9</v>
      </c>
      <c r="BY143">
        <v>6.5117587873169001</v>
      </c>
      <c r="BZ143">
        <v>4.3</v>
      </c>
      <c r="CB143" t="str">
        <f t="shared" si="25"/>
        <v>FemaleAllEth23Firearms and explosives</v>
      </c>
      <c r="CC143" t="s">
        <v>8</v>
      </c>
      <c r="CD143" t="s">
        <v>27</v>
      </c>
      <c r="CE143" t="s">
        <v>42</v>
      </c>
      <c r="CF143">
        <v>23</v>
      </c>
      <c r="CG143">
        <v>3</v>
      </c>
      <c r="CH143">
        <v>207</v>
      </c>
      <c r="CI143">
        <v>1.4</v>
      </c>
    </row>
    <row r="144" spans="1:87" x14ac:dyDescent="0.2">
      <c r="A144" t="str">
        <f t="shared" si="20"/>
        <v>1996MaleMaori19</v>
      </c>
      <c r="B144">
        <v>1996</v>
      </c>
      <c r="C144" t="s">
        <v>20</v>
      </c>
      <c r="D144" t="s">
        <v>18</v>
      </c>
      <c r="E144">
        <v>19</v>
      </c>
      <c r="F144">
        <v>73</v>
      </c>
      <c r="G144">
        <v>28.6634614636843</v>
      </c>
      <c r="H144">
        <v>6.6</v>
      </c>
      <c r="J144" s="358" t="str">
        <f t="shared" si="21"/>
        <v>2014AllSexMaori191</v>
      </c>
      <c r="K144" s="359">
        <v>2014</v>
      </c>
      <c r="L144" t="s">
        <v>17</v>
      </c>
      <c r="M144" t="s">
        <v>18</v>
      </c>
      <c r="N144">
        <v>19</v>
      </c>
      <c r="O144">
        <v>1</v>
      </c>
      <c r="P144">
        <v>8</v>
      </c>
      <c r="Q144">
        <v>15.7684387107871</v>
      </c>
      <c r="R144">
        <v>10.9</v>
      </c>
      <c r="T144" s="358" t="str">
        <f t="shared" si="23"/>
        <v>1996MaleAllEth25Hanging, strangulation and suffocation</v>
      </c>
      <c r="U144" s="360">
        <v>1996</v>
      </c>
      <c r="V144" s="360" t="s">
        <v>20</v>
      </c>
      <c r="W144" s="360" t="s">
        <v>27</v>
      </c>
      <c r="X144" s="360">
        <v>25</v>
      </c>
      <c r="Y144" s="360" t="s">
        <v>43</v>
      </c>
      <c r="Z144" s="360">
        <v>15</v>
      </c>
      <c r="AA144" s="360">
        <v>53</v>
      </c>
      <c r="AB144" s="360">
        <v>28.3</v>
      </c>
      <c r="AQ144" t="str">
        <f t="shared" si="22"/>
        <v>2008MaleRural24</v>
      </c>
      <c r="AR144">
        <v>2008</v>
      </c>
      <c r="AS144" t="s">
        <v>20</v>
      </c>
      <c r="AT144" t="s">
        <v>96</v>
      </c>
      <c r="AU144">
        <v>24</v>
      </c>
      <c r="AV144">
        <v>27</v>
      </c>
      <c r="AW144">
        <v>29.2112950340798</v>
      </c>
      <c r="AX144">
        <v>11</v>
      </c>
      <c r="BS144" t="str">
        <f t="shared" si="24"/>
        <v>AllSexAsian251</v>
      </c>
      <c r="BT144" t="s">
        <v>17</v>
      </c>
      <c r="BU144" t="s">
        <v>78</v>
      </c>
      <c r="BV144">
        <v>25</v>
      </c>
      <c r="BW144">
        <v>1</v>
      </c>
      <c r="BX144">
        <v>4</v>
      </c>
      <c r="BY144">
        <v>12.1126654848524</v>
      </c>
      <c r="BZ144">
        <v>11.9</v>
      </c>
      <c r="CB144" t="str">
        <f t="shared" si="25"/>
        <v>FemaleAllEth24Firearms and explosives</v>
      </c>
      <c r="CC144" t="s">
        <v>8</v>
      </c>
      <c r="CD144" t="s">
        <v>27</v>
      </c>
      <c r="CE144" t="s">
        <v>42</v>
      </c>
      <c r="CF144">
        <v>24</v>
      </c>
      <c r="CG144">
        <v>6</v>
      </c>
      <c r="CH144">
        <v>218</v>
      </c>
      <c r="CI144">
        <v>2.8</v>
      </c>
    </row>
    <row r="145" spans="1:87" x14ac:dyDescent="0.2">
      <c r="A145" t="str">
        <f t="shared" si="20"/>
        <v>1997MaleMaori19</v>
      </c>
      <c r="B145">
        <v>1997</v>
      </c>
      <c r="C145" t="s">
        <v>20</v>
      </c>
      <c r="D145" t="s">
        <v>18</v>
      </c>
      <c r="E145">
        <v>19</v>
      </c>
      <c r="F145">
        <v>80</v>
      </c>
      <c r="G145">
        <v>30.622870852715899</v>
      </c>
      <c r="H145">
        <v>6.7</v>
      </c>
      <c r="J145" s="358" t="str">
        <f t="shared" si="21"/>
        <v>2014AllSexMaori192</v>
      </c>
      <c r="K145" s="359">
        <v>2014</v>
      </c>
      <c r="L145" t="s">
        <v>17</v>
      </c>
      <c r="M145" t="s">
        <v>18</v>
      </c>
      <c r="N145">
        <v>19</v>
      </c>
      <c r="O145">
        <v>2</v>
      </c>
      <c r="P145">
        <v>4</v>
      </c>
      <c r="Q145">
        <v>5.1621445438996396</v>
      </c>
      <c r="R145">
        <v>5.0999999999999996</v>
      </c>
      <c r="T145" s="358" t="str">
        <f t="shared" si="23"/>
        <v>1996MaleAllEth22Jumping from a high place</v>
      </c>
      <c r="U145" s="360">
        <v>1996</v>
      </c>
      <c r="V145" s="360" t="s">
        <v>20</v>
      </c>
      <c r="W145" s="360" t="s">
        <v>27</v>
      </c>
      <c r="X145" s="360">
        <v>22</v>
      </c>
      <c r="Y145" s="360" t="s">
        <v>44</v>
      </c>
      <c r="Z145" s="360">
        <v>2</v>
      </c>
      <c r="AA145" s="360">
        <v>105</v>
      </c>
      <c r="AB145" s="360">
        <v>1.9</v>
      </c>
      <c r="AQ145" t="str">
        <f t="shared" si="22"/>
        <v>2008MaleUrban24</v>
      </c>
      <c r="AR145">
        <v>2008</v>
      </c>
      <c r="AS145" t="s">
        <v>20</v>
      </c>
      <c r="AT145" t="s">
        <v>97</v>
      </c>
      <c r="AU145">
        <v>24</v>
      </c>
      <c r="AV145">
        <v>97</v>
      </c>
      <c r="AW145">
        <v>22.907072853937901</v>
      </c>
      <c r="AX145">
        <v>4.5999999999999996</v>
      </c>
      <c r="BS145" t="str">
        <f t="shared" si="24"/>
        <v>AllSexAsian252</v>
      </c>
      <c r="BT145" t="s">
        <v>17</v>
      </c>
      <c r="BU145" t="s">
        <v>78</v>
      </c>
      <c r="BV145">
        <v>25</v>
      </c>
      <c r="BW145">
        <v>2</v>
      </c>
      <c r="BX145">
        <v>4</v>
      </c>
      <c r="BY145">
        <v>10.9083395627082</v>
      </c>
      <c r="BZ145">
        <v>10.7</v>
      </c>
      <c r="CB145" t="str">
        <f t="shared" si="25"/>
        <v>FemaleAllEth21Hanging, strangulation and suffocation</v>
      </c>
      <c r="CC145" t="s">
        <v>8</v>
      </c>
      <c r="CD145" t="s">
        <v>27</v>
      </c>
      <c r="CE145" t="s">
        <v>43</v>
      </c>
      <c r="CF145">
        <v>21</v>
      </c>
      <c r="CG145">
        <v>14</v>
      </c>
      <c r="CH145">
        <v>17</v>
      </c>
      <c r="CI145">
        <v>82.4</v>
      </c>
    </row>
    <row r="146" spans="1:87" x14ac:dyDescent="0.2">
      <c r="A146" t="str">
        <f t="shared" si="20"/>
        <v>1998MaleMaori19</v>
      </c>
      <c r="B146">
        <v>1998</v>
      </c>
      <c r="C146" t="s">
        <v>20</v>
      </c>
      <c r="D146" t="s">
        <v>18</v>
      </c>
      <c r="E146">
        <v>19</v>
      </c>
      <c r="F146">
        <v>88</v>
      </c>
      <c r="G146">
        <v>34.656914608583101</v>
      </c>
      <c r="H146">
        <v>7.2</v>
      </c>
      <c r="J146" s="358" t="str">
        <f t="shared" si="21"/>
        <v>2014AllSexMaori193</v>
      </c>
      <c r="K146" s="359">
        <v>2014</v>
      </c>
      <c r="L146" t="s">
        <v>17</v>
      </c>
      <c r="M146" t="s">
        <v>18</v>
      </c>
      <c r="N146">
        <v>19</v>
      </c>
      <c r="O146">
        <v>3</v>
      </c>
      <c r="P146">
        <v>18</v>
      </c>
      <c r="Q146">
        <v>17.5302711263314</v>
      </c>
      <c r="R146">
        <v>8.1</v>
      </c>
      <c r="T146" s="358" t="str">
        <f t="shared" si="23"/>
        <v>1996MaleAllEth23Jumping from a high place</v>
      </c>
      <c r="U146" s="360">
        <v>1996</v>
      </c>
      <c r="V146" s="360" t="s">
        <v>20</v>
      </c>
      <c r="W146" s="360" t="s">
        <v>27</v>
      </c>
      <c r="X146" s="360">
        <v>23</v>
      </c>
      <c r="Y146" s="360" t="s">
        <v>44</v>
      </c>
      <c r="Z146" s="360">
        <v>7</v>
      </c>
      <c r="AA146" s="360">
        <v>188</v>
      </c>
      <c r="AB146" s="360">
        <v>3.7</v>
      </c>
      <c r="AQ146" t="str">
        <f t="shared" si="22"/>
        <v>2008MaleRural25</v>
      </c>
      <c r="AR146">
        <v>2008</v>
      </c>
      <c r="AS146" t="s">
        <v>20</v>
      </c>
      <c r="AT146" t="s">
        <v>96</v>
      </c>
      <c r="AU146">
        <v>25</v>
      </c>
      <c r="AV146">
        <v>10</v>
      </c>
      <c r="AW146">
        <v>28.636884306987401</v>
      </c>
      <c r="AX146">
        <v>17.7</v>
      </c>
      <c r="BS146" t="str">
        <f t="shared" si="24"/>
        <v>AllSexAsian253</v>
      </c>
      <c r="BT146" t="s">
        <v>17</v>
      </c>
      <c r="BU146" t="s">
        <v>78</v>
      </c>
      <c r="BV146">
        <v>25</v>
      </c>
      <c r="BW146">
        <v>3</v>
      </c>
      <c r="BX146">
        <v>2</v>
      </c>
      <c r="BY146">
        <v>5.9082021833695597</v>
      </c>
      <c r="BZ146">
        <v>8.1999999999999993</v>
      </c>
      <c r="CB146" t="str">
        <f t="shared" si="25"/>
        <v>FemaleAllEth22Hanging, strangulation and suffocation</v>
      </c>
      <c r="CC146" t="s">
        <v>8</v>
      </c>
      <c r="CD146" t="s">
        <v>27</v>
      </c>
      <c r="CE146" t="s">
        <v>43</v>
      </c>
      <c r="CF146">
        <v>22</v>
      </c>
      <c r="CG146">
        <v>152</v>
      </c>
      <c r="CH146">
        <v>177</v>
      </c>
      <c r="CI146">
        <v>85.9</v>
      </c>
    </row>
    <row r="147" spans="1:87" x14ac:dyDescent="0.2">
      <c r="A147" t="str">
        <f t="shared" si="20"/>
        <v>1999MaleMaori19</v>
      </c>
      <c r="B147">
        <v>1999</v>
      </c>
      <c r="C147" t="s">
        <v>20</v>
      </c>
      <c r="D147" t="s">
        <v>18</v>
      </c>
      <c r="E147">
        <v>19</v>
      </c>
      <c r="F147">
        <v>59</v>
      </c>
      <c r="G147">
        <v>21.453377474962299</v>
      </c>
      <c r="H147">
        <v>5.5</v>
      </c>
      <c r="J147" s="358" t="str">
        <f t="shared" si="21"/>
        <v>2014AllSexMaori194</v>
      </c>
      <c r="K147" s="359">
        <v>2014</v>
      </c>
      <c r="L147" t="s">
        <v>17</v>
      </c>
      <c r="M147" t="s">
        <v>18</v>
      </c>
      <c r="N147">
        <v>19</v>
      </c>
      <c r="O147">
        <v>4</v>
      </c>
      <c r="P147">
        <v>19</v>
      </c>
      <c r="Q147">
        <v>12.808492818776701</v>
      </c>
      <c r="R147">
        <v>5.8</v>
      </c>
      <c r="T147" s="358" t="str">
        <f t="shared" si="23"/>
        <v>1996MaleAllEth24Jumping from a high place</v>
      </c>
      <c r="U147" s="360">
        <v>1996</v>
      </c>
      <c r="V147" s="360" t="s">
        <v>20</v>
      </c>
      <c r="W147" s="360" t="s">
        <v>27</v>
      </c>
      <c r="X147" s="360">
        <v>24</v>
      </c>
      <c r="Y147" s="360" t="s">
        <v>44</v>
      </c>
      <c r="Z147" s="360">
        <v>1</v>
      </c>
      <c r="AA147" s="360">
        <v>80</v>
      </c>
      <c r="AB147" s="360">
        <v>1.2</v>
      </c>
      <c r="AQ147" t="str">
        <f t="shared" si="22"/>
        <v>2008MaleUrban25</v>
      </c>
      <c r="AR147">
        <v>2008</v>
      </c>
      <c r="AS147" t="s">
        <v>20</v>
      </c>
      <c r="AT147" t="s">
        <v>97</v>
      </c>
      <c r="AU147">
        <v>25</v>
      </c>
      <c r="AV147">
        <v>26</v>
      </c>
      <c r="AW147">
        <v>12.59323839969</v>
      </c>
      <c r="AX147">
        <v>4.8</v>
      </c>
      <c r="BS147" t="str">
        <f t="shared" si="24"/>
        <v>AllSexAsian254</v>
      </c>
      <c r="BT147" t="s">
        <v>17</v>
      </c>
      <c r="BU147" t="s">
        <v>78</v>
      </c>
      <c r="BV147">
        <v>25</v>
      </c>
      <c r="BW147">
        <v>4</v>
      </c>
      <c r="BX147">
        <v>3</v>
      </c>
      <c r="BY147">
        <v>9.5058838249000299</v>
      </c>
      <c r="BZ147">
        <v>10.8</v>
      </c>
      <c r="CB147" t="str">
        <f t="shared" si="25"/>
        <v>FemaleAllEth23Hanging, strangulation and suffocation</v>
      </c>
      <c r="CC147" t="s">
        <v>8</v>
      </c>
      <c r="CD147" t="s">
        <v>27</v>
      </c>
      <c r="CE147" t="s">
        <v>43</v>
      </c>
      <c r="CF147">
        <v>23</v>
      </c>
      <c r="CG147">
        <v>133</v>
      </c>
      <c r="CH147">
        <v>207</v>
      </c>
      <c r="CI147">
        <v>64.3</v>
      </c>
    </row>
    <row r="148" spans="1:87" x14ac:dyDescent="0.2">
      <c r="A148" t="str">
        <f t="shared" si="20"/>
        <v>2000MaleMaori19</v>
      </c>
      <c r="B148">
        <v>2000</v>
      </c>
      <c r="C148" t="s">
        <v>20</v>
      </c>
      <c r="D148" t="s">
        <v>18</v>
      </c>
      <c r="E148">
        <v>19</v>
      </c>
      <c r="F148">
        <v>69</v>
      </c>
      <c r="G148">
        <v>27.198711801126699</v>
      </c>
      <c r="H148">
        <v>6.4</v>
      </c>
      <c r="J148" s="358" t="str">
        <f t="shared" si="21"/>
        <v>2014AllSexMaori195</v>
      </c>
      <c r="K148" s="359">
        <v>2014</v>
      </c>
      <c r="L148" t="s">
        <v>17</v>
      </c>
      <c r="M148" t="s">
        <v>18</v>
      </c>
      <c r="N148">
        <v>19</v>
      </c>
      <c r="O148">
        <v>5</v>
      </c>
      <c r="P148">
        <v>40</v>
      </c>
      <c r="Q148">
        <v>15.406326348591801</v>
      </c>
      <c r="R148">
        <v>4.8</v>
      </c>
      <c r="T148" s="358" t="str">
        <f t="shared" si="23"/>
        <v>1996MaleAllEth25Jumping from a high place</v>
      </c>
      <c r="U148" s="360">
        <v>1996</v>
      </c>
      <c r="V148" s="360" t="s">
        <v>20</v>
      </c>
      <c r="W148" s="360" t="s">
        <v>27</v>
      </c>
      <c r="X148" s="360">
        <v>25</v>
      </c>
      <c r="Y148" s="360" t="s">
        <v>44</v>
      </c>
      <c r="Z148" s="360">
        <v>1</v>
      </c>
      <c r="AA148" s="360">
        <v>53</v>
      </c>
      <c r="AB148" s="360">
        <v>1.9</v>
      </c>
      <c r="AQ148" t="str">
        <f t="shared" si="22"/>
        <v>2009AllSexRural22</v>
      </c>
      <c r="AR148">
        <v>2009</v>
      </c>
      <c r="AS148" t="s">
        <v>17</v>
      </c>
      <c r="AT148" t="s">
        <v>96</v>
      </c>
      <c r="AU148">
        <v>22</v>
      </c>
      <c r="AV148">
        <v>23</v>
      </c>
      <c r="AW148">
        <v>33.430232558139501</v>
      </c>
      <c r="AX148">
        <v>13.7</v>
      </c>
      <c r="BS148" t="str">
        <f t="shared" si="24"/>
        <v>AllSexAsian255</v>
      </c>
      <c r="BT148" t="s">
        <v>17</v>
      </c>
      <c r="BU148" t="s">
        <v>78</v>
      </c>
      <c r="BV148">
        <v>25</v>
      </c>
      <c r="BW148">
        <v>5</v>
      </c>
      <c r="BX148">
        <v>2</v>
      </c>
      <c r="BY148">
        <v>7.3971083713066896</v>
      </c>
      <c r="BZ148">
        <v>10.3</v>
      </c>
      <c r="CB148" t="str">
        <f t="shared" si="25"/>
        <v>FemaleAllEth24Hanging, strangulation and suffocation</v>
      </c>
      <c r="CC148" t="s">
        <v>8</v>
      </c>
      <c r="CD148" t="s">
        <v>27</v>
      </c>
      <c r="CE148" t="s">
        <v>43</v>
      </c>
      <c r="CF148">
        <v>24</v>
      </c>
      <c r="CG148">
        <v>72</v>
      </c>
      <c r="CH148">
        <v>218</v>
      </c>
      <c r="CI148">
        <v>33</v>
      </c>
    </row>
    <row r="149" spans="1:87" x14ac:dyDescent="0.2">
      <c r="A149" t="str">
        <f t="shared" si="20"/>
        <v>2001MaleMaori19</v>
      </c>
      <c r="B149">
        <v>2001</v>
      </c>
      <c r="C149" t="s">
        <v>20</v>
      </c>
      <c r="D149" t="s">
        <v>18</v>
      </c>
      <c r="E149">
        <v>19</v>
      </c>
      <c r="F149">
        <v>58</v>
      </c>
      <c r="G149">
        <v>22.0828947481947</v>
      </c>
      <c r="H149">
        <v>5.7</v>
      </c>
      <c r="J149" s="358" t="str">
        <f t="shared" si="21"/>
        <v>2015AllSexMaori191</v>
      </c>
      <c r="K149" s="359">
        <v>2015</v>
      </c>
      <c r="L149" t="s">
        <v>17</v>
      </c>
      <c r="M149" t="s">
        <v>18</v>
      </c>
      <c r="N149">
        <v>19</v>
      </c>
      <c r="O149">
        <v>1</v>
      </c>
      <c r="P149">
        <v>3</v>
      </c>
      <c r="Q149">
        <v>4.2929926058945398</v>
      </c>
      <c r="R149">
        <v>4.9000000000000004</v>
      </c>
      <c r="T149" s="358" t="str">
        <f t="shared" si="23"/>
        <v>1996MaleAllEth22Other</v>
      </c>
      <c r="U149" s="360">
        <v>1996</v>
      </c>
      <c r="V149" s="360" t="s">
        <v>20</v>
      </c>
      <c r="W149" s="360" t="s">
        <v>27</v>
      </c>
      <c r="X149" s="360">
        <v>22</v>
      </c>
      <c r="Y149" s="360" t="s">
        <v>45</v>
      </c>
      <c r="Z149" s="360">
        <v>3</v>
      </c>
      <c r="AA149" s="360">
        <v>105</v>
      </c>
      <c r="AB149" s="360">
        <v>2.9</v>
      </c>
      <c r="AQ149" t="str">
        <f t="shared" si="22"/>
        <v>2009AllSexUrban22</v>
      </c>
      <c r="AR149">
        <v>2009</v>
      </c>
      <c r="AS149" t="s">
        <v>17</v>
      </c>
      <c r="AT149" t="s">
        <v>97</v>
      </c>
      <c r="AU149">
        <v>22</v>
      </c>
      <c r="AV149">
        <v>93</v>
      </c>
      <c r="AW149">
        <v>17.2059721374258</v>
      </c>
      <c r="AX149">
        <v>3.5</v>
      </c>
      <c r="BS149" t="str">
        <f t="shared" si="24"/>
        <v>AllSexMaori251</v>
      </c>
      <c r="BT149" t="s">
        <v>17</v>
      </c>
      <c r="BU149" t="s">
        <v>18</v>
      </c>
      <c r="BV149">
        <v>25</v>
      </c>
      <c r="BW149">
        <v>1</v>
      </c>
      <c r="BX149">
        <v>0</v>
      </c>
      <c r="BY149">
        <v>0</v>
      </c>
      <c r="CB149" t="str">
        <f t="shared" si="25"/>
        <v>FemaleAllEth25Hanging, strangulation and suffocation</v>
      </c>
      <c r="CC149" t="s">
        <v>8</v>
      </c>
      <c r="CD149" t="s">
        <v>27</v>
      </c>
      <c r="CE149" t="s">
        <v>43</v>
      </c>
      <c r="CF149">
        <v>25</v>
      </c>
      <c r="CG149">
        <v>21</v>
      </c>
      <c r="CH149">
        <v>63</v>
      </c>
      <c r="CI149">
        <v>33.299999999999997</v>
      </c>
    </row>
    <row r="150" spans="1:87" x14ac:dyDescent="0.2">
      <c r="A150" t="str">
        <f t="shared" si="20"/>
        <v>2002MaleMaori19</v>
      </c>
      <c r="B150">
        <v>2002</v>
      </c>
      <c r="C150" t="s">
        <v>20</v>
      </c>
      <c r="D150" t="s">
        <v>18</v>
      </c>
      <c r="E150">
        <v>19</v>
      </c>
      <c r="F150">
        <v>60</v>
      </c>
      <c r="G150">
        <v>21.881613181334401</v>
      </c>
      <c r="H150">
        <v>5.5</v>
      </c>
      <c r="J150" s="358" t="str">
        <f t="shared" si="21"/>
        <v>2015AllSexMaori192</v>
      </c>
      <c r="K150" s="359">
        <v>2015</v>
      </c>
      <c r="L150" t="s">
        <v>17</v>
      </c>
      <c r="M150" t="s">
        <v>18</v>
      </c>
      <c r="N150">
        <v>19</v>
      </c>
      <c r="O150">
        <v>2</v>
      </c>
      <c r="P150">
        <v>13</v>
      </c>
      <c r="Q150">
        <v>16.101954318973899</v>
      </c>
      <c r="R150">
        <v>8.8000000000000007</v>
      </c>
      <c r="T150" s="358" t="str">
        <f t="shared" si="23"/>
        <v>1996MaleAllEth23Other</v>
      </c>
      <c r="U150" s="360">
        <v>1996</v>
      </c>
      <c r="V150" s="360" t="s">
        <v>20</v>
      </c>
      <c r="W150" s="360" t="s">
        <v>27</v>
      </c>
      <c r="X150" s="360">
        <v>23</v>
      </c>
      <c r="Y150" s="360" t="s">
        <v>45</v>
      </c>
      <c r="Z150" s="360">
        <v>4</v>
      </c>
      <c r="AA150" s="360">
        <v>188</v>
      </c>
      <c r="AB150" s="360">
        <v>2.1</v>
      </c>
      <c r="AQ150" t="str">
        <f t="shared" si="22"/>
        <v>2009AllSexRural23</v>
      </c>
      <c r="AR150">
        <v>2009</v>
      </c>
      <c r="AS150" t="s">
        <v>17</v>
      </c>
      <c r="AT150" t="s">
        <v>96</v>
      </c>
      <c r="AU150">
        <v>23</v>
      </c>
      <c r="AV150">
        <v>20</v>
      </c>
      <c r="AW150">
        <v>13.5135135135135</v>
      </c>
      <c r="AX150">
        <v>5.9</v>
      </c>
      <c r="BS150" t="str">
        <f t="shared" si="24"/>
        <v>AllSexMaori252</v>
      </c>
      <c r="BT150" t="s">
        <v>17</v>
      </c>
      <c r="BU150" t="s">
        <v>18</v>
      </c>
      <c r="BV150">
        <v>25</v>
      </c>
      <c r="BW150">
        <v>2</v>
      </c>
      <c r="BX150">
        <v>1</v>
      </c>
      <c r="BY150">
        <v>5.1074901646250401</v>
      </c>
      <c r="BZ150">
        <v>10</v>
      </c>
      <c r="CB150" t="str">
        <f t="shared" si="25"/>
        <v>FemaleAllEth22Jumping from a high place</v>
      </c>
      <c r="CC150" t="s">
        <v>8</v>
      </c>
      <c r="CD150" t="s">
        <v>27</v>
      </c>
      <c r="CE150" t="s">
        <v>44</v>
      </c>
      <c r="CF150">
        <v>22</v>
      </c>
      <c r="CG150">
        <v>4</v>
      </c>
      <c r="CH150">
        <v>177</v>
      </c>
      <c r="CI150">
        <v>2.2999999999999998</v>
      </c>
    </row>
    <row r="151" spans="1:87" x14ac:dyDescent="0.2">
      <c r="A151" t="str">
        <f t="shared" si="20"/>
        <v>2003MaleMaori19</v>
      </c>
      <c r="B151">
        <v>2003</v>
      </c>
      <c r="C151" t="s">
        <v>20</v>
      </c>
      <c r="D151" t="s">
        <v>18</v>
      </c>
      <c r="E151">
        <v>19</v>
      </c>
      <c r="F151">
        <v>67</v>
      </c>
      <c r="G151">
        <v>23.229010507537701</v>
      </c>
      <c r="H151">
        <v>5.6</v>
      </c>
      <c r="J151" s="358" t="str">
        <f t="shared" si="21"/>
        <v>2015AllSexMaori193</v>
      </c>
      <c r="K151" s="359">
        <v>2015</v>
      </c>
      <c r="L151" t="s">
        <v>17</v>
      </c>
      <c r="M151" t="s">
        <v>18</v>
      </c>
      <c r="N151">
        <v>19</v>
      </c>
      <c r="O151">
        <v>3</v>
      </c>
      <c r="P151">
        <v>17</v>
      </c>
      <c r="Q151">
        <v>15.772700744577</v>
      </c>
      <c r="R151">
        <v>7.5</v>
      </c>
      <c r="T151" s="358" t="str">
        <f t="shared" si="23"/>
        <v>1996MaleAllEth24Other</v>
      </c>
      <c r="U151" s="360">
        <v>1996</v>
      </c>
      <c r="V151" s="360" t="s">
        <v>20</v>
      </c>
      <c r="W151" s="360" t="s">
        <v>27</v>
      </c>
      <c r="X151" s="360">
        <v>24</v>
      </c>
      <c r="Y151" s="360" t="s">
        <v>45</v>
      </c>
      <c r="Z151" s="360">
        <v>2</v>
      </c>
      <c r="AA151" s="360">
        <v>80</v>
      </c>
      <c r="AB151" s="360">
        <v>2.5</v>
      </c>
      <c r="AQ151" t="str">
        <f t="shared" si="22"/>
        <v>2009AllSexUrban23</v>
      </c>
      <c r="AR151">
        <v>2009</v>
      </c>
      <c r="AS151" t="s">
        <v>17</v>
      </c>
      <c r="AT151" t="s">
        <v>97</v>
      </c>
      <c r="AU151">
        <v>23</v>
      </c>
      <c r="AV151">
        <v>153</v>
      </c>
      <c r="AW151">
        <v>15.0424728645588</v>
      </c>
      <c r="AX151">
        <v>2.4</v>
      </c>
      <c r="BS151" t="str">
        <f t="shared" si="24"/>
        <v>AllSexMaori253</v>
      </c>
      <c r="BT151" t="s">
        <v>17</v>
      </c>
      <c r="BU151" t="s">
        <v>18</v>
      </c>
      <c r="BV151">
        <v>25</v>
      </c>
      <c r="BW151">
        <v>3</v>
      </c>
      <c r="BX151">
        <v>0</v>
      </c>
      <c r="BY151">
        <v>0</v>
      </c>
      <c r="CB151" t="str">
        <f t="shared" si="25"/>
        <v>FemaleAllEth23Jumping from a high place</v>
      </c>
      <c r="CC151" t="s">
        <v>8</v>
      </c>
      <c r="CD151" t="s">
        <v>27</v>
      </c>
      <c r="CE151" t="s">
        <v>44</v>
      </c>
      <c r="CF151">
        <v>23</v>
      </c>
      <c r="CG151">
        <v>5</v>
      </c>
      <c r="CH151">
        <v>207</v>
      </c>
      <c r="CI151">
        <v>2.4</v>
      </c>
    </row>
    <row r="152" spans="1:87" x14ac:dyDescent="0.2">
      <c r="A152" t="str">
        <f t="shared" si="20"/>
        <v>2004MaleMaori19</v>
      </c>
      <c r="B152">
        <v>2004</v>
      </c>
      <c r="C152" t="s">
        <v>20</v>
      </c>
      <c r="D152" t="s">
        <v>18</v>
      </c>
      <c r="E152">
        <v>19</v>
      </c>
      <c r="F152">
        <v>83</v>
      </c>
      <c r="G152">
        <v>30.210797391523901</v>
      </c>
      <c r="H152">
        <v>6.5</v>
      </c>
      <c r="J152" s="358" t="str">
        <f t="shared" si="21"/>
        <v>2015AllSexMaori194</v>
      </c>
      <c r="K152" s="359">
        <v>2015</v>
      </c>
      <c r="L152" t="s">
        <v>17</v>
      </c>
      <c r="M152" t="s">
        <v>18</v>
      </c>
      <c r="N152">
        <v>19</v>
      </c>
      <c r="O152">
        <v>4</v>
      </c>
      <c r="P152">
        <v>29</v>
      </c>
      <c r="Q152">
        <v>17.885642735328801</v>
      </c>
      <c r="R152">
        <v>6.5</v>
      </c>
      <c r="T152" s="358" t="str">
        <f t="shared" si="23"/>
        <v>1996MaleAllEth25Other</v>
      </c>
      <c r="U152" s="360">
        <v>1996</v>
      </c>
      <c r="V152" s="360" t="s">
        <v>20</v>
      </c>
      <c r="W152" s="360" t="s">
        <v>27</v>
      </c>
      <c r="X152" s="360">
        <v>25</v>
      </c>
      <c r="Y152" s="360" t="s">
        <v>45</v>
      </c>
      <c r="Z152" s="360">
        <v>4</v>
      </c>
      <c r="AA152" s="360">
        <v>53</v>
      </c>
      <c r="AB152" s="360">
        <v>7.5</v>
      </c>
      <c r="AQ152" t="str">
        <f t="shared" si="22"/>
        <v>2009AllSexRural24</v>
      </c>
      <c r="AR152">
        <v>2009</v>
      </c>
      <c r="AS152" t="s">
        <v>17</v>
      </c>
      <c r="AT152" t="s">
        <v>96</v>
      </c>
      <c r="AU152">
        <v>24</v>
      </c>
      <c r="AV152">
        <v>23</v>
      </c>
      <c r="AW152">
        <v>12.459371614301199</v>
      </c>
      <c r="AX152">
        <v>5.0999999999999996</v>
      </c>
      <c r="BS152" t="str">
        <f t="shared" si="24"/>
        <v>AllSexMaori254</v>
      </c>
      <c r="BT152" t="s">
        <v>17</v>
      </c>
      <c r="BU152" t="s">
        <v>18</v>
      </c>
      <c r="BV152">
        <v>25</v>
      </c>
      <c r="BW152">
        <v>4</v>
      </c>
      <c r="BX152">
        <v>0</v>
      </c>
      <c r="BY152">
        <v>0</v>
      </c>
      <c r="CB152" t="str">
        <f t="shared" si="25"/>
        <v>FemaleAllEth24Jumping from a high place</v>
      </c>
      <c r="CC152" t="s">
        <v>8</v>
      </c>
      <c r="CD152" t="s">
        <v>27</v>
      </c>
      <c r="CE152" t="s">
        <v>44</v>
      </c>
      <c r="CF152">
        <v>24</v>
      </c>
      <c r="CG152">
        <v>12</v>
      </c>
      <c r="CH152">
        <v>218</v>
      </c>
      <c r="CI152">
        <v>5.5</v>
      </c>
    </row>
    <row r="153" spans="1:87" x14ac:dyDescent="0.2">
      <c r="A153" t="str">
        <f t="shared" si="20"/>
        <v>2005MaleMaori19</v>
      </c>
      <c r="B153">
        <v>2005</v>
      </c>
      <c r="C153" t="s">
        <v>20</v>
      </c>
      <c r="D153" t="s">
        <v>18</v>
      </c>
      <c r="E153">
        <v>19</v>
      </c>
      <c r="F153">
        <v>78</v>
      </c>
      <c r="G153">
        <v>27.973177382021099</v>
      </c>
      <c r="H153">
        <v>6.2</v>
      </c>
      <c r="J153" s="358" t="str">
        <f t="shared" si="21"/>
        <v>2015AllSexMaori195</v>
      </c>
      <c r="K153" s="359">
        <v>2015</v>
      </c>
      <c r="L153" t="s">
        <v>17</v>
      </c>
      <c r="M153" t="s">
        <v>18</v>
      </c>
      <c r="N153">
        <v>19</v>
      </c>
      <c r="O153">
        <v>5</v>
      </c>
      <c r="P153">
        <v>56</v>
      </c>
      <c r="Q153">
        <v>21.651215428792302</v>
      </c>
      <c r="R153">
        <v>5.7</v>
      </c>
      <c r="T153" s="358" t="str">
        <f t="shared" si="23"/>
        <v>1996MaleAllEth22Poisoning by gases and vapours</v>
      </c>
      <c r="U153" s="360">
        <v>1996</v>
      </c>
      <c r="V153" s="360" t="s">
        <v>20</v>
      </c>
      <c r="W153" s="360" t="s">
        <v>27</v>
      </c>
      <c r="X153" s="360">
        <v>22</v>
      </c>
      <c r="Y153" s="360" t="s">
        <v>46</v>
      </c>
      <c r="Z153" s="360">
        <v>15</v>
      </c>
      <c r="AA153" s="360">
        <v>105</v>
      </c>
      <c r="AB153" s="360">
        <v>14.3</v>
      </c>
      <c r="AQ153" t="str">
        <f t="shared" si="22"/>
        <v>2009AllSexUrban24</v>
      </c>
      <c r="AR153">
        <v>2009</v>
      </c>
      <c r="AS153" t="s">
        <v>17</v>
      </c>
      <c r="AT153" t="s">
        <v>97</v>
      </c>
      <c r="AU153">
        <v>24</v>
      </c>
      <c r="AV153">
        <v>133</v>
      </c>
      <c r="AW153">
        <v>14.8871153695475</v>
      </c>
      <c r="AX153">
        <v>2.5</v>
      </c>
      <c r="BS153" t="str">
        <f t="shared" si="24"/>
        <v>AllSexMaori255</v>
      </c>
      <c r="BT153" t="s">
        <v>17</v>
      </c>
      <c r="BU153" t="s">
        <v>18</v>
      </c>
      <c r="BV153">
        <v>25</v>
      </c>
      <c r="BW153">
        <v>5</v>
      </c>
      <c r="BX153">
        <v>0</v>
      </c>
      <c r="BY153">
        <v>0</v>
      </c>
      <c r="CB153" t="str">
        <f t="shared" si="25"/>
        <v>FemaleAllEth25Jumping from a high place</v>
      </c>
      <c r="CC153" t="s">
        <v>8</v>
      </c>
      <c r="CD153" t="s">
        <v>27</v>
      </c>
      <c r="CE153" t="s">
        <v>44</v>
      </c>
      <c r="CF153">
        <v>25</v>
      </c>
      <c r="CG153">
        <v>2</v>
      </c>
      <c r="CH153">
        <v>63</v>
      </c>
      <c r="CI153">
        <v>3.2</v>
      </c>
    </row>
    <row r="154" spans="1:87" x14ac:dyDescent="0.2">
      <c r="A154" t="str">
        <f t="shared" si="20"/>
        <v>2006MaleMaori19</v>
      </c>
      <c r="B154">
        <v>2006</v>
      </c>
      <c r="C154" t="s">
        <v>20</v>
      </c>
      <c r="D154" t="s">
        <v>18</v>
      </c>
      <c r="E154">
        <v>19</v>
      </c>
      <c r="F154">
        <v>75</v>
      </c>
      <c r="G154">
        <v>25.8876809253644</v>
      </c>
      <c r="H154">
        <v>5.9</v>
      </c>
      <c r="J154" s="358" t="str">
        <f t="shared" si="21"/>
        <v>2001AllSexNon-Maori191</v>
      </c>
      <c r="K154" s="359">
        <v>2001</v>
      </c>
      <c r="L154" t="s">
        <v>17</v>
      </c>
      <c r="M154" t="s">
        <v>19</v>
      </c>
      <c r="N154">
        <v>19</v>
      </c>
      <c r="O154">
        <v>1</v>
      </c>
      <c r="P154">
        <v>61</v>
      </c>
      <c r="Q154">
        <v>8.8185490853513393</v>
      </c>
      <c r="R154">
        <v>2.2000000000000002</v>
      </c>
      <c r="T154" s="358" t="str">
        <f t="shared" si="23"/>
        <v>1996MaleAllEth23Poisoning by gases and vapours</v>
      </c>
      <c r="U154" s="360">
        <v>1996</v>
      </c>
      <c r="V154" s="360" t="s">
        <v>20</v>
      </c>
      <c r="W154" s="360" t="s">
        <v>27</v>
      </c>
      <c r="X154" s="360">
        <v>23</v>
      </c>
      <c r="Y154" s="360" t="s">
        <v>46</v>
      </c>
      <c r="Z154" s="360">
        <v>68</v>
      </c>
      <c r="AA154" s="360">
        <v>188</v>
      </c>
      <c r="AB154" s="360">
        <v>36.200000000000003</v>
      </c>
      <c r="AQ154" t="str">
        <f t="shared" si="22"/>
        <v>2009AllSexRural25</v>
      </c>
      <c r="AR154">
        <v>2009</v>
      </c>
      <c r="AS154" t="s">
        <v>17</v>
      </c>
      <c r="AT154" t="s">
        <v>96</v>
      </c>
      <c r="AU154">
        <v>25</v>
      </c>
      <c r="AV154">
        <v>5</v>
      </c>
      <c r="AW154">
        <v>7.2706121855460202</v>
      </c>
      <c r="AX154">
        <v>6.4</v>
      </c>
      <c r="BS154" t="str">
        <f t="shared" si="24"/>
        <v>AllSexOther251</v>
      </c>
      <c r="BT154" t="s">
        <v>17</v>
      </c>
      <c r="BU154" t="s">
        <v>45</v>
      </c>
      <c r="BV154">
        <v>25</v>
      </c>
      <c r="BW154">
        <v>1</v>
      </c>
      <c r="BX154">
        <v>44</v>
      </c>
      <c r="BY154">
        <v>7.3889018620327498</v>
      </c>
      <c r="BZ154">
        <v>2.2000000000000002</v>
      </c>
      <c r="CB154" t="str">
        <f t="shared" si="25"/>
        <v>FemaleAllEth21Other</v>
      </c>
      <c r="CC154" t="s">
        <v>8</v>
      </c>
      <c r="CD154" t="s">
        <v>27</v>
      </c>
      <c r="CE154" t="s">
        <v>45</v>
      </c>
      <c r="CF154">
        <v>21</v>
      </c>
      <c r="CG154">
        <v>2</v>
      </c>
      <c r="CH154">
        <v>17</v>
      </c>
      <c r="CI154">
        <v>11.8</v>
      </c>
    </row>
    <row r="155" spans="1:87" x14ac:dyDescent="0.2">
      <c r="A155" t="str">
        <f t="shared" si="20"/>
        <v>2007MaleMaori19</v>
      </c>
      <c r="B155">
        <v>2007</v>
      </c>
      <c r="C155" t="s">
        <v>20</v>
      </c>
      <c r="D155" t="s">
        <v>18</v>
      </c>
      <c r="E155">
        <v>19</v>
      </c>
      <c r="F155">
        <v>74</v>
      </c>
      <c r="G155">
        <v>25.915091779548401</v>
      </c>
      <c r="H155">
        <v>5.9</v>
      </c>
      <c r="J155" s="358" t="str">
        <f t="shared" si="21"/>
        <v>2001AllSexNon-Maori192</v>
      </c>
      <c r="K155" s="359">
        <v>2001</v>
      </c>
      <c r="L155" t="s">
        <v>17</v>
      </c>
      <c r="M155" t="s">
        <v>19</v>
      </c>
      <c r="N155">
        <v>19</v>
      </c>
      <c r="O155">
        <v>2</v>
      </c>
      <c r="P155">
        <v>67</v>
      </c>
      <c r="Q155">
        <v>8.4647667727081792</v>
      </c>
      <c r="R155">
        <v>2</v>
      </c>
      <c r="T155" s="358" t="str">
        <f t="shared" si="23"/>
        <v>1996MaleAllEth24Poisoning by gases and vapours</v>
      </c>
      <c r="U155" s="360">
        <v>1996</v>
      </c>
      <c r="V155" s="360" t="s">
        <v>20</v>
      </c>
      <c r="W155" s="360" t="s">
        <v>27</v>
      </c>
      <c r="X155" s="360">
        <v>24</v>
      </c>
      <c r="Y155" s="360" t="s">
        <v>46</v>
      </c>
      <c r="Z155" s="360">
        <v>32</v>
      </c>
      <c r="AA155" s="360">
        <v>80</v>
      </c>
      <c r="AB155" s="360">
        <v>40</v>
      </c>
      <c r="AQ155" t="str">
        <f t="shared" si="22"/>
        <v>2009AllSexUrban25</v>
      </c>
      <c r="AR155">
        <v>2009</v>
      </c>
      <c r="AS155" t="s">
        <v>17</v>
      </c>
      <c r="AT155" t="s">
        <v>97</v>
      </c>
      <c r="AU155">
        <v>25</v>
      </c>
      <c r="AV155">
        <v>49</v>
      </c>
      <c r="AW155">
        <v>10.2211097204839</v>
      </c>
      <c r="AX155">
        <v>2.9</v>
      </c>
      <c r="BS155" t="str">
        <f t="shared" si="24"/>
        <v>AllSexOther252</v>
      </c>
      <c r="BT155" t="s">
        <v>17</v>
      </c>
      <c r="BU155" t="s">
        <v>45</v>
      </c>
      <c r="BV155">
        <v>25</v>
      </c>
      <c r="BW155">
        <v>2</v>
      </c>
      <c r="BX155">
        <v>47</v>
      </c>
      <c r="BY155">
        <v>7.9689822313896004</v>
      </c>
      <c r="BZ155">
        <v>2.2999999999999998</v>
      </c>
      <c r="CB155" t="str">
        <f t="shared" si="25"/>
        <v>FemaleAllEth22Other</v>
      </c>
      <c r="CC155" t="s">
        <v>8</v>
      </c>
      <c r="CD155" t="s">
        <v>27</v>
      </c>
      <c r="CE155" t="s">
        <v>45</v>
      </c>
      <c r="CF155">
        <v>22</v>
      </c>
      <c r="CG155">
        <v>2</v>
      </c>
      <c r="CH155">
        <v>177</v>
      </c>
      <c r="CI155">
        <v>1.1000000000000001</v>
      </c>
    </row>
    <row r="156" spans="1:87" x14ac:dyDescent="0.2">
      <c r="A156" t="str">
        <f t="shared" si="20"/>
        <v>2008MaleMaori19</v>
      </c>
      <c r="B156">
        <v>2008</v>
      </c>
      <c r="C156" t="s">
        <v>20</v>
      </c>
      <c r="D156" t="s">
        <v>18</v>
      </c>
      <c r="E156">
        <v>19</v>
      </c>
      <c r="F156">
        <v>56</v>
      </c>
      <c r="G156">
        <v>19.8732690696398</v>
      </c>
      <c r="H156">
        <v>5.2</v>
      </c>
      <c r="J156" s="358" t="str">
        <f t="shared" si="21"/>
        <v>2001AllSexNon-Maori193</v>
      </c>
      <c r="K156" s="359">
        <v>2001</v>
      </c>
      <c r="L156" t="s">
        <v>17</v>
      </c>
      <c r="M156" t="s">
        <v>19</v>
      </c>
      <c r="N156">
        <v>19</v>
      </c>
      <c r="O156">
        <v>3</v>
      </c>
      <c r="P156">
        <v>88</v>
      </c>
      <c r="Q156">
        <v>12.0848485673424</v>
      </c>
      <c r="R156">
        <v>2.5</v>
      </c>
      <c r="T156" s="358" t="str">
        <f t="shared" si="23"/>
        <v>1996MaleAllEth25Poisoning by gases and vapours</v>
      </c>
      <c r="U156" s="360">
        <v>1996</v>
      </c>
      <c r="V156" s="360" t="s">
        <v>20</v>
      </c>
      <c r="W156" s="360" t="s">
        <v>27</v>
      </c>
      <c r="X156" s="360">
        <v>25</v>
      </c>
      <c r="Y156" s="360" t="s">
        <v>46</v>
      </c>
      <c r="Z156" s="360">
        <v>11</v>
      </c>
      <c r="AA156" s="360">
        <v>53</v>
      </c>
      <c r="AB156" s="360">
        <v>20.8</v>
      </c>
      <c r="AQ156" t="str">
        <f t="shared" si="22"/>
        <v>2009FemaleRural22</v>
      </c>
      <c r="AR156">
        <v>2009</v>
      </c>
      <c r="AS156" t="s">
        <v>8</v>
      </c>
      <c r="AT156" t="s">
        <v>96</v>
      </c>
      <c r="AU156">
        <v>22</v>
      </c>
      <c r="AV156">
        <v>3</v>
      </c>
      <c r="AW156">
        <v>9.3574547723019297</v>
      </c>
      <c r="AX156">
        <v>10.6</v>
      </c>
      <c r="BS156" t="str">
        <f t="shared" si="24"/>
        <v>AllSexOther253</v>
      </c>
      <c r="BT156" t="s">
        <v>17</v>
      </c>
      <c r="BU156" t="s">
        <v>45</v>
      </c>
      <c r="BV156">
        <v>25</v>
      </c>
      <c r="BW156">
        <v>3</v>
      </c>
      <c r="BX156">
        <v>73</v>
      </c>
      <c r="BY156">
        <v>12.7192191221828</v>
      </c>
      <c r="BZ156">
        <v>2.9</v>
      </c>
      <c r="CB156" t="str">
        <f t="shared" si="25"/>
        <v>FemaleAllEth23Other</v>
      </c>
      <c r="CC156" t="s">
        <v>8</v>
      </c>
      <c r="CD156" t="s">
        <v>27</v>
      </c>
      <c r="CE156" t="s">
        <v>45</v>
      </c>
      <c r="CF156">
        <v>23</v>
      </c>
      <c r="CG156">
        <v>8</v>
      </c>
      <c r="CH156">
        <v>207</v>
      </c>
      <c r="CI156">
        <v>3.9</v>
      </c>
    </row>
    <row r="157" spans="1:87" x14ac:dyDescent="0.2">
      <c r="A157" t="str">
        <f t="shared" si="20"/>
        <v>2009MaleMaori19</v>
      </c>
      <c r="B157">
        <v>2009</v>
      </c>
      <c r="C157" t="s">
        <v>20</v>
      </c>
      <c r="D157" t="s">
        <v>18</v>
      </c>
      <c r="E157">
        <v>19</v>
      </c>
      <c r="F157">
        <v>58</v>
      </c>
      <c r="G157">
        <v>19.4811396989931</v>
      </c>
      <c r="H157">
        <v>5</v>
      </c>
      <c r="J157" s="358" t="str">
        <f t="shared" si="21"/>
        <v>2001AllSexNon-Maori194</v>
      </c>
      <c r="K157" s="359">
        <v>2001</v>
      </c>
      <c r="L157" t="s">
        <v>17</v>
      </c>
      <c r="M157" t="s">
        <v>19</v>
      </c>
      <c r="N157">
        <v>19</v>
      </c>
      <c r="O157">
        <v>4</v>
      </c>
      <c r="P157">
        <v>96</v>
      </c>
      <c r="Q157">
        <v>14.202879843016101</v>
      </c>
      <c r="R157">
        <v>2.8</v>
      </c>
      <c r="T157" s="358" t="str">
        <f t="shared" si="23"/>
        <v>1996MaleAllEth22Poisoning by solids and liquids</v>
      </c>
      <c r="U157" s="360">
        <v>1996</v>
      </c>
      <c r="V157" s="360" t="s">
        <v>20</v>
      </c>
      <c r="W157" s="360" t="s">
        <v>27</v>
      </c>
      <c r="X157" s="360">
        <v>22</v>
      </c>
      <c r="Y157" s="360" t="s">
        <v>47</v>
      </c>
      <c r="Z157" s="360">
        <v>6</v>
      </c>
      <c r="AA157" s="360">
        <v>105</v>
      </c>
      <c r="AB157" s="360">
        <v>5.7</v>
      </c>
      <c r="AQ157" t="str">
        <f t="shared" si="22"/>
        <v>2009FemaleUrban22</v>
      </c>
      <c r="AR157">
        <v>2009</v>
      </c>
      <c r="AS157" t="s">
        <v>8</v>
      </c>
      <c r="AT157" t="s">
        <v>97</v>
      </c>
      <c r="AU157">
        <v>22</v>
      </c>
      <c r="AV157">
        <v>18</v>
      </c>
      <c r="AW157">
        <v>6.6575433664977597</v>
      </c>
      <c r="AX157">
        <v>3.1</v>
      </c>
      <c r="BS157" t="str">
        <f t="shared" si="24"/>
        <v>AllSexOther254</v>
      </c>
      <c r="BT157" t="s">
        <v>17</v>
      </c>
      <c r="BU157" t="s">
        <v>45</v>
      </c>
      <c r="BV157">
        <v>25</v>
      </c>
      <c r="BW157">
        <v>4</v>
      </c>
      <c r="BX157">
        <v>53</v>
      </c>
      <c r="BY157">
        <v>9.4550452049162299</v>
      </c>
      <c r="BZ157">
        <v>2.5</v>
      </c>
      <c r="CB157" t="str">
        <f t="shared" si="25"/>
        <v>FemaleAllEth24Other</v>
      </c>
      <c r="CC157" t="s">
        <v>8</v>
      </c>
      <c r="CD157" t="s">
        <v>27</v>
      </c>
      <c r="CE157" t="s">
        <v>45</v>
      </c>
      <c r="CF157">
        <v>24</v>
      </c>
      <c r="CG157">
        <v>12</v>
      </c>
      <c r="CH157">
        <v>218</v>
      </c>
      <c r="CI157">
        <v>5.5</v>
      </c>
    </row>
    <row r="158" spans="1:87" x14ac:dyDescent="0.2">
      <c r="A158" t="str">
        <f t="shared" si="20"/>
        <v>2010MaleMaori19</v>
      </c>
      <c r="B158">
        <v>2010</v>
      </c>
      <c r="C158" t="s">
        <v>20</v>
      </c>
      <c r="D158" t="s">
        <v>18</v>
      </c>
      <c r="E158">
        <v>19</v>
      </c>
      <c r="F158">
        <v>72</v>
      </c>
      <c r="G158">
        <v>23.689392361421</v>
      </c>
      <c r="H158">
        <v>5.5</v>
      </c>
      <c r="J158" s="358" t="str">
        <f t="shared" si="21"/>
        <v>2001AllSexNon-Maori195</v>
      </c>
      <c r="K158" s="359">
        <v>2001</v>
      </c>
      <c r="L158" t="s">
        <v>17</v>
      </c>
      <c r="M158" t="s">
        <v>19</v>
      </c>
      <c r="N158">
        <v>19</v>
      </c>
      <c r="O158">
        <v>5</v>
      </c>
      <c r="P158">
        <v>72</v>
      </c>
      <c r="Q158">
        <v>13.4581720948861</v>
      </c>
      <c r="R158">
        <v>3.1</v>
      </c>
      <c r="T158" s="358" t="str">
        <f t="shared" si="23"/>
        <v>1996MaleAllEth23Poisoning by solids and liquids</v>
      </c>
      <c r="U158" s="360">
        <v>1996</v>
      </c>
      <c r="V158" s="360" t="s">
        <v>20</v>
      </c>
      <c r="W158" s="360" t="s">
        <v>27</v>
      </c>
      <c r="X158" s="360">
        <v>23</v>
      </c>
      <c r="Y158" s="360" t="s">
        <v>47</v>
      </c>
      <c r="Z158" s="360">
        <v>9</v>
      </c>
      <c r="AA158" s="360">
        <v>188</v>
      </c>
      <c r="AB158" s="360">
        <v>4.8</v>
      </c>
      <c r="AQ158" t="str">
        <f t="shared" si="22"/>
        <v>2009FemaleRural23</v>
      </c>
      <c r="AR158">
        <v>2009</v>
      </c>
      <c r="AS158" t="s">
        <v>8</v>
      </c>
      <c r="AT158" t="s">
        <v>96</v>
      </c>
      <c r="AU158">
        <v>23</v>
      </c>
      <c r="AV158">
        <v>3</v>
      </c>
      <c r="AW158">
        <v>3.9656311962987401</v>
      </c>
      <c r="AX158">
        <v>4.5</v>
      </c>
      <c r="BS158" t="str">
        <f t="shared" si="24"/>
        <v>AllSexOther255</v>
      </c>
      <c r="BT158" t="s">
        <v>17</v>
      </c>
      <c r="BU158" t="s">
        <v>45</v>
      </c>
      <c r="BV158">
        <v>25</v>
      </c>
      <c r="BW158">
        <v>5</v>
      </c>
      <c r="BX158">
        <v>38</v>
      </c>
      <c r="BY158">
        <v>10.0117452271268</v>
      </c>
      <c r="BZ158">
        <v>3.2</v>
      </c>
      <c r="CB158" t="str">
        <f t="shared" si="25"/>
        <v>FemaleAllEth25Other</v>
      </c>
      <c r="CC158" t="s">
        <v>8</v>
      </c>
      <c r="CD158" t="s">
        <v>27</v>
      </c>
      <c r="CE158" t="s">
        <v>45</v>
      </c>
      <c r="CF158">
        <v>25</v>
      </c>
      <c r="CG158">
        <v>2</v>
      </c>
      <c r="CH158">
        <v>63</v>
      </c>
      <c r="CI158">
        <v>3.2</v>
      </c>
    </row>
    <row r="159" spans="1:87" x14ac:dyDescent="0.2">
      <c r="A159" t="str">
        <f t="shared" si="20"/>
        <v>2011MaleMaori19</v>
      </c>
      <c r="B159">
        <v>2011</v>
      </c>
      <c r="C159" t="s">
        <v>20</v>
      </c>
      <c r="D159" t="s">
        <v>18</v>
      </c>
      <c r="E159">
        <v>19</v>
      </c>
      <c r="F159">
        <v>81</v>
      </c>
      <c r="G159">
        <v>26.239623561034499</v>
      </c>
      <c r="H159">
        <v>5.7</v>
      </c>
      <c r="J159" s="358" t="str">
        <f t="shared" si="21"/>
        <v>2002AllSexNon-Maori191</v>
      </c>
      <c r="K159" s="359">
        <v>2002</v>
      </c>
      <c r="L159" t="s">
        <v>17</v>
      </c>
      <c r="M159" t="s">
        <v>19</v>
      </c>
      <c r="N159">
        <v>19</v>
      </c>
      <c r="O159">
        <v>1</v>
      </c>
      <c r="P159">
        <v>54</v>
      </c>
      <c r="Q159">
        <v>7.0068039902930597</v>
      </c>
      <c r="R159">
        <v>1.9</v>
      </c>
      <c r="T159" s="358" t="str">
        <f t="shared" si="23"/>
        <v>1996MaleAllEth24Poisoning by solids and liquids</v>
      </c>
      <c r="U159" s="360">
        <v>1996</v>
      </c>
      <c r="V159" s="360" t="s">
        <v>20</v>
      </c>
      <c r="W159" s="360" t="s">
        <v>27</v>
      </c>
      <c r="X159" s="360">
        <v>24</v>
      </c>
      <c r="Y159" s="360" t="s">
        <v>47</v>
      </c>
      <c r="Z159" s="360">
        <v>6</v>
      </c>
      <c r="AA159" s="360">
        <v>80</v>
      </c>
      <c r="AB159" s="360">
        <v>7.5</v>
      </c>
      <c r="AQ159" t="str">
        <f t="shared" si="22"/>
        <v>2009FemaleUrban23</v>
      </c>
      <c r="AR159">
        <v>2009</v>
      </c>
      <c r="AS159" t="s">
        <v>8</v>
      </c>
      <c r="AT159" t="s">
        <v>97</v>
      </c>
      <c r="AU159">
        <v>23</v>
      </c>
      <c r="AV159">
        <v>38</v>
      </c>
      <c r="AW159">
        <v>7.1707584020531003</v>
      </c>
      <c r="AX159">
        <v>2.2999999999999998</v>
      </c>
      <c r="BS159" t="str">
        <f t="shared" si="24"/>
        <v>AllSexPacific251</v>
      </c>
      <c r="BT159" t="s">
        <v>17</v>
      </c>
      <c r="BU159" t="s">
        <v>79</v>
      </c>
      <c r="BV159">
        <v>25</v>
      </c>
      <c r="BW159">
        <v>1</v>
      </c>
      <c r="BX159">
        <v>1</v>
      </c>
      <c r="BY159">
        <v>21.3825415077191</v>
      </c>
      <c r="BZ159">
        <v>41.9</v>
      </c>
      <c r="CB159" t="str">
        <f t="shared" si="25"/>
        <v>FemaleAllEth22Poisoning by gases and vapours</v>
      </c>
      <c r="CC159" t="s">
        <v>8</v>
      </c>
      <c r="CD159" t="s">
        <v>27</v>
      </c>
      <c r="CE159" t="s">
        <v>46</v>
      </c>
      <c r="CF159">
        <v>22</v>
      </c>
      <c r="CG159">
        <v>1</v>
      </c>
      <c r="CH159">
        <v>177</v>
      </c>
      <c r="CI159">
        <v>0.6</v>
      </c>
    </row>
    <row r="160" spans="1:87" x14ac:dyDescent="0.2">
      <c r="A160" t="str">
        <f t="shared" si="20"/>
        <v>2012MaleMaori19</v>
      </c>
      <c r="B160">
        <v>2012</v>
      </c>
      <c r="C160" t="s">
        <v>20</v>
      </c>
      <c r="D160" t="s">
        <v>18</v>
      </c>
      <c r="E160">
        <v>19</v>
      </c>
      <c r="F160">
        <v>82</v>
      </c>
      <c r="G160">
        <v>25.657974492525501</v>
      </c>
      <c r="H160">
        <v>5.6</v>
      </c>
      <c r="J160" s="358" t="str">
        <f t="shared" si="21"/>
        <v>2002AllSexNon-Maori192</v>
      </c>
      <c r="K160" s="359">
        <v>2002</v>
      </c>
      <c r="L160" t="s">
        <v>17</v>
      </c>
      <c r="M160" t="s">
        <v>19</v>
      </c>
      <c r="N160">
        <v>19</v>
      </c>
      <c r="O160">
        <v>2</v>
      </c>
      <c r="P160">
        <v>86</v>
      </c>
      <c r="Q160">
        <v>11.318220792875801</v>
      </c>
      <c r="R160">
        <v>2.4</v>
      </c>
      <c r="T160" s="358" t="str">
        <f t="shared" si="23"/>
        <v>1996MaleAllEth25Poisoning by solids and liquids</v>
      </c>
      <c r="U160" s="360">
        <v>1996</v>
      </c>
      <c r="V160" s="360" t="s">
        <v>20</v>
      </c>
      <c r="W160" s="360" t="s">
        <v>27</v>
      </c>
      <c r="X160" s="360">
        <v>25</v>
      </c>
      <c r="Y160" s="360" t="s">
        <v>47</v>
      </c>
      <c r="Z160" s="360">
        <v>9</v>
      </c>
      <c r="AA160" s="360">
        <v>53</v>
      </c>
      <c r="AB160" s="360">
        <v>17</v>
      </c>
      <c r="AQ160" t="str">
        <f t="shared" si="22"/>
        <v>2009FemaleRural24</v>
      </c>
      <c r="AR160">
        <v>2009</v>
      </c>
      <c r="AS160" t="s">
        <v>8</v>
      </c>
      <c r="AT160" t="s">
        <v>96</v>
      </c>
      <c r="AU160">
        <v>24</v>
      </c>
      <c r="AV160">
        <v>1</v>
      </c>
      <c r="AW160">
        <v>1.1129660545353399</v>
      </c>
      <c r="AX160">
        <v>2.2000000000000002</v>
      </c>
      <c r="BS160" t="str">
        <f t="shared" si="24"/>
        <v>AllSexPacific252</v>
      </c>
      <c r="BT160" t="s">
        <v>17</v>
      </c>
      <c r="BU160" t="s">
        <v>79</v>
      </c>
      <c r="BV160">
        <v>25</v>
      </c>
      <c r="BW160">
        <v>2</v>
      </c>
      <c r="BX160">
        <v>0</v>
      </c>
      <c r="BY160">
        <v>0</v>
      </c>
      <c r="CB160" t="str">
        <f t="shared" si="25"/>
        <v>FemaleAllEth23Poisoning by gases and vapours</v>
      </c>
      <c r="CC160" t="s">
        <v>8</v>
      </c>
      <c r="CD160" t="s">
        <v>27</v>
      </c>
      <c r="CE160" t="s">
        <v>46</v>
      </c>
      <c r="CF160">
        <v>23</v>
      </c>
      <c r="CG160">
        <v>9</v>
      </c>
      <c r="CH160">
        <v>207</v>
      </c>
      <c r="CI160">
        <v>4.3</v>
      </c>
    </row>
    <row r="161" spans="1:87" x14ac:dyDescent="0.2">
      <c r="A161" t="str">
        <f t="shared" si="20"/>
        <v>2013MaleMaori19</v>
      </c>
      <c r="B161">
        <v>2013</v>
      </c>
      <c r="C161" t="s">
        <v>20</v>
      </c>
      <c r="D161" t="s">
        <v>18</v>
      </c>
      <c r="E161">
        <v>19</v>
      </c>
      <c r="F161">
        <v>66</v>
      </c>
      <c r="G161">
        <v>21.474445318173501</v>
      </c>
      <c r="H161">
        <v>5.2</v>
      </c>
      <c r="J161" s="358" t="str">
        <f t="shared" si="21"/>
        <v>2002AllSexNon-Maori193</v>
      </c>
      <c r="K161" s="359">
        <v>2002</v>
      </c>
      <c r="L161" t="s">
        <v>17</v>
      </c>
      <c r="M161" t="s">
        <v>19</v>
      </c>
      <c r="N161">
        <v>19</v>
      </c>
      <c r="O161">
        <v>3</v>
      </c>
      <c r="P161">
        <v>73</v>
      </c>
      <c r="Q161">
        <v>9.9203149288889492</v>
      </c>
      <c r="R161">
        <v>2.2999999999999998</v>
      </c>
      <c r="T161" s="358" t="str">
        <f t="shared" si="23"/>
        <v>1996MaleAllEth23Sharp object</v>
      </c>
      <c r="U161" s="360">
        <v>1996</v>
      </c>
      <c r="V161" s="360" t="s">
        <v>20</v>
      </c>
      <c r="W161" s="360" t="s">
        <v>27</v>
      </c>
      <c r="X161" s="360">
        <v>23</v>
      </c>
      <c r="Y161" s="360" t="s">
        <v>48</v>
      </c>
      <c r="Z161" s="360">
        <v>3</v>
      </c>
      <c r="AA161" s="360">
        <v>188</v>
      </c>
      <c r="AB161" s="360">
        <v>1.6</v>
      </c>
      <c r="AQ161" t="str">
        <f t="shared" si="22"/>
        <v>2009FemaleUrban24</v>
      </c>
      <c r="AR161">
        <v>2009</v>
      </c>
      <c r="AS161" t="s">
        <v>8</v>
      </c>
      <c r="AT161" t="s">
        <v>97</v>
      </c>
      <c r="AU161">
        <v>24</v>
      </c>
      <c r="AV161">
        <v>37</v>
      </c>
      <c r="AW161">
        <v>8.0255081014250695</v>
      </c>
      <c r="AX161">
        <v>2.6</v>
      </c>
      <c r="BS161" t="str">
        <f t="shared" si="24"/>
        <v>AllSexPacific253</v>
      </c>
      <c r="BT161" t="s">
        <v>17</v>
      </c>
      <c r="BU161" t="s">
        <v>79</v>
      </c>
      <c r="BV161">
        <v>25</v>
      </c>
      <c r="BW161">
        <v>3</v>
      </c>
      <c r="BX161">
        <v>1</v>
      </c>
      <c r="BY161">
        <v>11.432679377915999</v>
      </c>
      <c r="BZ161">
        <v>22.4</v>
      </c>
      <c r="CB161" t="str">
        <f t="shared" si="25"/>
        <v>FemaleAllEth24Poisoning by gases and vapours</v>
      </c>
      <c r="CC161" t="s">
        <v>8</v>
      </c>
      <c r="CD161" t="s">
        <v>27</v>
      </c>
      <c r="CE161" t="s">
        <v>46</v>
      </c>
      <c r="CF161">
        <v>24</v>
      </c>
      <c r="CG161">
        <v>21</v>
      </c>
      <c r="CH161">
        <v>218</v>
      </c>
      <c r="CI161">
        <v>9.6</v>
      </c>
    </row>
    <row r="162" spans="1:87" x14ac:dyDescent="0.2">
      <c r="A162" t="str">
        <f t="shared" si="20"/>
        <v>2014MaleMaori19</v>
      </c>
      <c r="B162">
        <v>2014</v>
      </c>
      <c r="C162" t="s">
        <v>20</v>
      </c>
      <c r="D162" t="s">
        <v>18</v>
      </c>
      <c r="E162">
        <v>19</v>
      </c>
      <c r="F162">
        <v>67</v>
      </c>
      <c r="G162">
        <v>22.382934863323399</v>
      </c>
      <c r="H162">
        <v>5.4</v>
      </c>
      <c r="J162" s="358" t="str">
        <f t="shared" si="21"/>
        <v>2002AllSexNon-Maori194</v>
      </c>
      <c r="K162" s="359">
        <v>2002</v>
      </c>
      <c r="L162" t="s">
        <v>17</v>
      </c>
      <c r="M162" t="s">
        <v>19</v>
      </c>
      <c r="N162">
        <v>19</v>
      </c>
      <c r="O162">
        <v>4</v>
      </c>
      <c r="P162">
        <v>78</v>
      </c>
      <c r="Q162">
        <v>11.471967284124799</v>
      </c>
      <c r="R162">
        <v>2.5</v>
      </c>
      <c r="T162" s="358" t="str">
        <f t="shared" si="23"/>
        <v>1996MaleAllEth24Sharp object</v>
      </c>
      <c r="U162" s="360">
        <v>1996</v>
      </c>
      <c r="V162" s="360" t="s">
        <v>20</v>
      </c>
      <c r="W162" s="360" t="s">
        <v>27</v>
      </c>
      <c r="X162" s="360">
        <v>24</v>
      </c>
      <c r="Y162" s="360" t="s">
        <v>48</v>
      </c>
      <c r="Z162" s="360">
        <v>2</v>
      </c>
      <c r="AA162" s="360">
        <v>80</v>
      </c>
      <c r="AB162" s="360">
        <v>2.5</v>
      </c>
      <c r="AQ162" t="str">
        <f t="shared" si="22"/>
        <v>2009FemaleRural25</v>
      </c>
      <c r="AR162">
        <v>2009</v>
      </c>
      <c r="AS162" t="s">
        <v>8</v>
      </c>
      <c r="AT162" t="s">
        <v>96</v>
      </c>
      <c r="AU162">
        <v>25</v>
      </c>
      <c r="AV162">
        <v>1</v>
      </c>
      <c r="AW162">
        <v>3.1172069825436401</v>
      </c>
      <c r="AX162">
        <v>6.1</v>
      </c>
      <c r="BS162" t="str">
        <f t="shared" si="24"/>
        <v>AllSexPacific254</v>
      </c>
      <c r="BT162" t="s">
        <v>17</v>
      </c>
      <c r="BU162" t="s">
        <v>79</v>
      </c>
      <c r="BV162">
        <v>25</v>
      </c>
      <c r="BW162">
        <v>4</v>
      </c>
      <c r="BX162">
        <v>1</v>
      </c>
      <c r="BY162">
        <v>6.17620087743511</v>
      </c>
      <c r="BZ162">
        <v>12.1</v>
      </c>
      <c r="CB162" t="str">
        <f t="shared" si="25"/>
        <v>FemaleAllEth25Poisoning by gases and vapours</v>
      </c>
      <c r="CC162" t="s">
        <v>8</v>
      </c>
      <c r="CD162" t="s">
        <v>27</v>
      </c>
      <c r="CE162" t="s">
        <v>46</v>
      </c>
      <c r="CF162">
        <v>25</v>
      </c>
      <c r="CG162">
        <v>3</v>
      </c>
      <c r="CH162">
        <v>63</v>
      </c>
      <c r="CI162">
        <v>4.8</v>
      </c>
    </row>
    <row r="163" spans="1:87" x14ac:dyDescent="0.2">
      <c r="A163" t="str">
        <f t="shared" si="20"/>
        <v>2015MaleMaori19</v>
      </c>
      <c r="B163">
        <v>2015</v>
      </c>
      <c r="C163" t="s">
        <v>20</v>
      </c>
      <c r="D163" t="s">
        <v>18</v>
      </c>
      <c r="E163">
        <v>19</v>
      </c>
      <c r="F163">
        <v>77</v>
      </c>
      <c r="G163">
        <v>25.316443855804899</v>
      </c>
      <c r="H163">
        <v>5.7</v>
      </c>
      <c r="J163" s="358" t="str">
        <f t="shared" si="21"/>
        <v>2002AllSexNon-Maori195</v>
      </c>
      <c r="K163" s="359">
        <v>2002</v>
      </c>
      <c r="L163" t="s">
        <v>17</v>
      </c>
      <c r="M163" t="s">
        <v>19</v>
      </c>
      <c r="N163">
        <v>19</v>
      </c>
      <c r="O163">
        <v>5</v>
      </c>
      <c r="P163">
        <v>72</v>
      </c>
      <c r="Q163">
        <v>13.278226500916601</v>
      </c>
      <c r="R163">
        <v>3.1</v>
      </c>
      <c r="T163" s="358" t="str">
        <f t="shared" si="23"/>
        <v>1996MaleAllEth23Submersion (drowning)</v>
      </c>
      <c r="U163" s="360">
        <v>1996</v>
      </c>
      <c r="V163" s="360" t="s">
        <v>20</v>
      </c>
      <c r="W163" s="360" t="s">
        <v>27</v>
      </c>
      <c r="X163" s="360">
        <v>23</v>
      </c>
      <c r="Y163" s="360" t="s">
        <v>49</v>
      </c>
      <c r="Z163" s="360">
        <v>1</v>
      </c>
      <c r="AA163" s="360">
        <v>188</v>
      </c>
      <c r="AB163" s="360">
        <v>0.5</v>
      </c>
      <c r="AQ163" t="str">
        <f t="shared" si="22"/>
        <v>2009FemaleUrban25</v>
      </c>
      <c r="AR163">
        <v>2009</v>
      </c>
      <c r="AS163" t="s">
        <v>8</v>
      </c>
      <c r="AT163" t="s">
        <v>97</v>
      </c>
      <c r="AU163">
        <v>25</v>
      </c>
      <c r="AV163">
        <v>12</v>
      </c>
      <c r="AW163">
        <v>4.4843049327354301</v>
      </c>
      <c r="AX163">
        <v>2.5</v>
      </c>
      <c r="BS163" t="str">
        <f t="shared" si="24"/>
        <v>AllSexPacific255</v>
      </c>
      <c r="BT163" t="s">
        <v>17</v>
      </c>
      <c r="BU163" t="s">
        <v>79</v>
      </c>
      <c r="BV163">
        <v>25</v>
      </c>
      <c r="BW163">
        <v>5</v>
      </c>
      <c r="BX163">
        <v>0</v>
      </c>
      <c r="BY163">
        <v>0</v>
      </c>
      <c r="CB163" t="str">
        <f t="shared" si="25"/>
        <v>FemaleAllEth22Poisoning by solids and liquids</v>
      </c>
      <c r="CC163" t="s">
        <v>8</v>
      </c>
      <c r="CD163" t="s">
        <v>27</v>
      </c>
      <c r="CE163" t="s">
        <v>47</v>
      </c>
      <c r="CF163">
        <v>22</v>
      </c>
      <c r="CG163">
        <v>11</v>
      </c>
      <c r="CH163">
        <v>177</v>
      </c>
      <c r="CI163">
        <v>6.2</v>
      </c>
    </row>
    <row r="164" spans="1:87" x14ac:dyDescent="0.2">
      <c r="A164" t="str">
        <f t="shared" si="20"/>
        <v>1996MaleNon-Maori19</v>
      </c>
      <c r="B164">
        <v>1996</v>
      </c>
      <c r="C164" t="s">
        <v>20</v>
      </c>
      <c r="D164" t="s">
        <v>19</v>
      </c>
      <c r="E164">
        <v>19</v>
      </c>
      <c r="F164">
        <v>356</v>
      </c>
      <c r="G164">
        <v>21.479905755824099</v>
      </c>
      <c r="H164">
        <v>2.2000000000000002</v>
      </c>
      <c r="J164" s="358" t="str">
        <f t="shared" si="21"/>
        <v>2003AllSexNon-Maori191</v>
      </c>
      <c r="K164" s="359">
        <v>2003</v>
      </c>
      <c r="L164" t="s">
        <v>17</v>
      </c>
      <c r="M164" t="s">
        <v>19</v>
      </c>
      <c r="N164">
        <v>19</v>
      </c>
      <c r="O164">
        <v>1</v>
      </c>
      <c r="P164">
        <v>59</v>
      </c>
      <c r="Q164">
        <v>7.5321456927402801</v>
      </c>
      <c r="R164">
        <v>1.9</v>
      </c>
      <c r="T164" s="358" t="str">
        <f t="shared" si="23"/>
        <v>1996MaleAllEth24Submersion (drowning)</v>
      </c>
      <c r="U164" s="360">
        <v>1996</v>
      </c>
      <c r="V164" s="360" t="s">
        <v>20</v>
      </c>
      <c r="W164" s="360" t="s">
        <v>27</v>
      </c>
      <c r="X164" s="360">
        <v>24</v>
      </c>
      <c r="Y164" s="360" t="s">
        <v>49</v>
      </c>
      <c r="Z164" s="360">
        <v>3</v>
      </c>
      <c r="AA164" s="360">
        <v>80</v>
      </c>
      <c r="AB164" s="360">
        <v>3.8</v>
      </c>
      <c r="AQ164" t="str">
        <f t="shared" si="22"/>
        <v>2009MaleRural22</v>
      </c>
      <c r="AR164">
        <v>2009</v>
      </c>
      <c r="AS164" t="s">
        <v>20</v>
      </c>
      <c r="AT164" t="s">
        <v>96</v>
      </c>
      <c r="AU164">
        <v>22</v>
      </c>
      <c r="AV164">
        <v>20</v>
      </c>
      <c r="AW164">
        <v>54.436581382689198</v>
      </c>
      <c r="AX164">
        <v>23.9</v>
      </c>
      <c r="BS164" t="str">
        <f t="shared" si="24"/>
        <v>FemaleAsian211</v>
      </c>
      <c r="BT164" t="s">
        <v>8</v>
      </c>
      <c r="BU164" t="s">
        <v>78</v>
      </c>
      <c r="BV164">
        <v>21</v>
      </c>
      <c r="BW164">
        <v>1</v>
      </c>
      <c r="BX164">
        <v>0</v>
      </c>
      <c r="CB164" t="str">
        <f t="shared" si="25"/>
        <v>FemaleAllEth23Poisoning by solids and liquids</v>
      </c>
      <c r="CC164" t="s">
        <v>8</v>
      </c>
      <c r="CD164" t="s">
        <v>27</v>
      </c>
      <c r="CE164" t="s">
        <v>47</v>
      </c>
      <c r="CF164">
        <v>23</v>
      </c>
      <c r="CG164">
        <v>43</v>
      </c>
      <c r="CH164">
        <v>207</v>
      </c>
      <c r="CI164">
        <v>20.8</v>
      </c>
    </row>
    <row r="165" spans="1:87" x14ac:dyDescent="0.2">
      <c r="A165" t="str">
        <f t="shared" si="20"/>
        <v>1997MaleNon-Maori19</v>
      </c>
      <c r="B165">
        <v>1997</v>
      </c>
      <c r="C165" t="s">
        <v>20</v>
      </c>
      <c r="D165" t="s">
        <v>19</v>
      </c>
      <c r="E165">
        <v>19</v>
      </c>
      <c r="F165">
        <v>361</v>
      </c>
      <c r="G165">
        <v>21.882813084323601</v>
      </c>
      <c r="H165">
        <v>2.2999999999999998</v>
      </c>
      <c r="J165" s="358" t="str">
        <f t="shared" si="21"/>
        <v>2003AllSexNon-Maori192</v>
      </c>
      <c r="K165" s="359">
        <v>2003</v>
      </c>
      <c r="L165" t="s">
        <v>17</v>
      </c>
      <c r="M165" t="s">
        <v>19</v>
      </c>
      <c r="N165">
        <v>19</v>
      </c>
      <c r="O165">
        <v>2</v>
      </c>
      <c r="P165">
        <v>67</v>
      </c>
      <c r="Q165">
        <v>8.0268102759682805</v>
      </c>
      <c r="R165">
        <v>1.9</v>
      </c>
      <c r="T165" s="358" t="str">
        <f t="shared" si="23"/>
        <v>1996MaleAllEth25Submersion (drowning)</v>
      </c>
      <c r="U165" s="360">
        <v>1996</v>
      </c>
      <c r="V165" s="360" t="s">
        <v>20</v>
      </c>
      <c r="W165" s="360" t="s">
        <v>27</v>
      </c>
      <c r="X165" s="360">
        <v>25</v>
      </c>
      <c r="Y165" s="360" t="s">
        <v>49</v>
      </c>
      <c r="Z165" s="360">
        <v>4</v>
      </c>
      <c r="AA165" s="360">
        <v>53</v>
      </c>
      <c r="AB165" s="360">
        <v>7.5</v>
      </c>
      <c r="AQ165" t="str">
        <f t="shared" si="22"/>
        <v>2009MaleUrban22</v>
      </c>
      <c r="AR165">
        <v>2009</v>
      </c>
      <c r="AS165" t="s">
        <v>20</v>
      </c>
      <c r="AT165" t="s">
        <v>97</v>
      </c>
      <c r="AU165">
        <v>22</v>
      </c>
      <c r="AV165">
        <v>75</v>
      </c>
      <c r="AW165">
        <v>27.764409728649198</v>
      </c>
      <c r="AX165">
        <v>6.3</v>
      </c>
      <c r="BS165" t="str">
        <f t="shared" si="24"/>
        <v>FemaleAsian212</v>
      </c>
      <c r="BT165" t="s">
        <v>8</v>
      </c>
      <c r="BU165" t="s">
        <v>78</v>
      </c>
      <c r="BV165">
        <v>21</v>
      </c>
      <c r="BW165">
        <v>2</v>
      </c>
      <c r="BX165">
        <v>0</v>
      </c>
      <c r="CB165" t="str">
        <f t="shared" si="25"/>
        <v>FemaleAllEth24Poisoning by solids and liquids</v>
      </c>
      <c r="CC165" t="s">
        <v>8</v>
      </c>
      <c r="CD165" t="s">
        <v>27</v>
      </c>
      <c r="CE165" t="s">
        <v>47</v>
      </c>
      <c r="CF165">
        <v>24</v>
      </c>
      <c r="CG165">
        <v>81</v>
      </c>
      <c r="CH165">
        <v>218</v>
      </c>
      <c r="CI165">
        <v>37.200000000000003</v>
      </c>
    </row>
    <row r="166" spans="1:87" x14ac:dyDescent="0.2">
      <c r="A166" t="str">
        <f t="shared" si="20"/>
        <v>1998MaleNon-Maori19</v>
      </c>
      <c r="B166">
        <v>1998</v>
      </c>
      <c r="C166" t="s">
        <v>20</v>
      </c>
      <c r="D166" t="s">
        <v>19</v>
      </c>
      <c r="E166">
        <v>19</v>
      </c>
      <c r="F166">
        <v>358</v>
      </c>
      <c r="G166">
        <v>21.517130626241698</v>
      </c>
      <c r="H166">
        <v>2.2000000000000002</v>
      </c>
      <c r="J166" s="358" t="str">
        <f t="shared" si="21"/>
        <v>2003AllSexNon-Maori193</v>
      </c>
      <c r="K166" s="359">
        <v>2003</v>
      </c>
      <c r="L166" t="s">
        <v>17</v>
      </c>
      <c r="M166" t="s">
        <v>19</v>
      </c>
      <c r="N166">
        <v>19</v>
      </c>
      <c r="O166">
        <v>3</v>
      </c>
      <c r="P166">
        <v>104</v>
      </c>
      <c r="Q166">
        <v>13.2287898873844</v>
      </c>
      <c r="R166">
        <v>2.5</v>
      </c>
      <c r="T166" s="358" t="str">
        <f t="shared" si="23"/>
        <v>1996MaleMaori23Firearms and explosives</v>
      </c>
      <c r="U166" s="360">
        <v>1996</v>
      </c>
      <c r="V166" s="360" t="s">
        <v>20</v>
      </c>
      <c r="W166" s="360" t="s">
        <v>18</v>
      </c>
      <c r="X166" s="360">
        <v>23</v>
      </c>
      <c r="Y166" s="360" t="s">
        <v>42</v>
      </c>
      <c r="Z166" s="360">
        <v>3</v>
      </c>
      <c r="AA166" s="360">
        <v>36</v>
      </c>
      <c r="AB166" s="360">
        <v>8.3000000000000007</v>
      </c>
      <c r="AQ166" t="str">
        <f t="shared" si="22"/>
        <v>2009MaleRural23</v>
      </c>
      <c r="AR166">
        <v>2009</v>
      </c>
      <c r="AS166" t="s">
        <v>20</v>
      </c>
      <c r="AT166" t="s">
        <v>96</v>
      </c>
      <c r="AU166">
        <v>23</v>
      </c>
      <c r="AV166">
        <v>17</v>
      </c>
      <c r="AW166">
        <v>23.4903965731657</v>
      </c>
      <c r="AX166">
        <v>11.2</v>
      </c>
      <c r="BS166" t="str">
        <f t="shared" si="24"/>
        <v>FemaleAsian213</v>
      </c>
      <c r="BT166" t="s">
        <v>8</v>
      </c>
      <c r="BU166" t="s">
        <v>78</v>
      </c>
      <c r="BV166">
        <v>21</v>
      </c>
      <c r="BW166">
        <v>3</v>
      </c>
      <c r="BX166">
        <v>0</v>
      </c>
      <c r="CB166" t="str">
        <f t="shared" si="25"/>
        <v>FemaleAllEth25Poisoning by solids and liquids</v>
      </c>
      <c r="CC166" t="s">
        <v>8</v>
      </c>
      <c r="CD166" t="s">
        <v>27</v>
      </c>
      <c r="CE166" t="s">
        <v>47</v>
      </c>
      <c r="CF166">
        <v>25</v>
      </c>
      <c r="CG166">
        <v>30</v>
      </c>
      <c r="CH166">
        <v>63</v>
      </c>
      <c r="CI166">
        <v>47.6</v>
      </c>
    </row>
    <row r="167" spans="1:87" x14ac:dyDescent="0.2">
      <c r="A167" t="str">
        <f t="shared" si="20"/>
        <v>1999MaleNon-Maori19</v>
      </c>
      <c r="B167">
        <v>1999</v>
      </c>
      <c r="C167" t="s">
        <v>20</v>
      </c>
      <c r="D167" t="s">
        <v>19</v>
      </c>
      <c r="E167">
        <v>19</v>
      </c>
      <c r="F167">
        <v>326</v>
      </c>
      <c r="G167">
        <v>19.529367053720598</v>
      </c>
      <c r="H167">
        <v>2.1</v>
      </c>
      <c r="J167" s="358" t="str">
        <f t="shared" si="21"/>
        <v>2003AllSexNon-Maori194</v>
      </c>
      <c r="K167" s="359">
        <v>2003</v>
      </c>
      <c r="L167" t="s">
        <v>17</v>
      </c>
      <c r="M167" t="s">
        <v>19</v>
      </c>
      <c r="N167">
        <v>19</v>
      </c>
      <c r="O167">
        <v>4</v>
      </c>
      <c r="P167">
        <v>103</v>
      </c>
      <c r="Q167">
        <v>14.6815494587965</v>
      </c>
      <c r="R167">
        <v>2.8</v>
      </c>
      <c r="T167" s="358" t="str">
        <f t="shared" si="23"/>
        <v>1996MaleMaori21Hanging, strangulation and suffocation</v>
      </c>
      <c r="U167" s="360">
        <v>1996</v>
      </c>
      <c r="V167" s="360" t="s">
        <v>20</v>
      </c>
      <c r="W167" s="360" t="s">
        <v>18</v>
      </c>
      <c r="X167" s="360">
        <v>21</v>
      </c>
      <c r="Y167" s="360" t="s">
        <v>43</v>
      </c>
      <c r="Z167" s="360">
        <v>1</v>
      </c>
      <c r="AA167" s="360">
        <v>1</v>
      </c>
      <c r="AB167" s="360">
        <v>100</v>
      </c>
      <c r="AQ167" t="str">
        <f t="shared" si="22"/>
        <v>2009MaleUrban23</v>
      </c>
      <c r="AR167">
        <v>2009</v>
      </c>
      <c r="AS167" t="s">
        <v>20</v>
      </c>
      <c r="AT167" t="s">
        <v>97</v>
      </c>
      <c r="AU167">
        <v>23</v>
      </c>
      <c r="AV167">
        <v>115</v>
      </c>
      <c r="AW167">
        <v>23.603300357128202</v>
      </c>
      <c r="AX167">
        <v>4.3</v>
      </c>
      <c r="BS167" t="str">
        <f t="shared" si="24"/>
        <v>FemaleAsian214</v>
      </c>
      <c r="BT167" t="s">
        <v>8</v>
      </c>
      <c r="BU167" t="s">
        <v>78</v>
      </c>
      <c r="BV167">
        <v>21</v>
      </c>
      <c r="BW167">
        <v>4</v>
      </c>
      <c r="BX167">
        <v>0</v>
      </c>
      <c r="CB167" t="str">
        <f t="shared" si="25"/>
        <v>FemaleAllEth22Sharp object</v>
      </c>
      <c r="CC167" t="s">
        <v>8</v>
      </c>
      <c r="CD167" t="s">
        <v>27</v>
      </c>
      <c r="CE167" t="s">
        <v>48</v>
      </c>
      <c r="CF167">
        <v>22</v>
      </c>
      <c r="CG167">
        <v>1</v>
      </c>
      <c r="CH167">
        <v>177</v>
      </c>
      <c r="CI167">
        <v>0.6</v>
      </c>
    </row>
    <row r="168" spans="1:87" x14ac:dyDescent="0.2">
      <c r="A168" t="str">
        <f t="shared" si="20"/>
        <v>2000MaleNon-Maori19</v>
      </c>
      <c r="B168">
        <v>2000</v>
      </c>
      <c r="C168" t="s">
        <v>20</v>
      </c>
      <c r="D168" t="s">
        <v>19</v>
      </c>
      <c r="E168">
        <v>19</v>
      </c>
      <c r="F168">
        <v>307</v>
      </c>
      <c r="G168">
        <v>18.542595685537702</v>
      </c>
      <c r="H168">
        <v>2.1</v>
      </c>
      <c r="J168" s="358" t="str">
        <f t="shared" si="21"/>
        <v>2003AllSexNon-Maori195</v>
      </c>
      <c r="K168" s="359">
        <v>2003</v>
      </c>
      <c r="L168" t="s">
        <v>17</v>
      </c>
      <c r="M168" t="s">
        <v>19</v>
      </c>
      <c r="N168">
        <v>19</v>
      </c>
      <c r="O168">
        <v>5</v>
      </c>
      <c r="P168">
        <v>79</v>
      </c>
      <c r="Q168">
        <v>14.178781899907801</v>
      </c>
      <c r="R168">
        <v>3.1</v>
      </c>
      <c r="T168" s="358" t="str">
        <f t="shared" si="23"/>
        <v>1996MaleMaori22Hanging, strangulation and suffocation</v>
      </c>
      <c r="U168" s="360">
        <v>1996</v>
      </c>
      <c r="V168" s="360" t="s">
        <v>20</v>
      </c>
      <c r="W168" s="360" t="s">
        <v>18</v>
      </c>
      <c r="X168" s="360">
        <v>22</v>
      </c>
      <c r="Y168" s="360" t="s">
        <v>43</v>
      </c>
      <c r="Z168" s="360">
        <v>27</v>
      </c>
      <c r="AA168" s="360">
        <v>30</v>
      </c>
      <c r="AB168" s="360">
        <v>90</v>
      </c>
      <c r="AQ168" t="str">
        <f t="shared" si="22"/>
        <v>2009MaleRural24</v>
      </c>
      <c r="AR168">
        <v>2009</v>
      </c>
      <c r="AS168" t="s">
        <v>20</v>
      </c>
      <c r="AT168" t="s">
        <v>96</v>
      </c>
      <c r="AU168">
        <v>24</v>
      </c>
      <c r="AV168">
        <v>22</v>
      </c>
      <c r="AW168">
        <v>23.226351351351401</v>
      </c>
      <c r="AX168">
        <v>9.6999999999999993</v>
      </c>
      <c r="BS168" t="str">
        <f t="shared" si="24"/>
        <v>FemaleAsian215</v>
      </c>
      <c r="BT168" t="s">
        <v>8</v>
      </c>
      <c r="BU168" t="s">
        <v>78</v>
      </c>
      <c r="BV168">
        <v>21</v>
      </c>
      <c r="BW168">
        <v>5</v>
      </c>
      <c r="BX168">
        <v>0</v>
      </c>
      <c r="CB168" t="str">
        <f t="shared" si="25"/>
        <v>FemaleAllEth23Sharp object</v>
      </c>
      <c r="CC168" t="s">
        <v>8</v>
      </c>
      <c r="CD168" t="s">
        <v>27</v>
      </c>
      <c r="CE168" t="s">
        <v>48</v>
      </c>
      <c r="CF168">
        <v>23</v>
      </c>
      <c r="CG168">
        <v>2</v>
      </c>
      <c r="CH168">
        <v>207</v>
      </c>
      <c r="CI168">
        <v>1</v>
      </c>
    </row>
    <row r="169" spans="1:87" x14ac:dyDescent="0.2">
      <c r="A169" t="str">
        <f t="shared" si="20"/>
        <v>2001MaleNon-Maori19</v>
      </c>
      <c r="B169">
        <v>2001</v>
      </c>
      <c r="C169" t="s">
        <v>20</v>
      </c>
      <c r="D169" t="s">
        <v>19</v>
      </c>
      <c r="E169">
        <v>19</v>
      </c>
      <c r="F169">
        <v>332</v>
      </c>
      <c r="G169">
        <v>19.754574256070502</v>
      </c>
      <c r="H169">
        <v>2.1</v>
      </c>
      <c r="J169" s="358" t="str">
        <f t="shared" si="21"/>
        <v>2004AllSexNon-Maori191</v>
      </c>
      <c r="K169" s="359">
        <v>2004</v>
      </c>
      <c r="L169" t="s">
        <v>17</v>
      </c>
      <c r="M169" t="s">
        <v>19</v>
      </c>
      <c r="N169">
        <v>19</v>
      </c>
      <c r="O169">
        <v>1</v>
      </c>
      <c r="P169">
        <v>56</v>
      </c>
      <c r="Q169">
        <v>7.3630400358924097</v>
      </c>
      <c r="R169">
        <v>1.9</v>
      </c>
      <c r="T169" s="358" t="str">
        <f t="shared" si="23"/>
        <v>1996MaleMaori23Hanging, strangulation and suffocation</v>
      </c>
      <c r="U169" s="360">
        <v>1996</v>
      </c>
      <c r="V169" s="360" t="s">
        <v>20</v>
      </c>
      <c r="W169" s="360" t="s">
        <v>18</v>
      </c>
      <c r="X169" s="360">
        <v>23</v>
      </c>
      <c r="Y169" s="360" t="s">
        <v>43</v>
      </c>
      <c r="Z169" s="360">
        <v>22</v>
      </c>
      <c r="AA169" s="360">
        <v>36</v>
      </c>
      <c r="AB169" s="360">
        <v>61.1</v>
      </c>
      <c r="AQ169" t="str">
        <f t="shared" si="22"/>
        <v>2009MaleUrban24</v>
      </c>
      <c r="AR169">
        <v>2009</v>
      </c>
      <c r="AS169" t="s">
        <v>20</v>
      </c>
      <c r="AT169" t="s">
        <v>97</v>
      </c>
      <c r="AU169">
        <v>24</v>
      </c>
      <c r="AV169">
        <v>96</v>
      </c>
      <c r="AW169">
        <v>22.204746264514</v>
      </c>
      <c r="AX169">
        <v>4.4000000000000004</v>
      </c>
      <c r="BS169" t="str">
        <f t="shared" si="24"/>
        <v>FemaleMaori211</v>
      </c>
      <c r="BT169" t="s">
        <v>8</v>
      </c>
      <c r="BU169" t="s">
        <v>18</v>
      </c>
      <c r="BV169">
        <v>21</v>
      </c>
      <c r="BW169">
        <v>1</v>
      </c>
      <c r="BX169">
        <v>0</v>
      </c>
      <c r="CB169" t="str">
        <f t="shared" si="25"/>
        <v>FemaleAllEth24Sharp object</v>
      </c>
      <c r="CC169" t="s">
        <v>8</v>
      </c>
      <c r="CD169" t="s">
        <v>27</v>
      </c>
      <c r="CE169" t="s">
        <v>48</v>
      </c>
      <c r="CF169">
        <v>24</v>
      </c>
      <c r="CG169">
        <v>4</v>
      </c>
      <c r="CH169">
        <v>218</v>
      </c>
      <c r="CI169">
        <v>1.8</v>
      </c>
    </row>
    <row r="170" spans="1:87" x14ac:dyDescent="0.2">
      <c r="A170" t="str">
        <f t="shared" si="20"/>
        <v>2002MaleNon-Maori19</v>
      </c>
      <c r="B170">
        <v>2002</v>
      </c>
      <c r="C170" t="s">
        <v>20</v>
      </c>
      <c r="D170" t="s">
        <v>19</v>
      </c>
      <c r="E170">
        <v>19</v>
      </c>
      <c r="F170">
        <v>296</v>
      </c>
      <c r="G170">
        <v>17.053757227886599</v>
      </c>
      <c r="H170">
        <v>1.9</v>
      </c>
      <c r="J170" s="358" t="str">
        <f t="shared" si="21"/>
        <v>2004AllSexNon-Maori192</v>
      </c>
      <c r="K170" s="359">
        <v>2004</v>
      </c>
      <c r="L170" t="s">
        <v>17</v>
      </c>
      <c r="M170" t="s">
        <v>19</v>
      </c>
      <c r="N170">
        <v>19</v>
      </c>
      <c r="O170">
        <v>2</v>
      </c>
      <c r="P170">
        <v>59</v>
      </c>
      <c r="Q170">
        <v>7.38267942229976</v>
      </c>
      <c r="R170">
        <v>1.9</v>
      </c>
      <c r="T170" s="358" t="str">
        <f t="shared" si="23"/>
        <v>1996MaleMaori24Hanging, strangulation and suffocation</v>
      </c>
      <c r="U170" s="360">
        <v>1996</v>
      </c>
      <c r="V170" s="360" t="s">
        <v>20</v>
      </c>
      <c r="W170" s="360" t="s">
        <v>18</v>
      </c>
      <c r="X170" s="360">
        <v>24</v>
      </c>
      <c r="Y170" s="360" t="s">
        <v>43</v>
      </c>
      <c r="Z170" s="360">
        <v>1</v>
      </c>
      <c r="AA170" s="360">
        <v>5</v>
      </c>
      <c r="AB170" s="360">
        <v>20</v>
      </c>
      <c r="AQ170" t="str">
        <f t="shared" si="22"/>
        <v>2009MaleRural25</v>
      </c>
      <c r="AR170">
        <v>2009</v>
      </c>
      <c r="AS170" t="s">
        <v>20</v>
      </c>
      <c r="AT170" t="s">
        <v>96</v>
      </c>
      <c r="AU170">
        <v>25</v>
      </c>
      <c r="AV170">
        <v>4</v>
      </c>
      <c r="AW170">
        <v>10.902153175252099</v>
      </c>
      <c r="AX170">
        <v>10.7</v>
      </c>
      <c r="BS170" t="str">
        <f t="shared" si="24"/>
        <v>FemaleMaori212</v>
      </c>
      <c r="BT170" t="s">
        <v>8</v>
      </c>
      <c r="BU170" t="s">
        <v>18</v>
      </c>
      <c r="BV170">
        <v>21</v>
      </c>
      <c r="BW170">
        <v>2</v>
      </c>
      <c r="BX170">
        <v>0</v>
      </c>
      <c r="CB170" t="str">
        <f t="shared" si="25"/>
        <v>FemaleAllEth25Sharp object</v>
      </c>
      <c r="CC170" t="s">
        <v>8</v>
      </c>
      <c r="CD170" t="s">
        <v>27</v>
      </c>
      <c r="CE170" t="s">
        <v>48</v>
      </c>
      <c r="CF170">
        <v>25</v>
      </c>
      <c r="CG170">
        <v>1</v>
      </c>
      <c r="CH170">
        <v>63</v>
      </c>
      <c r="CI170">
        <v>1.6</v>
      </c>
    </row>
    <row r="171" spans="1:87" x14ac:dyDescent="0.2">
      <c r="A171" t="str">
        <f t="shared" si="20"/>
        <v>2003MaleNon-Maori19</v>
      </c>
      <c r="B171">
        <v>2003</v>
      </c>
      <c r="C171" t="s">
        <v>20</v>
      </c>
      <c r="D171" t="s">
        <v>19</v>
      </c>
      <c r="E171">
        <v>19</v>
      </c>
      <c r="F171">
        <v>313</v>
      </c>
      <c r="G171">
        <v>17.1757108224569</v>
      </c>
      <c r="H171">
        <v>1.9</v>
      </c>
      <c r="J171" s="358" t="str">
        <f t="shared" si="21"/>
        <v>2004AllSexNon-Maori193</v>
      </c>
      <c r="K171" s="359">
        <v>2004</v>
      </c>
      <c r="L171" t="s">
        <v>17</v>
      </c>
      <c r="M171" t="s">
        <v>19</v>
      </c>
      <c r="N171">
        <v>19</v>
      </c>
      <c r="O171">
        <v>3</v>
      </c>
      <c r="P171">
        <v>86</v>
      </c>
      <c r="Q171">
        <v>11.012769267447901</v>
      </c>
      <c r="R171">
        <v>2.2999999999999998</v>
      </c>
      <c r="T171" s="358" t="str">
        <f t="shared" si="23"/>
        <v>1996MaleMaori25Hanging, strangulation and suffocation</v>
      </c>
      <c r="U171" s="360">
        <v>1996</v>
      </c>
      <c r="V171" s="360" t="s">
        <v>20</v>
      </c>
      <c r="W171" s="360" t="s">
        <v>18</v>
      </c>
      <c r="X171" s="360">
        <v>25</v>
      </c>
      <c r="Y171" s="360" t="s">
        <v>43</v>
      </c>
      <c r="Z171" s="360">
        <v>1</v>
      </c>
      <c r="AA171" s="360">
        <v>1</v>
      </c>
      <c r="AB171" s="360">
        <v>100</v>
      </c>
      <c r="AQ171" t="str">
        <f t="shared" si="22"/>
        <v>2009MaleUrban25</v>
      </c>
      <c r="AR171">
        <v>2009</v>
      </c>
      <c r="AS171" t="s">
        <v>20</v>
      </c>
      <c r="AT171" t="s">
        <v>97</v>
      </c>
      <c r="AU171">
        <v>25</v>
      </c>
      <c r="AV171">
        <v>37</v>
      </c>
      <c r="AW171">
        <v>17.466012084592101</v>
      </c>
      <c r="AX171">
        <v>5.6</v>
      </c>
      <c r="BS171" t="str">
        <f t="shared" si="24"/>
        <v>FemaleMaori213</v>
      </c>
      <c r="BT171" t="s">
        <v>8</v>
      </c>
      <c r="BU171" t="s">
        <v>18</v>
      </c>
      <c r="BV171">
        <v>21</v>
      </c>
      <c r="BW171">
        <v>3</v>
      </c>
      <c r="BX171">
        <v>1</v>
      </c>
      <c r="CB171" t="str">
        <f t="shared" si="25"/>
        <v>FemaleAllEth22Submersion (drowning)</v>
      </c>
      <c r="CC171" t="s">
        <v>8</v>
      </c>
      <c r="CD171" t="s">
        <v>27</v>
      </c>
      <c r="CE171" t="s">
        <v>49</v>
      </c>
      <c r="CF171">
        <v>22</v>
      </c>
      <c r="CG171">
        <v>4</v>
      </c>
      <c r="CH171">
        <v>177</v>
      </c>
      <c r="CI171">
        <v>2.2999999999999998</v>
      </c>
    </row>
    <row r="172" spans="1:87" x14ac:dyDescent="0.2">
      <c r="A172" t="str">
        <f t="shared" si="20"/>
        <v>2004MaleNon-Maori19</v>
      </c>
      <c r="B172">
        <v>2004</v>
      </c>
      <c r="C172" t="s">
        <v>20</v>
      </c>
      <c r="D172" t="s">
        <v>19</v>
      </c>
      <c r="E172">
        <v>19</v>
      </c>
      <c r="F172">
        <v>299</v>
      </c>
      <c r="G172">
        <v>16.521659709264298</v>
      </c>
      <c r="H172">
        <v>1.9</v>
      </c>
      <c r="J172" s="358" t="str">
        <f t="shared" si="21"/>
        <v>2004AllSexNon-Maori194</v>
      </c>
      <c r="K172" s="359">
        <v>2004</v>
      </c>
      <c r="L172" t="s">
        <v>17</v>
      </c>
      <c r="M172" t="s">
        <v>19</v>
      </c>
      <c r="N172">
        <v>19</v>
      </c>
      <c r="O172">
        <v>4</v>
      </c>
      <c r="P172">
        <v>88</v>
      </c>
      <c r="Q172">
        <v>12.257919699059601</v>
      </c>
      <c r="R172">
        <v>2.6</v>
      </c>
      <c r="T172" s="358" t="str">
        <f t="shared" si="23"/>
        <v>1996MaleMaori23Jumping from a high place</v>
      </c>
      <c r="U172" s="360">
        <v>1996</v>
      </c>
      <c r="V172" s="360" t="s">
        <v>20</v>
      </c>
      <c r="W172" s="360" t="s">
        <v>18</v>
      </c>
      <c r="X172" s="360">
        <v>23</v>
      </c>
      <c r="Y172" s="360" t="s">
        <v>44</v>
      </c>
      <c r="Z172" s="360">
        <v>1</v>
      </c>
      <c r="AA172" s="360">
        <v>36</v>
      </c>
      <c r="AB172" s="360">
        <v>2.8</v>
      </c>
      <c r="AQ172" t="str">
        <f t="shared" si="22"/>
        <v>2010AllSexRural22</v>
      </c>
      <c r="AR172">
        <v>2010</v>
      </c>
      <c r="AS172" t="s">
        <v>17</v>
      </c>
      <c r="AT172" t="s">
        <v>96</v>
      </c>
      <c r="AU172">
        <v>22</v>
      </c>
      <c r="AV172">
        <v>17</v>
      </c>
      <c r="AW172">
        <v>24.337866857551901</v>
      </c>
      <c r="AX172">
        <v>11.6</v>
      </c>
      <c r="BS172" t="str">
        <f t="shared" si="24"/>
        <v>FemaleMaori214</v>
      </c>
      <c r="BT172" t="s">
        <v>8</v>
      </c>
      <c r="BU172" t="s">
        <v>18</v>
      </c>
      <c r="BV172">
        <v>21</v>
      </c>
      <c r="BW172">
        <v>4</v>
      </c>
      <c r="BX172">
        <v>0</v>
      </c>
      <c r="CB172" t="str">
        <f t="shared" si="25"/>
        <v>FemaleAllEth23Submersion (drowning)</v>
      </c>
      <c r="CC172" t="s">
        <v>8</v>
      </c>
      <c r="CD172" t="s">
        <v>27</v>
      </c>
      <c r="CE172" t="s">
        <v>49</v>
      </c>
      <c r="CF172">
        <v>23</v>
      </c>
      <c r="CG172">
        <v>4</v>
      </c>
      <c r="CH172">
        <v>207</v>
      </c>
      <c r="CI172">
        <v>1.9</v>
      </c>
    </row>
    <row r="173" spans="1:87" x14ac:dyDescent="0.2">
      <c r="A173" t="str">
        <f t="shared" si="20"/>
        <v>2005MaleNon-Maori19</v>
      </c>
      <c r="B173">
        <v>2005</v>
      </c>
      <c r="C173" t="s">
        <v>20</v>
      </c>
      <c r="D173" t="s">
        <v>19</v>
      </c>
      <c r="E173">
        <v>19</v>
      </c>
      <c r="F173">
        <v>305</v>
      </c>
      <c r="G173">
        <v>16.809710006140801</v>
      </c>
      <c r="H173">
        <v>1.9</v>
      </c>
      <c r="J173" s="358" t="str">
        <f t="shared" si="21"/>
        <v>2004AllSexNon-Maori195</v>
      </c>
      <c r="K173" s="359">
        <v>2004</v>
      </c>
      <c r="L173" t="s">
        <v>17</v>
      </c>
      <c r="M173" t="s">
        <v>19</v>
      </c>
      <c r="N173">
        <v>19</v>
      </c>
      <c r="O173">
        <v>5</v>
      </c>
      <c r="P173">
        <v>74</v>
      </c>
      <c r="Q173">
        <v>12.612563237658501</v>
      </c>
      <c r="R173">
        <v>2.9</v>
      </c>
      <c r="T173" s="358" t="str">
        <f t="shared" si="23"/>
        <v>1996MaleMaori22Other</v>
      </c>
      <c r="U173" s="360">
        <v>1996</v>
      </c>
      <c r="V173" s="360" t="s">
        <v>20</v>
      </c>
      <c r="W173" s="360" t="s">
        <v>18</v>
      </c>
      <c r="X173" s="360">
        <v>22</v>
      </c>
      <c r="Y173" s="360" t="s">
        <v>45</v>
      </c>
      <c r="Z173" s="360">
        <v>1</v>
      </c>
      <c r="AA173" s="360">
        <v>30</v>
      </c>
      <c r="AB173" s="360">
        <v>3.3</v>
      </c>
      <c r="AQ173" t="str">
        <f t="shared" si="22"/>
        <v>2010AllSexUrban22</v>
      </c>
      <c r="AR173">
        <v>2010</v>
      </c>
      <c r="AS173" t="s">
        <v>17</v>
      </c>
      <c r="AT173" t="s">
        <v>97</v>
      </c>
      <c r="AU173">
        <v>22</v>
      </c>
      <c r="AV173">
        <v>94</v>
      </c>
      <c r="AW173">
        <v>17.184643510054801</v>
      </c>
      <c r="AX173">
        <v>3.5</v>
      </c>
      <c r="BS173" t="str">
        <f t="shared" si="24"/>
        <v>FemaleMaori215</v>
      </c>
      <c r="BT173" t="s">
        <v>8</v>
      </c>
      <c r="BU173" t="s">
        <v>18</v>
      </c>
      <c r="BV173">
        <v>21</v>
      </c>
      <c r="BW173">
        <v>5</v>
      </c>
      <c r="BX173">
        <v>6</v>
      </c>
      <c r="CB173" t="str">
        <f t="shared" si="25"/>
        <v>FemaleAllEth24Submersion (drowning)</v>
      </c>
      <c r="CC173" t="s">
        <v>8</v>
      </c>
      <c r="CD173" t="s">
        <v>27</v>
      </c>
      <c r="CE173" t="s">
        <v>49</v>
      </c>
      <c r="CF173">
        <v>24</v>
      </c>
      <c r="CG173">
        <v>10</v>
      </c>
      <c r="CH173">
        <v>218</v>
      </c>
      <c r="CI173">
        <v>4.5999999999999996</v>
      </c>
    </row>
    <row r="174" spans="1:87" x14ac:dyDescent="0.2">
      <c r="A174" t="str">
        <f t="shared" si="20"/>
        <v>2006MaleNon-Maori19</v>
      </c>
      <c r="B174">
        <v>2006</v>
      </c>
      <c r="C174" t="s">
        <v>20</v>
      </c>
      <c r="D174" t="s">
        <v>19</v>
      </c>
      <c r="E174">
        <v>19</v>
      </c>
      <c r="F174">
        <v>312</v>
      </c>
      <c r="G174">
        <v>16.923735957565398</v>
      </c>
      <c r="H174">
        <v>1.9</v>
      </c>
      <c r="J174" s="358" t="str">
        <f t="shared" si="21"/>
        <v>2005AllSexNon-Maori191</v>
      </c>
      <c r="K174" s="359">
        <v>2005</v>
      </c>
      <c r="L174" t="s">
        <v>17</v>
      </c>
      <c r="M174" t="s">
        <v>19</v>
      </c>
      <c r="N174">
        <v>19</v>
      </c>
      <c r="O174">
        <v>1</v>
      </c>
      <c r="P174">
        <v>72</v>
      </c>
      <c r="Q174">
        <v>8.7752784100609507</v>
      </c>
      <c r="R174">
        <v>2</v>
      </c>
      <c r="T174" s="358" t="str">
        <f t="shared" si="23"/>
        <v>1996MaleMaori23Other</v>
      </c>
      <c r="U174" s="360">
        <v>1996</v>
      </c>
      <c r="V174" s="360" t="s">
        <v>20</v>
      </c>
      <c r="W174" s="360" t="s">
        <v>18</v>
      </c>
      <c r="X174" s="360">
        <v>23</v>
      </c>
      <c r="Y174" s="360" t="s">
        <v>45</v>
      </c>
      <c r="Z174" s="360">
        <v>1</v>
      </c>
      <c r="AA174" s="360">
        <v>36</v>
      </c>
      <c r="AB174" s="360">
        <v>2.8</v>
      </c>
      <c r="AQ174" t="str">
        <f t="shared" si="22"/>
        <v>2010AllSexRural23</v>
      </c>
      <c r="AR174">
        <v>2010</v>
      </c>
      <c r="AS174" t="s">
        <v>17</v>
      </c>
      <c r="AT174" t="s">
        <v>96</v>
      </c>
      <c r="AU174">
        <v>23</v>
      </c>
      <c r="AV174">
        <v>38</v>
      </c>
      <c r="AW174">
        <v>25.871459694989099</v>
      </c>
      <c r="AX174">
        <v>8.1999999999999993</v>
      </c>
      <c r="BS174" t="str">
        <f t="shared" si="24"/>
        <v>FemaleOther211</v>
      </c>
      <c r="BT174" t="s">
        <v>8</v>
      </c>
      <c r="BU174" t="s">
        <v>45</v>
      </c>
      <c r="BV174">
        <v>21</v>
      </c>
      <c r="BW174">
        <v>1</v>
      </c>
      <c r="BX174">
        <v>1</v>
      </c>
      <c r="CB174" t="str">
        <f t="shared" si="25"/>
        <v>FemaleAllEth25Submersion (drowning)</v>
      </c>
      <c r="CC174" t="s">
        <v>8</v>
      </c>
      <c r="CD174" t="s">
        <v>27</v>
      </c>
      <c r="CE174" t="s">
        <v>49</v>
      </c>
      <c r="CF174">
        <v>25</v>
      </c>
      <c r="CG174">
        <v>4</v>
      </c>
      <c r="CH174">
        <v>63</v>
      </c>
      <c r="CI174">
        <v>6.3</v>
      </c>
    </row>
    <row r="175" spans="1:87" x14ac:dyDescent="0.2">
      <c r="A175" t="str">
        <f t="shared" si="20"/>
        <v>2007MaleNon-Maori19</v>
      </c>
      <c r="B175">
        <v>2007</v>
      </c>
      <c r="C175" t="s">
        <v>20</v>
      </c>
      <c r="D175" t="s">
        <v>19</v>
      </c>
      <c r="E175">
        <v>19</v>
      </c>
      <c r="F175">
        <v>307</v>
      </c>
      <c r="G175">
        <v>16.348296242666599</v>
      </c>
      <c r="H175">
        <v>1.8</v>
      </c>
      <c r="J175" s="358" t="str">
        <f t="shared" si="21"/>
        <v>2005AllSexNon-Maori192</v>
      </c>
      <c r="K175" s="359">
        <v>2005</v>
      </c>
      <c r="L175" t="s">
        <v>17</v>
      </c>
      <c r="M175" t="s">
        <v>19</v>
      </c>
      <c r="N175">
        <v>19</v>
      </c>
      <c r="O175">
        <v>2</v>
      </c>
      <c r="P175">
        <v>65</v>
      </c>
      <c r="Q175">
        <v>8.0086030153485996</v>
      </c>
      <c r="R175">
        <v>1.9</v>
      </c>
      <c r="T175" s="358" t="str">
        <f t="shared" si="23"/>
        <v>1996MaleMaori22Poisoning by gases and vapours</v>
      </c>
      <c r="U175" s="360">
        <v>1996</v>
      </c>
      <c r="V175" s="360" t="s">
        <v>20</v>
      </c>
      <c r="W175" s="360" t="s">
        <v>18</v>
      </c>
      <c r="X175" s="360">
        <v>22</v>
      </c>
      <c r="Y175" s="360" t="s">
        <v>46</v>
      </c>
      <c r="Z175" s="360">
        <v>1</v>
      </c>
      <c r="AA175" s="360">
        <v>30</v>
      </c>
      <c r="AB175" s="360">
        <v>3.3</v>
      </c>
      <c r="AQ175" t="str">
        <f t="shared" si="22"/>
        <v>2010AllSexUrban23</v>
      </c>
      <c r="AR175">
        <v>2010</v>
      </c>
      <c r="AS175" t="s">
        <v>17</v>
      </c>
      <c r="AT175" t="s">
        <v>97</v>
      </c>
      <c r="AU175">
        <v>23</v>
      </c>
      <c r="AV175">
        <v>158</v>
      </c>
      <c r="AW175">
        <v>15.5668091982108</v>
      </c>
      <c r="AX175">
        <v>2.4</v>
      </c>
      <c r="BS175" t="str">
        <f t="shared" si="24"/>
        <v>FemaleOther212</v>
      </c>
      <c r="BT175" t="s">
        <v>8</v>
      </c>
      <c r="BU175" t="s">
        <v>45</v>
      </c>
      <c r="BV175">
        <v>21</v>
      </c>
      <c r="BW175">
        <v>2</v>
      </c>
      <c r="BX175">
        <v>0</v>
      </c>
      <c r="CB175" t="str">
        <f t="shared" si="25"/>
        <v>FemaleAsian22Hanging, strangulation and suffocation</v>
      </c>
      <c r="CC175" t="s">
        <v>8</v>
      </c>
      <c r="CD175" t="s">
        <v>78</v>
      </c>
      <c r="CE175" t="s">
        <v>43</v>
      </c>
      <c r="CF175">
        <v>22</v>
      </c>
      <c r="CG175">
        <v>5</v>
      </c>
      <c r="CH175">
        <v>5</v>
      </c>
      <c r="CI175">
        <v>100</v>
      </c>
    </row>
    <row r="176" spans="1:87" x14ac:dyDescent="0.2">
      <c r="A176" t="str">
        <f t="shared" si="20"/>
        <v>2008MaleNon-Maori19</v>
      </c>
      <c r="B176">
        <v>2008</v>
      </c>
      <c r="C176" t="s">
        <v>20</v>
      </c>
      <c r="D176" t="s">
        <v>19</v>
      </c>
      <c r="E176">
        <v>19</v>
      </c>
      <c r="F176">
        <v>323</v>
      </c>
      <c r="G176">
        <v>17.136851166956198</v>
      </c>
      <c r="H176">
        <v>1.9</v>
      </c>
      <c r="J176" s="358" t="str">
        <f t="shared" si="21"/>
        <v>2005AllSexNon-Maori193</v>
      </c>
      <c r="K176" s="359">
        <v>2005</v>
      </c>
      <c r="L176" t="s">
        <v>17</v>
      </c>
      <c r="M176" t="s">
        <v>19</v>
      </c>
      <c r="N176">
        <v>19</v>
      </c>
      <c r="O176">
        <v>3</v>
      </c>
      <c r="P176">
        <v>72</v>
      </c>
      <c r="Q176">
        <v>8.9149474250772691</v>
      </c>
      <c r="R176">
        <v>2.1</v>
      </c>
      <c r="T176" s="358" t="str">
        <f t="shared" si="23"/>
        <v>1996MaleMaori23Poisoning by gases and vapours</v>
      </c>
      <c r="U176" s="360">
        <v>1996</v>
      </c>
      <c r="V176" s="360" t="s">
        <v>20</v>
      </c>
      <c r="W176" s="360" t="s">
        <v>18</v>
      </c>
      <c r="X176" s="360">
        <v>23</v>
      </c>
      <c r="Y176" s="360" t="s">
        <v>46</v>
      </c>
      <c r="Z176" s="360">
        <v>6</v>
      </c>
      <c r="AA176" s="360">
        <v>36</v>
      </c>
      <c r="AB176" s="360">
        <v>16.7</v>
      </c>
      <c r="AQ176" t="str">
        <f t="shared" si="22"/>
        <v>2010AllSexRural24</v>
      </c>
      <c r="AR176">
        <v>2010</v>
      </c>
      <c r="AS176" t="s">
        <v>17</v>
      </c>
      <c r="AT176" t="s">
        <v>96</v>
      </c>
      <c r="AU176">
        <v>24</v>
      </c>
      <c r="AV176">
        <v>30</v>
      </c>
      <c r="AW176">
        <v>15.841165909811</v>
      </c>
      <c r="AX176">
        <v>5.7</v>
      </c>
      <c r="BS176" t="str">
        <f t="shared" si="24"/>
        <v>FemaleOther213</v>
      </c>
      <c r="BT176" t="s">
        <v>8</v>
      </c>
      <c r="BU176" t="s">
        <v>45</v>
      </c>
      <c r="BV176">
        <v>21</v>
      </c>
      <c r="BW176">
        <v>3</v>
      </c>
      <c r="BX176">
        <v>2</v>
      </c>
      <c r="CB176" t="str">
        <f t="shared" si="25"/>
        <v>FemaleAsian23Hanging, strangulation and suffocation</v>
      </c>
      <c r="CC176" t="s">
        <v>8</v>
      </c>
      <c r="CD176" t="s">
        <v>78</v>
      </c>
      <c r="CE176" t="s">
        <v>43</v>
      </c>
      <c r="CF176">
        <v>23</v>
      </c>
      <c r="CG176">
        <v>7</v>
      </c>
      <c r="CH176">
        <v>12</v>
      </c>
      <c r="CI176">
        <v>58.3</v>
      </c>
    </row>
    <row r="177" spans="1:87" x14ac:dyDescent="0.2">
      <c r="A177" t="str">
        <f t="shared" si="20"/>
        <v>2009MaleNon-Maori19</v>
      </c>
      <c r="B177">
        <v>2009</v>
      </c>
      <c r="C177" t="s">
        <v>20</v>
      </c>
      <c r="D177" t="s">
        <v>19</v>
      </c>
      <c r="E177">
        <v>19</v>
      </c>
      <c r="F177">
        <v>336</v>
      </c>
      <c r="G177">
        <v>17.704891753148601</v>
      </c>
      <c r="H177">
        <v>1.9</v>
      </c>
      <c r="J177" s="358" t="str">
        <f t="shared" si="21"/>
        <v>2005AllSexNon-Maori194</v>
      </c>
      <c r="K177" s="359">
        <v>2005</v>
      </c>
      <c r="L177" t="s">
        <v>17</v>
      </c>
      <c r="M177" t="s">
        <v>19</v>
      </c>
      <c r="N177">
        <v>19</v>
      </c>
      <c r="O177">
        <v>4</v>
      </c>
      <c r="P177">
        <v>99</v>
      </c>
      <c r="Q177">
        <v>13.8894706173988</v>
      </c>
      <c r="R177">
        <v>2.7</v>
      </c>
      <c r="T177" s="358" t="str">
        <f t="shared" si="23"/>
        <v>1996MaleMaori24Poisoning by gases and vapours</v>
      </c>
      <c r="U177" s="360">
        <v>1996</v>
      </c>
      <c r="V177" s="360" t="s">
        <v>20</v>
      </c>
      <c r="W177" s="360" t="s">
        <v>18</v>
      </c>
      <c r="X177" s="360">
        <v>24</v>
      </c>
      <c r="Y177" s="360" t="s">
        <v>46</v>
      </c>
      <c r="Z177" s="360">
        <v>2</v>
      </c>
      <c r="AA177" s="360">
        <v>5</v>
      </c>
      <c r="AB177" s="360">
        <v>40</v>
      </c>
      <c r="AQ177" t="str">
        <f t="shared" si="22"/>
        <v>2010AllSexUrban24</v>
      </c>
      <c r="AR177">
        <v>2010</v>
      </c>
      <c r="AS177" t="s">
        <v>17</v>
      </c>
      <c r="AT177" t="s">
        <v>97</v>
      </c>
      <c r="AU177">
        <v>24</v>
      </c>
      <c r="AV177">
        <v>128</v>
      </c>
      <c r="AW177">
        <v>14.061452943567399</v>
      </c>
      <c r="AX177">
        <v>2.4</v>
      </c>
      <c r="BS177" t="str">
        <f t="shared" si="24"/>
        <v>FemaleOther214</v>
      </c>
      <c r="BT177" t="s">
        <v>8</v>
      </c>
      <c r="BU177" t="s">
        <v>45</v>
      </c>
      <c r="BV177">
        <v>21</v>
      </c>
      <c r="BW177">
        <v>4</v>
      </c>
      <c r="BX177">
        <v>0</v>
      </c>
      <c r="CB177" t="str">
        <f t="shared" si="25"/>
        <v>FemaleAsian24Hanging, strangulation and suffocation</v>
      </c>
      <c r="CC177" t="s">
        <v>8</v>
      </c>
      <c r="CD177" t="s">
        <v>78</v>
      </c>
      <c r="CE177" t="s">
        <v>43</v>
      </c>
      <c r="CF177">
        <v>24</v>
      </c>
      <c r="CG177">
        <v>8</v>
      </c>
      <c r="CH177">
        <v>16</v>
      </c>
      <c r="CI177">
        <v>50</v>
      </c>
    </row>
    <row r="178" spans="1:87" x14ac:dyDescent="0.2">
      <c r="A178" t="str">
        <f t="shared" si="20"/>
        <v>2010MaleNon-Maori19</v>
      </c>
      <c r="B178">
        <v>2010</v>
      </c>
      <c r="C178" t="s">
        <v>20</v>
      </c>
      <c r="D178" t="s">
        <v>19</v>
      </c>
      <c r="E178">
        <v>19</v>
      </c>
      <c r="F178">
        <v>315</v>
      </c>
      <c r="G178">
        <v>16.134328558354198</v>
      </c>
      <c r="H178">
        <v>1.8</v>
      </c>
      <c r="J178" s="358" t="str">
        <f t="shared" si="21"/>
        <v>2005AllSexNon-Maori195</v>
      </c>
      <c r="K178" s="359">
        <v>2005</v>
      </c>
      <c r="L178" t="s">
        <v>17</v>
      </c>
      <c r="M178" t="s">
        <v>19</v>
      </c>
      <c r="N178">
        <v>19</v>
      </c>
      <c r="O178">
        <v>5</v>
      </c>
      <c r="P178">
        <v>83</v>
      </c>
      <c r="Q178">
        <v>15.0650345266474</v>
      </c>
      <c r="R178">
        <v>3.2</v>
      </c>
      <c r="T178" s="358" t="str">
        <f t="shared" si="23"/>
        <v>1996MaleMaori22Poisoning by solids and liquids</v>
      </c>
      <c r="U178" s="360">
        <v>1996</v>
      </c>
      <c r="V178" s="360" t="s">
        <v>20</v>
      </c>
      <c r="W178" s="360" t="s">
        <v>18</v>
      </c>
      <c r="X178" s="360">
        <v>22</v>
      </c>
      <c r="Y178" s="360" t="s">
        <v>47</v>
      </c>
      <c r="Z178" s="360">
        <v>1</v>
      </c>
      <c r="AA178" s="360">
        <v>30</v>
      </c>
      <c r="AB178" s="360">
        <v>3.3</v>
      </c>
      <c r="AQ178" t="str">
        <f t="shared" si="22"/>
        <v>2010AllSexRural25</v>
      </c>
      <c r="AR178">
        <v>2010</v>
      </c>
      <c r="AS178" t="s">
        <v>17</v>
      </c>
      <c r="AT178" t="s">
        <v>96</v>
      </c>
      <c r="AU178">
        <v>25</v>
      </c>
      <c r="AV178">
        <v>9</v>
      </c>
      <c r="AW178">
        <v>12.4653739612188</v>
      </c>
      <c r="AX178">
        <v>8.1</v>
      </c>
      <c r="BS178" t="str">
        <f t="shared" si="24"/>
        <v>FemaleOther215</v>
      </c>
      <c r="BT178" t="s">
        <v>8</v>
      </c>
      <c r="BU178" t="s">
        <v>45</v>
      </c>
      <c r="BV178">
        <v>21</v>
      </c>
      <c r="BW178">
        <v>5</v>
      </c>
      <c r="BX178">
        <v>0</v>
      </c>
      <c r="CB178" t="str">
        <f t="shared" si="25"/>
        <v>FemaleAsian25Hanging, strangulation and suffocation</v>
      </c>
      <c r="CC178" t="s">
        <v>8</v>
      </c>
      <c r="CD178" t="s">
        <v>78</v>
      </c>
      <c r="CE178" t="s">
        <v>43</v>
      </c>
      <c r="CF178">
        <v>25</v>
      </c>
      <c r="CG178">
        <v>5</v>
      </c>
      <c r="CH178">
        <v>9</v>
      </c>
      <c r="CI178">
        <v>55.6</v>
      </c>
    </row>
    <row r="179" spans="1:87" x14ac:dyDescent="0.2">
      <c r="A179" t="str">
        <f t="shared" si="20"/>
        <v>2011MaleNon-Maori19</v>
      </c>
      <c r="B179">
        <v>2011</v>
      </c>
      <c r="C179" t="s">
        <v>20</v>
      </c>
      <c r="D179" t="s">
        <v>19</v>
      </c>
      <c r="E179">
        <v>19</v>
      </c>
      <c r="F179">
        <v>296</v>
      </c>
      <c r="G179">
        <v>15.374728749309</v>
      </c>
      <c r="H179">
        <v>1.8</v>
      </c>
      <c r="J179" s="358" t="str">
        <f t="shared" si="21"/>
        <v>2006AllSexNon-Maori191</v>
      </c>
      <c r="K179" s="359">
        <v>2006</v>
      </c>
      <c r="L179" t="s">
        <v>17</v>
      </c>
      <c r="M179" t="s">
        <v>19</v>
      </c>
      <c r="N179">
        <v>19</v>
      </c>
      <c r="O179">
        <v>1</v>
      </c>
      <c r="P179">
        <v>59</v>
      </c>
      <c r="Q179">
        <v>7.00546775914676</v>
      </c>
      <c r="R179">
        <v>1.8</v>
      </c>
      <c r="T179" s="358" t="str">
        <f t="shared" si="23"/>
        <v>1996MaleMaori23Poisoning by solids and liquids</v>
      </c>
      <c r="U179" s="360">
        <v>1996</v>
      </c>
      <c r="V179" s="360" t="s">
        <v>20</v>
      </c>
      <c r="W179" s="360" t="s">
        <v>18</v>
      </c>
      <c r="X179" s="360">
        <v>23</v>
      </c>
      <c r="Y179" s="360" t="s">
        <v>47</v>
      </c>
      <c r="Z179" s="360">
        <v>1</v>
      </c>
      <c r="AA179" s="360">
        <v>36</v>
      </c>
      <c r="AB179" s="360">
        <v>2.8</v>
      </c>
      <c r="AQ179" t="str">
        <f t="shared" si="22"/>
        <v>2010AllSexUrban25</v>
      </c>
      <c r="AR179">
        <v>2010</v>
      </c>
      <c r="AS179" t="s">
        <v>17</v>
      </c>
      <c r="AT179" t="s">
        <v>97</v>
      </c>
      <c r="AU179">
        <v>25</v>
      </c>
      <c r="AV179">
        <v>48</v>
      </c>
      <c r="AW179">
        <v>9.7733797568871807</v>
      </c>
      <c r="AX179">
        <v>2.8</v>
      </c>
      <c r="BS179" t="str">
        <f t="shared" si="24"/>
        <v>FemalePacific211</v>
      </c>
      <c r="BT179" t="s">
        <v>8</v>
      </c>
      <c r="BU179" t="s">
        <v>79</v>
      </c>
      <c r="BV179">
        <v>21</v>
      </c>
      <c r="BW179">
        <v>1</v>
      </c>
      <c r="BX179">
        <v>0</v>
      </c>
      <c r="CB179" t="str">
        <f t="shared" si="25"/>
        <v>FemaleAsian23Jumping from a high place</v>
      </c>
      <c r="CC179" t="s">
        <v>8</v>
      </c>
      <c r="CD179" t="s">
        <v>78</v>
      </c>
      <c r="CE179" t="s">
        <v>44</v>
      </c>
      <c r="CF179">
        <v>23</v>
      </c>
      <c r="CG179">
        <v>1</v>
      </c>
      <c r="CH179">
        <v>12</v>
      </c>
      <c r="CI179">
        <v>8.3000000000000007</v>
      </c>
    </row>
    <row r="180" spans="1:87" x14ac:dyDescent="0.2">
      <c r="A180" t="str">
        <f t="shared" si="20"/>
        <v>2012MaleNon-Maori19</v>
      </c>
      <c r="B180">
        <v>2012</v>
      </c>
      <c r="C180" t="s">
        <v>20</v>
      </c>
      <c r="D180" t="s">
        <v>19</v>
      </c>
      <c r="E180">
        <v>19</v>
      </c>
      <c r="F180">
        <v>323</v>
      </c>
      <c r="G180">
        <v>16.829965457080299</v>
      </c>
      <c r="H180">
        <v>1.8</v>
      </c>
      <c r="J180" s="358" t="str">
        <f t="shared" si="21"/>
        <v>2006AllSexNon-Maori192</v>
      </c>
      <c r="K180" s="359">
        <v>2006</v>
      </c>
      <c r="L180" t="s">
        <v>17</v>
      </c>
      <c r="M180" t="s">
        <v>19</v>
      </c>
      <c r="N180">
        <v>19</v>
      </c>
      <c r="O180">
        <v>2</v>
      </c>
      <c r="P180">
        <v>82</v>
      </c>
      <c r="Q180">
        <v>9.6645431208614596</v>
      </c>
      <c r="R180">
        <v>2.1</v>
      </c>
      <c r="T180" s="358" t="str">
        <f t="shared" si="23"/>
        <v>1996MaleMaori24Poisoning by solids and liquids</v>
      </c>
      <c r="U180" s="360">
        <v>1996</v>
      </c>
      <c r="V180" s="360" t="s">
        <v>20</v>
      </c>
      <c r="W180" s="360" t="s">
        <v>18</v>
      </c>
      <c r="X180" s="360">
        <v>24</v>
      </c>
      <c r="Y180" s="360" t="s">
        <v>47</v>
      </c>
      <c r="Z180" s="360">
        <v>2</v>
      </c>
      <c r="AA180" s="360">
        <v>5</v>
      </c>
      <c r="AB180" s="360">
        <v>40</v>
      </c>
      <c r="AQ180" t="str">
        <f t="shared" si="22"/>
        <v>2010FemaleRural22</v>
      </c>
      <c r="AR180">
        <v>2010</v>
      </c>
      <c r="AS180" t="s">
        <v>8</v>
      </c>
      <c r="AT180" t="s">
        <v>96</v>
      </c>
      <c r="AU180">
        <v>22</v>
      </c>
      <c r="AV180">
        <v>0</v>
      </c>
      <c r="AW180">
        <v>0</v>
      </c>
      <c r="BS180" t="str">
        <f t="shared" si="24"/>
        <v>FemalePacific212</v>
      </c>
      <c r="BT180" t="s">
        <v>8</v>
      </c>
      <c r="BU180" t="s">
        <v>79</v>
      </c>
      <c r="BV180">
        <v>21</v>
      </c>
      <c r="BW180">
        <v>2</v>
      </c>
      <c r="BX180">
        <v>1</v>
      </c>
      <c r="CB180" t="str">
        <f t="shared" si="25"/>
        <v>FemaleAsian24Jumping from a high place</v>
      </c>
      <c r="CC180" t="s">
        <v>8</v>
      </c>
      <c r="CD180" t="s">
        <v>78</v>
      </c>
      <c r="CE180" t="s">
        <v>44</v>
      </c>
      <c r="CF180">
        <v>24</v>
      </c>
      <c r="CG180">
        <v>4</v>
      </c>
      <c r="CH180">
        <v>16</v>
      </c>
      <c r="CI180">
        <v>25</v>
      </c>
    </row>
    <row r="181" spans="1:87" x14ac:dyDescent="0.2">
      <c r="A181" t="str">
        <f t="shared" si="20"/>
        <v>2013MaleNon-Maori19</v>
      </c>
      <c r="B181">
        <v>2013</v>
      </c>
      <c r="C181" t="s">
        <v>20</v>
      </c>
      <c r="D181" t="s">
        <v>19</v>
      </c>
      <c r="E181">
        <v>19</v>
      </c>
      <c r="F181">
        <v>300</v>
      </c>
      <c r="G181">
        <v>14.441701119553899</v>
      </c>
      <c r="H181">
        <v>1.6</v>
      </c>
      <c r="J181" s="358" t="str">
        <f t="shared" si="21"/>
        <v>2006AllSexNon-Maori193</v>
      </c>
      <c r="K181" s="359">
        <v>2006</v>
      </c>
      <c r="L181" t="s">
        <v>17</v>
      </c>
      <c r="M181" t="s">
        <v>19</v>
      </c>
      <c r="N181">
        <v>19</v>
      </c>
      <c r="O181">
        <v>3</v>
      </c>
      <c r="P181">
        <v>83</v>
      </c>
      <c r="Q181">
        <v>10.465207830197601</v>
      </c>
      <c r="R181">
        <v>2.2999999999999998</v>
      </c>
      <c r="T181" s="358" t="str">
        <f t="shared" si="23"/>
        <v>1996MaleMaori23Sharp object</v>
      </c>
      <c r="U181" s="360">
        <v>1996</v>
      </c>
      <c r="V181" s="360" t="s">
        <v>20</v>
      </c>
      <c r="W181" s="360" t="s">
        <v>18</v>
      </c>
      <c r="X181" s="360">
        <v>23</v>
      </c>
      <c r="Y181" s="360" t="s">
        <v>48</v>
      </c>
      <c r="Z181" s="360">
        <v>2</v>
      </c>
      <c r="AA181" s="360">
        <v>36</v>
      </c>
      <c r="AB181" s="360">
        <v>5.6</v>
      </c>
      <c r="AQ181" t="str">
        <f t="shared" si="22"/>
        <v>2010FemaleUrban22</v>
      </c>
      <c r="AR181">
        <v>2010</v>
      </c>
      <c r="AS181" t="s">
        <v>8</v>
      </c>
      <c r="AT181" t="s">
        <v>97</v>
      </c>
      <c r="AU181">
        <v>22</v>
      </c>
      <c r="AV181">
        <v>34</v>
      </c>
      <c r="AW181">
        <v>12.4469175574755</v>
      </c>
      <c r="AX181">
        <v>4.2</v>
      </c>
      <c r="BS181" t="str">
        <f t="shared" si="24"/>
        <v>FemalePacific213</v>
      </c>
      <c r="BT181" t="s">
        <v>8</v>
      </c>
      <c r="BU181" t="s">
        <v>79</v>
      </c>
      <c r="BV181">
        <v>21</v>
      </c>
      <c r="BW181">
        <v>3</v>
      </c>
      <c r="BX181">
        <v>1</v>
      </c>
      <c r="CB181" t="str">
        <f t="shared" si="25"/>
        <v>FemaleAsian25Jumping from a high place</v>
      </c>
      <c r="CC181" t="s">
        <v>8</v>
      </c>
      <c r="CD181" t="s">
        <v>78</v>
      </c>
      <c r="CE181" t="s">
        <v>44</v>
      </c>
      <c r="CF181">
        <v>25</v>
      </c>
      <c r="CG181">
        <v>1</v>
      </c>
      <c r="CH181">
        <v>9</v>
      </c>
      <c r="CI181">
        <v>11.1</v>
      </c>
    </row>
    <row r="182" spans="1:87" x14ac:dyDescent="0.2">
      <c r="A182" t="str">
        <f t="shared" si="20"/>
        <v>2014MaleNon-Maori19</v>
      </c>
      <c r="B182">
        <v>2014</v>
      </c>
      <c r="C182" t="s">
        <v>20</v>
      </c>
      <c r="D182" t="s">
        <v>19</v>
      </c>
      <c r="E182">
        <v>19</v>
      </c>
      <c r="F182">
        <v>312</v>
      </c>
      <c r="G182">
        <v>15.149508074973401</v>
      </c>
      <c r="H182">
        <v>1.7</v>
      </c>
      <c r="J182" s="358" t="str">
        <f t="shared" si="21"/>
        <v>2006AllSexNon-Maori194</v>
      </c>
      <c r="K182" s="359">
        <v>2006</v>
      </c>
      <c r="L182" t="s">
        <v>17</v>
      </c>
      <c r="M182" t="s">
        <v>19</v>
      </c>
      <c r="N182">
        <v>19</v>
      </c>
      <c r="O182">
        <v>4</v>
      </c>
      <c r="P182">
        <v>76</v>
      </c>
      <c r="Q182">
        <v>10.464113939899301</v>
      </c>
      <c r="R182">
        <v>2.4</v>
      </c>
      <c r="T182" s="358" t="str">
        <f t="shared" si="23"/>
        <v>1996MaleNon-Maori22Firearms and explosives</v>
      </c>
      <c r="U182" s="360">
        <v>1996</v>
      </c>
      <c r="V182" s="360" t="s">
        <v>20</v>
      </c>
      <c r="W182" s="360" t="s">
        <v>19</v>
      </c>
      <c r="X182" s="360">
        <v>22</v>
      </c>
      <c r="Y182" s="360" t="s">
        <v>42</v>
      </c>
      <c r="Z182" s="360">
        <v>8</v>
      </c>
      <c r="AA182" s="360">
        <v>75</v>
      </c>
      <c r="AB182" s="360">
        <v>10.7</v>
      </c>
      <c r="AQ182" t="str">
        <f t="shared" si="22"/>
        <v>2010FemaleRural23</v>
      </c>
      <c r="AR182">
        <v>2010</v>
      </c>
      <c r="AS182" t="s">
        <v>8</v>
      </c>
      <c r="AT182" t="s">
        <v>96</v>
      </c>
      <c r="AU182">
        <v>23</v>
      </c>
      <c r="AV182">
        <v>9</v>
      </c>
      <c r="AW182">
        <v>11.9776417354272</v>
      </c>
      <c r="AX182">
        <v>7.8</v>
      </c>
      <c r="BS182" t="str">
        <f t="shared" si="24"/>
        <v>FemalePacific214</v>
      </c>
      <c r="BT182" t="s">
        <v>8</v>
      </c>
      <c r="BU182" t="s">
        <v>79</v>
      </c>
      <c r="BV182">
        <v>21</v>
      </c>
      <c r="BW182">
        <v>4</v>
      </c>
      <c r="BX182">
        <v>0</v>
      </c>
      <c r="CB182" t="str">
        <f t="shared" si="25"/>
        <v>FemaleAsian23Other</v>
      </c>
      <c r="CC182" t="s">
        <v>8</v>
      </c>
      <c r="CD182" t="s">
        <v>78</v>
      </c>
      <c r="CE182" t="s">
        <v>45</v>
      </c>
      <c r="CF182">
        <v>23</v>
      </c>
      <c r="CG182">
        <v>1</v>
      </c>
      <c r="CH182">
        <v>12</v>
      </c>
      <c r="CI182">
        <v>8.3000000000000007</v>
      </c>
    </row>
    <row r="183" spans="1:87" x14ac:dyDescent="0.2">
      <c r="A183" t="str">
        <f t="shared" si="20"/>
        <v>2015MaleNon-Maori19</v>
      </c>
      <c r="B183">
        <v>2015</v>
      </c>
      <c r="C183" t="s">
        <v>20</v>
      </c>
      <c r="D183" t="s">
        <v>19</v>
      </c>
      <c r="E183">
        <v>19</v>
      </c>
      <c r="F183">
        <v>306</v>
      </c>
      <c r="G183">
        <v>14.6757131829523</v>
      </c>
      <c r="H183">
        <v>1.6</v>
      </c>
      <c r="J183" s="358" t="str">
        <f t="shared" si="21"/>
        <v>2006AllSexNon-Maori195</v>
      </c>
      <c r="K183" s="359">
        <v>2006</v>
      </c>
      <c r="L183" t="s">
        <v>17</v>
      </c>
      <c r="M183" t="s">
        <v>19</v>
      </c>
      <c r="N183">
        <v>19</v>
      </c>
      <c r="O183">
        <v>5</v>
      </c>
      <c r="P183">
        <v>94</v>
      </c>
      <c r="Q183">
        <v>16.452598673553201</v>
      </c>
      <c r="R183">
        <v>3.3</v>
      </c>
      <c r="T183" s="358" t="str">
        <f t="shared" si="23"/>
        <v>1996MaleNon-Maori23Firearms and explosives</v>
      </c>
      <c r="U183" s="360">
        <v>1996</v>
      </c>
      <c r="V183" s="360" t="s">
        <v>20</v>
      </c>
      <c r="W183" s="360" t="s">
        <v>19</v>
      </c>
      <c r="X183" s="360">
        <v>23</v>
      </c>
      <c r="Y183" s="360" t="s">
        <v>42</v>
      </c>
      <c r="Z183" s="360">
        <v>17</v>
      </c>
      <c r="AA183" s="360">
        <v>152</v>
      </c>
      <c r="AB183" s="360">
        <v>11.2</v>
      </c>
      <c r="AQ183" t="str">
        <f t="shared" si="22"/>
        <v>2010FemaleUrban23</v>
      </c>
      <c r="AR183">
        <v>2010</v>
      </c>
      <c r="AS183" t="s">
        <v>8</v>
      </c>
      <c r="AT183" t="s">
        <v>97</v>
      </c>
      <c r="AU183">
        <v>23</v>
      </c>
      <c r="AV183">
        <v>44</v>
      </c>
      <c r="AW183">
        <v>8.3076864981213294</v>
      </c>
      <c r="AX183">
        <v>2.5</v>
      </c>
      <c r="BS183" t="str">
        <f t="shared" si="24"/>
        <v>FemalePacific215</v>
      </c>
      <c r="BT183" t="s">
        <v>8</v>
      </c>
      <c r="BU183" t="s">
        <v>79</v>
      </c>
      <c r="BV183">
        <v>21</v>
      </c>
      <c r="BW183">
        <v>5</v>
      </c>
      <c r="BX183">
        <v>4</v>
      </c>
      <c r="CB183" t="str">
        <f t="shared" si="25"/>
        <v>FemaleAsian23Poisoning by solids and liquids</v>
      </c>
      <c r="CC183" t="s">
        <v>8</v>
      </c>
      <c r="CD183" t="s">
        <v>78</v>
      </c>
      <c r="CE183" t="s">
        <v>47</v>
      </c>
      <c r="CF183">
        <v>23</v>
      </c>
      <c r="CG183">
        <v>1</v>
      </c>
      <c r="CH183">
        <v>12</v>
      </c>
      <c r="CI183">
        <v>8.3000000000000007</v>
      </c>
    </row>
    <row r="184" spans="1:87" x14ac:dyDescent="0.2">
      <c r="A184" t="str">
        <f t="shared" si="20"/>
        <v>1996AllSexAllEth21</v>
      </c>
      <c r="B184">
        <v>1996</v>
      </c>
      <c r="C184" t="s">
        <v>17</v>
      </c>
      <c r="D184" t="s">
        <v>27</v>
      </c>
      <c r="E184">
        <v>21</v>
      </c>
      <c r="F184">
        <v>7</v>
      </c>
      <c r="J184" s="358" t="str">
        <f t="shared" si="21"/>
        <v>2007AllSexNon-Maori191</v>
      </c>
      <c r="K184" s="359">
        <v>2007</v>
      </c>
      <c r="L184" t="s">
        <v>17</v>
      </c>
      <c r="M184" t="s">
        <v>19</v>
      </c>
      <c r="N184">
        <v>19</v>
      </c>
      <c r="O184">
        <v>1</v>
      </c>
      <c r="P184">
        <v>60</v>
      </c>
      <c r="Q184">
        <v>6.9943488715776398</v>
      </c>
      <c r="R184">
        <v>1.8</v>
      </c>
      <c r="T184" s="358" t="str">
        <f t="shared" si="23"/>
        <v>1996MaleNon-Maori24Firearms and explosives</v>
      </c>
      <c r="U184" s="360">
        <v>1996</v>
      </c>
      <c r="V184" s="360" t="s">
        <v>20</v>
      </c>
      <c r="W184" s="360" t="s">
        <v>19</v>
      </c>
      <c r="X184" s="360">
        <v>24</v>
      </c>
      <c r="Y184" s="360" t="s">
        <v>42</v>
      </c>
      <c r="Z184" s="360">
        <v>9</v>
      </c>
      <c r="AA184" s="360">
        <v>75</v>
      </c>
      <c r="AB184" s="360">
        <v>12</v>
      </c>
      <c r="AQ184" t="str">
        <f t="shared" si="22"/>
        <v>2010FemaleRural24</v>
      </c>
      <c r="AR184">
        <v>2010</v>
      </c>
      <c r="AS184" t="s">
        <v>8</v>
      </c>
      <c r="AT184" t="s">
        <v>96</v>
      </c>
      <c r="AU184">
        <v>24</v>
      </c>
      <c r="AV184">
        <v>5</v>
      </c>
      <c r="AW184">
        <v>5.4054054054054097</v>
      </c>
      <c r="AX184">
        <v>4.7</v>
      </c>
      <c r="BS184" t="str">
        <f t="shared" si="24"/>
        <v>FemaleAsian221</v>
      </c>
      <c r="BT184" t="s">
        <v>8</v>
      </c>
      <c r="BU184" t="s">
        <v>78</v>
      </c>
      <c r="BV184">
        <v>22</v>
      </c>
      <c r="BW184">
        <v>1</v>
      </c>
      <c r="BX184">
        <v>1</v>
      </c>
      <c r="BY184">
        <v>2.8872952071430502</v>
      </c>
      <c r="BZ184">
        <v>5.7</v>
      </c>
      <c r="CB184" t="str">
        <f t="shared" si="25"/>
        <v>FemaleAsian24Poisoning by solids and liquids</v>
      </c>
      <c r="CC184" t="s">
        <v>8</v>
      </c>
      <c r="CD184" t="s">
        <v>78</v>
      </c>
      <c r="CE184" t="s">
        <v>47</v>
      </c>
      <c r="CF184">
        <v>24</v>
      </c>
      <c r="CG184">
        <v>4</v>
      </c>
      <c r="CH184">
        <v>16</v>
      </c>
      <c r="CI184">
        <v>25</v>
      </c>
    </row>
    <row r="185" spans="1:87" x14ac:dyDescent="0.2">
      <c r="A185" t="str">
        <f t="shared" si="20"/>
        <v>1996AllSexAllEth22</v>
      </c>
      <c r="B185">
        <v>1996</v>
      </c>
      <c r="C185" t="s">
        <v>17</v>
      </c>
      <c r="D185" t="s">
        <v>27</v>
      </c>
      <c r="E185">
        <v>22</v>
      </c>
      <c r="F185">
        <v>143</v>
      </c>
      <c r="G185">
        <v>25.939160877215301</v>
      </c>
      <c r="H185">
        <v>4.3</v>
      </c>
      <c r="J185" s="358" t="str">
        <f t="shared" si="21"/>
        <v>2007AllSexNon-Maori192</v>
      </c>
      <c r="K185" s="359">
        <v>2007</v>
      </c>
      <c r="L185" t="s">
        <v>17</v>
      </c>
      <c r="M185" t="s">
        <v>19</v>
      </c>
      <c r="N185">
        <v>19</v>
      </c>
      <c r="O185">
        <v>2</v>
      </c>
      <c r="P185">
        <v>68</v>
      </c>
      <c r="Q185">
        <v>7.70857713977278</v>
      </c>
      <c r="R185">
        <v>1.8</v>
      </c>
      <c r="T185" s="358" t="str">
        <f t="shared" si="23"/>
        <v>1996MaleNon-Maori25Firearms and explosives</v>
      </c>
      <c r="U185" s="360">
        <v>1996</v>
      </c>
      <c r="V185" s="360" t="s">
        <v>20</v>
      </c>
      <c r="W185" s="360" t="s">
        <v>19</v>
      </c>
      <c r="X185" s="360">
        <v>25</v>
      </c>
      <c r="Y185" s="360" t="s">
        <v>42</v>
      </c>
      <c r="Z185" s="360">
        <v>9</v>
      </c>
      <c r="AA185" s="360">
        <v>52</v>
      </c>
      <c r="AB185" s="360">
        <v>17.3</v>
      </c>
      <c r="AQ185" t="str">
        <f t="shared" si="22"/>
        <v>2010FemaleUrban24</v>
      </c>
      <c r="AR185">
        <v>2010</v>
      </c>
      <c r="AS185" t="s">
        <v>8</v>
      </c>
      <c r="AT185" t="s">
        <v>97</v>
      </c>
      <c r="AU185">
        <v>24</v>
      </c>
      <c r="AV185">
        <v>38</v>
      </c>
      <c r="AW185">
        <v>8.0768576772657692</v>
      </c>
      <c r="AX185">
        <v>2.6</v>
      </c>
      <c r="BS185" t="str">
        <f t="shared" si="24"/>
        <v>FemaleAsian222</v>
      </c>
      <c r="BT185" t="s">
        <v>8</v>
      </c>
      <c r="BU185" t="s">
        <v>78</v>
      </c>
      <c r="BV185">
        <v>22</v>
      </c>
      <c r="BW185">
        <v>2</v>
      </c>
      <c r="BX185">
        <v>2</v>
      </c>
      <c r="BY185">
        <v>4.5444716051464402</v>
      </c>
      <c r="BZ185">
        <v>6.3</v>
      </c>
      <c r="CB185" t="str">
        <f t="shared" si="25"/>
        <v>FemaleAsian25Poisoning by solids and liquids</v>
      </c>
      <c r="CC185" t="s">
        <v>8</v>
      </c>
      <c r="CD185" t="s">
        <v>78</v>
      </c>
      <c r="CE185" t="s">
        <v>47</v>
      </c>
      <c r="CF185">
        <v>25</v>
      </c>
      <c r="CG185">
        <v>1</v>
      </c>
      <c r="CH185">
        <v>9</v>
      </c>
      <c r="CI185">
        <v>11.1</v>
      </c>
    </row>
    <row r="186" spans="1:87" x14ac:dyDescent="0.2">
      <c r="A186" t="str">
        <f t="shared" si="20"/>
        <v>1996AllSexAllEth23</v>
      </c>
      <c r="B186">
        <v>1996</v>
      </c>
      <c r="C186" t="s">
        <v>17</v>
      </c>
      <c r="D186" t="s">
        <v>27</v>
      </c>
      <c r="E186">
        <v>23</v>
      </c>
      <c r="F186">
        <v>222</v>
      </c>
      <c r="G186">
        <v>19.3440451709595</v>
      </c>
      <c r="H186">
        <v>2.5</v>
      </c>
      <c r="J186" s="358" t="str">
        <f t="shared" si="21"/>
        <v>2007AllSexNon-Maori193</v>
      </c>
      <c r="K186" s="359">
        <v>2007</v>
      </c>
      <c r="L186" t="s">
        <v>17</v>
      </c>
      <c r="M186" t="s">
        <v>19</v>
      </c>
      <c r="N186">
        <v>19</v>
      </c>
      <c r="O186">
        <v>3</v>
      </c>
      <c r="P186">
        <v>88</v>
      </c>
      <c r="Q186">
        <v>11.080984410546</v>
      </c>
      <c r="R186">
        <v>2.2999999999999998</v>
      </c>
      <c r="T186" s="358" t="str">
        <f t="shared" si="23"/>
        <v>1996MaleNon-Maori21Hanging, strangulation and suffocation</v>
      </c>
      <c r="U186" s="360">
        <v>1996</v>
      </c>
      <c r="V186" s="360" t="s">
        <v>20</v>
      </c>
      <c r="W186" s="360" t="s">
        <v>19</v>
      </c>
      <c r="X186" s="360">
        <v>21</v>
      </c>
      <c r="Y186" s="360" t="s">
        <v>43</v>
      </c>
      <c r="Z186" s="360">
        <v>2</v>
      </c>
      <c r="AA186" s="360">
        <v>2</v>
      </c>
      <c r="AB186" s="360">
        <v>100</v>
      </c>
      <c r="AQ186" t="str">
        <f t="shared" si="22"/>
        <v>2010FemaleRural25</v>
      </c>
      <c r="AR186">
        <v>2010</v>
      </c>
      <c r="AS186" t="s">
        <v>8</v>
      </c>
      <c r="AT186" t="s">
        <v>96</v>
      </c>
      <c r="AU186">
        <v>25</v>
      </c>
      <c r="AV186">
        <v>0</v>
      </c>
      <c r="AW186">
        <v>0</v>
      </c>
      <c r="BS186" t="str">
        <f t="shared" si="24"/>
        <v>FemaleAsian223</v>
      </c>
      <c r="BT186" t="s">
        <v>8</v>
      </c>
      <c r="BU186" t="s">
        <v>78</v>
      </c>
      <c r="BV186">
        <v>22</v>
      </c>
      <c r="BW186">
        <v>3</v>
      </c>
      <c r="BX186">
        <v>1</v>
      </c>
      <c r="BY186">
        <v>2.2445362113621199</v>
      </c>
      <c r="BZ186">
        <v>4.4000000000000004</v>
      </c>
      <c r="CB186" t="str">
        <f t="shared" si="25"/>
        <v>FemaleAsian23Sharp object</v>
      </c>
      <c r="CC186" t="s">
        <v>8</v>
      </c>
      <c r="CD186" t="s">
        <v>78</v>
      </c>
      <c r="CE186" t="s">
        <v>48</v>
      </c>
      <c r="CF186">
        <v>23</v>
      </c>
      <c r="CG186">
        <v>1</v>
      </c>
      <c r="CH186">
        <v>12</v>
      </c>
      <c r="CI186">
        <v>8.3000000000000007</v>
      </c>
    </row>
    <row r="187" spans="1:87" x14ac:dyDescent="0.2">
      <c r="A187" t="str">
        <f t="shared" si="20"/>
        <v>1996AllSexAllEth24</v>
      </c>
      <c r="B187">
        <v>1996</v>
      </c>
      <c r="C187" t="s">
        <v>17</v>
      </c>
      <c r="D187" t="s">
        <v>27</v>
      </c>
      <c r="E187">
        <v>24</v>
      </c>
      <c r="F187">
        <v>102</v>
      </c>
      <c r="G187">
        <v>13.689805121597701</v>
      </c>
      <c r="H187">
        <v>2.7</v>
      </c>
      <c r="J187" s="358" t="str">
        <f t="shared" si="21"/>
        <v>2007AllSexNon-Maori194</v>
      </c>
      <c r="K187" s="359">
        <v>2007</v>
      </c>
      <c r="L187" t="s">
        <v>17</v>
      </c>
      <c r="M187" t="s">
        <v>19</v>
      </c>
      <c r="N187">
        <v>19</v>
      </c>
      <c r="O187">
        <v>4</v>
      </c>
      <c r="P187">
        <v>93</v>
      </c>
      <c r="Q187">
        <v>12.2661593803128</v>
      </c>
      <c r="R187">
        <v>2.5</v>
      </c>
      <c r="T187" s="358" t="str">
        <f t="shared" si="23"/>
        <v>1996MaleNon-Maori22Hanging, strangulation and suffocation</v>
      </c>
      <c r="U187" s="360">
        <v>1996</v>
      </c>
      <c r="V187" s="360" t="s">
        <v>20</v>
      </c>
      <c r="W187" s="360" t="s">
        <v>19</v>
      </c>
      <c r="X187" s="360">
        <v>22</v>
      </c>
      <c r="Y187" s="360" t="s">
        <v>43</v>
      </c>
      <c r="Z187" s="360">
        <v>44</v>
      </c>
      <c r="AA187" s="360">
        <v>75</v>
      </c>
      <c r="AB187" s="360">
        <v>58.7</v>
      </c>
      <c r="AQ187" t="str">
        <f t="shared" si="22"/>
        <v>2010FemaleUrban25</v>
      </c>
      <c r="AR187">
        <v>2010</v>
      </c>
      <c r="AS187" t="s">
        <v>8</v>
      </c>
      <c r="AT187" t="s">
        <v>97</v>
      </c>
      <c r="AU187">
        <v>25</v>
      </c>
      <c r="AV187">
        <v>14</v>
      </c>
      <c r="AW187">
        <v>5.1223884965789797</v>
      </c>
      <c r="AX187">
        <v>2.7</v>
      </c>
      <c r="BS187" t="str">
        <f t="shared" si="24"/>
        <v>FemaleAsian224</v>
      </c>
      <c r="BT187" t="s">
        <v>8</v>
      </c>
      <c r="BU187" t="s">
        <v>78</v>
      </c>
      <c r="BV187">
        <v>22</v>
      </c>
      <c r="BW187">
        <v>4</v>
      </c>
      <c r="BX187">
        <v>0</v>
      </c>
      <c r="BY187">
        <v>0</v>
      </c>
      <c r="CB187" t="str">
        <f t="shared" si="25"/>
        <v>FemaleAsian23Submersion (drowning)</v>
      </c>
      <c r="CC187" t="s">
        <v>8</v>
      </c>
      <c r="CD187" t="s">
        <v>78</v>
      </c>
      <c r="CE187" t="s">
        <v>49</v>
      </c>
      <c r="CF187">
        <v>23</v>
      </c>
      <c r="CG187">
        <v>1</v>
      </c>
      <c r="CH187">
        <v>12</v>
      </c>
      <c r="CI187">
        <v>8.3000000000000007</v>
      </c>
    </row>
    <row r="188" spans="1:87" x14ac:dyDescent="0.2">
      <c r="A188" t="str">
        <f t="shared" si="20"/>
        <v>1996AllSexAllEth25</v>
      </c>
      <c r="B188">
        <v>1996</v>
      </c>
      <c r="C188" t="s">
        <v>17</v>
      </c>
      <c r="D188" t="s">
        <v>27</v>
      </c>
      <c r="E188">
        <v>25</v>
      </c>
      <c r="F188">
        <v>66</v>
      </c>
      <c r="G188">
        <v>15.353121801433</v>
      </c>
      <c r="H188">
        <v>3.7</v>
      </c>
      <c r="J188" s="358" t="str">
        <f t="shared" si="21"/>
        <v>2007AllSexNon-Maori195</v>
      </c>
      <c r="K188" s="359">
        <v>2007</v>
      </c>
      <c r="L188" t="s">
        <v>17</v>
      </c>
      <c r="M188" t="s">
        <v>19</v>
      </c>
      <c r="N188">
        <v>19</v>
      </c>
      <c r="O188">
        <v>5</v>
      </c>
      <c r="P188">
        <v>74</v>
      </c>
      <c r="Q188">
        <v>12.587052355612199</v>
      </c>
      <c r="R188">
        <v>2.9</v>
      </c>
      <c r="T188" s="358" t="str">
        <f t="shared" si="23"/>
        <v>1996MaleNon-Maori23Hanging, strangulation and suffocation</v>
      </c>
      <c r="U188" s="360">
        <v>1996</v>
      </c>
      <c r="V188" s="360" t="s">
        <v>20</v>
      </c>
      <c r="W188" s="360" t="s">
        <v>19</v>
      </c>
      <c r="X188" s="360">
        <v>23</v>
      </c>
      <c r="Y188" s="360" t="s">
        <v>43</v>
      </c>
      <c r="Z188" s="360">
        <v>54</v>
      </c>
      <c r="AA188" s="360">
        <v>152</v>
      </c>
      <c r="AB188" s="360">
        <v>35.5</v>
      </c>
      <c r="AQ188" t="str">
        <f t="shared" si="22"/>
        <v>2010MaleRural22</v>
      </c>
      <c r="AR188">
        <v>2010</v>
      </c>
      <c r="AS188" t="s">
        <v>20</v>
      </c>
      <c r="AT188" t="s">
        <v>96</v>
      </c>
      <c r="AU188">
        <v>22</v>
      </c>
      <c r="AV188">
        <v>17</v>
      </c>
      <c r="AW188">
        <v>45.418113812449903</v>
      </c>
      <c r="AX188">
        <v>21.6</v>
      </c>
      <c r="BS188" t="str">
        <f t="shared" si="24"/>
        <v>FemaleAsian225</v>
      </c>
      <c r="BT188" t="s">
        <v>8</v>
      </c>
      <c r="BU188" t="s">
        <v>78</v>
      </c>
      <c r="BV188">
        <v>22</v>
      </c>
      <c r="BW188">
        <v>5</v>
      </c>
      <c r="BX188">
        <v>1</v>
      </c>
      <c r="BY188">
        <v>2.0968842392669602</v>
      </c>
      <c r="BZ188">
        <v>4.0999999999999996</v>
      </c>
      <c r="CB188" t="str">
        <f t="shared" si="25"/>
        <v>FemaleAsian25Submersion (drowning)</v>
      </c>
      <c r="CC188" t="s">
        <v>8</v>
      </c>
      <c r="CD188" t="s">
        <v>78</v>
      </c>
      <c r="CE188" t="s">
        <v>49</v>
      </c>
      <c r="CF188">
        <v>25</v>
      </c>
      <c r="CG188">
        <v>2</v>
      </c>
      <c r="CH188">
        <v>9</v>
      </c>
      <c r="CI188">
        <v>22.2</v>
      </c>
    </row>
    <row r="189" spans="1:87" x14ac:dyDescent="0.2">
      <c r="A189" t="str">
        <f t="shared" si="20"/>
        <v>1996AllSexMaori21</v>
      </c>
      <c r="B189">
        <v>1996</v>
      </c>
      <c r="C189" t="s">
        <v>17</v>
      </c>
      <c r="D189" t="s">
        <v>18</v>
      </c>
      <c r="E189">
        <v>21</v>
      </c>
      <c r="F189">
        <v>4</v>
      </c>
      <c r="J189" s="358" t="str">
        <f t="shared" si="21"/>
        <v>2008AllSexNon-Maori191</v>
      </c>
      <c r="K189" s="359">
        <v>2008</v>
      </c>
      <c r="L189" t="s">
        <v>17</v>
      </c>
      <c r="M189" t="s">
        <v>19</v>
      </c>
      <c r="N189">
        <v>19</v>
      </c>
      <c r="O189">
        <v>1</v>
      </c>
      <c r="P189">
        <v>80</v>
      </c>
      <c r="Q189">
        <v>9.9285873968282505</v>
      </c>
      <c r="R189">
        <v>2.2000000000000002</v>
      </c>
      <c r="T189" s="358" t="str">
        <f t="shared" si="23"/>
        <v>1996MaleNon-Maori24Hanging, strangulation and suffocation</v>
      </c>
      <c r="U189" s="360">
        <v>1996</v>
      </c>
      <c r="V189" s="360" t="s">
        <v>20</v>
      </c>
      <c r="W189" s="360" t="s">
        <v>19</v>
      </c>
      <c r="X189" s="360">
        <v>24</v>
      </c>
      <c r="Y189" s="360" t="s">
        <v>43</v>
      </c>
      <c r="Z189" s="360">
        <v>24</v>
      </c>
      <c r="AA189" s="360">
        <v>75</v>
      </c>
      <c r="AB189" s="360">
        <v>32</v>
      </c>
      <c r="AQ189" t="str">
        <f t="shared" si="22"/>
        <v>2010MaleUrban22</v>
      </c>
      <c r="AR189">
        <v>2010</v>
      </c>
      <c r="AS189" t="s">
        <v>20</v>
      </c>
      <c r="AT189" t="s">
        <v>97</v>
      </c>
      <c r="AU189">
        <v>22</v>
      </c>
      <c r="AV189">
        <v>60</v>
      </c>
      <c r="AW189">
        <v>21.909004600890999</v>
      </c>
      <c r="AX189">
        <v>5.5</v>
      </c>
      <c r="BS189" t="str">
        <f t="shared" si="24"/>
        <v>FemaleMaori221</v>
      </c>
      <c r="BT189" t="s">
        <v>8</v>
      </c>
      <c r="BU189" t="s">
        <v>18</v>
      </c>
      <c r="BV189">
        <v>22</v>
      </c>
      <c r="BW189">
        <v>1</v>
      </c>
      <c r="BX189">
        <v>3</v>
      </c>
      <c r="BY189">
        <v>11.4234874015236</v>
      </c>
      <c r="BZ189">
        <v>12.9</v>
      </c>
      <c r="CB189" t="str">
        <f t="shared" si="25"/>
        <v>FemaleMaori22Firearms and explosives</v>
      </c>
      <c r="CC189" t="s">
        <v>8</v>
      </c>
      <c r="CD189" t="s">
        <v>18</v>
      </c>
      <c r="CE189" t="s">
        <v>42</v>
      </c>
      <c r="CF189">
        <v>22</v>
      </c>
      <c r="CG189">
        <v>1</v>
      </c>
      <c r="CH189">
        <v>91</v>
      </c>
      <c r="CI189">
        <v>1.1000000000000001</v>
      </c>
    </row>
    <row r="190" spans="1:87" x14ac:dyDescent="0.2">
      <c r="A190" t="str">
        <f t="shared" si="20"/>
        <v>1996AllSexMaori22</v>
      </c>
      <c r="B190">
        <v>1996</v>
      </c>
      <c r="C190" t="s">
        <v>17</v>
      </c>
      <c r="D190" t="s">
        <v>18</v>
      </c>
      <c r="E190">
        <v>22</v>
      </c>
      <c r="F190">
        <v>39</v>
      </c>
      <c r="G190">
        <v>37.445991358617398</v>
      </c>
      <c r="H190">
        <v>11.8</v>
      </c>
      <c r="J190" s="358" t="str">
        <f t="shared" si="21"/>
        <v>2008AllSexNon-Maori192</v>
      </c>
      <c r="K190" s="359">
        <v>2008</v>
      </c>
      <c r="L190" t="s">
        <v>17</v>
      </c>
      <c r="M190" t="s">
        <v>19</v>
      </c>
      <c r="N190">
        <v>19</v>
      </c>
      <c r="O190">
        <v>2</v>
      </c>
      <c r="P190">
        <v>78</v>
      </c>
      <c r="Q190">
        <v>9.0240190540465299</v>
      </c>
      <c r="R190">
        <v>2</v>
      </c>
      <c r="T190" s="358" t="str">
        <f t="shared" si="23"/>
        <v>1996MaleNon-Maori25Hanging, strangulation and suffocation</v>
      </c>
      <c r="U190" s="360">
        <v>1996</v>
      </c>
      <c r="V190" s="360" t="s">
        <v>20</v>
      </c>
      <c r="W190" s="360" t="s">
        <v>19</v>
      </c>
      <c r="X190" s="360">
        <v>25</v>
      </c>
      <c r="Y190" s="360" t="s">
        <v>43</v>
      </c>
      <c r="Z190" s="360">
        <v>14</v>
      </c>
      <c r="AA190" s="360">
        <v>52</v>
      </c>
      <c r="AB190" s="360">
        <v>26.9</v>
      </c>
      <c r="AQ190" t="str">
        <f t="shared" si="22"/>
        <v>2010MaleRural23</v>
      </c>
      <c r="AR190">
        <v>2010</v>
      </c>
      <c r="AS190" t="s">
        <v>20</v>
      </c>
      <c r="AT190" t="s">
        <v>96</v>
      </c>
      <c r="AU190">
        <v>23</v>
      </c>
      <c r="AV190">
        <v>29</v>
      </c>
      <c r="AW190">
        <v>40.406855231991102</v>
      </c>
      <c r="AX190">
        <v>14.7</v>
      </c>
      <c r="BS190" t="str">
        <f t="shared" si="24"/>
        <v>FemaleMaori222</v>
      </c>
      <c r="BT190" t="s">
        <v>8</v>
      </c>
      <c r="BU190" t="s">
        <v>18</v>
      </c>
      <c r="BV190">
        <v>22</v>
      </c>
      <c r="BW190">
        <v>2</v>
      </c>
      <c r="BX190">
        <v>7</v>
      </c>
      <c r="BY190">
        <v>20.106363384546</v>
      </c>
      <c r="BZ190">
        <v>14.9</v>
      </c>
      <c r="CB190" t="str">
        <f t="shared" si="25"/>
        <v>FemaleMaori21Hanging, strangulation and suffocation</v>
      </c>
      <c r="CC190" t="s">
        <v>8</v>
      </c>
      <c r="CD190" t="s">
        <v>18</v>
      </c>
      <c r="CE190" t="s">
        <v>43</v>
      </c>
      <c r="CF190">
        <v>21</v>
      </c>
      <c r="CG190">
        <v>8</v>
      </c>
      <c r="CH190">
        <v>8</v>
      </c>
      <c r="CI190">
        <v>100</v>
      </c>
    </row>
    <row r="191" spans="1:87" x14ac:dyDescent="0.2">
      <c r="A191" t="str">
        <f t="shared" si="20"/>
        <v>1996AllSexMaori23</v>
      </c>
      <c r="B191">
        <v>1996</v>
      </c>
      <c r="C191" t="s">
        <v>17</v>
      </c>
      <c r="D191" t="s">
        <v>18</v>
      </c>
      <c r="E191">
        <v>23</v>
      </c>
      <c r="F191">
        <v>45</v>
      </c>
      <c r="G191">
        <v>30.213508795488099</v>
      </c>
      <c r="H191">
        <v>8.8000000000000007</v>
      </c>
      <c r="J191" s="358" t="str">
        <f t="shared" si="21"/>
        <v>2008AllSexNon-Maori193</v>
      </c>
      <c r="K191" s="359">
        <v>2008</v>
      </c>
      <c r="L191" t="s">
        <v>17</v>
      </c>
      <c r="M191" t="s">
        <v>19</v>
      </c>
      <c r="N191">
        <v>19</v>
      </c>
      <c r="O191">
        <v>3</v>
      </c>
      <c r="P191">
        <v>90</v>
      </c>
      <c r="Q191">
        <v>11.173808666885</v>
      </c>
      <c r="R191">
        <v>2.2999999999999998</v>
      </c>
      <c r="T191" s="358" t="str">
        <f t="shared" si="23"/>
        <v>1996MaleNon-Maori22Jumping from a high place</v>
      </c>
      <c r="U191" s="360">
        <v>1996</v>
      </c>
      <c r="V191" s="360" t="s">
        <v>20</v>
      </c>
      <c r="W191" s="360" t="s">
        <v>19</v>
      </c>
      <c r="X191" s="360">
        <v>22</v>
      </c>
      <c r="Y191" s="360" t="s">
        <v>44</v>
      </c>
      <c r="Z191" s="360">
        <v>2</v>
      </c>
      <c r="AA191" s="360">
        <v>75</v>
      </c>
      <c r="AB191" s="360">
        <v>2.7</v>
      </c>
      <c r="AQ191" t="str">
        <f t="shared" si="22"/>
        <v>2010MaleUrban23</v>
      </c>
      <c r="AR191">
        <v>2010</v>
      </c>
      <c r="AS191" t="s">
        <v>20</v>
      </c>
      <c r="AT191" t="s">
        <v>97</v>
      </c>
      <c r="AU191">
        <v>23</v>
      </c>
      <c r="AV191">
        <v>114</v>
      </c>
      <c r="AW191">
        <v>23.487720454920101</v>
      </c>
      <c r="AX191">
        <v>4.3</v>
      </c>
      <c r="BS191" t="str">
        <f t="shared" si="24"/>
        <v>FemaleMaori223</v>
      </c>
      <c r="BT191" t="s">
        <v>8</v>
      </c>
      <c r="BU191" t="s">
        <v>18</v>
      </c>
      <c r="BV191">
        <v>22</v>
      </c>
      <c r="BW191">
        <v>3</v>
      </c>
      <c r="BX191">
        <v>5</v>
      </c>
      <c r="BY191">
        <v>9.7528851203034304</v>
      </c>
      <c r="BZ191">
        <v>8.5</v>
      </c>
      <c r="CB191" t="str">
        <f t="shared" si="25"/>
        <v>FemaleMaori22Hanging, strangulation and suffocation</v>
      </c>
      <c r="CC191" t="s">
        <v>8</v>
      </c>
      <c r="CD191" t="s">
        <v>18</v>
      </c>
      <c r="CE191" t="s">
        <v>43</v>
      </c>
      <c r="CF191">
        <v>22</v>
      </c>
      <c r="CG191">
        <v>85</v>
      </c>
      <c r="CH191">
        <v>91</v>
      </c>
      <c r="CI191">
        <v>93.4</v>
      </c>
    </row>
    <row r="192" spans="1:87" x14ac:dyDescent="0.2">
      <c r="A192" t="str">
        <f t="shared" si="20"/>
        <v>1996AllSexMaori24</v>
      </c>
      <c r="B192">
        <v>1996</v>
      </c>
      <c r="C192" t="s">
        <v>17</v>
      </c>
      <c r="D192" t="s">
        <v>18</v>
      </c>
      <c r="E192">
        <v>24</v>
      </c>
      <c r="F192">
        <v>8</v>
      </c>
      <c r="G192">
        <v>12.674271229404299</v>
      </c>
      <c r="H192">
        <v>8.8000000000000007</v>
      </c>
      <c r="J192" s="358" t="str">
        <f t="shared" si="21"/>
        <v>2008AllSexNon-Maori194</v>
      </c>
      <c r="K192" s="359">
        <v>2008</v>
      </c>
      <c r="L192" t="s">
        <v>17</v>
      </c>
      <c r="M192" t="s">
        <v>19</v>
      </c>
      <c r="N192">
        <v>19</v>
      </c>
      <c r="O192">
        <v>4</v>
      </c>
      <c r="P192">
        <v>81</v>
      </c>
      <c r="Q192">
        <v>11.021127423476001</v>
      </c>
      <c r="R192">
        <v>2.4</v>
      </c>
      <c r="T192" s="358" t="str">
        <f t="shared" si="23"/>
        <v>1996MaleNon-Maori23Jumping from a high place</v>
      </c>
      <c r="U192" s="360">
        <v>1996</v>
      </c>
      <c r="V192" s="360" t="s">
        <v>20</v>
      </c>
      <c r="W192" s="360" t="s">
        <v>19</v>
      </c>
      <c r="X192" s="360">
        <v>23</v>
      </c>
      <c r="Y192" s="360" t="s">
        <v>44</v>
      </c>
      <c r="Z192" s="360">
        <v>6</v>
      </c>
      <c r="AA192" s="360">
        <v>152</v>
      </c>
      <c r="AB192" s="360">
        <v>3.9</v>
      </c>
      <c r="AQ192" t="str">
        <f t="shared" si="22"/>
        <v>2010MaleRural24</v>
      </c>
      <c r="AR192">
        <v>2010</v>
      </c>
      <c r="AS192" t="s">
        <v>20</v>
      </c>
      <c r="AT192" t="s">
        <v>96</v>
      </c>
      <c r="AU192">
        <v>24</v>
      </c>
      <c r="AV192">
        <v>25</v>
      </c>
      <c r="AW192">
        <v>25.802456393848701</v>
      </c>
      <c r="AX192">
        <v>10.1</v>
      </c>
      <c r="BS192" t="str">
        <f t="shared" si="24"/>
        <v>FemaleMaori224</v>
      </c>
      <c r="BT192" t="s">
        <v>8</v>
      </c>
      <c r="BU192" t="s">
        <v>18</v>
      </c>
      <c r="BV192">
        <v>22</v>
      </c>
      <c r="BW192">
        <v>4</v>
      </c>
      <c r="BX192">
        <v>26</v>
      </c>
      <c r="BY192">
        <v>34.269557665447799</v>
      </c>
      <c r="BZ192">
        <v>13.2</v>
      </c>
      <c r="CB192" t="str">
        <f t="shared" si="25"/>
        <v>FemaleMaori23Hanging, strangulation and suffocation</v>
      </c>
      <c r="CC192" t="s">
        <v>8</v>
      </c>
      <c r="CD192" t="s">
        <v>18</v>
      </c>
      <c r="CE192" t="s">
        <v>43</v>
      </c>
      <c r="CF192">
        <v>23</v>
      </c>
      <c r="CG192">
        <v>52</v>
      </c>
      <c r="CH192">
        <v>61</v>
      </c>
      <c r="CI192">
        <v>85.2</v>
      </c>
    </row>
    <row r="193" spans="1:87" x14ac:dyDescent="0.2">
      <c r="A193" t="str">
        <f t="shared" si="20"/>
        <v>1996AllSexMaori25</v>
      </c>
      <c r="B193">
        <v>1996</v>
      </c>
      <c r="C193" t="s">
        <v>17</v>
      </c>
      <c r="D193" t="s">
        <v>18</v>
      </c>
      <c r="E193">
        <v>25</v>
      </c>
      <c r="F193">
        <v>1</v>
      </c>
      <c r="G193">
        <v>6.5402223675605002</v>
      </c>
      <c r="H193">
        <v>12.8</v>
      </c>
      <c r="J193" s="358" t="str">
        <f t="shared" si="21"/>
        <v>2008AllSexNon-Maori195</v>
      </c>
      <c r="K193" s="359">
        <v>2008</v>
      </c>
      <c r="L193" t="s">
        <v>17</v>
      </c>
      <c r="M193" t="s">
        <v>19</v>
      </c>
      <c r="N193">
        <v>19</v>
      </c>
      <c r="O193">
        <v>5</v>
      </c>
      <c r="P193">
        <v>78</v>
      </c>
      <c r="Q193">
        <v>12.896367785498301</v>
      </c>
      <c r="R193">
        <v>2.9</v>
      </c>
      <c r="T193" s="358" t="str">
        <f t="shared" si="23"/>
        <v>1996MaleNon-Maori24Jumping from a high place</v>
      </c>
      <c r="U193" s="360">
        <v>1996</v>
      </c>
      <c r="V193" s="360" t="s">
        <v>20</v>
      </c>
      <c r="W193" s="360" t="s">
        <v>19</v>
      </c>
      <c r="X193" s="360">
        <v>24</v>
      </c>
      <c r="Y193" s="360" t="s">
        <v>44</v>
      </c>
      <c r="Z193" s="360">
        <v>1</v>
      </c>
      <c r="AA193" s="360">
        <v>75</v>
      </c>
      <c r="AB193" s="360">
        <v>1.3</v>
      </c>
      <c r="AQ193" t="str">
        <f t="shared" si="22"/>
        <v>2010MaleUrban24</v>
      </c>
      <c r="AR193">
        <v>2010</v>
      </c>
      <c r="AS193" t="s">
        <v>20</v>
      </c>
      <c r="AT193" t="s">
        <v>97</v>
      </c>
      <c r="AU193">
        <v>24</v>
      </c>
      <c r="AV193">
        <v>90</v>
      </c>
      <c r="AW193">
        <v>20.462916647719499</v>
      </c>
      <c r="AX193">
        <v>4.2</v>
      </c>
      <c r="BS193" t="str">
        <f t="shared" si="24"/>
        <v>FemaleMaori225</v>
      </c>
      <c r="BT193" t="s">
        <v>8</v>
      </c>
      <c r="BU193" t="s">
        <v>18</v>
      </c>
      <c r="BV193">
        <v>22</v>
      </c>
      <c r="BW193">
        <v>5</v>
      </c>
      <c r="BX193">
        <v>48</v>
      </c>
      <c r="BY193">
        <v>35.626025541281699</v>
      </c>
      <c r="BZ193">
        <v>10.1</v>
      </c>
      <c r="CB193" t="str">
        <f t="shared" si="25"/>
        <v>FemaleMaori24Hanging, strangulation and suffocation</v>
      </c>
      <c r="CC193" t="s">
        <v>8</v>
      </c>
      <c r="CD193" t="s">
        <v>18</v>
      </c>
      <c r="CE193" t="s">
        <v>43</v>
      </c>
      <c r="CF193">
        <v>24</v>
      </c>
      <c r="CG193">
        <v>9</v>
      </c>
      <c r="CH193">
        <v>14</v>
      </c>
      <c r="CI193">
        <v>64.3</v>
      </c>
    </row>
    <row r="194" spans="1:87" x14ac:dyDescent="0.2">
      <c r="A194" t="str">
        <f t="shared" si="20"/>
        <v>1996AllSexNon-Maori21</v>
      </c>
      <c r="B194">
        <v>1996</v>
      </c>
      <c r="C194" t="s">
        <v>17</v>
      </c>
      <c r="D194" t="s">
        <v>19</v>
      </c>
      <c r="E194">
        <v>21</v>
      </c>
      <c r="F194">
        <v>3</v>
      </c>
      <c r="J194" s="358" t="str">
        <f t="shared" si="21"/>
        <v>2009AllSexNon-Maori191</v>
      </c>
      <c r="K194" s="359">
        <v>2009</v>
      </c>
      <c r="L194" t="s">
        <v>17</v>
      </c>
      <c r="M194" t="s">
        <v>19</v>
      </c>
      <c r="N194">
        <v>19</v>
      </c>
      <c r="O194">
        <v>1</v>
      </c>
      <c r="P194">
        <v>70</v>
      </c>
      <c r="Q194">
        <v>7.9174449503132198</v>
      </c>
      <c r="R194">
        <v>1.9</v>
      </c>
      <c r="T194" s="358" t="str">
        <f t="shared" si="23"/>
        <v>1996MaleNon-Maori25Jumping from a high place</v>
      </c>
      <c r="U194" s="360">
        <v>1996</v>
      </c>
      <c r="V194" s="360" t="s">
        <v>20</v>
      </c>
      <c r="W194" s="360" t="s">
        <v>19</v>
      </c>
      <c r="X194" s="360">
        <v>25</v>
      </c>
      <c r="Y194" s="360" t="s">
        <v>44</v>
      </c>
      <c r="Z194" s="360">
        <v>1</v>
      </c>
      <c r="AA194" s="360">
        <v>52</v>
      </c>
      <c r="AB194" s="360">
        <v>1.9</v>
      </c>
      <c r="AQ194" t="str">
        <f t="shared" si="22"/>
        <v>2010MaleRural25</v>
      </c>
      <c r="AR194">
        <v>2010</v>
      </c>
      <c r="AS194" t="s">
        <v>20</v>
      </c>
      <c r="AT194" t="s">
        <v>96</v>
      </c>
      <c r="AU194">
        <v>25</v>
      </c>
      <c r="AV194">
        <v>9</v>
      </c>
      <c r="AW194">
        <v>23.3402489626556</v>
      </c>
      <c r="AX194">
        <v>15.2</v>
      </c>
      <c r="BS194" t="str">
        <f t="shared" si="24"/>
        <v>FemaleOther221</v>
      </c>
      <c r="BT194" t="s">
        <v>8</v>
      </c>
      <c r="BU194" t="s">
        <v>45</v>
      </c>
      <c r="BV194">
        <v>22</v>
      </c>
      <c r="BW194">
        <v>1</v>
      </c>
      <c r="BX194">
        <v>6</v>
      </c>
      <c r="BY194">
        <v>2.9642277333401998</v>
      </c>
      <c r="BZ194">
        <v>2.4</v>
      </c>
      <c r="CB194" t="str">
        <f t="shared" si="25"/>
        <v>FemaleMaori22Jumping from a high place</v>
      </c>
      <c r="CC194" t="s">
        <v>8</v>
      </c>
      <c r="CD194" t="s">
        <v>18</v>
      </c>
      <c r="CE194" t="s">
        <v>44</v>
      </c>
      <c r="CF194">
        <v>22</v>
      </c>
      <c r="CG194">
        <v>1</v>
      </c>
      <c r="CH194">
        <v>91</v>
      </c>
      <c r="CI194">
        <v>1.1000000000000001</v>
      </c>
    </row>
    <row r="195" spans="1:87" x14ac:dyDescent="0.2">
      <c r="A195" t="str">
        <f t="shared" si="20"/>
        <v>1996AllSexNon-Maori22</v>
      </c>
      <c r="B195">
        <v>1996</v>
      </c>
      <c r="C195" t="s">
        <v>17</v>
      </c>
      <c r="D195" t="s">
        <v>19</v>
      </c>
      <c r="E195">
        <v>22</v>
      </c>
      <c r="F195">
        <v>104</v>
      </c>
      <c r="G195">
        <v>23.258934561882199</v>
      </c>
      <c r="H195">
        <v>4.5</v>
      </c>
      <c r="J195" s="358" t="str">
        <f t="shared" si="21"/>
        <v>2009AllSexNon-Maori192</v>
      </c>
      <c r="K195" s="359">
        <v>2009</v>
      </c>
      <c r="L195" t="s">
        <v>17</v>
      </c>
      <c r="M195" t="s">
        <v>19</v>
      </c>
      <c r="N195">
        <v>19</v>
      </c>
      <c r="O195">
        <v>2</v>
      </c>
      <c r="P195">
        <v>81</v>
      </c>
      <c r="Q195">
        <v>9.2339983930278997</v>
      </c>
      <c r="R195">
        <v>2</v>
      </c>
      <c r="T195" s="358" t="str">
        <f t="shared" si="23"/>
        <v>1996MaleNon-Maori22Other</v>
      </c>
      <c r="U195" s="360">
        <v>1996</v>
      </c>
      <c r="V195" s="360" t="s">
        <v>20</v>
      </c>
      <c r="W195" s="360" t="s">
        <v>19</v>
      </c>
      <c r="X195" s="360">
        <v>22</v>
      </c>
      <c r="Y195" s="360" t="s">
        <v>45</v>
      </c>
      <c r="Z195" s="360">
        <v>2</v>
      </c>
      <c r="AA195" s="360">
        <v>75</v>
      </c>
      <c r="AB195" s="360">
        <v>2.7</v>
      </c>
      <c r="AQ195" t="str">
        <f t="shared" si="22"/>
        <v>2010MaleUrban25</v>
      </c>
      <c r="AR195">
        <v>2010</v>
      </c>
      <c r="AS195" t="s">
        <v>20</v>
      </c>
      <c r="AT195" t="s">
        <v>97</v>
      </c>
      <c r="AU195">
        <v>25</v>
      </c>
      <c r="AV195">
        <v>34</v>
      </c>
      <c r="AW195">
        <v>15.6099352646802</v>
      </c>
      <c r="AX195">
        <v>5.2</v>
      </c>
      <c r="BS195" t="str">
        <f t="shared" si="24"/>
        <v>FemaleOther222</v>
      </c>
      <c r="BT195" t="s">
        <v>8</v>
      </c>
      <c r="BU195" t="s">
        <v>45</v>
      </c>
      <c r="BV195">
        <v>22</v>
      </c>
      <c r="BW195">
        <v>2</v>
      </c>
      <c r="BX195">
        <v>14</v>
      </c>
      <c r="BY195">
        <v>7.5859383492742403</v>
      </c>
      <c r="BZ195">
        <v>4</v>
      </c>
      <c r="CB195" t="str">
        <f t="shared" si="25"/>
        <v>FemaleMaori23Jumping from a high place</v>
      </c>
      <c r="CC195" t="s">
        <v>8</v>
      </c>
      <c r="CD195" t="s">
        <v>18</v>
      </c>
      <c r="CE195" t="s">
        <v>44</v>
      </c>
      <c r="CF195">
        <v>23</v>
      </c>
      <c r="CG195">
        <v>1</v>
      </c>
      <c r="CH195">
        <v>61</v>
      </c>
      <c r="CI195">
        <v>1.6</v>
      </c>
    </row>
    <row r="196" spans="1:87" x14ac:dyDescent="0.2">
      <c r="A196" t="str">
        <f t="shared" ref="A196:A259" si="26">B196&amp;C196&amp;D196&amp;E196</f>
        <v>1996AllSexNon-Maori23</v>
      </c>
      <c r="B196">
        <v>1996</v>
      </c>
      <c r="C196" t="s">
        <v>17</v>
      </c>
      <c r="D196" t="s">
        <v>19</v>
      </c>
      <c r="E196">
        <v>23</v>
      </c>
      <c r="F196">
        <v>177</v>
      </c>
      <c r="G196">
        <v>17.723039951937501</v>
      </c>
      <c r="H196">
        <v>2.6</v>
      </c>
      <c r="J196" s="358" t="str">
        <f t="shared" ref="J196:J259" si="27">K196&amp;L196&amp;M196&amp;N196&amp;O196</f>
        <v>2009AllSexNon-Maori193</v>
      </c>
      <c r="K196" s="359">
        <v>2009</v>
      </c>
      <c r="L196" t="s">
        <v>17</v>
      </c>
      <c r="M196" t="s">
        <v>19</v>
      </c>
      <c r="N196">
        <v>19</v>
      </c>
      <c r="O196">
        <v>3</v>
      </c>
      <c r="P196">
        <v>73</v>
      </c>
      <c r="Q196">
        <v>9.1279852968133408</v>
      </c>
      <c r="R196">
        <v>2.1</v>
      </c>
      <c r="T196" s="358" t="str">
        <f t="shared" si="23"/>
        <v>1996MaleNon-Maori23Other</v>
      </c>
      <c r="U196" s="360">
        <v>1996</v>
      </c>
      <c r="V196" s="360" t="s">
        <v>20</v>
      </c>
      <c r="W196" s="360" t="s">
        <v>19</v>
      </c>
      <c r="X196" s="360">
        <v>23</v>
      </c>
      <c r="Y196" s="360" t="s">
        <v>45</v>
      </c>
      <c r="Z196" s="360">
        <v>3</v>
      </c>
      <c r="AA196" s="360">
        <v>152</v>
      </c>
      <c r="AB196" s="360">
        <v>2</v>
      </c>
      <c r="AQ196" t="str">
        <f t="shared" ref="AQ196:AQ259" si="28">AR196&amp;AS196&amp;AT196&amp;AU196</f>
        <v>2011AllSexRural22</v>
      </c>
      <c r="AR196">
        <v>2011</v>
      </c>
      <c r="AS196" t="s">
        <v>17</v>
      </c>
      <c r="AT196" t="s">
        <v>96</v>
      </c>
      <c r="AU196">
        <v>22</v>
      </c>
      <c r="AV196">
        <v>15</v>
      </c>
      <c r="AW196">
        <v>21.195421788893601</v>
      </c>
      <c r="AX196">
        <v>10.7</v>
      </c>
      <c r="BS196" t="str">
        <f t="shared" si="24"/>
        <v>FemaleOther223</v>
      </c>
      <c r="BT196" t="s">
        <v>8</v>
      </c>
      <c r="BU196" t="s">
        <v>45</v>
      </c>
      <c r="BV196">
        <v>22</v>
      </c>
      <c r="BW196">
        <v>3</v>
      </c>
      <c r="BX196">
        <v>16</v>
      </c>
      <c r="BY196">
        <v>8.8540831390466899</v>
      </c>
      <c r="BZ196">
        <v>4.3</v>
      </c>
      <c r="CB196" t="str">
        <f t="shared" si="25"/>
        <v>FemaleMaori24Jumping from a high place</v>
      </c>
      <c r="CC196" t="s">
        <v>8</v>
      </c>
      <c r="CD196" t="s">
        <v>18</v>
      </c>
      <c r="CE196" t="s">
        <v>44</v>
      </c>
      <c r="CF196">
        <v>24</v>
      </c>
      <c r="CG196">
        <v>1</v>
      </c>
      <c r="CH196">
        <v>14</v>
      </c>
      <c r="CI196">
        <v>7.1</v>
      </c>
    </row>
    <row r="197" spans="1:87" x14ac:dyDescent="0.2">
      <c r="A197" t="str">
        <f t="shared" si="26"/>
        <v>1996AllSexNon-Maori24</v>
      </c>
      <c r="B197">
        <v>1996</v>
      </c>
      <c r="C197" t="s">
        <v>17</v>
      </c>
      <c r="D197" t="s">
        <v>19</v>
      </c>
      <c r="E197">
        <v>24</v>
      </c>
      <c r="F197">
        <v>94</v>
      </c>
      <c r="G197">
        <v>13.7837996363423</v>
      </c>
      <c r="H197">
        <v>2.8</v>
      </c>
      <c r="J197" s="358" t="str">
        <f t="shared" si="27"/>
        <v>2009AllSexNon-Maori194</v>
      </c>
      <c r="K197" s="359">
        <v>2009</v>
      </c>
      <c r="L197" t="s">
        <v>17</v>
      </c>
      <c r="M197" t="s">
        <v>19</v>
      </c>
      <c r="N197">
        <v>19</v>
      </c>
      <c r="O197">
        <v>4</v>
      </c>
      <c r="P197">
        <v>110</v>
      </c>
      <c r="Q197">
        <v>14.5141755107568</v>
      </c>
      <c r="R197">
        <v>2.7</v>
      </c>
      <c r="T197" s="358" t="str">
        <f t="shared" ref="T197:T260" si="29">U197&amp;V197&amp;W197&amp;X197&amp;Y197</f>
        <v>1996MaleNon-Maori24Other</v>
      </c>
      <c r="U197" s="360">
        <v>1996</v>
      </c>
      <c r="V197" s="360" t="s">
        <v>20</v>
      </c>
      <c r="W197" s="360" t="s">
        <v>19</v>
      </c>
      <c r="X197" s="360">
        <v>24</v>
      </c>
      <c r="Y197" s="360" t="s">
        <v>45</v>
      </c>
      <c r="Z197" s="360">
        <v>2</v>
      </c>
      <c r="AA197" s="360">
        <v>75</v>
      </c>
      <c r="AB197" s="360">
        <v>2.7</v>
      </c>
      <c r="AQ197" t="str">
        <f t="shared" si="28"/>
        <v>2011AllSexUrban22</v>
      </c>
      <c r="AR197">
        <v>2011</v>
      </c>
      <c r="AS197" t="s">
        <v>17</v>
      </c>
      <c r="AT197" t="s">
        <v>97</v>
      </c>
      <c r="AU197">
        <v>22</v>
      </c>
      <c r="AV197">
        <v>115</v>
      </c>
      <c r="AW197">
        <v>20.871522169186399</v>
      </c>
      <c r="AX197">
        <v>3.8</v>
      </c>
      <c r="BS197" t="str">
        <f t="shared" ref="BS197:BS260" si="30">BT197&amp;BU197&amp;BV197&amp;BW197</f>
        <v>FemaleOther224</v>
      </c>
      <c r="BT197" t="s">
        <v>8</v>
      </c>
      <c r="BU197" t="s">
        <v>45</v>
      </c>
      <c r="BV197">
        <v>22</v>
      </c>
      <c r="BW197">
        <v>4</v>
      </c>
      <c r="BX197">
        <v>15</v>
      </c>
      <c r="BY197">
        <v>8.3123273497190304</v>
      </c>
      <c r="BZ197">
        <v>4.2</v>
      </c>
      <c r="CB197" t="str">
        <f t="shared" ref="CB197:CB260" si="31">CC197&amp;CD197&amp;CF197&amp;CE197</f>
        <v>FemaleMaori22Other</v>
      </c>
      <c r="CC197" t="s">
        <v>8</v>
      </c>
      <c r="CD197" t="s">
        <v>18</v>
      </c>
      <c r="CE197" t="s">
        <v>45</v>
      </c>
      <c r="CF197">
        <v>22</v>
      </c>
      <c r="CG197">
        <v>1</v>
      </c>
      <c r="CH197">
        <v>91</v>
      </c>
      <c r="CI197">
        <v>1.1000000000000001</v>
      </c>
    </row>
    <row r="198" spans="1:87" x14ac:dyDescent="0.2">
      <c r="A198" t="str">
        <f t="shared" si="26"/>
        <v>1996AllSexNon-Maori25</v>
      </c>
      <c r="B198">
        <v>1996</v>
      </c>
      <c r="C198" t="s">
        <v>17</v>
      </c>
      <c r="D198" t="s">
        <v>19</v>
      </c>
      <c r="E198">
        <v>25</v>
      </c>
      <c r="F198">
        <v>65</v>
      </c>
      <c r="G198">
        <v>15.678139849007501</v>
      </c>
      <c r="H198">
        <v>3.8</v>
      </c>
      <c r="J198" s="358" t="str">
        <f t="shared" si="27"/>
        <v>2009AllSexNon-Maori195</v>
      </c>
      <c r="K198" s="359">
        <v>2009</v>
      </c>
      <c r="L198" t="s">
        <v>17</v>
      </c>
      <c r="M198" t="s">
        <v>19</v>
      </c>
      <c r="N198">
        <v>19</v>
      </c>
      <c r="O198">
        <v>5</v>
      </c>
      <c r="P198">
        <v>90</v>
      </c>
      <c r="Q198">
        <v>15.407246316021901</v>
      </c>
      <c r="R198">
        <v>3.2</v>
      </c>
      <c r="T198" s="358" t="str">
        <f t="shared" si="29"/>
        <v>1996MaleNon-Maori25Other</v>
      </c>
      <c r="U198" s="360">
        <v>1996</v>
      </c>
      <c r="V198" s="360" t="s">
        <v>20</v>
      </c>
      <c r="W198" s="360" t="s">
        <v>19</v>
      </c>
      <c r="X198" s="360">
        <v>25</v>
      </c>
      <c r="Y198" s="360" t="s">
        <v>45</v>
      </c>
      <c r="Z198" s="360">
        <v>4</v>
      </c>
      <c r="AA198" s="360">
        <v>52</v>
      </c>
      <c r="AB198" s="360">
        <v>7.7</v>
      </c>
      <c r="AQ198" t="str">
        <f t="shared" si="28"/>
        <v>2011AllSexRural23</v>
      </c>
      <c r="AR198">
        <v>2011</v>
      </c>
      <c r="AS198" t="s">
        <v>17</v>
      </c>
      <c r="AT198" t="s">
        <v>96</v>
      </c>
      <c r="AU198">
        <v>23</v>
      </c>
      <c r="AV198">
        <v>24</v>
      </c>
      <c r="AW198">
        <v>16.359918200408998</v>
      </c>
      <c r="AX198">
        <v>6.5</v>
      </c>
      <c r="BS198" t="str">
        <f t="shared" si="30"/>
        <v>FemaleOther225</v>
      </c>
      <c r="BT198" t="s">
        <v>8</v>
      </c>
      <c r="BU198" t="s">
        <v>45</v>
      </c>
      <c r="BV198">
        <v>22</v>
      </c>
      <c r="BW198">
        <v>5</v>
      </c>
      <c r="BX198">
        <v>13</v>
      </c>
      <c r="BY198">
        <v>10.392205004387</v>
      </c>
      <c r="BZ198">
        <v>5.6</v>
      </c>
      <c r="CB198" t="str">
        <f t="shared" si="31"/>
        <v>FemaleMaori24Other</v>
      </c>
      <c r="CC198" t="s">
        <v>8</v>
      </c>
      <c r="CD198" t="s">
        <v>18</v>
      </c>
      <c r="CE198" t="s">
        <v>45</v>
      </c>
      <c r="CF198">
        <v>24</v>
      </c>
      <c r="CG198">
        <v>1</v>
      </c>
      <c r="CH198">
        <v>14</v>
      </c>
      <c r="CI198">
        <v>7.1</v>
      </c>
    </row>
    <row r="199" spans="1:87" x14ac:dyDescent="0.2">
      <c r="A199" t="str">
        <f t="shared" si="26"/>
        <v>1996FemaleAllEth21</v>
      </c>
      <c r="B199">
        <v>1996</v>
      </c>
      <c r="C199" t="s">
        <v>8</v>
      </c>
      <c r="D199" t="s">
        <v>27</v>
      </c>
      <c r="E199">
        <v>21</v>
      </c>
      <c r="F199">
        <v>4</v>
      </c>
      <c r="J199" s="358" t="str">
        <f t="shared" si="27"/>
        <v>2010AllSexNon-Maori191</v>
      </c>
      <c r="K199" s="359">
        <v>2010</v>
      </c>
      <c r="L199" t="s">
        <v>17</v>
      </c>
      <c r="M199" t="s">
        <v>19</v>
      </c>
      <c r="N199">
        <v>19</v>
      </c>
      <c r="O199">
        <v>1</v>
      </c>
      <c r="P199">
        <v>88</v>
      </c>
      <c r="Q199">
        <v>10.4556809118773</v>
      </c>
      <c r="R199">
        <v>2.2000000000000002</v>
      </c>
      <c r="T199" s="358" t="str">
        <f t="shared" si="29"/>
        <v>1996MaleNon-Maori22Poisoning by gases and vapours</v>
      </c>
      <c r="U199" s="360">
        <v>1996</v>
      </c>
      <c r="V199" s="360" t="s">
        <v>20</v>
      </c>
      <c r="W199" s="360" t="s">
        <v>19</v>
      </c>
      <c r="X199" s="360">
        <v>22</v>
      </c>
      <c r="Y199" s="360" t="s">
        <v>46</v>
      </c>
      <c r="Z199" s="360">
        <v>14</v>
      </c>
      <c r="AA199" s="360">
        <v>75</v>
      </c>
      <c r="AB199" s="360">
        <v>18.7</v>
      </c>
      <c r="AQ199" t="str">
        <f t="shared" si="28"/>
        <v>2011AllSexUrban23</v>
      </c>
      <c r="AR199">
        <v>2011</v>
      </c>
      <c r="AS199" t="s">
        <v>17</v>
      </c>
      <c r="AT199" t="s">
        <v>97</v>
      </c>
      <c r="AU199">
        <v>23</v>
      </c>
      <c r="AV199">
        <v>139</v>
      </c>
      <c r="AW199">
        <v>13.8018687134474</v>
      </c>
      <c r="AX199">
        <v>2.2999999999999998</v>
      </c>
      <c r="BS199" t="str">
        <f t="shared" si="30"/>
        <v>FemalePacific221</v>
      </c>
      <c r="BT199" t="s">
        <v>8</v>
      </c>
      <c r="BU199" t="s">
        <v>79</v>
      </c>
      <c r="BV199">
        <v>22</v>
      </c>
      <c r="BW199">
        <v>1</v>
      </c>
      <c r="BX199">
        <v>0</v>
      </c>
      <c r="BY199">
        <v>0</v>
      </c>
      <c r="CB199" t="str">
        <f t="shared" si="31"/>
        <v>FemaleMaori23Poisoning by gases and vapours</v>
      </c>
      <c r="CC199" t="s">
        <v>8</v>
      </c>
      <c r="CD199" t="s">
        <v>18</v>
      </c>
      <c r="CE199" t="s">
        <v>46</v>
      </c>
      <c r="CF199">
        <v>23</v>
      </c>
      <c r="CG199">
        <v>1</v>
      </c>
      <c r="CH199">
        <v>61</v>
      </c>
      <c r="CI199">
        <v>1.6</v>
      </c>
    </row>
    <row r="200" spans="1:87" x14ac:dyDescent="0.2">
      <c r="A200" t="str">
        <f t="shared" si="26"/>
        <v>1996FemaleAllEth22</v>
      </c>
      <c r="B200">
        <v>1996</v>
      </c>
      <c r="C200" t="s">
        <v>8</v>
      </c>
      <c r="D200" t="s">
        <v>27</v>
      </c>
      <c r="E200">
        <v>22</v>
      </c>
      <c r="F200">
        <v>38</v>
      </c>
      <c r="G200">
        <v>13.922473803766399</v>
      </c>
      <c r="H200">
        <v>4.4000000000000004</v>
      </c>
      <c r="J200" s="358" t="str">
        <f t="shared" si="27"/>
        <v>2010AllSexNon-Maori192</v>
      </c>
      <c r="K200" s="359">
        <v>2010</v>
      </c>
      <c r="L200" t="s">
        <v>17</v>
      </c>
      <c r="M200" t="s">
        <v>19</v>
      </c>
      <c r="N200">
        <v>19</v>
      </c>
      <c r="O200">
        <v>2</v>
      </c>
      <c r="P200">
        <v>78</v>
      </c>
      <c r="Q200">
        <v>8.9807969074907099</v>
      </c>
      <c r="R200">
        <v>2</v>
      </c>
      <c r="T200" s="358" t="str">
        <f t="shared" si="29"/>
        <v>1996MaleNon-Maori23Poisoning by gases and vapours</v>
      </c>
      <c r="U200" s="360">
        <v>1996</v>
      </c>
      <c r="V200" s="360" t="s">
        <v>20</v>
      </c>
      <c r="W200" s="360" t="s">
        <v>19</v>
      </c>
      <c r="X200" s="360">
        <v>23</v>
      </c>
      <c r="Y200" s="360" t="s">
        <v>46</v>
      </c>
      <c r="Z200" s="360">
        <v>62</v>
      </c>
      <c r="AA200" s="360">
        <v>152</v>
      </c>
      <c r="AB200" s="360">
        <v>40.799999999999997</v>
      </c>
      <c r="AQ200" t="str">
        <f t="shared" si="28"/>
        <v>2011AllSexRural24</v>
      </c>
      <c r="AR200">
        <v>2011</v>
      </c>
      <c r="AS200" t="s">
        <v>17</v>
      </c>
      <c r="AT200" t="s">
        <v>96</v>
      </c>
      <c r="AU200">
        <v>24</v>
      </c>
      <c r="AV200">
        <v>30</v>
      </c>
      <c r="AW200">
        <v>15.403573629081899</v>
      </c>
      <c r="AX200">
        <v>5.5</v>
      </c>
      <c r="BS200" t="str">
        <f t="shared" si="30"/>
        <v>FemalePacific222</v>
      </c>
      <c r="BT200" t="s">
        <v>8</v>
      </c>
      <c r="BU200" t="s">
        <v>79</v>
      </c>
      <c r="BV200">
        <v>22</v>
      </c>
      <c r="BW200">
        <v>2</v>
      </c>
      <c r="BX200">
        <v>0</v>
      </c>
      <c r="BY200">
        <v>0</v>
      </c>
      <c r="CB200" t="str">
        <f t="shared" si="31"/>
        <v>FemaleMaori22Poisoning by solids and liquids</v>
      </c>
      <c r="CC200" t="s">
        <v>8</v>
      </c>
      <c r="CD200" t="s">
        <v>18</v>
      </c>
      <c r="CE200" t="s">
        <v>47</v>
      </c>
      <c r="CF200">
        <v>22</v>
      </c>
      <c r="CG200">
        <v>3</v>
      </c>
      <c r="CH200">
        <v>91</v>
      </c>
      <c r="CI200">
        <v>3.3</v>
      </c>
    </row>
    <row r="201" spans="1:87" x14ac:dyDescent="0.2">
      <c r="A201" t="str">
        <f t="shared" si="26"/>
        <v>1996FemaleAllEth23</v>
      </c>
      <c r="B201">
        <v>1996</v>
      </c>
      <c r="C201" t="s">
        <v>8</v>
      </c>
      <c r="D201" t="s">
        <v>27</v>
      </c>
      <c r="E201">
        <v>23</v>
      </c>
      <c r="F201">
        <v>34</v>
      </c>
      <c r="G201">
        <v>5.8194266153187799</v>
      </c>
      <c r="H201">
        <v>2</v>
      </c>
      <c r="J201" s="358" t="str">
        <f t="shared" si="27"/>
        <v>2010AllSexNon-Maori193</v>
      </c>
      <c r="K201" s="359">
        <v>2010</v>
      </c>
      <c r="L201" t="s">
        <v>17</v>
      </c>
      <c r="M201" t="s">
        <v>19</v>
      </c>
      <c r="N201">
        <v>19</v>
      </c>
      <c r="O201">
        <v>3</v>
      </c>
      <c r="P201">
        <v>86</v>
      </c>
      <c r="Q201">
        <v>10.527981699193599</v>
      </c>
      <c r="R201">
        <v>2.2000000000000002</v>
      </c>
      <c r="T201" s="358" t="str">
        <f t="shared" si="29"/>
        <v>1996MaleNon-Maori24Poisoning by gases and vapours</v>
      </c>
      <c r="U201" s="360">
        <v>1996</v>
      </c>
      <c r="V201" s="360" t="s">
        <v>20</v>
      </c>
      <c r="W201" s="360" t="s">
        <v>19</v>
      </c>
      <c r="X201" s="360">
        <v>24</v>
      </c>
      <c r="Y201" s="360" t="s">
        <v>46</v>
      </c>
      <c r="Z201" s="360">
        <v>30</v>
      </c>
      <c r="AA201" s="360">
        <v>75</v>
      </c>
      <c r="AB201" s="360">
        <v>40</v>
      </c>
      <c r="AQ201" t="str">
        <f t="shared" si="28"/>
        <v>2011AllSexUrban24</v>
      </c>
      <c r="AR201">
        <v>2011</v>
      </c>
      <c r="AS201" t="s">
        <v>17</v>
      </c>
      <c r="AT201" t="s">
        <v>97</v>
      </c>
      <c r="AU201">
        <v>24</v>
      </c>
      <c r="AV201">
        <v>120</v>
      </c>
      <c r="AW201">
        <v>13.0112330311836</v>
      </c>
      <c r="AX201">
        <v>2.2999999999999998</v>
      </c>
      <c r="BS201" t="str">
        <f t="shared" si="30"/>
        <v>FemalePacific223</v>
      </c>
      <c r="BT201" t="s">
        <v>8</v>
      </c>
      <c r="BU201" t="s">
        <v>79</v>
      </c>
      <c r="BV201">
        <v>22</v>
      </c>
      <c r="BW201">
        <v>3</v>
      </c>
      <c r="BX201">
        <v>0</v>
      </c>
      <c r="BY201">
        <v>0</v>
      </c>
      <c r="CB201" t="str">
        <f t="shared" si="31"/>
        <v>FemaleMaori23Poisoning by solids and liquids</v>
      </c>
      <c r="CC201" t="s">
        <v>8</v>
      </c>
      <c r="CD201" t="s">
        <v>18</v>
      </c>
      <c r="CE201" t="s">
        <v>47</v>
      </c>
      <c r="CF201">
        <v>23</v>
      </c>
      <c r="CG201">
        <v>7</v>
      </c>
      <c r="CH201">
        <v>61</v>
      </c>
      <c r="CI201">
        <v>11.5</v>
      </c>
    </row>
    <row r="202" spans="1:87" x14ac:dyDescent="0.2">
      <c r="A202" t="str">
        <f t="shared" si="26"/>
        <v>1996FemaleAllEth24</v>
      </c>
      <c r="B202">
        <v>1996</v>
      </c>
      <c r="C202" t="s">
        <v>8</v>
      </c>
      <c r="D202" t="s">
        <v>27</v>
      </c>
      <c r="E202">
        <v>24</v>
      </c>
      <c r="F202">
        <v>22</v>
      </c>
      <c r="G202">
        <v>5.8997050147492596</v>
      </c>
      <c r="H202">
        <v>2.5</v>
      </c>
      <c r="J202" s="358" t="str">
        <f t="shared" si="27"/>
        <v>2010AllSexNon-Maori194</v>
      </c>
      <c r="K202" s="359">
        <v>2010</v>
      </c>
      <c r="L202" t="s">
        <v>17</v>
      </c>
      <c r="M202" t="s">
        <v>19</v>
      </c>
      <c r="N202">
        <v>19</v>
      </c>
      <c r="O202">
        <v>4</v>
      </c>
      <c r="P202">
        <v>95</v>
      </c>
      <c r="Q202">
        <v>11.896161889371299</v>
      </c>
      <c r="R202">
        <v>2.4</v>
      </c>
      <c r="T202" s="358" t="str">
        <f t="shared" si="29"/>
        <v>1996MaleNon-Maori25Poisoning by gases and vapours</v>
      </c>
      <c r="U202" s="360">
        <v>1996</v>
      </c>
      <c r="V202" s="360" t="s">
        <v>20</v>
      </c>
      <c r="W202" s="360" t="s">
        <v>19</v>
      </c>
      <c r="X202" s="360">
        <v>25</v>
      </c>
      <c r="Y202" s="360" t="s">
        <v>46</v>
      </c>
      <c r="Z202" s="360">
        <v>11</v>
      </c>
      <c r="AA202" s="360">
        <v>52</v>
      </c>
      <c r="AB202" s="360">
        <v>21.2</v>
      </c>
      <c r="AQ202" t="str">
        <f t="shared" si="28"/>
        <v>2011AllSexRural25</v>
      </c>
      <c r="AR202">
        <v>2011</v>
      </c>
      <c r="AS202" t="s">
        <v>17</v>
      </c>
      <c r="AT202" t="s">
        <v>96</v>
      </c>
      <c r="AU202">
        <v>25</v>
      </c>
      <c r="AV202">
        <v>8</v>
      </c>
      <c r="AW202">
        <v>10.438413361169101</v>
      </c>
      <c r="AX202">
        <v>7.2</v>
      </c>
      <c r="BS202" t="str">
        <f t="shared" si="30"/>
        <v>FemalePacific224</v>
      </c>
      <c r="BT202" t="s">
        <v>8</v>
      </c>
      <c r="BU202" t="s">
        <v>79</v>
      </c>
      <c r="BV202">
        <v>22</v>
      </c>
      <c r="BW202">
        <v>4</v>
      </c>
      <c r="BX202">
        <v>3</v>
      </c>
      <c r="BY202">
        <v>10.8643475669049</v>
      </c>
      <c r="BZ202">
        <v>12.3</v>
      </c>
      <c r="CB202" t="str">
        <f t="shared" si="31"/>
        <v>FemaleMaori24Poisoning by solids and liquids</v>
      </c>
      <c r="CC202" t="s">
        <v>8</v>
      </c>
      <c r="CD202" t="s">
        <v>18</v>
      </c>
      <c r="CE202" t="s">
        <v>47</v>
      </c>
      <c r="CF202">
        <v>24</v>
      </c>
      <c r="CG202">
        <v>3</v>
      </c>
      <c r="CH202">
        <v>14</v>
      </c>
      <c r="CI202">
        <v>21.4</v>
      </c>
    </row>
    <row r="203" spans="1:87" x14ac:dyDescent="0.2">
      <c r="A203" t="str">
        <f t="shared" si="26"/>
        <v>1996FemaleAllEth25</v>
      </c>
      <c r="B203">
        <v>1996</v>
      </c>
      <c r="C203" t="s">
        <v>8</v>
      </c>
      <c r="D203" t="s">
        <v>27</v>
      </c>
      <c r="E203">
        <v>25</v>
      </c>
      <c r="F203">
        <v>13</v>
      </c>
      <c r="G203">
        <v>5.3219797764768497</v>
      </c>
      <c r="H203">
        <v>2.9</v>
      </c>
      <c r="J203" s="358" t="str">
        <f t="shared" si="27"/>
        <v>2010AllSexNon-Maori195</v>
      </c>
      <c r="K203" s="359">
        <v>2010</v>
      </c>
      <c r="L203" t="s">
        <v>17</v>
      </c>
      <c r="M203" t="s">
        <v>19</v>
      </c>
      <c r="N203">
        <v>19</v>
      </c>
      <c r="O203">
        <v>5</v>
      </c>
      <c r="P203">
        <v>69</v>
      </c>
      <c r="Q203">
        <v>11.9050077950544</v>
      </c>
      <c r="R203">
        <v>2.8</v>
      </c>
      <c r="T203" s="358" t="str">
        <f t="shared" si="29"/>
        <v>1996MaleNon-Maori22Poisoning by solids and liquids</v>
      </c>
      <c r="U203" s="360">
        <v>1996</v>
      </c>
      <c r="V203" s="360" t="s">
        <v>20</v>
      </c>
      <c r="W203" s="360" t="s">
        <v>19</v>
      </c>
      <c r="X203" s="360">
        <v>22</v>
      </c>
      <c r="Y203" s="360" t="s">
        <v>47</v>
      </c>
      <c r="Z203" s="360">
        <v>5</v>
      </c>
      <c r="AA203" s="360">
        <v>75</v>
      </c>
      <c r="AB203" s="360">
        <v>6.7</v>
      </c>
      <c r="AQ203" t="str">
        <f t="shared" si="28"/>
        <v>2011AllSexUrban25</v>
      </c>
      <c r="AR203">
        <v>2011</v>
      </c>
      <c r="AS203" t="s">
        <v>17</v>
      </c>
      <c r="AT203" t="s">
        <v>97</v>
      </c>
      <c r="AU203">
        <v>25</v>
      </c>
      <c r="AV203">
        <v>36</v>
      </c>
      <c r="AW203">
        <v>7.1536443843891604</v>
      </c>
      <c r="AX203">
        <v>2.2999999999999998</v>
      </c>
      <c r="BS203" t="str">
        <f t="shared" si="30"/>
        <v>FemalePacific225</v>
      </c>
      <c r="BT203" t="s">
        <v>8</v>
      </c>
      <c r="BU203" t="s">
        <v>79</v>
      </c>
      <c r="BV203">
        <v>22</v>
      </c>
      <c r="BW203">
        <v>5</v>
      </c>
      <c r="BX203">
        <v>14</v>
      </c>
      <c r="BY203">
        <v>17.7688706692328</v>
      </c>
      <c r="BZ203">
        <v>9.3000000000000007</v>
      </c>
      <c r="CB203" t="str">
        <f t="shared" si="31"/>
        <v>FemaleOther21Firearms and explosives</v>
      </c>
      <c r="CC203" t="s">
        <v>8</v>
      </c>
      <c r="CD203" t="s">
        <v>45</v>
      </c>
      <c r="CE203" t="s">
        <v>42</v>
      </c>
      <c r="CF203">
        <v>21</v>
      </c>
      <c r="CG203">
        <v>1</v>
      </c>
      <c r="CH203">
        <v>3</v>
      </c>
      <c r="CI203">
        <v>33.299999999999997</v>
      </c>
    </row>
    <row r="204" spans="1:87" x14ac:dyDescent="0.2">
      <c r="A204" t="str">
        <f t="shared" si="26"/>
        <v>1996FemaleMaori21</v>
      </c>
      <c r="B204">
        <v>1996</v>
      </c>
      <c r="C204" t="s">
        <v>8</v>
      </c>
      <c r="D204" t="s">
        <v>18</v>
      </c>
      <c r="E204">
        <v>21</v>
      </c>
      <c r="F204">
        <v>3</v>
      </c>
      <c r="J204" s="358" t="str">
        <f t="shared" si="27"/>
        <v>2011AllSexNon-Maori191</v>
      </c>
      <c r="K204" s="359">
        <v>2011</v>
      </c>
      <c r="L204" t="s">
        <v>17</v>
      </c>
      <c r="M204" t="s">
        <v>19</v>
      </c>
      <c r="N204">
        <v>19</v>
      </c>
      <c r="O204">
        <v>1</v>
      </c>
      <c r="P204">
        <v>69</v>
      </c>
      <c r="Q204">
        <v>7.7593299698986202</v>
      </c>
      <c r="R204">
        <v>1.8</v>
      </c>
      <c r="T204" s="358" t="str">
        <f t="shared" si="29"/>
        <v>1996MaleNon-Maori23Poisoning by solids and liquids</v>
      </c>
      <c r="U204" s="360">
        <v>1996</v>
      </c>
      <c r="V204" s="360" t="s">
        <v>20</v>
      </c>
      <c r="W204" s="360" t="s">
        <v>19</v>
      </c>
      <c r="X204" s="360">
        <v>23</v>
      </c>
      <c r="Y204" s="360" t="s">
        <v>47</v>
      </c>
      <c r="Z204" s="360">
        <v>8</v>
      </c>
      <c r="AA204" s="360">
        <v>152</v>
      </c>
      <c r="AB204" s="360">
        <v>5.3</v>
      </c>
      <c r="AQ204" t="str">
        <f t="shared" si="28"/>
        <v>2011FemaleRural22</v>
      </c>
      <c r="AR204">
        <v>2011</v>
      </c>
      <c r="AS204" t="s">
        <v>8</v>
      </c>
      <c r="AT204" t="s">
        <v>96</v>
      </c>
      <c r="AU204">
        <v>22</v>
      </c>
      <c r="AV204">
        <v>1</v>
      </c>
      <c r="AW204">
        <v>3.0459945172098699</v>
      </c>
      <c r="AX204">
        <v>6</v>
      </c>
      <c r="BS204" t="str">
        <f t="shared" si="30"/>
        <v>FemaleAsian231</v>
      </c>
      <c r="BT204" t="s">
        <v>8</v>
      </c>
      <c r="BU204" t="s">
        <v>78</v>
      </c>
      <c r="BV204">
        <v>23</v>
      </c>
      <c r="BW204">
        <v>1</v>
      </c>
      <c r="BX204">
        <v>1</v>
      </c>
      <c r="BY204">
        <v>1.23006481057257</v>
      </c>
      <c r="BZ204">
        <v>2.4</v>
      </c>
      <c r="CB204" t="str">
        <f t="shared" si="31"/>
        <v>FemaleOther22Firearms and explosives</v>
      </c>
      <c r="CC204" t="s">
        <v>8</v>
      </c>
      <c r="CD204" t="s">
        <v>45</v>
      </c>
      <c r="CE204" t="s">
        <v>42</v>
      </c>
      <c r="CF204">
        <v>22</v>
      </c>
      <c r="CG204">
        <v>1</v>
      </c>
      <c r="CH204">
        <v>64</v>
      </c>
      <c r="CI204">
        <v>1.6</v>
      </c>
    </row>
    <row r="205" spans="1:87" x14ac:dyDescent="0.2">
      <c r="A205" t="str">
        <f t="shared" si="26"/>
        <v>1996FemaleMaori22</v>
      </c>
      <c r="B205">
        <v>1996</v>
      </c>
      <c r="C205" t="s">
        <v>8</v>
      </c>
      <c r="D205" t="s">
        <v>18</v>
      </c>
      <c r="E205">
        <v>22</v>
      </c>
      <c r="F205">
        <v>9</v>
      </c>
      <c r="G205">
        <v>16.997167138810202</v>
      </c>
      <c r="H205">
        <v>11.1</v>
      </c>
      <c r="J205" s="358" t="str">
        <f t="shared" si="27"/>
        <v>2011AllSexNon-Maori192</v>
      </c>
      <c r="K205" s="359">
        <v>2011</v>
      </c>
      <c r="L205" t="s">
        <v>17</v>
      </c>
      <c r="M205" t="s">
        <v>19</v>
      </c>
      <c r="N205">
        <v>19</v>
      </c>
      <c r="O205">
        <v>2</v>
      </c>
      <c r="P205">
        <v>59</v>
      </c>
      <c r="Q205">
        <v>7.1735157232694</v>
      </c>
      <c r="R205">
        <v>1.8</v>
      </c>
      <c r="T205" s="358" t="str">
        <f t="shared" si="29"/>
        <v>1996MaleNon-Maori24Poisoning by solids and liquids</v>
      </c>
      <c r="U205" s="360">
        <v>1996</v>
      </c>
      <c r="V205" s="360" t="s">
        <v>20</v>
      </c>
      <c r="W205" s="360" t="s">
        <v>19</v>
      </c>
      <c r="X205" s="360">
        <v>24</v>
      </c>
      <c r="Y205" s="360" t="s">
        <v>47</v>
      </c>
      <c r="Z205" s="360">
        <v>4</v>
      </c>
      <c r="AA205" s="360">
        <v>75</v>
      </c>
      <c r="AB205" s="360">
        <v>5.3</v>
      </c>
      <c r="AQ205" t="str">
        <f t="shared" si="28"/>
        <v>2011FemaleUrban22</v>
      </c>
      <c r="AR205">
        <v>2011</v>
      </c>
      <c r="AS205" t="s">
        <v>8</v>
      </c>
      <c r="AT205" t="s">
        <v>97</v>
      </c>
      <c r="AU205">
        <v>22</v>
      </c>
      <c r="AV205">
        <v>33</v>
      </c>
      <c r="AW205">
        <v>12.039401678219599</v>
      </c>
      <c r="AX205">
        <v>4.0999999999999996</v>
      </c>
      <c r="BS205" t="str">
        <f t="shared" si="30"/>
        <v>FemaleAsian232</v>
      </c>
      <c r="BT205" t="s">
        <v>8</v>
      </c>
      <c r="BU205" t="s">
        <v>78</v>
      </c>
      <c r="BV205">
        <v>23</v>
      </c>
      <c r="BW205">
        <v>2</v>
      </c>
      <c r="BX205">
        <v>1</v>
      </c>
      <c r="BY205">
        <v>0.96072125635122496</v>
      </c>
      <c r="BZ205">
        <v>1.9</v>
      </c>
      <c r="CB205" t="str">
        <f t="shared" si="31"/>
        <v>FemaleOther23Firearms and explosives</v>
      </c>
      <c r="CC205" t="s">
        <v>8</v>
      </c>
      <c r="CD205" t="s">
        <v>45</v>
      </c>
      <c r="CE205" t="s">
        <v>42</v>
      </c>
      <c r="CF205">
        <v>23</v>
      </c>
      <c r="CG205">
        <v>3</v>
      </c>
      <c r="CH205">
        <v>129</v>
      </c>
      <c r="CI205">
        <v>2.2999999999999998</v>
      </c>
    </row>
    <row r="206" spans="1:87" x14ac:dyDescent="0.2">
      <c r="A206" t="str">
        <f t="shared" si="26"/>
        <v>1996FemaleMaori23</v>
      </c>
      <c r="B206">
        <v>1996</v>
      </c>
      <c r="C206" t="s">
        <v>8</v>
      </c>
      <c r="D206" t="s">
        <v>18</v>
      </c>
      <c r="E206">
        <v>23</v>
      </c>
      <c r="F206">
        <v>9</v>
      </c>
      <c r="G206">
        <v>11.5266393442623</v>
      </c>
      <c r="H206">
        <v>7.5</v>
      </c>
      <c r="J206" s="358" t="str">
        <f t="shared" si="27"/>
        <v>2011AllSexNon-Maori193</v>
      </c>
      <c r="K206" s="359">
        <v>2011</v>
      </c>
      <c r="L206" t="s">
        <v>17</v>
      </c>
      <c r="M206" t="s">
        <v>19</v>
      </c>
      <c r="N206">
        <v>19</v>
      </c>
      <c r="O206">
        <v>3</v>
      </c>
      <c r="P206">
        <v>90</v>
      </c>
      <c r="Q206">
        <v>10.666353724075799</v>
      </c>
      <c r="R206">
        <v>2.2000000000000002</v>
      </c>
      <c r="T206" s="358" t="str">
        <f t="shared" si="29"/>
        <v>1996MaleNon-Maori25Poisoning by solids and liquids</v>
      </c>
      <c r="U206" s="360">
        <v>1996</v>
      </c>
      <c r="V206" s="360" t="s">
        <v>20</v>
      </c>
      <c r="W206" s="360" t="s">
        <v>19</v>
      </c>
      <c r="X206" s="360">
        <v>25</v>
      </c>
      <c r="Y206" s="360" t="s">
        <v>47</v>
      </c>
      <c r="Z206" s="360">
        <v>9</v>
      </c>
      <c r="AA206" s="360">
        <v>52</v>
      </c>
      <c r="AB206" s="360">
        <v>17.3</v>
      </c>
      <c r="AQ206" t="str">
        <f t="shared" si="28"/>
        <v>2011FemaleRural23</v>
      </c>
      <c r="AR206">
        <v>2011</v>
      </c>
      <c r="AS206" t="s">
        <v>8</v>
      </c>
      <c r="AT206" t="s">
        <v>96</v>
      </c>
      <c r="AU206">
        <v>23</v>
      </c>
      <c r="AV206">
        <v>3</v>
      </c>
      <c r="AW206">
        <v>3.9994667377683002</v>
      </c>
      <c r="AX206">
        <v>4.5</v>
      </c>
      <c r="BS206" t="str">
        <f t="shared" si="30"/>
        <v>FemaleAsian233</v>
      </c>
      <c r="BT206" t="s">
        <v>8</v>
      </c>
      <c r="BU206" t="s">
        <v>78</v>
      </c>
      <c r="BV206">
        <v>23</v>
      </c>
      <c r="BW206">
        <v>3</v>
      </c>
      <c r="BX206">
        <v>4</v>
      </c>
      <c r="BY206">
        <v>3.5816807093512599</v>
      </c>
      <c r="BZ206">
        <v>3.5</v>
      </c>
      <c r="CB206" t="str">
        <f t="shared" si="31"/>
        <v>FemaleOther24Firearms and explosives</v>
      </c>
      <c r="CC206" t="s">
        <v>8</v>
      </c>
      <c r="CD206" t="s">
        <v>45</v>
      </c>
      <c r="CE206" t="s">
        <v>42</v>
      </c>
      <c r="CF206">
        <v>24</v>
      </c>
      <c r="CG206">
        <v>6</v>
      </c>
      <c r="CH206">
        <v>182</v>
      </c>
      <c r="CI206">
        <v>3.3</v>
      </c>
    </row>
    <row r="207" spans="1:87" x14ac:dyDescent="0.2">
      <c r="A207" t="str">
        <f t="shared" si="26"/>
        <v>1996FemaleMaori24</v>
      </c>
      <c r="B207">
        <v>1996</v>
      </c>
      <c r="C207" t="s">
        <v>8</v>
      </c>
      <c r="D207" t="s">
        <v>18</v>
      </c>
      <c r="E207">
        <v>24</v>
      </c>
      <c r="F207">
        <v>3</v>
      </c>
      <c r="G207">
        <v>9.3545369504209503</v>
      </c>
      <c r="H207">
        <v>10.6</v>
      </c>
      <c r="J207" s="358" t="str">
        <f t="shared" si="27"/>
        <v>2011AllSexNon-Maori194</v>
      </c>
      <c r="K207" s="359">
        <v>2011</v>
      </c>
      <c r="L207" t="s">
        <v>17</v>
      </c>
      <c r="M207" t="s">
        <v>19</v>
      </c>
      <c r="N207">
        <v>19</v>
      </c>
      <c r="O207">
        <v>4</v>
      </c>
      <c r="P207">
        <v>69</v>
      </c>
      <c r="Q207">
        <v>9.1452574133930806</v>
      </c>
      <c r="R207">
        <v>2.2000000000000002</v>
      </c>
      <c r="T207" s="358" t="str">
        <f t="shared" si="29"/>
        <v>1996MaleNon-Maori23Sharp object</v>
      </c>
      <c r="U207" s="360">
        <v>1996</v>
      </c>
      <c r="V207" s="360" t="s">
        <v>20</v>
      </c>
      <c r="W207" s="360" t="s">
        <v>19</v>
      </c>
      <c r="X207" s="360">
        <v>23</v>
      </c>
      <c r="Y207" s="360" t="s">
        <v>48</v>
      </c>
      <c r="Z207" s="360">
        <v>1</v>
      </c>
      <c r="AA207" s="360">
        <v>152</v>
      </c>
      <c r="AB207" s="360">
        <v>0.7</v>
      </c>
      <c r="AQ207" t="str">
        <f t="shared" si="28"/>
        <v>2011FemaleUrban23</v>
      </c>
      <c r="AR207">
        <v>2011</v>
      </c>
      <c r="AS207" t="s">
        <v>8</v>
      </c>
      <c r="AT207" t="s">
        <v>97</v>
      </c>
      <c r="AU207">
        <v>23</v>
      </c>
      <c r="AV207">
        <v>30</v>
      </c>
      <c r="AW207">
        <v>5.6996295240809296</v>
      </c>
      <c r="AX207">
        <v>2</v>
      </c>
      <c r="BS207" t="str">
        <f t="shared" si="30"/>
        <v>FemaleAsian234</v>
      </c>
      <c r="BT207" t="s">
        <v>8</v>
      </c>
      <c r="BU207" t="s">
        <v>78</v>
      </c>
      <c r="BV207">
        <v>23</v>
      </c>
      <c r="BW207">
        <v>4</v>
      </c>
      <c r="BX207">
        <v>2</v>
      </c>
      <c r="BY207">
        <v>1.75504770301449</v>
      </c>
      <c r="BZ207">
        <v>2.4</v>
      </c>
      <c r="CB207" t="str">
        <f t="shared" si="31"/>
        <v>FemaleOther21Hanging, strangulation and suffocation</v>
      </c>
      <c r="CC207" t="s">
        <v>8</v>
      </c>
      <c r="CD207" t="s">
        <v>45</v>
      </c>
      <c r="CE207" t="s">
        <v>43</v>
      </c>
      <c r="CF207">
        <v>21</v>
      </c>
      <c r="CG207">
        <v>1</v>
      </c>
      <c r="CH207">
        <v>3</v>
      </c>
      <c r="CI207">
        <v>33.299999999999997</v>
      </c>
    </row>
    <row r="208" spans="1:87" x14ac:dyDescent="0.2">
      <c r="A208" t="str">
        <f t="shared" si="26"/>
        <v>1996FemaleMaori25</v>
      </c>
      <c r="B208">
        <v>1996</v>
      </c>
      <c r="C208" t="s">
        <v>8</v>
      </c>
      <c r="D208" t="s">
        <v>18</v>
      </c>
      <c r="E208">
        <v>25</v>
      </c>
      <c r="F208">
        <v>0</v>
      </c>
      <c r="G208">
        <v>0</v>
      </c>
      <c r="J208" s="358" t="str">
        <f t="shared" si="27"/>
        <v>2011AllSexNon-Maori195</v>
      </c>
      <c r="K208" s="359">
        <v>2011</v>
      </c>
      <c r="L208" t="s">
        <v>17</v>
      </c>
      <c r="M208" t="s">
        <v>19</v>
      </c>
      <c r="N208">
        <v>19</v>
      </c>
      <c r="O208">
        <v>5</v>
      </c>
      <c r="P208">
        <v>81</v>
      </c>
      <c r="Q208">
        <v>13.213031406173</v>
      </c>
      <c r="R208">
        <v>2.9</v>
      </c>
      <c r="T208" s="358" t="str">
        <f t="shared" si="29"/>
        <v>1996MaleNon-Maori24Sharp object</v>
      </c>
      <c r="U208" s="360">
        <v>1996</v>
      </c>
      <c r="V208" s="360" t="s">
        <v>20</v>
      </c>
      <c r="W208" s="360" t="s">
        <v>19</v>
      </c>
      <c r="X208" s="360">
        <v>24</v>
      </c>
      <c r="Y208" s="360" t="s">
        <v>48</v>
      </c>
      <c r="Z208" s="360">
        <v>2</v>
      </c>
      <c r="AA208" s="360">
        <v>75</v>
      </c>
      <c r="AB208" s="360">
        <v>2.7</v>
      </c>
      <c r="AQ208" t="str">
        <f t="shared" si="28"/>
        <v>2011FemaleRural24</v>
      </c>
      <c r="AR208">
        <v>2011</v>
      </c>
      <c r="AS208" t="s">
        <v>8</v>
      </c>
      <c r="AT208" t="s">
        <v>96</v>
      </c>
      <c r="AU208">
        <v>24</v>
      </c>
      <c r="AV208">
        <v>7</v>
      </c>
      <c r="AW208">
        <v>7.3283082077051898</v>
      </c>
      <c r="AX208">
        <v>5.4</v>
      </c>
      <c r="BS208" t="str">
        <f t="shared" si="30"/>
        <v>FemaleAsian235</v>
      </c>
      <c r="BT208" t="s">
        <v>8</v>
      </c>
      <c r="BU208" t="s">
        <v>78</v>
      </c>
      <c r="BV208">
        <v>23</v>
      </c>
      <c r="BW208">
        <v>5</v>
      </c>
      <c r="BX208">
        <v>2</v>
      </c>
      <c r="BY208">
        <v>2.2795834032846698</v>
      </c>
      <c r="BZ208">
        <v>3.2</v>
      </c>
      <c r="CB208" t="str">
        <f t="shared" si="31"/>
        <v>FemaleOther22Hanging, strangulation and suffocation</v>
      </c>
      <c r="CC208" t="s">
        <v>8</v>
      </c>
      <c r="CD208" t="s">
        <v>45</v>
      </c>
      <c r="CE208" t="s">
        <v>43</v>
      </c>
      <c r="CF208">
        <v>22</v>
      </c>
      <c r="CG208">
        <v>47</v>
      </c>
      <c r="CH208">
        <v>64</v>
      </c>
      <c r="CI208">
        <v>73.400000000000006</v>
      </c>
    </row>
    <row r="209" spans="1:87" x14ac:dyDescent="0.2">
      <c r="A209" t="str">
        <f t="shared" si="26"/>
        <v>1996FemaleNon-Maori21</v>
      </c>
      <c r="B209">
        <v>1996</v>
      </c>
      <c r="C209" t="s">
        <v>8</v>
      </c>
      <c r="D209" t="s">
        <v>19</v>
      </c>
      <c r="E209">
        <v>21</v>
      </c>
      <c r="F209">
        <v>1</v>
      </c>
      <c r="J209" s="358" t="str">
        <f t="shared" si="27"/>
        <v>2012AllSexNon-Maori191</v>
      </c>
      <c r="K209" s="359">
        <v>2012</v>
      </c>
      <c r="L209" t="s">
        <v>17</v>
      </c>
      <c r="M209" t="s">
        <v>19</v>
      </c>
      <c r="N209">
        <v>19</v>
      </c>
      <c r="O209">
        <v>1</v>
      </c>
      <c r="P209">
        <v>50</v>
      </c>
      <c r="Q209">
        <v>5.8373105320872503</v>
      </c>
      <c r="R209">
        <v>1.6</v>
      </c>
      <c r="T209" s="358" t="str">
        <f t="shared" si="29"/>
        <v>1996MaleNon-Maori23Submersion (drowning)</v>
      </c>
      <c r="U209" s="360">
        <v>1996</v>
      </c>
      <c r="V209" s="360" t="s">
        <v>20</v>
      </c>
      <c r="W209" s="360" t="s">
        <v>19</v>
      </c>
      <c r="X209" s="360">
        <v>23</v>
      </c>
      <c r="Y209" s="360" t="s">
        <v>49</v>
      </c>
      <c r="Z209" s="360">
        <v>1</v>
      </c>
      <c r="AA209" s="360">
        <v>152</v>
      </c>
      <c r="AB209" s="360">
        <v>0.7</v>
      </c>
      <c r="AQ209" t="str">
        <f t="shared" si="28"/>
        <v>2011FemaleUrban24</v>
      </c>
      <c r="AR209">
        <v>2011</v>
      </c>
      <c r="AS209" t="s">
        <v>8</v>
      </c>
      <c r="AT209" t="s">
        <v>97</v>
      </c>
      <c r="AU209">
        <v>24</v>
      </c>
      <c r="AV209">
        <v>26</v>
      </c>
      <c r="AW209">
        <v>5.4457104557640701</v>
      </c>
      <c r="AX209">
        <v>2.1</v>
      </c>
      <c r="BS209" t="str">
        <f t="shared" si="30"/>
        <v>FemaleMaori231</v>
      </c>
      <c r="BT209" t="s">
        <v>8</v>
      </c>
      <c r="BU209" t="s">
        <v>18</v>
      </c>
      <c r="BV209">
        <v>23</v>
      </c>
      <c r="BW209">
        <v>1</v>
      </c>
      <c r="BX209">
        <v>2</v>
      </c>
      <c r="BY209">
        <v>5.2543906518801604</v>
      </c>
      <c r="BZ209">
        <v>7.3</v>
      </c>
      <c r="CB209" t="str">
        <f t="shared" si="31"/>
        <v>FemaleOther23Hanging, strangulation and suffocation</v>
      </c>
      <c r="CC209" t="s">
        <v>8</v>
      </c>
      <c r="CD209" t="s">
        <v>45</v>
      </c>
      <c r="CE209" t="s">
        <v>43</v>
      </c>
      <c r="CF209">
        <v>23</v>
      </c>
      <c r="CG209">
        <v>70</v>
      </c>
      <c r="CH209">
        <v>129</v>
      </c>
      <c r="CI209">
        <v>54.3</v>
      </c>
    </row>
    <row r="210" spans="1:87" x14ac:dyDescent="0.2">
      <c r="A210" t="str">
        <f t="shared" si="26"/>
        <v>1996FemaleNon-Maori22</v>
      </c>
      <c r="B210">
        <v>1996</v>
      </c>
      <c r="C210" t="s">
        <v>8</v>
      </c>
      <c r="D210" t="s">
        <v>19</v>
      </c>
      <c r="E210">
        <v>22</v>
      </c>
      <c r="F210">
        <v>29</v>
      </c>
      <c r="G210">
        <v>13.1824173826083</v>
      </c>
      <c r="H210">
        <v>4.8</v>
      </c>
      <c r="J210" s="358" t="str">
        <f t="shared" si="27"/>
        <v>2012AllSexNon-Maori192</v>
      </c>
      <c r="K210" s="359">
        <v>2012</v>
      </c>
      <c r="L210" t="s">
        <v>17</v>
      </c>
      <c r="M210" t="s">
        <v>19</v>
      </c>
      <c r="N210">
        <v>19</v>
      </c>
      <c r="O210">
        <v>2</v>
      </c>
      <c r="P210">
        <v>75</v>
      </c>
      <c r="Q210">
        <v>8.4212610687443306</v>
      </c>
      <c r="R210">
        <v>1.9</v>
      </c>
      <c r="T210" s="358" t="str">
        <f t="shared" si="29"/>
        <v>1996MaleNon-Maori24Submersion (drowning)</v>
      </c>
      <c r="U210" s="360">
        <v>1996</v>
      </c>
      <c r="V210" s="360" t="s">
        <v>20</v>
      </c>
      <c r="W210" s="360" t="s">
        <v>19</v>
      </c>
      <c r="X210" s="360">
        <v>24</v>
      </c>
      <c r="Y210" s="360" t="s">
        <v>49</v>
      </c>
      <c r="Z210" s="360">
        <v>3</v>
      </c>
      <c r="AA210" s="360">
        <v>75</v>
      </c>
      <c r="AB210" s="360">
        <v>4</v>
      </c>
      <c r="AQ210" t="str">
        <f t="shared" si="28"/>
        <v>2011FemaleRural25</v>
      </c>
      <c r="AR210">
        <v>2011</v>
      </c>
      <c r="AS210" t="s">
        <v>8</v>
      </c>
      <c r="AT210" t="s">
        <v>96</v>
      </c>
      <c r="AU210">
        <v>25</v>
      </c>
      <c r="AV210">
        <v>1</v>
      </c>
      <c r="AW210">
        <v>2.8034763106251801</v>
      </c>
      <c r="AX210">
        <v>5.5</v>
      </c>
      <c r="BS210" t="str">
        <f t="shared" si="30"/>
        <v>FemaleMaori232</v>
      </c>
      <c r="BT210" t="s">
        <v>8</v>
      </c>
      <c r="BU210" t="s">
        <v>18</v>
      </c>
      <c r="BV210">
        <v>23</v>
      </c>
      <c r="BW210">
        <v>2</v>
      </c>
      <c r="BX210">
        <v>8</v>
      </c>
      <c r="BY210">
        <v>14.847249685796401</v>
      </c>
      <c r="BZ210">
        <v>10.3</v>
      </c>
      <c r="CB210" t="str">
        <f t="shared" si="31"/>
        <v>FemaleOther24Hanging, strangulation and suffocation</v>
      </c>
      <c r="CC210" t="s">
        <v>8</v>
      </c>
      <c r="CD210" t="s">
        <v>45</v>
      </c>
      <c r="CE210" t="s">
        <v>43</v>
      </c>
      <c r="CF210">
        <v>24</v>
      </c>
      <c r="CG210">
        <v>52</v>
      </c>
      <c r="CH210">
        <v>182</v>
      </c>
      <c r="CI210">
        <v>28.6</v>
      </c>
    </row>
    <row r="211" spans="1:87" x14ac:dyDescent="0.2">
      <c r="A211" t="str">
        <f t="shared" si="26"/>
        <v>1996FemaleNon-Maori23</v>
      </c>
      <c r="B211">
        <v>1996</v>
      </c>
      <c r="C211" t="s">
        <v>8</v>
      </c>
      <c r="D211" t="s">
        <v>19</v>
      </c>
      <c r="E211">
        <v>23</v>
      </c>
      <c r="F211">
        <v>25</v>
      </c>
      <c r="G211">
        <v>4.9390520971215199</v>
      </c>
      <c r="H211">
        <v>1.9</v>
      </c>
      <c r="J211" s="358" t="str">
        <f t="shared" si="27"/>
        <v>2012AllSexNon-Maori193</v>
      </c>
      <c r="K211" s="359">
        <v>2012</v>
      </c>
      <c r="L211" t="s">
        <v>17</v>
      </c>
      <c r="M211" t="s">
        <v>19</v>
      </c>
      <c r="N211">
        <v>19</v>
      </c>
      <c r="O211">
        <v>3</v>
      </c>
      <c r="P211">
        <v>100</v>
      </c>
      <c r="Q211">
        <v>12.2450346228781</v>
      </c>
      <c r="R211">
        <v>2.4</v>
      </c>
      <c r="T211" s="358" t="str">
        <f t="shared" si="29"/>
        <v>1996MaleNon-Maori25Submersion (drowning)</v>
      </c>
      <c r="U211" s="360">
        <v>1996</v>
      </c>
      <c r="V211" s="360" t="s">
        <v>20</v>
      </c>
      <c r="W211" s="360" t="s">
        <v>19</v>
      </c>
      <c r="X211" s="360">
        <v>25</v>
      </c>
      <c r="Y211" s="360" t="s">
        <v>49</v>
      </c>
      <c r="Z211" s="360">
        <v>4</v>
      </c>
      <c r="AA211" s="360">
        <v>52</v>
      </c>
      <c r="AB211" s="360">
        <v>7.7</v>
      </c>
      <c r="AQ211" t="str">
        <f t="shared" si="28"/>
        <v>2011FemaleUrban25</v>
      </c>
      <c r="AR211">
        <v>2011</v>
      </c>
      <c r="AS211" t="s">
        <v>8</v>
      </c>
      <c r="AT211" t="s">
        <v>97</v>
      </c>
      <c r="AU211">
        <v>25</v>
      </c>
      <c r="AV211">
        <v>13</v>
      </c>
      <c r="AW211">
        <v>4.6566608159902598</v>
      </c>
      <c r="AX211">
        <v>2.5</v>
      </c>
      <c r="BS211" t="str">
        <f t="shared" si="30"/>
        <v>FemaleMaori233</v>
      </c>
      <c r="BT211" t="s">
        <v>8</v>
      </c>
      <c r="BU211" t="s">
        <v>18</v>
      </c>
      <c r="BV211">
        <v>23</v>
      </c>
      <c r="BW211">
        <v>3</v>
      </c>
      <c r="BX211">
        <v>7</v>
      </c>
      <c r="BY211">
        <v>9.3058980952300008</v>
      </c>
      <c r="BZ211">
        <v>6.9</v>
      </c>
      <c r="CB211" t="str">
        <f t="shared" si="31"/>
        <v>FemaleOther25Hanging, strangulation and suffocation</v>
      </c>
      <c r="CC211" t="s">
        <v>8</v>
      </c>
      <c r="CD211" t="s">
        <v>45</v>
      </c>
      <c r="CE211" t="s">
        <v>43</v>
      </c>
      <c r="CF211">
        <v>25</v>
      </c>
      <c r="CG211">
        <v>15</v>
      </c>
      <c r="CH211">
        <v>53</v>
      </c>
      <c r="CI211">
        <v>28.3</v>
      </c>
    </row>
    <row r="212" spans="1:87" x14ac:dyDescent="0.2">
      <c r="A212" t="str">
        <f t="shared" si="26"/>
        <v>1996FemaleNon-Maori24</v>
      </c>
      <c r="B212">
        <v>1996</v>
      </c>
      <c r="C212" t="s">
        <v>8</v>
      </c>
      <c r="D212" t="s">
        <v>19</v>
      </c>
      <c r="E212">
        <v>24</v>
      </c>
      <c r="F212">
        <v>19</v>
      </c>
      <c r="G212">
        <v>5.5746266467153696</v>
      </c>
      <c r="H212">
        <v>2.5</v>
      </c>
      <c r="J212" s="358" t="str">
        <f t="shared" si="27"/>
        <v>2012AllSexNon-Maori194</v>
      </c>
      <c r="K212" s="359">
        <v>2012</v>
      </c>
      <c r="L212" t="s">
        <v>17</v>
      </c>
      <c r="M212" t="s">
        <v>19</v>
      </c>
      <c r="N212">
        <v>19</v>
      </c>
      <c r="O212">
        <v>4</v>
      </c>
      <c r="P212">
        <v>102</v>
      </c>
      <c r="Q212">
        <v>13.592609385810301</v>
      </c>
      <c r="R212">
        <v>2.6</v>
      </c>
      <c r="T212" s="358" t="str">
        <f t="shared" si="29"/>
        <v>1997AllSexAllEth21Firearms and explosives</v>
      </c>
      <c r="U212" s="360">
        <v>1997</v>
      </c>
      <c r="V212" s="360" t="s">
        <v>17</v>
      </c>
      <c r="W212" s="360" t="s">
        <v>27</v>
      </c>
      <c r="X212" s="360">
        <v>21</v>
      </c>
      <c r="Y212" s="360" t="s">
        <v>42</v>
      </c>
      <c r="Z212" s="360">
        <v>1</v>
      </c>
      <c r="AA212" s="360">
        <v>8</v>
      </c>
      <c r="AB212" s="360">
        <v>12.5</v>
      </c>
      <c r="AQ212" t="str">
        <f t="shared" si="28"/>
        <v>2011MaleRural22</v>
      </c>
      <c r="AR212">
        <v>2011</v>
      </c>
      <c r="AS212" t="s">
        <v>20</v>
      </c>
      <c r="AT212" t="s">
        <v>96</v>
      </c>
      <c r="AU212">
        <v>22</v>
      </c>
      <c r="AV212">
        <v>14</v>
      </c>
      <c r="AW212">
        <v>36.9295700342917</v>
      </c>
      <c r="AX212">
        <v>19.3</v>
      </c>
      <c r="BS212" t="str">
        <f t="shared" si="30"/>
        <v>FemaleMaori234</v>
      </c>
      <c r="BT212" t="s">
        <v>8</v>
      </c>
      <c r="BU212" t="s">
        <v>18</v>
      </c>
      <c r="BV212">
        <v>23</v>
      </c>
      <c r="BW212">
        <v>4</v>
      </c>
      <c r="BX212">
        <v>15</v>
      </c>
      <c r="BY212">
        <v>14.231834122719</v>
      </c>
      <c r="BZ212">
        <v>7.2</v>
      </c>
      <c r="CB212" t="str">
        <f t="shared" si="31"/>
        <v>FemaleOther22Jumping from a high place</v>
      </c>
      <c r="CC212" t="s">
        <v>8</v>
      </c>
      <c r="CD212" t="s">
        <v>45</v>
      </c>
      <c r="CE212" t="s">
        <v>44</v>
      </c>
      <c r="CF212">
        <v>22</v>
      </c>
      <c r="CG212">
        <v>3</v>
      </c>
      <c r="CH212">
        <v>64</v>
      </c>
      <c r="CI212">
        <v>4.7</v>
      </c>
    </row>
    <row r="213" spans="1:87" x14ac:dyDescent="0.2">
      <c r="A213" t="str">
        <f t="shared" si="26"/>
        <v>1996FemaleNon-Maori25</v>
      </c>
      <c r="B213">
        <v>1996</v>
      </c>
      <c r="C213" t="s">
        <v>8</v>
      </c>
      <c r="D213" t="s">
        <v>19</v>
      </c>
      <c r="E213">
        <v>25</v>
      </c>
      <c r="F213">
        <v>13</v>
      </c>
      <c r="G213">
        <v>5.5124454055887702</v>
      </c>
      <c r="H213">
        <v>3</v>
      </c>
      <c r="J213" s="358" t="str">
        <f t="shared" si="27"/>
        <v>2012AllSexNon-Maori195</v>
      </c>
      <c r="K213" s="359">
        <v>2012</v>
      </c>
      <c r="L213" t="s">
        <v>17</v>
      </c>
      <c r="M213" t="s">
        <v>19</v>
      </c>
      <c r="N213">
        <v>19</v>
      </c>
      <c r="O213">
        <v>5</v>
      </c>
      <c r="P213">
        <v>86</v>
      </c>
      <c r="Q213">
        <v>13.792419367632601</v>
      </c>
      <c r="R213">
        <v>2.9</v>
      </c>
      <c r="T213" s="358" t="str">
        <f t="shared" si="29"/>
        <v>1997AllSexAllEth22Firearms and explosives</v>
      </c>
      <c r="U213" s="360">
        <v>1997</v>
      </c>
      <c r="V213" s="360" t="s">
        <v>17</v>
      </c>
      <c r="W213" s="360" t="s">
        <v>27</v>
      </c>
      <c r="X213" s="360">
        <v>22</v>
      </c>
      <c r="Y213" s="360" t="s">
        <v>42</v>
      </c>
      <c r="Z213" s="360">
        <v>13</v>
      </c>
      <c r="AA213" s="360">
        <v>142</v>
      </c>
      <c r="AB213" s="360">
        <v>9.1999999999999993</v>
      </c>
      <c r="AQ213" t="str">
        <f t="shared" si="28"/>
        <v>2011MaleUrban22</v>
      </c>
      <c r="AR213">
        <v>2011</v>
      </c>
      <c r="AS213" t="s">
        <v>20</v>
      </c>
      <c r="AT213" t="s">
        <v>97</v>
      </c>
      <c r="AU213">
        <v>22</v>
      </c>
      <c r="AV213">
        <v>82</v>
      </c>
      <c r="AW213">
        <v>29.6157180005779</v>
      </c>
      <c r="AX213">
        <v>6.4</v>
      </c>
      <c r="BS213" t="str">
        <f t="shared" si="30"/>
        <v>FemaleMaori235</v>
      </c>
      <c r="BT213" t="s">
        <v>8</v>
      </c>
      <c r="BU213" t="s">
        <v>18</v>
      </c>
      <c r="BV213">
        <v>23</v>
      </c>
      <c r="BW213">
        <v>5</v>
      </c>
      <c r="BX213">
        <v>28</v>
      </c>
      <c r="BY213">
        <v>15.3553908898645</v>
      </c>
      <c r="BZ213">
        <v>5.7</v>
      </c>
      <c r="CB213" t="str">
        <f t="shared" si="31"/>
        <v>FemaleOther23Jumping from a high place</v>
      </c>
      <c r="CC213" t="s">
        <v>8</v>
      </c>
      <c r="CD213" t="s">
        <v>45</v>
      </c>
      <c r="CE213" t="s">
        <v>44</v>
      </c>
      <c r="CF213">
        <v>23</v>
      </c>
      <c r="CG213">
        <v>3</v>
      </c>
      <c r="CH213">
        <v>129</v>
      </c>
      <c r="CI213">
        <v>2.2999999999999998</v>
      </c>
    </row>
    <row r="214" spans="1:87" x14ac:dyDescent="0.2">
      <c r="A214" t="str">
        <f t="shared" si="26"/>
        <v>1996MaleAllEth21</v>
      </c>
      <c r="B214">
        <v>1996</v>
      </c>
      <c r="C214" t="s">
        <v>20</v>
      </c>
      <c r="D214" t="s">
        <v>27</v>
      </c>
      <c r="E214">
        <v>21</v>
      </c>
      <c r="F214">
        <v>3</v>
      </c>
      <c r="J214" s="358" t="str">
        <f t="shared" si="27"/>
        <v>2013AllSexNon-Maori191</v>
      </c>
      <c r="K214" s="359">
        <v>2013</v>
      </c>
      <c r="L214" t="s">
        <v>17</v>
      </c>
      <c r="M214" t="s">
        <v>19</v>
      </c>
      <c r="N214">
        <v>19</v>
      </c>
      <c r="O214">
        <v>1</v>
      </c>
      <c r="P214">
        <v>70</v>
      </c>
      <c r="Q214">
        <v>6.8863390180409496</v>
      </c>
      <c r="R214">
        <v>1.6</v>
      </c>
      <c r="T214" s="358" t="str">
        <f t="shared" si="29"/>
        <v>1997AllSexAllEth23Firearms and explosives</v>
      </c>
      <c r="U214" s="360">
        <v>1997</v>
      </c>
      <c r="V214" s="360" t="s">
        <v>17</v>
      </c>
      <c r="W214" s="360" t="s">
        <v>27</v>
      </c>
      <c r="X214" s="360">
        <v>23</v>
      </c>
      <c r="Y214" s="360" t="s">
        <v>42</v>
      </c>
      <c r="Z214" s="360">
        <v>23</v>
      </c>
      <c r="AA214" s="360">
        <v>256</v>
      </c>
      <c r="AB214" s="360">
        <v>9</v>
      </c>
      <c r="AQ214" t="str">
        <f t="shared" si="28"/>
        <v>2011MaleRural23</v>
      </c>
      <c r="AR214">
        <v>2011</v>
      </c>
      <c r="AS214" t="s">
        <v>20</v>
      </c>
      <c r="AT214" t="s">
        <v>96</v>
      </c>
      <c r="AU214">
        <v>23</v>
      </c>
      <c r="AV214">
        <v>21</v>
      </c>
      <c r="AW214">
        <v>29.296875</v>
      </c>
      <c r="AX214">
        <v>12.5</v>
      </c>
      <c r="BS214" t="str">
        <f t="shared" si="30"/>
        <v>FemaleOther231</v>
      </c>
      <c r="BT214" t="s">
        <v>8</v>
      </c>
      <c r="BU214" t="s">
        <v>45</v>
      </c>
      <c r="BV214">
        <v>23</v>
      </c>
      <c r="BW214">
        <v>1</v>
      </c>
      <c r="BX214">
        <v>17</v>
      </c>
      <c r="BY214">
        <v>3.7872482212897198</v>
      </c>
      <c r="BZ214">
        <v>1.8</v>
      </c>
      <c r="CB214" t="str">
        <f t="shared" si="31"/>
        <v>FemaleOther24Jumping from a high place</v>
      </c>
      <c r="CC214" t="s">
        <v>8</v>
      </c>
      <c r="CD214" t="s">
        <v>45</v>
      </c>
      <c r="CE214" t="s">
        <v>44</v>
      </c>
      <c r="CF214">
        <v>24</v>
      </c>
      <c r="CG214">
        <v>7</v>
      </c>
      <c r="CH214">
        <v>182</v>
      </c>
      <c r="CI214">
        <v>3.8</v>
      </c>
    </row>
    <row r="215" spans="1:87" x14ac:dyDescent="0.2">
      <c r="A215" t="str">
        <f t="shared" si="26"/>
        <v>1996MaleAllEth22</v>
      </c>
      <c r="B215">
        <v>1996</v>
      </c>
      <c r="C215" t="s">
        <v>20</v>
      </c>
      <c r="D215" t="s">
        <v>27</v>
      </c>
      <c r="E215">
        <v>22</v>
      </c>
      <c r="F215">
        <v>105</v>
      </c>
      <c r="G215">
        <v>37.722292078318702</v>
      </c>
      <c r="H215">
        <v>7.2</v>
      </c>
      <c r="J215" s="358" t="str">
        <f t="shared" si="27"/>
        <v>2013AllSexNon-Maori192</v>
      </c>
      <c r="K215" s="359">
        <v>2013</v>
      </c>
      <c r="L215" t="s">
        <v>17</v>
      </c>
      <c r="M215" t="s">
        <v>19</v>
      </c>
      <c r="N215">
        <v>19</v>
      </c>
      <c r="O215">
        <v>2</v>
      </c>
      <c r="P215">
        <v>74</v>
      </c>
      <c r="Q215">
        <v>7.75061254391865</v>
      </c>
      <c r="R215">
        <v>1.8</v>
      </c>
      <c r="T215" s="358" t="str">
        <f t="shared" si="29"/>
        <v>1997AllSexAllEth24Firearms and explosives</v>
      </c>
      <c r="U215" s="360">
        <v>1997</v>
      </c>
      <c r="V215" s="360" t="s">
        <v>17</v>
      </c>
      <c r="W215" s="360" t="s">
        <v>27</v>
      </c>
      <c r="X215" s="360">
        <v>24</v>
      </c>
      <c r="Y215" s="360" t="s">
        <v>42</v>
      </c>
      <c r="Z215" s="360">
        <v>14</v>
      </c>
      <c r="AA215" s="360">
        <v>102</v>
      </c>
      <c r="AB215" s="360">
        <v>13.7</v>
      </c>
      <c r="AQ215" t="str">
        <f t="shared" si="28"/>
        <v>2011MaleUrban23</v>
      </c>
      <c r="AR215">
        <v>2011</v>
      </c>
      <c r="AS215" t="s">
        <v>20</v>
      </c>
      <c r="AT215" t="s">
        <v>97</v>
      </c>
      <c r="AU215">
        <v>23</v>
      </c>
      <c r="AV215">
        <v>109</v>
      </c>
      <c r="AW215">
        <v>22.672435310758001</v>
      </c>
      <c r="AX215">
        <v>4.3</v>
      </c>
      <c r="BS215" t="str">
        <f t="shared" si="30"/>
        <v>FemaleOther232</v>
      </c>
      <c r="BT215" t="s">
        <v>8</v>
      </c>
      <c r="BU215" t="s">
        <v>45</v>
      </c>
      <c r="BV215">
        <v>23</v>
      </c>
      <c r="BW215">
        <v>2</v>
      </c>
      <c r="BX215">
        <v>18</v>
      </c>
      <c r="BY215">
        <v>4.0607919158441401</v>
      </c>
      <c r="BZ215">
        <v>1.9</v>
      </c>
      <c r="CB215" t="str">
        <f t="shared" si="31"/>
        <v>FemaleOther25Jumping from a high place</v>
      </c>
      <c r="CC215" t="s">
        <v>8</v>
      </c>
      <c r="CD215" t="s">
        <v>45</v>
      </c>
      <c r="CE215" t="s">
        <v>44</v>
      </c>
      <c r="CF215">
        <v>25</v>
      </c>
      <c r="CG215">
        <v>1</v>
      </c>
      <c r="CH215">
        <v>53</v>
      </c>
      <c r="CI215">
        <v>1.9</v>
      </c>
    </row>
    <row r="216" spans="1:87" x14ac:dyDescent="0.2">
      <c r="A216" t="str">
        <f t="shared" si="26"/>
        <v>1996MaleAllEth23</v>
      </c>
      <c r="B216">
        <v>1996</v>
      </c>
      <c r="C216" t="s">
        <v>20</v>
      </c>
      <c r="D216" t="s">
        <v>27</v>
      </c>
      <c r="E216">
        <v>23</v>
      </c>
      <c r="F216">
        <v>188</v>
      </c>
      <c r="G216">
        <v>33.369424377429503</v>
      </c>
      <c r="H216">
        <v>4.8</v>
      </c>
      <c r="J216" s="358" t="str">
        <f t="shared" si="27"/>
        <v>2013AllSexNon-Maori193</v>
      </c>
      <c r="K216" s="359">
        <v>2013</v>
      </c>
      <c r="L216" t="s">
        <v>17</v>
      </c>
      <c r="M216" t="s">
        <v>19</v>
      </c>
      <c r="N216">
        <v>19</v>
      </c>
      <c r="O216">
        <v>3</v>
      </c>
      <c r="P216">
        <v>87</v>
      </c>
      <c r="Q216">
        <v>9.7238612561748106</v>
      </c>
      <c r="R216">
        <v>2</v>
      </c>
      <c r="T216" s="358" t="str">
        <f t="shared" si="29"/>
        <v>1997AllSexAllEth25Firearms and explosives</v>
      </c>
      <c r="U216" s="360">
        <v>1997</v>
      </c>
      <c r="V216" s="360" t="s">
        <v>17</v>
      </c>
      <c r="W216" s="360" t="s">
        <v>27</v>
      </c>
      <c r="X216" s="360">
        <v>25</v>
      </c>
      <c r="Y216" s="360" t="s">
        <v>42</v>
      </c>
      <c r="Z216" s="360">
        <v>5</v>
      </c>
      <c r="AA216" s="360">
        <v>54</v>
      </c>
      <c r="AB216" s="360">
        <v>9.3000000000000007</v>
      </c>
      <c r="AQ216" t="str">
        <f t="shared" si="28"/>
        <v>2011MaleRural24</v>
      </c>
      <c r="AR216">
        <v>2011</v>
      </c>
      <c r="AS216" t="s">
        <v>20</v>
      </c>
      <c r="AT216" t="s">
        <v>96</v>
      </c>
      <c r="AU216">
        <v>24</v>
      </c>
      <c r="AV216">
        <v>23</v>
      </c>
      <c r="AW216">
        <v>23.1761386537686</v>
      </c>
      <c r="AX216">
        <v>9.5</v>
      </c>
      <c r="BS216" t="str">
        <f t="shared" si="30"/>
        <v>FemaleOther233</v>
      </c>
      <c r="BT216" t="s">
        <v>8</v>
      </c>
      <c r="BU216" t="s">
        <v>45</v>
      </c>
      <c r="BV216">
        <v>23</v>
      </c>
      <c r="BW216">
        <v>3</v>
      </c>
      <c r="BX216">
        <v>26</v>
      </c>
      <c r="BY216">
        <v>6.3240708819371996</v>
      </c>
      <c r="BZ216">
        <v>2.4</v>
      </c>
      <c r="CB216" t="str">
        <f t="shared" si="31"/>
        <v>FemaleOther21Other</v>
      </c>
      <c r="CC216" t="s">
        <v>8</v>
      </c>
      <c r="CD216" t="s">
        <v>45</v>
      </c>
      <c r="CE216" t="s">
        <v>45</v>
      </c>
      <c r="CF216">
        <v>21</v>
      </c>
      <c r="CG216">
        <v>1</v>
      </c>
      <c r="CH216">
        <v>3</v>
      </c>
      <c r="CI216">
        <v>33.299999999999997</v>
      </c>
    </row>
    <row r="217" spans="1:87" x14ac:dyDescent="0.2">
      <c r="A217" t="str">
        <f t="shared" si="26"/>
        <v>1996MaleAllEth24</v>
      </c>
      <c r="B217">
        <v>1996</v>
      </c>
      <c r="C217" t="s">
        <v>20</v>
      </c>
      <c r="D217" t="s">
        <v>27</v>
      </c>
      <c r="E217">
        <v>24</v>
      </c>
      <c r="F217">
        <v>80</v>
      </c>
      <c r="G217">
        <v>21.494975549465298</v>
      </c>
      <c r="H217">
        <v>4.7</v>
      </c>
      <c r="J217" s="358" t="str">
        <f t="shared" si="27"/>
        <v>2013AllSexNon-Maori194</v>
      </c>
      <c r="K217" s="359">
        <v>2013</v>
      </c>
      <c r="L217" t="s">
        <v>17</v>
      </c>
      <c r="M217" t="s">
        <v>19</v>
      </c>
      <c r="N217">
        <v>19</v>
      </c>
      <c r="O217">
        <v>4</v>
      </c>
      <c r="P217">
        <v>71</v>
      </c>
      <c r="Q217">
        <v>9.19443356923286</v>
      </c>
      <c r="R217">
        <v>2.1</v>
      </c>
      <c r="T217" s="358" t="str">
        <f t="shared" si="29"/>
        <v>1997AllSexAllEth21Hanging, strangulation and suffocation</v>
      </c>
      <c r="U217" s="360">
        <v>1997</v>
      </c>
      <c r="V217" s="360" t="s">
        <v>17</v>
      </c>
      <c r="W217" s="360" t="s">
        <v>27</v>
      </c>
      <c r="X217" s="360">
        <v>21</v>
      </c>
      <c r="Y217" s="360" t="s">
        <v>43</v>
      </c>
      <c r="Z217" s="360">
        <v>6</v>
      </c>
      <c r="AA217" s="360">
        <v>8</v>
      </c>
      <c r="AB217" s="360">
        <v>75</v>
      </c>
      <c r="AQ217" t="str">
        <f t="shared" si="28"/>
        <v>2011MaleUrban24</v>
      </c>
      <c r="AR217">
        <v>2011</v>
      </c>
      <c r="AS217" t="s">
        <v>20</v>
      </c>
      <c r="AT217" t="s">
        <v>97</v>
      </c>
      <c r="AU217">
        <v>24</v>
      </c>
      <c r="AV217">
        <v>94</v>
      </c>
      <c r="AW217">
        <v>21.131668277768998</v>
      </c>
      <c r="AX217">
        <v>4.3</v>
      </c>
      <c r="BS217" t="str">
        <f t="shared" si="30"/>
        <v>FemaleOther234</v>
      </c>
      <c r="BT217" t="s">
        <v>8</v>
      </c>
      <c r="BU217" t="s">
        <v>45</v>
      </c>
      <c r="BV217">
        <v>23</v>
      </c>
      <c r="BW217">
        <v>4</v>
      </c>
      <c r="BX217">
        <v>31</v>
      </c>
      <c r="BY217">
        <v>8.9654421235566009</v>
      </c>
      <c r="BZ217">
        <v>3.2</v>
      </c>
      <c r="CB217" t="str">
        <f t="shared" si="31"/>
        <v>FemaleOther22Other</v>
      </c>
      <c r="CC217" t="s">
        <v>8</v>
      </c>
      <c r="CD217" t="s">
        <v>45</v>
      </c>
      <c r="CE217" t="s">
        <v>45</v>
      </c>
      <c r="CF217">
        <v>22</v>
      </c>
      <c r="CG217">
        <v>1</v>
      </c>
      <c r="CH217">
        <v>64</v>
      </c>
      <c r="CI217">
        <v>1.6</v>
      </c>
    </row>
    <row r="218" spans="1:87" x14ac:dyDescent="0.2">
      <c r="A218" t="str">
        <f t="shared" si="26"/>
        <v>1996MaleAllEth25</v>
      </c>
      <c r="B218">
        <v>1996</v>
      </c>
      <c r="C218" t="s">
        <v>20</v>
      </c>
      <c r="D218" t="s">
        <v>27</v>
      </c>
      <c r="E218">
        <v>25</v>
      </c>
      <c r="F218">
        <v>53</v>
      </c>
      <c r="G218">
        <v>28.5529576554251</v>
      </c>
      <c r="H218">
        <v>7.7</v>
      </c>
      <c r="J218" s="358" t="str">
        <f t="shared" si="27"/>
        <v>2013AllSexNon-Maori195</v>
      </c>
      <c r="K218" s="359">
        <v>2013</v>
      </c>
      <c r="L218" t="s">
        <v>17</v>
      </c>
      <c r="M218" t="s">
        <v>19</v>
      </c>
      <c r="N218">
        <v>19</v>
      </c>
      <c r="O218">
        <v>5</v>
      </c>
      <c r="P218">
        <v>80</v>
      </c>
      <c r="Q218">
        <v>13.1094925994683</v>
      </c>
      <c r="R218">
        <v>2.9</v>
      </c>
      <c r="T218" s="358" t="str">
        <f t="shared" si="29"/>
        <v>1997AllSexAllEth22Hanging, strangulation and suffocation</v>
      </c>
      <c r="U218" s="360">
        <v>1997</v>
      </c>
      <c r="V218" s="360" t="s">
        <v>17</v>
      </c>
      <c r="W218" s="360" t="s">
        <v>27</v>
      </c>
      <c r="X218" s="360">
        <v>22</v>
      </c>
      <c r="Y218" s="360" t="s">
        <v>43</v>
      </c>
      <c r="Z218" s="360">
        <v>77</v>
      </c>
      <c r="AA218" s="360">
        <v>142</v>
      </c>
      <c r="AB218" s="360">
        <v>54.2</v>
      </c>
      <c r="AQ218" t="str">
        <f t="shared" si="28"/>
        <v>2011MaleRural25</v>
      </c>
      <c r="AR218">
        <v>2011</v>
      </c>
      <c r="AS218" t="s">
        <v>20</v>
      </c>
      <c r="AT218" t="s">
        <v>96</v>
      </c>
      <c r="AU218">
        <v>25</v>
      </c>
      <c r="AV218">
        <v>7</v>
      </c>
      <c r="AW218">
        <v>17.085672443251202</v>
      </c>
      <c r="AX218">
        <v>12.7</v>
      </c>
      <c r="BS218" t="str">
        <f t="shared" si="30"/>
        <v>FemaleOther235</v>
      </c>
      <c r="BT218" t="s">
        <v>8</v>
      </c>
      <c r="BU218" t="s">
        <v>45</v>
      </c>
      <c r="BV218">
        <v>23</v>
      </c>
      <c r="BW218">
        <v>5</v>
      </c>
      <c r="BX218">
        <v>30</v>
      </c>
      <c r="BY218">
        <v>14.2903552808064</v>
      </c>
      <c r="BZ218">
        <v>5.0999999999999996</v>
      </c>
      <c r="CB218" t="str">
        <f t="shared" si="31"/>
        <v>FemaleOther23Other</v>
      </c>
      <c r="CC218" t="s">
        <v>8</v>
      </c>
      <c r="CD218" t="s">
        <v>45</v>
      </c>
      <c r="CE218" t="s">
        <v>45</v>
      </c>
      <c r="CF218">
        <v>23</v>
      </c>
      <c r="CG218">
        <v>6</v>
      </c>
      <c r="CH218">
        <v>129</v>
      </c>
      <c r="CI218">
        <v>4.7</v>
      </c>
    </row>
    <row r="219" spans="1:87" x14ac:dyDescent="0.2">
      <c r="A219" t="str">
        <f t="shared" si="26"/>
        <v>1996MaleMaori21</v>
      </c>
      <c r="B219">
        <v>1996</v>
      </c>
      <c r="C219" t="s">
        <v>20</v>
      </c>
      <c r="D219" t="s">
        <v>18</v>
      </c>
      <c r="E219">
        <v>21</v>
      </c>
      <c r="F219">
        <v>1</v>
      </c>
      <c r="J219" s="358" t="str">
        <f t="shared" si="27"/>
        <v>2014AllSexNon-Maori191</v>
      </c>
      <c r="K219" s="359">
        <v>2014</v>
      </c>
      <c r="L219" t="s">
        <v>17</v>
      </c>
      <c r="M219" t="s">
        <v>19</v>
      </c>
      <c r="N219">
        <v>19</v>
      </c>
      <c r="O219">
        <v>1</v>
      </c>
      <c r="P219">
        <v>55</v>
      </c>
      <c r="Q219">
        <v>5.7366011944690198</v>
      </c>
      <c r="R219">
        <v>1.5</v>
      </c>
      <c r="T219" s="358" t="str">
        <f t="shared" si="29"/>
        <v>1997AllSexAllEth23Hanging, strangulation and suffocation</v>
      </c>
      <c r="U219" s="360">
        <v>1997</v>
      </c>
      <c r="V219" s="360" t="s">
        <v>17</v>
      </c>
      <c r="W219" s="360" t="s">
        <v>27</v>
      </c>
      <c r="X219" s="360">
        <v>23</v>
      </c>
      <c r="Y219" s="360" t="s">
        <v>43</v>
      </c>
      <c r="Z219" s="360">
        <v>97</v>
      </c>
      <c r="AA219" s="360">
        <v>256</v>
      </c>
      <c r="AB219" s="360">
        <v>37.9</v>
      </c>
      <c r="AQ219" t="str">
        <f t="shared" si="28"/>
        <v>2011MaleUrban25</v>
      </c>
      <c r="AR219">
        <v>2011</v>
      </c>
      <c r="AS219" t="s">
        <v>20</v>
      </c>
      <c r="AT219" t="s">
        <v>97</v>
      </c>
      <c r="AU219">
        <v>25</v>
      </c>
      <c r="AV219">
        <v>23</v>
      </c>
      <c r="AW219">
        <v>10.2660239242992</v>
      </c>
      <c r="AX219">
        <v>4.2</v>
      </c>
      <c r="BS219" t="str">
        <f t="shared" si="30"/>
        <v>FemalePacific231</v>
      </c>
      <c r="BT219" t="s">
        <v>8</v>
      </c>
      <c r="BU219" t="s">
        <v>79</v>
      </c>
      <c r="BV219">
        <v>23</v>
      </c>
      <c r="BW219">
        <v>1</v>
      </c>
      <c r="BX219">
        <v>0</v>
      </c>
      <c r="BY219">
        <v>0</v>
      </c>
      <c r="CB219" t="str">
        <f t="shared" si="31"/>
        <v>FemaleOther24Other</v>
      </c>
      <c r="CC219" t="s">
        <v>8</v>
      </c>
      <c r="CD219" t="s">
        <v>45</v>
      </c>
      <c r="CE219" t="s">
        <v>45</v>
      </c>
      <c r="CF219">
        <v>24</v>
      </c>
      <c r="CG219">
        <v>11</v>
      </c>
      <c r="CH219">
        <v>182</v>
      </c>
      <c r="CI219">
        <v>6</v>
      </c>
    </row>
    <row r="220" spans="1:87" x14ac:dyDescent="0.2">
      <c r="A220" t="str">
        <f t="shared" si="26"/>
        <v>1996MaleMaori22</v>
      </c>
      <c r="B220">
        <v>1996</v>
      </c>
      <c r="C220" t="s">
        <v>20</v>
      </c>
      <c r="D220" t="s">
        <v>18</v>
      </c>
      <c r="E220">
        <v>22</v>
      </c>
      <c r="F220">
        <v>30</v>
      </c>
      <c r="G220">
        <v>58.59375</v>
      </c>
      <c r="H220">
        <v>21</v>
      </c>
      <c r="J220" s="358" t="str">
        <f t="shared" si="27"/>
        <v>2014AllSexNon-Maori192</v>
      </c>
      <c r="K220" s="359">
        <v>2014</v>
      </c>
      <c r="L220" t="s">
        <v>17</v>
      </c>
      <c r="M220" t="s">
        <v>19</v>
      </c>
      <c r="N220">
        <v>19</v>
      </c>
      <c r="O220">
        <v>2</v>
      </c>
      <c r="P220">
        <v>68</v>
      </c>
      <c r="Q220">
        <v>7.61139158241141</v>
      </c>
      <c r="R220">
        <v>1.8</v>
      </c>
      <c r="T220" s="358" t="str">
        <f t="shared" si="29"/>
        <v>1997AllSexAllEth24Hanging, strangulation and suffocation</v>
      </c>
      <c r="U220" s="360">
        <v>1997</v>
      </c>
      <c r="V220" s="360" t="s">
        <v>17</v>
      </c>
      <c r="W220" s="360" t="s">
        <v>27</v>
      </c>
      <c r="X220" s="360">
        <v>24</v>
      </c>
      <c r="Y220" s="360" t="s">
        <v>43</v>
      </c>
      <c r="Z220" s="360">
        <v>38</v>
      </c>
      <c r="AA220" s="360">
        <v>102</v>
      </c>
      <c r="AB220" s="360">
        <v>37.299999999999997</v>
      </c>
      <c r="AQ220" t="str">
        <f t="shared" si="28"/>
        <v>2012AllSexRural22</v>
      </c>
      <c r="AR220">
        <v>2012</v>
      </c>
      <c r="AS220" t="s">
        <v>17</v>
      </c>
      <c r="AT220" t="s">
        <v>96</v>
      </c>
      <c r="AU220">
        <v>22</v>
      </c>
      <c r="AV220">
        <v>17</v>
      </c>
      <c r="AW220">
        <v>24.086143383394699</v>
      </c>
      <c r="AX220">
        <v>11.4</v>
      </c>
      <c r="BS220" t="str">
        <f t="shared" si="30"/>
        <v>FemalePacific232</v>
      </c>
      <c r="BT220" t="s">
        <v>8</v>
      </c>
      <c r="BU220" t="s">
        <v>79</v>
      </c>
      <c r="BV220">
        <v>23</v>
      </c>
      <c r="BW220">
        <v>2</v>
      </c>
      <c r="BX220">
        <v>0</v>
      </c>
      <c r="BY220">
        <v>0</v>
      </c>
      <c r="CB220" t="str">
        <f t="shared" si="31"/>
        <v>FemaleOther25Other</v>
      </c>
      <c r="CC220" t="s">
        <v>8</v>
      </c>
      <c r="CD220" t="s">
        <v>45</v>
      </c>
      <c r="CE220" t="s">
        <v>45</v>
      </c>
      <c r="CF220">
        <v>25</v>
      </c>
      <c r="CG220">
        <v>2</v>
      </c>
      <c r="CH220">
        <v>53</v>
      </c>
      <c r="CI220">
        <v>3.8</v>
      </c>
    </row>
    <row r="221" spans="1:87" x14ac:dyDescent="0.2">
      <c r="A221" t="str">
        <f t="shared" si="26"/>
        <v>1996MaleMaori23</v>
      </c>
      <c r="B221">
        <v>1996</v>
      </c>
      <c r="C221" t="s">
        <v>20</v>
      </c>
      <c r="D221" t="s">
        <v>18</v>
      </c>
      <c r="E221">
        <v>23</v>
      </c>
      <c r="F221">
        <v>36</v>
      </c>
      <c r="G221">
        <v>50.811573747353599</v>
      </c>
      <c r="H221">
        <v>16.600000000000001</v>
      </c>
      <c r="J221" s="358" t="str">
        <f t="shared" si="27"/>
        <v>2014AllSexNon-Maori193</v>
      </c>
      <c r="K221" s="359">
        <v>2014</v>
      </c>
      <c r="L221" t="s">
        <v>17</v>
      </c>
      <c r="M221" t="s">
        <v>19</v>
      </c>
      <c r="N221">
        <v>19</v>
      </c>
      <c r="O221">
        <v>3</v>
      </c>
      <c r="P221">
        <v>76</v>
      </c>
      <c r="Q221">
        <v>9.0486738474224495</v>
      </c>
      <c r="R221">
        <v>2</v>
      </c>
      <c r="T221" s="358" t="str">
        <f t="shared" si="29"/>
        <v>1997AllSexAllEth25Hanging, strangulation and suffocation</v>
      </c>
      <c r="U221" s="360">
        <v>1997</v>
      </c>
      <c r="V221" s="360" t="s">
        <v>17</v>
      </c>
      <c r="W221" s="360" t="s">
        <v>27</v>
      </c>
      <c r="X221" s="360">
        <v>25</v>
      </c>
      <c r="Y221" s="360" t="s">
        <v>43</v>
      </c>
      <c r="Z221" s="360">
        <v>14</v>
      </c>
      <c r="AA221" s="360">
        <v>54</v>
      </c>
      <c r="AB221" s="360">
        <v>25.9</v>
      </c>
      <c r="AQ221" t="str">
        <f t="shared" si="28"/>
        <v>2012AllSexUrban22</v>
      </c>
      <c r="AR221">
        <v>2012</v>
      </c>
      <c r="AS221" t="s">
        <v>17</v>
      </c>
      <c r="AT221" t="s">
        <v>97</v>
      </c>
      <c r="AU221">
        <v>22</v>
      </c>
      <c r="AV221">
        <v>131</v>
      </c>
      <c r="AW221">
        <v>23.693682287615999</v>
      </c>
      <c r="AX221">
        <v>4.0999999999999996</v>
      </c>
      <c r="BS221" t="str">
        <f t="shared" si="30"/>
        <v>FemalePacific233</v>
      </c>
      <c r="BT221" t="s">
        <v>8</v>
      </c>
      <c r="BU221" t="s">
        <v>79</v>
      </c>
      <c r="BV221">
        <v>23</v>
      </c>
      <c r="BW221">
        <v>3</v>
      </c>
      <c r="BX221">
        <v>1</v>
      </c>
      <c r="BY221">
        <v>4.2426337926934501</v>
      </c>
      <c r="BZ221">
        <v>8.3000000000000007</v>
      </c>
      <c r="CB221" t="str">
        <f t="shared" si="31"/>
        <v>FemaleOther22Poisoning by gases and vapours</v>
      </c>
      <c r="CC221" t="s">
        <v>8</v>
      </c>
      <c r="CD221" t="s">
        <v>45</v>
      </c>
      <c r="CE221" t="s">
        <v>46</v>
      </c>
      <c r="CF221">
        <v>22</v>
      </c>
      <c r="CG221">
        <v>1</v>
      </c>
      <c r="CH221">
        <v>64</v>
      </c>
      <c r="CI221">
        <v>1.6</v>
      </c>
    </row>
    <row r="222" spans="1:87" x14ac:dyDescent="0.2">
      <c r="A222" t="str">
        <f t="shared" si="26"/>
        <v>1996MaleMaori24</v>
      </c>
      <c r="B222">
        <v>1996</v>
      </c>
      <c r="C222" t="s">
        <v>20</v>
      </c>
      <c r="D222" t="s">
        <v>18</v>
      </c>
      <c r="E222">
        <v>24</v>
      </c>
      <c r="F222">
        <v>5</v>
      </c>
      <c r="G222">
        <v>16.103059581320501</v>
      </c>
      <c r="H222">
        <v>14.1</v>
      </c>
      <c r="J222" s="358" t="str">
        <f t="shared" si="27"/>
        <v>2014AllSexNon-Maori194</v>
      </c>
      <c r="K222" s="359">
        <v>2014</v>
      </c>
      <c r="L222" t="s">
        <v>17</v>
      </c>
      <c r="M222" t="s">
        <v>19</v>
      </c>
      <c r="N222">
        <v>19</v>
      </c>
      <c r="O222">
        <v>4</v>
      </c>
      <c r="P222">
        <v>101</v>
      </c>
      <c r="Q222">
        <v>12.3602665214657</v>
      </c>
      <c r="R222">
        <v>2.4</v>
      </c>
      <c r="T222" s="358" t="str">
        <f t="shared" si="29"/>
        <v>1997AllSexAllEth22Jumping from a high place</v>
      </c>
      <c r="U222" s="360">
        <v>1997</v>
      </c>
      <c r="V222" s="360" t="s">
        <v>17</v>
      </c>
      <c r="W222" s="360" t="s">
        <v>27</v>
      </c>
      <c r="X222" s="360">
        <v>22</v>
      </c>
      <c r="Y222" s="360" t="s">
        <v>44</v>
      </c>
      <c r="Z222" s="360">
        <v>2</v>
      </c>
      <c r="AA222" s="360">
        <v>142</v>
      </c>
      <c r="AB222" s="360">
        <v>1.4</v>
      </c>
      <c r="AQ222" t="str">
        <f t="shared" si="28"/>
        <v>2012AllSexRural23</v>
      </c>
      <c r="AR222">
        <v>2012</v>
      </c>
      <c r="AS222" t="s">
        <v>17</v>
      </c>
      <c r="AT222" t="s">
        <v>96</v>
      </c>
      <c r="AU222">
        <v>23</v>
      </c>
      <c r="AV222">
        <v>23</v>
      </c>
      <c r="AW222">
        <v>15.891660333033901</v>
      </c>
      <c r="AX222">
        <v>6.5</v>
      </c>
      <c r="BS222" t="str">
        <f t="shared" si="30"/>
        <v>FemalePacific234</v>
      </c>
      <c r="BT222" t="s">
        <v>8</v>
      </c>
      <c r="BU222" t="s">
        <v>79</v>
      </c>
      <c r="BV222">
        <v>23</v>
      </c>
      <c r="BW222">
        <v>4</v>
      </c>
      <c r="BX222">
        <v>2</v>
      </c>
      <c r="BY222">
        <v>4.7593853894145202</v>
      </c>
      <c r="BZ222">
        <v>6.6</v>
      </c>
      <c r="CB222" t="str">
        <f t="shared" si="31"/>
        <v>FemaleOther23Poisoning by gases and vapours</v>
      </c>
      <c r="CC222" t="s">
        <v>8</v>
      </c>
      <c r="CD222" t="s">
        <v>45</v>
      </c>
      <c r="CE222" t="s">
        <v>46</v>
      </c>
      <c r="CF222">
        <v>23</v>
      </c>
      <c r="CG222">
        <v>8</v>
      </c>
      <c r="CH222">
        <v>129</v>
      </c>
      <c r="CI222">
        <v>6.2</v>
      </c>
    </row>
    <row r="223" spans="1:87" x14ac:dyDescent="0.2">
      <c r="A223" t="str">
        <f t="shared" si="26"/>
        <v>1996MaleMaori25</v>
      </c>
      <c r="B223">
        <v>1996</v>
      </c>
      <c r="C223" t="s">
        <v>20</v>
      </c>
      <c r="D223" t="s">
        <v>18</v>
      </c>
      <c r="E223">
        <v>25</v>
      </c>
      <c r="F223">
        <v>1</v>
      </c>
      <c r="G223">
        <v>14.5985401459854</v>
      </c>
      <c r="H223">
        <v>28.6</v>
      </c>
      <c r="J223" s="358" t="str">
        <f t="shared" si="27"/>
        <v>2014AllSexNon-Maori195</v>
      </c>
      <c r="K223" s="359">
        <v>2014</v>
      </c>
      <c r="L223" t="s">
        <v>17</v>
      </c>
      <c r="M223" t="s">
        <v>19</v>
      </c>
      <c r="N223">
        <v>19</v>
      </c>
      <c r="O223">
        <v>5</v>
      </c>
      <c r="P223">
        <v>101</v>
      </c>
      <c r="Q223">
        <v>15.6158667997486</v>
      </c>
      <c r="R223">
        <v>3</v>
      </c>
      <c r="T223" s="358" t="str">
        <f t="shared" si="29"/>
        <v>1997AllSexAllEth23Jumping from a high place</v>
      </c>
      <c r="U223" s="360">
        <v>1997</v>
      </c>
      <c r="V223" s="360" t="s">
        <v>17</v>
      </c>
      <c r="W223" s="360" t="s">
        <v>27</v>
      </c>
      <c r="X223" s="360">
        <v>23</v>
      </c>
      <c r="Y223" s="360" t="s">
        <v>44</v>
      </c>
      <c r="Z223" s="360">
        <v>8</v>
      </c>
      <c r="AA223" s="360">
        <v>256</v>
      </c>
      <c r="AB223" s="360">
        <v>3.1</v>
      </c>
      <c r="AQ223" t="str">
        <f t="shared" si="28"/>
        <v>2012AllSexUrban23</v>
      </c>
      <c r="AR223">
        <v>2012</v>
      </c>
      <c r="AS223" t="s">
        <v>17</v>
      </c>
      <c r="AT223" t="s">
        <v>97</v>
      </c>
      <c r="AU223">
        <v>23</v>
      </c>
      <c r="AV223">
        <v>161</v>
      </c>
      <c r="AW223">
        <v>16.103381710159098</v>
      </c>
      <c r="AX223">
        <v>2.5</v>
      </c>
      <c r="BS223" t="str">
        <f t="shared" si="30"/>
        <v>FemalePacific235</v>
      </c>
      <c r="BT223" t="s">
        <v>8</v>
      </c>
      <c r="BU223" t="s">
        <v>79</v>
      </c>
      <c r="BV223">
        <v>23</v>
      </c>
      <c r="BW223">
        <v>5</v>
      </c>
      <c r="BX223">
        <v>2</v>
      </c>
      <c r="BY223">
        <v>1.8703746868953699</v>
      </c>
      <c r="BZ223">
        <v>2.6</v>
      </c>
      <c r="CB223" t="str">
        <f t="shared" si="31"/>
        <v>FemaleOther24Poisoning by gases and vapours</v>
      </c>
      <c r="CC223" t="s">
        <v>8</v>
      </c>
      <c r="CD223" t="s">
        <v>45</v>
      </c>
      <c r="CE223" t="s">
        <v>46</v>
      </c>
      <c r="CF223">
        <v>24</v>
      </c>
      <c r="CG223">
        <v>21</v>
      </c>
      <c r="CH223">
        <v>182</v>
      </c>
      <c r="CI223">
        <v>11.5</v>
      </c>
    </row>
    <row r="224" spans="1:87" x14ac:dyDescent="0.2">
      <c r="A224" t="str">
        <f t="shared" si="26"/>
        <v>1996MaleNon-Maori21</v>
      </c>
      <c r="B224">
        <v>1996</v>
      </c>
      <c r="C224" t="s">
        <v>20</v>
      </c>
      <c r="D224" t="s">
        <v>19</v>
      </c>
      <c r="E224">
        <v>21</v>
      </c>
      <c r="F224">
        <v>2</v>
      </c>
      <c r="J224" s="358" t="str">
        <f t="shared" si="27"/>
        <v>2015AllSexNon-Maori191</v>
      </c>
      <c r="K224" s="359">
        <v>2015</v>
      </c>
      <c r="L224" t="s">
        <v>17</v>
      </c>
      <c r="M224" t="s">
        <v>19</v>
      </c>
      <c r="N224">
        <v>19</v>
      </c>
      <c r="O224">
        <v>1</v>
      </c>
      <c r="P224">
        <v>78</v>
      </c>
      <c r="Q224">
        <v>8.2219364177060807</v>
      </c>
      <c r="R224">
        <v>1.8</v>
      </c>
      <c r="T224" s="358" t="str">
        <f t="shared" si="29"/>
        <v>1997AllSexAllEth24Jumping from a high place</v>
      </c>
      <c r="U224" s="360">
        <v>1997</v>
      </c>
      <c r="V224" s="360" t="s">
        <v>17</v>
      </c>
      <c r="W224" s="360" t="s">
        <v>27</v>
      </c>
      <c r="X224" s="360">
        <v>24</v>
      </c>
      <c r="Y224" s="360" t="s">
        <v>44</v>
      </c>
      <c r="Z224" s="360">
        <v>1</v>
      </c>
      <c r="AA224" s="360">
        <v>102</v>
      </c>
      <c r="AB224" s="360">
        <v>1</v>
      </c>
      <c r="AQ224" t="str">
        <f t="shared" si="28"/>
        <v>2012AllSexRural24</v>
      </c>
      <c r="AR224">
        <v>2012</v>
      </c>
      <c r="AS224" t="s">
        <v>17</v>
      </c>
      <c r="AT224" t="s">
        <v>96</v>
      </c>
      <c r="AU224">
        <v>24</v>
      </c>
      <c r="AV224">
        <v>35</v>
      </c>
      <c r="AW224">
        <v>17.736786094359701</v>
      </c>
      <c r="AX224">
        <v>5.9</v>
      </c>
      <c r="BS224" t="str">
        <f t="shared" si="30"/>
        <v>FemaleAsian241</v>
      </c>
      <c r="BT224" t="s">
        <v>8</v>
      </c>
      <c r="BU224" t="s">
        <v>78</v>
      </c>
      <c r="BV224">
        <v>24</v>
      </c>
      <c r="BW224">
        <v>1</v>
      </c>
      <c r="BX224">
        <v>2</v>
      </c>
      <c r="BY224">
        <v>3.0240651263646599</v>
      </c>
      <c r="BZ224">
        <v>4.2</v>
      </c>
      <c r="CB224" t="str">
        <f t="shared" si="31"/>
        <v>FemaleOther25Poisoning by gases and vapours</v>
      </c>
      <c r="CC224" t="s">
        <v>8</v>
      </c>
      <c r="CD224" t="s">
        <v>45</v>
      </c>
      <c r="CE224" t="s">
        <v>46</v>
      </c>
      <c r="CF224">
        <v>25</v>
      </c>
      <c r="CG224">
        <v>3</v>
      </c>
      <c r="CH224">
        <v>53</v>
      </c>
      <c r="CI224">
        <v>5.7</v>
      </c>
    </row>
    <row r="225" spans="1:87" x14ac:dyDescent="0.2">
      <c r="A225" t="str">
        <f t="shared" si="26"/>
        <v>1996MaleNon-Maori22</v>
      </c>
      <c r="B225">
        <v>1996</v>
      </c>
      <c r="C225" t="s">
        <v>20</v>
      </c>
      <c r="D225" t="s">
        <v>19</v>
      </c>
      <c r="E225">
        <v>22</v>
      </c>
      <c r="F225">
        <v>75</v>
      </c>
      <c r="G225">
        <v>33.017829627999099</v>
      </c>
      <c r="H225">
        <v>7.5</v>
      </c>
      <c r="J225" s="358" t="str">
        <f t="shared" si="27"/>
        <v>2015AllSexNon-Maori192</v>
      </c>
      <c r="K225" s="359">
        <v>2015</v>
      </c>
      <c r="L225" t="s">
        <v>17</v>
      </c>
      <c r="M225" t="s">
        <v>19</v>
      </c>
      <c r="N225">
        <v>19</v>
      </c>
      <c r="O225">
        <v>2</v>
      </c>
      <c r="P225">
        <v>79</v>
      </c>
      <c r="Q225">
        <v>8.1080777953149603</v>
      </c>
      <c r="R225">
        <v>1.8</v>
      </c>
      <c r="T225" s="358" t="str">
        <f t="shared" si="29"/>
        <v>1997AllSexAllEth22Other</v>
      </c>
      <c r="U225" s="360">
        <v>1997</v>
      </c>
      <c r="V225" s="360" t="s">
        <v>17</v>
      </c>
      <c r="W225" s="360" t="s">
        <v>27</v>
      </c>
      <c r="X225" s="360">
        <v>22</v>
      </c>
      <c r="Y225" s="360" t="s">
        <v>45</v>
      </c>
      <c r="Z225" s="360">
        <v>4</v>
      </c>
      <c r="AA225" s="360">
        <v>142</v>
      </c>
      <c r="AB225" s="360">
        <v>2.8</v>
      </c>
      <c r="AQ225" t="str">
        <f t="shared" si="28"/>
        <v>2012AllSexUrban24</v>
      </c>
      <c r="AR225">
        <v>2012</v>
      </c>
      <c r="AS225" t="s">
        <v>17</v>
      </c>
      <c r="AT225" t="s">
        <v>97</v>
      </c>
      <c r="AU225">
        <v>24</v>
      </c>
      <c r="AV225">
        <v>111</v>
      </c>
      <c r="AW225">
        <v>11.9447314049587</v>
      </c>
      <c r="AX225">
        <v>2.2000000000000002</v>
      </c>
      <c r="BS225" t="str">
        <f t="shared" si="30"/>
        <v>FemaleAsian242</v>
      </c>
      <c r="BT225" t="s">
        <v>8</v>
      </c>
      <c r="BU225" t="s">
        <v>78</v>
      </c>
      <c r="BV225">
        <v>24</v>
      </c>
      <c r="BW225">
        <v>2</v>
      </c>
      <c r="BX225">
        <v>5</v>
      </c>
      <c r="BY225">
        <v>6.8931365217298604</v>
      </c>
      <c r="BZ225">
        <v>6</v>
      </c>
      <c r="CB225" t="str">
        <f t="shared" si="31"/>
        <v>FemaleOther22Poisoning by solids and liquids</v>
      </c>
      <c r="CC225" t="s">
        <v>8</v>
      </c>
      <c r="CD225" t="s">
        <v>45</v>
      </c>
      <c r="CE225" t="s">
        <v>47</v>
      </c>
      <c r="CF225">
        <v>22</v>
      </c>
      <c r="CG225">
        <v>6</v>
      </c>
      <c r="CH225">
        <v>64</v>
      </c>
      <c r="CI225">
        <v>9.4</v>
      </c>
    </row>
    <row r="226" spans="1:87" x14ac:dyDescent="0.2">
      <c r="A226" t="str">
        <f t="shared" si="26"/>
        <v>1996MaleNon-Maori23</v>
      </c>
      <c r="B226">
        <v>1996</v>
      </c>
      <c r="C226" t="s">
        <v>20</v>
      </c>
      <c r="D226" t="s">
        <v>19</v>
      </c>
      <c r="E226">
        <v>23</v>
      </c>
      <c r="F226">
        <v>152</v>
      </c>
      <c r="G226">
        <v>30.860437730945701</v>
      </c>
      <c r="H226">
        <v>4.9000000000000004</v>
      </c>
      <c r="J226" s="358" t="str">
        <f t="shared" si="27"/>
        <v>2015AllSexNon-Maori193</v>
      </c>
      <c r="K226" s="359">
        <v>2015</v>
      </c>
      <c r="L226" t="s">
        <v>17</v>
      </c>
      <c r="M226" t="s">
        <v>19</v>
      </c>
      <c r="N226">
        <v>19</v>
      </c>
      <c r="O226">
        <v>3</v>
      </c>
      <c r="P226">
        <v>72</v>
      </c>
      <c r="Q226">
        <v>8.1892500380217292</v>
      </c>
      <c r="R226">
        <v>1.9</v>
      </c>
      <c r="T226" s="358" t="str">
        <f t="shared" si="29"/>
        <v>1997AllSexAllEth23Other</v>
      </c>
      <c r="U226" s="360">
        <v>1997</v>
      </c>
      <c r="V226" s="360" t="s">
        <v>17</v>
      </c>
      <c r="W226" s="360" t="s">
        <v>27</v>
      </c>
      <c r="X226" s="360">
        <v>23</v>
      </c>
      <c r="Y226" s="360" t="s">
        <v>45</v>
      </c>
      <c r="Z226" s="360">
        <v>8</v>
      </c>
      <c r="AA226" s="360">
        <v>256</v>
      </c>
      <c r="AB226" s="360">
        <v>3.1</v>
      </c>
      <c r="AQ226" t="str">
        <f t="shared" si="28"/>
        <v>2012AllSexRural25</v>
      </c>
      <c r="AR226">
        <v>2012</v>
      </c>
      <c r="AS226" t="s">
        <v>17</v>
      </c>
      <c r="AT226" t="s">
        <v>96</v>
      </c>
      <c r="AU226">
        <v>25</v>
      </c>
      <c r="AV226">
        <v>6</v>
      </c>
      <c r="AW226">
        <v>7.3260073260073302</v>
      </c>
      <c r="AX226">
        <v>5.9</v>
      </c>
      <c r="BS226" t="str">
        <f t="shared" si="30"/>
        <v>FemaleAsian243</v>
      </c>
      <c r="BT226" t="s">
        <v>8</v>
      </c>
      <c r="BU226" t="s">
        <v>78</v>
      </c>
      <c r="BV226">
        <v>24</v>
      </c>
      <c r="BW226">
        <v>3</v>
      </c>
      <c r="BX226">
        <v>0</v>
      </c>
      <c r="BY226">
        <v>0</v>
      </c>
      <c r="CB226" t="str">
        <f t="shared" si="31"/>
        <v>FemaleOther23Poisoning by solids and liquids</v>
      </c>
      <c r="CC226" t="s">
        <v>8</v>
      </c>
      <c r="CD226" t="s">
        <v>45</v>
      </c>
      <c r="CE226" t="s">
        <v>47</v>
      </c>
      <c r="CF226">
        <v>23</v>
      </c>
      <c r="CG226">
        <v>35</v>
      </c>
      <c r="CH226">
        <v>129</v>
      </c>
      <c r="CI226">
        <v>27.1</v>
      </c>
    </row>
    <row r="227" spans="1:87" x14ac:dyDescent="0.2">
      <c r="A227" t="str">
        <f t="shared" si="26"/>
        <v>1996MaleNon-Maori24</v>
      </c>
      <c r="B227">
        <v>1996</v>
      </c>
      <c r="C227" t="s">
        <v>20</v>
      </c>
      <c r="D227" t="s">
        <v>19</v>
      </c>
      <c r="E227">
        <v>24</v>
      </c>
      <c r="F227">
        <v>75</v>
      </c>
      <c r="G227">
        <v>21.985753231905701</v>
      </c>
      <c r="H227">
        <v>5</v>
      </c>
      <c r="J227" s="358" t="str">
        <f t="shared" si="27"/>
        <v>2015AllSexNon-Maori194</v>
      </c>
      <c r="K227" s="359">
        <v>2015</v>
      </c>
      <c r="L227" t="s">
        <v>17</v>
      </c>
      <c r="M227" t="s">
        <v>19</v>
      </c>
      <c r="N227">
        <v>19</v>
      </c>
      <c r="O227">
        <v>4</v>
      </c>
      <c r="P227">
        <v>89</v>
      </c>
      <c r="Q227">
        <v>10.9885179324571</v>
      </c>
      <c r="R227">
        <v>2.2999999999999998</v>
      </c>
      <c r="T227" s="358" t="str">
        <f t="shared" si="29"/>
        <v>1997AllSexAllEth24Other</v>
      </c>
      <c r="U227" s="360">
        <v>1997</v>
      </c>
      <c r="V227" s="360" t="s">
        <v>17</v>
      </c>
      <c r="W227" s="360" t="s">
        <v>27</v>
      </c>
      <c r="X227" s="360">
        <v>24</v>
      </c>
      <c r="Y227" s="360" t="s">
        <v>45</v>
      </c>
      <c r="Z227" s="360">
        <v>2</v>
      </c>
      <c r="AA227" s="360">
        <v>102</v>
      </c>
      <c r="AB227" s="360">
        <v>2</v>
      </c>
      <c r="AQ227" t="str">
        <f t="shared" si="28"/>
        <v>2012AllSexUrban25</v>
      </c>
      <c r="AR227">
        <v>2012</v>
      </c>
      <c r="AS227" t="s">
        <v>17</v>
      </c>
      <c r="AT227" t="s">
        <v>97</v>
      </c>
      <c r="AU227">
        <v>25</v>
      </c>
      <c r="AV227">
        <v>51</v>
      </c>
      <c r="AW227">
        <v>9.7896191646191593</v>
      </c>
      <c r="AX227">
        <v>2.7</v>
      </c>
      <c r="BS227" t="str">
        <f t="shared" si="30"/>
        <v>FemaleAsian244</v>
      </c>
      <c r="BT227" t="s">
        <v>8</v>
      </c>
      <c r="BU227" t="s">
        <v>78</v>
      </c>
      <c r="BV227">
        <v>24</v>
      </c>
      <c r="BW227">
        <v>4</v>
      </c>
      <c r="BX227">
        <v>2</v>
      </c>
      <c r="BY227">
        <v>3.3830681847449702</v>
      </c>
      <c r="BZ227">
        <v>4.7</v>
      </c>
      <c r="CB227" t="str">
        <f t="shared" si="31"/>
        <v>FemaleOther24Poisoning by solids and liquids</v>
      </c>
      <c r="CC227" t="s">
        <v>8</v>
      </c>
      <c r="CD227" t="s">
        <v>45</v>
      </c>
      <c r="CE227" t="s">
        <v>47</v>
      </c>
      <c r="CF227">
        <v>24</v>
      </c>
      <c r="CG227">
        <v>72</v>
      </c>
      <c r="CH227">
        <v>182</v>
      </c>
      <c r="CI227">
        <v>39.6</v>
      </c>
    </row>
    <row r="228" spans="1:87" x14ac:dyDescent="0.2">
      <c r="A228" t="str">
        <f t="shared" si="26"/>
        <v>1996MaleNon-Maori25</v>
      </c>
      <c r="B228">
        <v>1996</v>
      </c>
      <c r="C228" t="s">
        <v>20</v>
      </c>
      <c r="D228" t="s">
        <v>19</v>
      </c>
      <c r="E228">
        <v>25</v>
      </c>
      <c r="F228">
        <v>52</v>
      </c>
      <c r="G228">
        <v>29.087654528164698</v>
      </c>
      <c r="H228">
        <v>7.9</v>
      </c>
      <c r="J228" s="358" t="str">
        <f t="shared" si="27"/>
        <v>2015AllSexNon-Maori195</v>
      </c>
      <c r="K228" s="359">
        <v>2015</v>
      </c>
      <c r="L228" t="s">
        <v>17</v>
      </c>
      <c r="M228" t="s">
        <v>19</v>
      </c>
      <c r="N228">
        <v>19</v>
      </c>
      <c r="O228">
        <v>5</v>
      </c>
      <c r="P228">
        <v>82</v>
      </c>
      <c r="Q228">
        <v>12.6037126874363</v>
      </c>
      <c r="R228">
        <v>2.7</v>
      </c>
      <c r="T228" s="358" t="str">
        <f t="shared" si="29"/>
        <v>1997AllSexAllEth25Other</v>
      </c>
      <c r="U228" s="360">
        <v>1997</v>
      </c>
      <c r="V228" s="360" t="s">
        <v>17</v>
      </c>
      <c r="W228" s="360" t="s">
        <v>27</v>
      </c>
      <c r="X228" s="360">
        <v>25</v>
      </c>
      <c r="Y228" s="360" t="s">
        <v>45</v>
      </c>
      <c r="Z228" s="360">
        <v>2</v>
      </c>
      <c r="AA228" s="360">
        <v>54</v>
      </c>
      <c r="AB228" s="360">
        <v>3.7</v>
      </c>
      <c r="AQ228" t="str">
        <f t="shared" si="28"/>
        <v>2012FemaleRural22</v>
      </c>
      <c r="AR228">
        <v>2012</v>
      </c>
      <c r="AS228" t="s">
        <v>8</v>
      </c>
      <c r="AT228" t="s">
        <v>96</v>
      </c>
      <c r="AU228">
        <v>22</v>
      </c>
      <c r="AV228">
        <v>7</v>
      </c>
      <c r="AW228">
        <v>21.374045801526702</v>
      </c>
      <c r="AX228">
        <v>15.8</v>
      </c>
      <c r="BS228" t="str">
        <f t="shared" si="30"/>
        <v>FemaleAsian245</v>
      </c>
      <c r="BT228" t="s">
        <v>8</v>
      </c>
      <c r="BU228" t="s">
        <v>78</v>
      </c>
      <c r="BV228">
        <v>24</v>
      </c>
      <c r="BW228">
        <v>5</v>
      </c>
      <c r="BX228">
        <v>5</v>
      </c>
      <c r="BY228">
        <v>11.1915289629826</v>
      </c>
      <c r="BZ228">
        <v>9.8000000000000007</v>
      </c>
      <c r="CB228" t="str">
        <f t="shared" si="31"/>
        <v>FemaleOther25Poisoning by solids and liquids</v>
      </c>
      <c r="CC228" t="s">
        <v>8</v>
      </c>
      <c r="CD228" t="s">
        <v>45</v>
      </c>
      <c r="CE228" t="s">
        <v>47</v>
      </c>
      <c r="CF228">
        <v>25</v>
      </c>
      <c r="CG228">
        <v>29</v>
      </c>
      <c r="CH228">
        <v>53</v>
      </c>
      <c r="CI228">
        <v>54.7</v>
      </c>
    </row>
    <row r="229" spans="1:87" x14ac:dyDescent="0.2">
      <c r="A229" t="str">
        <f t="shared" si="26"/>
        <v>1997AllSexAllEth21</v>
      </c>
      <c r="B229">
        <v>1997</v>
      </c>
      <c r="C229" t="s">
        <v>17</v>
      </c>
      <c r="D229" t="s">
        <v>27</v>
      </c>
      <c r="E229">
        <v>21</v>
      </c>
      <c r="F229">
        <v>8</v>
      </c>
      <c r="J229" s="358" t="str">
        <f t="shared" si="27"/>
        <v>2001FemaleAllEth191</v>
      </c>
      <c r="K229" s="359">
        <v>2001</v>
      </c>
      <c r="L229" t="s">
        <v>8</v>
      </c>
      <c r="M229" t="s">
        <v>27</v>
      </c>
      <c r="N229">
        <v>19</v>
      </c>
      <c r="O229">
        <v>1</v>
      </c>
      <c r="P229">
        <v>16</v>
      </c>
      <c r="Q229">
        <v>5.1582565725393197</v>
      </c>
      <c r="R229">
        <v>2.5</v>
      </c>
      <c r="T229" s="358" t="str">
        <f t="shared" si="29"/>
        <v>1997AllSexAllEth22Poisoning by gases and vapours</v>
      </c>
      <c r="U229" s="360">
        <v>1997</v>
      </c>
      <c r="V229" s="360" t="s">
        <v>17</v>
      </c>
      <c r="W229" s="360" t="s">
        <v>27</v>
      </c>
      <c r="X229" s="360">
        <v>22</v>
      </c>
      <c r="Y229" s="360" t="s">
        <v>46</v>
      </c>
      <c r="Z229" s="360">
        <v>36</v>
      </c>
      <c r="AA229" s="360">
        <v>142</v>
      </c>
      <c r="AB229" s="360">
        <v>25.4</v>
      </c>
      <c r="AQ229" t="str">
        <f t="shared" si="28"/>
        <v>2012FemaleUrban22</v>
      </c>
      <c r="AR229">
        <v>2012</v>
      </c>
      <c r="AS229" t="s">
        <v>8</v>
      </c>
      <c r="AT229" t="s">
        <v>97</v>
      </c>
      <c r="AU229">
        <v>22</v>
      </c>
      <c r="AV229">
        <v>34</v>
      </c>
      <c r="AW229">
        <v>12.3857054387818</v>
      </c>
      <c r="AX229">
        <v>4.2</v>
      </c>
      <c r="BS229" t="str">
        <f t="shared" si="30"/>
        <v>FemaleMaori241</v>
      </c>
      <c r="BT229" t="s">
        <v>8</v>
      </c>
      <c r="BU229" t="s">
        <v>18</v>
      </c>
      <c r="BV229">
        <v>24</v>
      </c>
      <c r="BW229">
        <v>1</v>
      </c>
      <c r="BX229">
        <v>0</v>
      </c>
      <c r="BY229">
        <v>0</v>
      </c>
      <c r="CB229" t="str">
        <f t="shared" si="31"/>
        <v>FemaleOther22Sharp object</v>
      </c>
      <c r="CC229" t="s">
        <v>8</v>
      </c>
      <c r="CD229" t="s">
        <v>45</v>
      </c>
      <c r="CE229" t="s">
        <v>48</v>
      </c>
      <c r="CF229">
        <v>22</v>
      </c>
      <c r="CG229">
        <v>1</v>
      </c>
      <c r="CH229">
        <v>64</v>
      </c>
      <c r="CI229">
        <v>1.6</v>
      </c>
    </row>
    <row r="230" spans="1:87" x14ac:dyDescent="0.2">
      <c r="A230" t="str">
        <f t="shared" si="26"/>
        <v>1997AllSexAllEth22</v>
      </c>
      <c r="B230">
        <v>1997</v>
      </c>
      <c r="C230" t="s">
        <v>17</v>
      </c>
      <c r="D230" t="s">
        <v>27</v>
      </c>
      <c r="E230">
        <v>22</v>
      </c>
      <c r="F230">
        <v>142</v>
      </c>
      <c r="G230">
        <v>26.072267920093999</v>
      </c>
      <c r="H230">
        <v>4.3</v>
      </c>
      <c r="J230" s="358" t="str">
        <f t="shared" si="27"/>
        <v>2001FemaleAllEth192</v>
      </c>
      <c r="K230" s="359">
        <v>2001</v>
      </c>
      <c r="L230" t="s">
        <v>8</v>
      </c>
      <c r="M230" t="s">
        <v>27</v>
      </c>
      <c r="N230">
        <v>19</v>
      </c>
      <c r="O230">
        <v>2</v>
      </c>
      <c r="P230">
        <v>17</v>
      </c>
      <c r="Q230">
        <v>4.2441968928107396</v>
      </c>
      <c r="R230">
        <v>2</v>
      </c>
      <c r="T230" s="358" t="str">
        <f t="shared" si="29"/>
        <v>1997AllSexAllEth23Poisoning by gases and vapours</v>
      </c>
      <c r="U230" s="360">
        <v>1997</v>
      </c>
      <c r="V230" s="360" t="s">
        <v>17</v>
      </c>
      <c r="W230" s="360" t="s">
        <v>27</v>
      </c>
      <c r="X230" s="360">
        <v>23</v>
      </c>
      <c r="Y230" s="360" t="s">
        <v>46</v>
      </c>
      <c r="Z230" s="360">
        <v>82</v>
      </c>
      <c r="AA230" s="360">
        <v>256</v>
      </c>
      <c r="AB230" s="360">
        <v>32</v>
      </c>
      <c r="AQ230" t="str">
        <f t="shared" si="28"/>
        <v>2012FemaleRural23</v>
      </c>
      <c r="AR230">
        <v>2012</v>
      </c>
      <c r="AS230" t="s">
        <v>8</v>
      </c>
      <c r="AT230" t="s">
        <v>96</v>
      </c>
      <c r="AU230">
        <v>23</v>
      </c>
      <c r="AV230">
        <v>7</v>
      </c>
      <c r="AW230">
        <v>9.4658553076403003</v>
      </c>
      <c r="AX230">
        <v>7</v>
      </c>
      <c r="BS230" t="str">
        <f t="shared" si="30"/>
        <v>FemaleMaori242</v>
      </c>
      <c r="BT230" t="s">
        <v>8</v>
      </c>
      <c r="BU230" t="s">
        <v>18</v>
      </c>
      <c r="BV230">
        <v>24</v>
      </c>
      <c r="BW230">
        <v>2</v>
      </c>
      <c r="BX230">
        <v>1</v>
      </c>
      <c r="BY230">
        <v>2.5334670630329299</v>
      </c>
      <c r="BZ230">
        <v>5</v>
      </c>
      <c r="CB230" t="str">
        <f t="shared" si="31"/>
        <v>FemaleOther23Sharp object</v>
      </c>
      <c r="CC230" t="s">
        <v>8</v>
      </c>
      <c r="CD230" t="s">
        <v>45</v>
      </c>
      <c r="CE230" t="s">
        <v>48</v>
      </c>
      <c r="CF230">
        <v>23</v>
      </c>
      <c r="CG230">
        <v>1</v>
      </c>
      <c r="CH230">
        <v>129</v>
      </c>
      <c r="CI230">
        <v>0.8</v>
      </c>
    </row>
    <row r="231" spans="1:87" x14ac:dyDescent="0.2">
      <c r="A231" t="str">
        <f t="shared" si="26"/>
        <v>1997AllSexAllEth23</v>
      </c>
      <c r="B231">
        <v>1997</v>
      </c>
      <c r="C231" t="s">
        <v>17</v>
      </c>
      <c r="D231" t="s">
        <v>27</v>
      </c>
      <c r="E231">
        <v>23</v>
      </c>
      <c r="F231">
        <v>256</v>
      </c>
      <c r="G231">
        <v>21.971419988842602</v>
      </c>
      <c r="H231">
        <v>2.7</v>
      </c>
      <c r="J231" s="358" t="str">
        <f t="shared" si="27"/>
        <v>2001FemaleAllEth193</v>
      </c>
      <c r="K231" s="359">
        <v>2001</v>
      </c>
      <c r="L231" t="s">
        <v>8</v>
      </c>
      <c r="M231" t="s">
        <v>27</v>
      </c>
      <c r="N231">
        <v>19</v>
      </c>
      <c r="O231">
        <v>3</v>
      </c>
      <c r="P231">
        <v>27</v>
      </c>
      <c r="Q231">
        <v>6.3400490043583</v>
      </c>
      <c r="R231">
        <v>2.4</v>
      </c>
      <c r="T231" s="358" t="str">
        <f t="shared" si="29"/>
        <v>1997AllSexAllEth24Poisoning by gases and vapours</v>
      </c>
      <c r="U231" s="360">
        <v>1997</v>
      </c>
      <c r="V231" s="360" t="s">
        <v>17</v>
      </c>
      <c r="W231" s="360" t="s">
        <v>27</v>
      </c>
      <c r="X231" s="360">
        <v>24</v>
      </c>
      <c r="Y231" s="360" t="s">
        <v>46</v>
      </c>
      <c r="Z231" s="360">
        <v>23</v>
      </c>
      <c r="AA231" s="360">
        <v>102</v>
      </c>
      <c r="AB231" s="360">
        <v>22.5</v>
      </c>
      <c r="AQ231" t="str">
        <f t="shared" si="28"/>
        <v>2012FemaleUrban23</v>
      </c>
      <c r="AR231">
        <v>2012</v>
      </c>
      <c r="AS231" t="s">
        <v>8</v>
      </c>
      <c r="AT231" t="s">
        <v>97</v>
      </c>
      <c r="AU231">
        <v>23</v>
      </c>
      <c r="AV231">
        <v>35</v>
      </c>
      <c r="AW231">
        <v>6.6956172402578797</v>
      </c>
      <c r="AX231">
        <v>2.2000000000000002</v>
      </c>
      <c r="BS231" t="str">
        <f t="shared" si="30"/>
        <v>FemaleMaori243</v>
      </c>
      <c r="BT231" t="s">
        <v>8</v>
      </c>
      <c r="BU231" t="s">
        <v>18</v>
      </c>
      <c r="BV231">
        <v>24</v>
      </c>
      <c r="BW231">
        <v>3</v>
      </c>
      <c r="BX231">
        <v>4</v>
      </c>
      <c r="BY231">
        <v>7.5465087019264798</v>
      </c>
      <c r="BZ231">
        <v>7.4</v>
      </c>
      <c r="CB231" t="str">
        <f t="shared" si="31"/>
        <v>FemaleOther24Sharp object</v>
      </c>
      <c r="CC231" t="s">
        <v>8</v>
      </c>
      <c r="CD231" t="s">
        <v>45</v>
      </c>
      <c r="CE231" t="s">
        <v>48</v>
      </c>
      <c r="CF231">
        <v>24</v>
      </c>
      <c r="CG231">
        <v>3</v>
      </c>
      <c r="CH231">
        <v>182</v>
      </c>
      <c r="CI231">
        <v>1.6</v>
      </c>
    </row>
    <row r="232" spans="1:87" x14ac:dyDescent="0.2">
      <c r="A232" t="str">
        <f t="shared" si="26"/>
        <v>1997AllSexAllEth24</v>
      </c>
      <c r="B232">
        <v>1997</v>
      </c>
      <c r="C232" t="s">
        <v>17</v>
      </c>
      <c r="D232" t="s">
        <v>27</v>
      </c>
      <c r="E232">
        <v>24</v>
      </c>
      <c r="F232">
        <v>102</v>
      </c>
      <c r="G232">
        <v>13.2947524829905</v>
      </c>
      <c r="H232">
        <v>2.6</v>
      </c>
      <c r="J232" s="358" t="str">
        <f t="shared" si="27"/>
        <v>2001FemaleAllEth194</v>
      </c>
      <c r="K232" s="359">
        <v>2001</v>
      </c>
      <c r="L232" t="s">
        <v>8</v>
      </c>
      <c r="M232" t="s">
        <v>27</v>
      </c>
      <c r="N232">
        <v>19</v>
      </c>
      <c r="O232">
        <v>4</v>
      </c>
      <c r="P232">
        <v>22</v>
      </c>
      <c r="Q232">
        <v>4.8209604072903298</v>
      </c>
      <c r="R232">
        <v>2</v>
      </c>
      <c r="T232" s="358" t="str">
        <f t="shared" si="29"/>
        <v>1997AllSexAllEth25Poisoning by gases and vapours</v>
      </c>
      <c r="U232" s="360">
        <v>1997</v>
      </c>
      <c r="V232" s="360" t="s">
        <v>17</v>
      </c>
      <c r="W232" s="360" t="s">
        <v>27</v>
      </c>
      <c r="X232" s="360">
        <v>25</v>
      </c>
      <c r="Y232" s="360" t="s">
        <v>46</v>
      </c>
      <c r="Z232" s="360">
        <v>16</v>
      </c>
      <c r="AA232" s="360">
        <v>54</v>
      </c>
      <c r="AB232" s="360">
        <v>29.6</v>
      </c>
      <c r="AQ232" t="str">
        <f t="shared" si="28"/>
        <v>2012FemaleRural24</v>
      </c>
      <c r="AR232">
        <v>2012</v>
      </c>
      <c r="AS232" t="s">
        <v>8</v>
      </c>
      <c r="AT232" t="s">
        <v>96</v>
      </c>
      <c r="AU232">
        <v>24</v>
      </c>
      <c r="AV232">
        <v>7</v>
      </c>
      <c r="AW232">
        <v>7.2023870768597602</v>
      </c>
      <c r="AX232">
        <v>5.3</v>
      </c>
      <c r="BS232" t="str">
        <f t="shared" si="30"/>
        <v>FemaleMaori244</v>
      </c>
      <c r="BT232" t="s">
        <v>8</v>
      </c>
      <c r="BU232" t="s">
        <v>18</v>
      </c>
      <c r="BV232">
        <v>24</v>
      </c>
      <c r="BW232">
        <v>4</v>
      </c>
      <c r="BX232">
        <v>2</v>
      </c>
      <c r="BY232">
        <v>2.64664157393661</v>
      </c>
      <c r="BZ232">
        <v>3.7</v>
      </c>
      <c r="CB232" t="str">
        <f t="shared" si="31"/>
        <v>FemaleOther25Sharp object</v>
      </c>
      <c r="CC232" t="s">
        <v>8</v>
      </c>
      <c r="CD232" t="s">
        <v>45</v>
      </c>
      <c r="CE232" t="s">
        <v>48</v>
      </c>
      <c r="CF232">
        <v>25</v>
      </c>
      <c r="CG232">
        <v>1</v>
      </c>
      <c r="CH232">
        <v>53</v>
      </c>
      <c r="CI232">
        <v>1.9</v>
      </c>
    </row>
    <row r="233" spans="1:87" x14ac:dyDescent="0.2">
      <c r="A233" t="str">
        <f t="shared" si="26"/>
        <v>1997AllSexAllEth25</v>
      </c>
      <c r="B233">
        <v>1997</v>
      </c>
      <c r="C233" t="s">
        <v>17</v>
      </c>
      <c r="D233" t="s">
        <v>27</v>
      </c>
      <c r="E233">
        <v>25</v>
      </c>
      <c r="F233">
        <v>54</v>
      </c>
      <c r="G233">
        <v>12.387594053954899</v>
      </c>
      <c r="H233">
        <v>3.3</v>
      </c>
      <c r="J233" s="358" t="str">
        <f t="shared" si="27"/>
        <v>2001FemaleAllEth195</v>
      </c>
      <c r="K233" s="359">
        <v>2001</v>
      </c>
      <c r="L233" t="s">
        <v>8</v>
      </c>
      <c r="M233" t="s">
        <v>27</v>
      </c>
      <c r="N233">
        <v>19</v>
      </c>
      <c r="O233">
        <v>5</v>
      </c>
      <c r="P233">
        <v>28</v>
      </c>
      <c r="Q233">
        <v>6.8888098856377402</v>
      </c>
      <c r="R233">
        <v>2.6</v>
      </c>
      <c r="T233" s="358" t="str">
        <f t="shared" si="29"/>
        <v>1997AllSexAllEth21Poisoning by solids and liquids</v>
      </c>
      <c r="U233" s="360">
        <v>1997</v>
      </c>
      <c r="V233" s="360" t="s">
        <v>17</v>
      </c>
      <c r="W233" s="360" t="s">
        <v>27</v>
      </c>
      <c r="X233" s="360">
        <v>21</v>
      </c>
      <c r="Y233" s="360" t="s">
        <v>47</v>
      </c>
      <c r="Z233" s="360">
        <v>1</v>
      </c>
      <c r="AA233" s="360">
        <v>8</v>
      </c>
      <c r="AB233" s="360">
        <v>12.5</v>
      </c>
      <c r="AQ233" t="str">
        <f t="shared" si="28"/>
        <v>2012FemaleUrban24</v>
      </c>
      <c r="AR233">
        <v>2012</v>
      </c>
      <c r="AS233" t="s">
        <v>8</v>
      </c>
      <c r="AT233" t="s">
        <v>97</v>
      </c>
      <c r="AU233">
        <v>24</v>
      </c>
      <c r="AV233">
        <v>35</v>
      </c>
      <c r="AW233">
        <v>7.2571949904619704</v>
      </c>
      <c r="AX233">
        <v>2.4</v>
      </c>
      <c r="BS233" t="str">
        <f t="shared" si="30"/>
        <v>FemaleMaori245</v>
      </c>
      <c r="BT233" t="s">
        <v>8</v>
      </c>
      <c r="BU233" t="s">
        <v>18</v>
      </c>
      <c r="BV233">
        <v>24</v>
      </c>
      <c r="BW233">
        <v>5</v>
      </c>
      <c r="BX233">
        <v>7</v>
      </c>
      <c r="BY233">
        <v>5.0911435083619301</v>
      </c>
      <c r="BZ233">
        <v>3.8</v>
      </c>
      <c r="CB233" t="str">
        <f t="shared" si="31"/>
        <v>FemaleOther22Submersion (drowning)</v>
      </c>
      <c r="CC233" t="s">
        <v>8</v>
      </c>
      <c r="CD233" t="s">
        <v>45</v>
      </c>
      <c r="CE233" t="s">
        <v>49</v>
      </c>
      <c r="CF233">
        <v>22</v>
      </c>
      <c r="CG233">
        <v>4</v>
      </c>
      <c r="CH233">
        <v>64</v>
      </c>
      <c r="CI233">
        <v>6.2</v>
      </c>
    </row>
    <row r="234" spans="1:87" x14ac:dyDescent="0.2">
      <c r="A234" t="str">
        <f t="shared" si="26"/>
        <v>1997AllSexMaori21</v>
      </c>
      <c r="B234">
        <v>1997</v>
      </c>
      <c r="C234" t="s">
        <v>17</v>
      </c>
      <c r="D234" t="s">
        <v>18</v>
      </c>
      <c r="E234">
        <v>21</v>
      </c>
      <c r="F234">
        <v>4</v>
      </c>
      <c r="J234" s="358" t="str">
        <f t="shared" si="27"/>
        <v>2002FemaleAllEth191</v>
      </c>
      <c r="K234" s="359">
        <v>2002</v>
      </c>
      <c r="L234" t="s">
        <v>8</v>
      </c>
      <c r="M234" t="s">
        <v>27</v>
      </c>
      <c r="N234">
        <v>19</v>
      </c>
      <c r="O234">
        <v>1</v>
      </c>
      <c r="P234">
        <v>18</v>
      </c>
      <c r="Q234">
        <v>4.4579493128011896</v>
      </c>
      <c r="R234">
        <v>2.1</v>
      </c>
      <c r="T234" s="358" t="str">
        <f t="shared" si="29"/>
        <v>1997AllSexAllEth22Poisoning by solids and liquids</v>
      </c>
      <c r="U234" s="360">
        <v>1997</v>
      </c>
      <c r="V234" s="360" t="s">
        <v>17</v>
      </c>
      <c r="W234" s="360" t="s">
        <v>27</v>
      </c>
      <c r="X234" s="360">
        <v>22</v>
      </c>
      <c r="Y234" s="360" t="s">
        <v>47</v>
      </c>
      <c r="Z234" s="360">
        <v>9</v>
      </c>
      <c r="AA234" s="360">
        <v>142</v>
      </c>
      <c r="AB234" s="360">
        <v>6.3</v>
      </c>
      <c r="AQ234" t="str">
        <f t="shared" si="28"/>
        <v>2012FemaleRural25</v>
      </c>
      <c r="AR234">
        <v>2012</v>
      </c>
      <c r="AS234" t="s">
        <v>8</v>
      </c>
      <c r="AT234" t="s">
        <v>96</v>
      </c>
      <c r="AU234">
        <v>25</v>
      </c>
      <c r="AV234">
        <v>0</v>
      </c>
      <c r="AW234">
        <v>0</v>
      </c>
      <c r="BS234" t="str">
        <f t="shared" si="30"/>
        <v>FemaleOther241</v>
      </c>
      <c r="BT234" t="s">
        <v>8</v>
      </c>
      <c r="BU234" t="s">
        <v>45</v>
      </c>
      <c r="BV234">
        <v>24</v>
      </c>
      <c r="BW234">
        <v>1</v>
      </c>
      <c r="BX234">
        <v>33</v>
      </c>
      <c r="BY234">
        <v>5.4840385580266497</v>
      </c>
      <c r="BZ234">
        <v>1.9</v>
      </c>
      <c r="CB234" t="str">
        <f t="shared" si="31"/>
        <v>FemaleOther23Submersion (drowning)</v>
      </c>
      <c r="CC234" t="s">
        <v>8</v>
      </c>
      <c r="CD234" t="s">
        <v>45</v>
      </c>
      <c r="CE234" t="s">
        <v>49</v>
      </c>
      <c r="CF234">
        <v>23</v>
      </c>
      <c r="CG234">
        <v>3</v>
      </c>
      <c r="CH234">
        <v>129</v>
      </c>
      <c r="CI234">
        <v>2.2999999999999998</v>
      </c>
    </row>
    <row r="235" spans="1:87" x14ac:dyDescent="0.2">
      <c r="A235" t="str">
        <f t="shared" si="26"/>
        <v>1997AllSexMaori22</v>
      </c>
      <c r="B235">
        <v>1997</v>
      </c>
      <c r="C235" t="s">
        <v>17</v>
      </c>
      <c r="D235" t="s">
        <v>18</v>
      </c>
      <c r="E235">
        <v>22</v>
      </c>
      <c r="F235">
        <v>38</v>
      </c>
      <c r="G235">
        <v>36.496350364963497</v>
      </c>
      <c r="H235">
        <v>11.6</v>
      </c>
      <c r="J235" s="358" t="str">
        <f t="shared" si="27"/>
        <v>2002FemaleAllEth192</v>
      </c>
      <c r="K235" s="359">
        <v>2002</v>
      </c>
      <c r="L235" t="s">
        <v>8</v>
      </c>
      <c r="M235" t="s">
        <v>27</v>
      </c>
      <c r="N235">
        <v>19</v>
      </c>
      <c r="O235">
        <v>2</v>
      </c>
      <c r="P235">
        <v>14</v>
      </c>
      <c r="Q235">
        <v>3.5745795723654101</v>
      </c>
      <c r="R235">
        <v>1.9</v>
      </c>
      <c r="T235" s="358" t="str">
        <f t="shared" si="29"/>
        <v>1997AllSexAllEth23Poisoning by solids and liquids</v>
      </c>
      <c r="U235" s="360">
        <v>1997</v>
      </c>
      <c r="V235" s="360" t="s">
        <v>17</v>
      </c>
      <c r="W235" s="360" t="s">
        <v>27</v>
      </c>
      <c r="X235" s="360">
        <v>23</v>
      </c>
      <c r="Y235" s="360" t="s">
        <v>47</v>
      </c>
      <c r="Z235" s="360">
        <v>27</v>
      </c>
      <c r="AA235" s="360">
        <v>256</v>
      </c>
      <c r="AB235" s="360">
        <v>10.5</v>
      </c>
      <c r="AQ235" t="str">
        <f t="shared" si="28"/>
        <v>2012FemaleUrban25</v>
      </c>
      <c r="AR235">
        <v>2012</v>
      </c>
      <c r="AS235" t="s">
        <v>8</v>
      </c>
      <c r="AT235" t="s">
        <v>97</v>
      </c>
      <c r="AU235">
        <v>25</v>
      </c>
      <c r="AV235">
        <v>14</v>
      </c>
      <c r="AW235">
        <v>4.8641512056146201</v>
      </c>
      <c r="AX235">
        <v>2.5</v>
      </c>
      <c r="BS235" t="str">
        <f t="shared" si="30"/>
        <v>FemaleOther242</v>
      </c>
      <c r="BT235" t="s">
        <v>8</v>
      </c>
      <c r="BU235" t="s">
        <v>45</v>
      </c>
      <c r="BV235">
        <v>24</v>
      </c>
      <c r="BW235">
        <v>2</v>
      </c>
      <c r="BX235">
        <v>42</v>
      </c>
      <c r="BY235">
        <v>8.1930313029765394</v>
      </c>
      <c r="BZ235">
        <v>2.5</v>
      </c>
      <c r="CB235" t="str">
        <f t="shared" si="31"/>
        <v>FemaleOther24Submersion (drowning)</v>
      </c>
      <c r="CC235" t="s">
        <v>8</v>
      </c>
      <c r="CD235" t="s">
        <v>45</v>
      </c>
      <c r="CE235" t="s">
        <v>49</v>
      </c>
      <c r="CF235">
        <v>24</v>
      </c>
      <c r="CG235">
        <v>10</v>
      </c>
      <c r="CH235">
        <v>182</v>
      </c>
      <c r="CI235">
        <v>5.5</v>
      </c>
    </row>
    <row r="236" spans="1:87" x14ac:dyDescent="0.2">
      <c r="A236" t="str">
        <f t="shared" si="26"/>
        <v>1997AllSexMaori23</v>
      </c>
      <c r="B236">
        <v>1997</v>
      </c>
      <c r="C236" t="s">
        <v>17</v>
      </c>
      <c r="D236" t="s">
        <v>18</v>
      </c>
      <c r="E236">
        <v>23</v>
      </c>
      <c r="F236">
        <v>56</v>
      </c>
      <c r="G236">
        <v>36.558297427862598</v>
      </c>
      <c r="H236">
        <v>9.6</v>
      </c>
      <c r="J236" s="358" t="str">
        <f t="shared" si="27"/>
        <v>2002FemaleAllEth193</v>
      </c>
      <c r="K236" s="359">
        <v>2002</v>
      </c>
      <c r="L236" t="s">
        <v>8</v>
      </c>
      <c r="M236" t="s">
        <v>27</v>
      </c>
      <c r="N236">
        <v>19</v>
      </c>
      <c r="O236">
        <v>3</v>
      </c>
      <c r="P236">
        <v>18</v>
      </c>
      <c r="Q236">
        <v>4.7896784448386001</v>
      </c>
      <c r="R236">
        <v>2.2000000000000002</v>
      </c>
      <c r="T236" s="358" t="str">
        <f t="shared" si="29"/>
        <v>1997AllSexAllEth24Poisoning by solids and liquids</v>
      </c>
      <c r="U236" s="360">
        <v>1997</v>
      </c>
      <c r="V236" s="360" t="s">
        <v>17</v>
      </c>
      <c r="W236" s="360" t="s">
        <v>27</v>
      </c>
      <c r="X236" s="360">
        <v>24</v>
      </c>
      <c r="Y236" s="360" t="s">
        <v>47</v>
      </c>
      <c r="Z236" s="360">
        <v>14</v>
      </c>
      <c r="AA236" s="360">
        <v>102</v>
      </c>
      <c r="AB236" s="360">
        <v>13.7</v>
      </c>
      <c r="AQ236" t="str">
        <f t="shared" si="28"/>
        <v>2012MaleRural22</v>
      </c>
      <c r="AR236">
        <v>2012</v>
      </c>
      <c r="AS236" t="s">
        <v>20</v>
      </c>
      <c r="AT236" t="s">
        <v>96</v>
      </c>
      <c r="AU236">
        <v>22</v>
      </c>
      <c r="AV236">
        <v>10</v>
      </c>
      <c r="AW236">
        <v>26.441036488630399</v>
      </c>
      <c r="AX236">
        <v>16.399999999999999</v>
      </c>
      <c r="BS236" t="str">
        <f t="shared" si="30"/>
        <v>FemaleOther243</v>
      </c>
      <c r="BT236" t="s">
        <v>8</v>
      </c>
      <c r="BU236" t="s">
        <v>45</v>
      </c>
      <c r="BV236">
        <v>24</v>
      </c>
      <c r="BW236">
        <v>3</v>
      </c>
      <c r="BX236">
        <v>31</v>
      </c>
      <c r="BY236">
        <v>6.9837251738650803</v>
      </c>
      <c r="BZ236">
        <v>2.5</v>
      </c>
      <c r="CB236" t="str">
        <f t="shared" si="31"/>
        <v>FemaleOther25Submersion (drowning)</v>
      </c>
      <c r="CC236" t="s">
        <v>8</v>
      </c>
      <c r="CD236" t="s">
        <v>45</v>
      </c>
      <c r="CE236" t="s">
        <v>49</v>
      </c>
      <c r="CF236">
        <v>25</v>
      </c>
      <c r="CG236">
        <v>2</v>
      </c>
      <c r="CH236">
        <v>53</v>
      </c>
      <c r="CI236">
        <v>3.8</v>
      </c>
    </row>
    <row r="237" spans="1:87" x14ac:dyDescent="0.2">
      <c r="A237" t="str">
        <f t="shared" si="26"/>
        <v>1997AllSexMaori24</v>
      </c>
      <c r="B237">
        <v>1997</v>
      </c>
      <c r="C237" t="s">
        <v>17</v>
      </c>
      <c r="D237" t="s">
        <v>18</v>
      </c>
      <c r="E237">
        <v>24</v>
      </c>
      <c r="F237">
        <v>7</v>
      </c>
      <c r="G237">
        <v>10.644768856447699</v>
      </c>
      <c r="H237">
        <v>7.9</v>
      </c>
      <c r="J237" s="358" t="str">
        <f t="shared" si="27"/>
        <v>2002FemaleAllEth194</v>
      </c>
      <c r="K237" s="359">
        <v>2002</v>
      </c>
      <c r="L237" t="s">
        <v>8</v>
      </c>
      <c r="M237" t="s">
        <v>27</v>
      </c>
      <c r="N237">
        <v>19</v>
      </c>
      <c r="O237">
        <v>4</v>
      </c>
      <c r="P237">
        <v>27</v>
      </c>
      <c r="Q237">
        <v>6.50052438195305</v>
      </c>
      <c r="R237">
        <v>2.5</v>
      </c>
      <c r="T237" s="358" t="str">
        <f t="shared" si="29"/>
        <v>1997AllSexAllEth25Poisoning by solids and liquids</v>
      </c>
      <c r="U237" s="360">
        <v>1997</v>
      </c>
      <c r="V237" s="360" t="s">
        <v>17</v>
      </c>
      <c r="W237" s="360" t="s">
        <v>27</v>
      </c>
      <c r="X237" s="360">
        <v>25</v>
      </c>
      <c r="Y237" s="360" t="s">
        <v>47</v>
      </c>
      <c r="Z237" s="360">
        <v>8</v>
      </c>
      <c r="AA237" s="360">
        <v>54</v>
      </c>
      <c r="AB237" s="360">
        <v>14.8</v>
      </c>
      <c r="AQ237" t="str">
        <f t="shared" si="28"/>
        <v>2012MaleUrban22</v>
      </c>
      <c r="AR237">
        <v>2012</v>
      </c>
      <c r="AS237" t="s">
        <v>20</v>
      </c>
      <c r="AT237" t="s">
        <v>97</v>
      </c>
      <c r="AU237">
        <v>22</v>
      </c>
      <c r="AV237">
        <v>97</v>
      </c>
      <c r="AW237">
        <v>34.8469607702256</v>
      </c>
      <c r="AX237">
        <v>6.9</v>
      </c>
      <c r="BS237" t="str">
        <f t="shared" si="30"/>
        <v>FemaleOther244</v>
      </c>
      <c r="BT237" t="s">
        <v>8</v>
      </c>
      <c r="BU237" t="s">
        <v>45</v>
      </c>
      <c r="BV237">
        <v>24</v>
      </c>
      <c r="BW237">
        <v>4</v>
      </c>
      <c r="BX237">
        <v>33</v>
      </c>
      <c r="BY237">
        <v>9.0516590896639801</v>
      </c>
      <c r="BZ237">
        <v>3.1</v>
      </c>
      <c r="CB237" t="str">
        <f t="shared" si="31"/>
        <v>FemalePacific21Hanging, strangulation and suffocation</v>
      </c>
      <c r="CC237" t="s">
        <v>8</v>
      </c>
      <c r="CD237" t="s">
        <v>79</v>
      </c>
      <c r="CE237" t="s">
        <v>43</v>
      </c>
      <c r="CF237">
        <v>21</v>
      </c>
      <c r="CG237">
        <v>5</v>
      </c>
      <c r="CH237">
        <v>6</v>
      </c>
      <c r="CI237">
        <v>83.3</v>
      </c>
    </row>
    <row r="238" spans="1:87" x14ac:dyDescent="0.2">
      <c r="A238" t="str">
        <f t="shared" si="26"/>
        <v>1997AllSexMaori25</v>
      </c>
      <c r="B238">
        <v>1997</v>
      </c>
      <c r="C238" t="s">
        <v>17</v>
      </c>
      <c r="D238" t="s">
        <v>18</v>
      </c>
      <c r="E238">
        <v>25</v>
      </c>
      <c r="F238">
        <v>1</v>
      </c>
      <c r="G238">
        <v>6.2111801242236</v>
      </c>
      <c r="H238">
        <v>12.2</v>
      </c>
      <c r="J238" s="358" t="str">
        <f t="shared" si="27"/>
        <v>2002FemaleAllEth195</v>
      </c>
      <c r="K238" s="359">
        <v>2002</v>
      </c>
      <c r="L238" t="s">
        <v>8</v>
      </c>
      <c r="M238" t="s">
        <v>27</v>
      </c>
      <c r="N238">
        <v>19</v>
      </c>
      <c r="O238">
        <v>5</v>
      </c>
      <c r="P238">
        <v>27</v>
      </c>
      <c r="Q238">
        <v>6.56763093266221</v>
      </c>
      <c r="R238">
        <v>2.5</v>
      </c>
      <c r="T238" s="358" t="str">
        <f t="shared" si="29"/>
        <v>1997AllSexAllEth23Sharp object</v>
      </c>
      <c r="U238" s="360">
        <v>1997</v>
      </c>
      <c r="V238" s="360" t="s">
        <v>17</v>
      </c>
      <c r="W238" s="360" t="s">
        <v>27</v>
      </c>
      <c r="X238" s="360">
        <v>23</v>
      </c>
      <c r="Y238" s="360" t="s">
        <v>48</v>
      </c>
      <c r="Z238" s="360">
        <v>5</v>
      </c>
      <c r="AA238" s="360">
        <v>256</v>
      </c>
      <c r="AB238" s="360">
        <v>2</v>
      </c>
      <c r="AQ238" t="str">
        <f t="shared" si="28"/>
        <v>2012MaleRural23</v>
      </c>
      <c r="AR238">
        <v>2012</v>
      </c>
      <c r="AS238" t="s">
        <v>20</v>
      </c>
      <c r="AT238" t="s">
        <v>96</v>
      </c>
      <c r="AU238">
        <v>23</v>
      </c>
      <c r="AV238">
        <v>16</v>
      </c>
      <c r="AW238">
        <v>22.611644997173499</v>
      </c>
      <c r="AX238">
        <v>11.1</v>
      </c>
      <c r="BS238" t="str">
        <f t="shared" si="30"/>
        <v>FemaleOther245</v>
      </c>
      <c r="BT238" t="s">
        <v>8</v>
      </c>
      <c r="BU238" t="s">
        <v>45</v>
      </c>
      <c r="BV238">
        <v>24</v>
      </c>
      <c r="BW238">
        <v>5</v>
      </c>
      <c r="BX238">
        <v>38</v>
      </c>
      <c r="BY238">
        <v>16.343414349787601</v>
      </c>
      <c r="BZ238">
        <v>5.2</v>
      </c>
      <c r="CB238" t="str">
        <f t="shared" si="31"/>
        <v>FemalePacific22Hanging, strangulation and suffocation</v>
      </c>
      <c r="CC238" t="s">
        <v>8</v>
      </c>
      <c r="CD238" t="s">
        <v>79</v>
      </c>
      <c r="CE238" t="s">
        <v>43</v>
      </c>
      <c r="CF238">
        <v>22</v>
      </c>
      <c r="CG238">
        <v>15</v>
      </c>
      <c r="CH238">
        <v>17</v>
      </c>
      <c r="CI238">
        <v>88.2</v>
      </c>
    </row>
    <row r="239" spans="1:87" x14ac:dyDescent="0.2">
      <c r="A239" t="str">
        <f t="shared" si="26"/>
        <v>1997AllSexNon-Maori21</v>
      </c>
      <c r="B239">
        <v>1997</v>
      </c>
      <c r="C239" t="s">
        <v>17</v>
      </c>
      <c r="D239" t="s">
        <v>19</v>
      </c>
      <c r="E239">
        <v>21</v>
      </c>
      <c r="F239">
        <v>4</v>
      </c>
      <c r="J239" s="358" t="str">
        <f t="shared" si="27"/>
        <v>2003FemaleAllEth191</v>
      </c>
      <c r="K239" s="359">
        <v>2003</v>
      </c>
      <c r="L239" t="s">
        <v>8</v>
      </c>
      <c r="M239" t="s">
        <v>27</v>
      </c>
      <c r="N239">
        <v>19</v>
      </c>
      <c r="O239">
        <v>1</v>
      </c>
      <c r="P239">
        <v>15</v>
      </c>
      <c r="Q239">
        <v>3.82640798239132</v>
      </c>
      <c r="R239">
        <v>1.9</v>
      </c>
      <c r="T239" s="358" t="str">
        <f t="shared" si="29"/>
        <v>1997AllSexAllEth24Sharp object</v>
      </c>
      <c r="U239" s="360">
        <v>1997</v>
      </c>
      <c r="V239" s="360" t="s">
        <v>17</v>
      </c>
      <c r="W239" s="360" t="s">
        <v>27</v>
      </c>
      <c r="X239" s="360">
        <v>24</v>
      </c>
      <c r="Y239" s="360" t="s">
        <v>48</v>
      </c>
      <c r="Z239" s="360">
        <v>5</v>
      </c>
      <c r="AA239" s="360">
        <v>102</v>
      </c>
      <c r="AB239" s="360">
        <v>4.9000000000000004</v>
      </c>
      <c r="AQ239" t="str">
        <f t="shared" si="28"/>
        <v>2012MaleUrban23</v>
      </c>
      <c r="AR239">
        <v>2012</v>
      </c>
      <c r="AS239" t="s">
        <v>20</v>
      </c>
      <c r="AT239" t="s">
        <v>97</v>
      </c>
      <c r="AU239">
        <v>23</v>
      </c>
      <c r="AV239">
        <v>126</v>
      </c>
      <c r="AW239">
        <v>26.4106648780079</v>
      </c>
      <c r="AX239">
        <v>4.5999999999999996</v>
      </c>
      <c r="BS239" t="str">
        <f t="shared" si="30"/>
        <v>FemalePacific241</v>
      </c>
      <c r="BT239" t="s">
        <v>8</v>
      </c>
      <c r="BU239" t="s">
        <v>79</v>
      </c>
      <c r="BV239">
        <v>24</v>
      </c>
      <c r="BW239">
        <v>1</v>
      </c>
      <c r="BX239">
        <v>0</v>
      </c>
      <c r="BY239">
        <v>0</v>
      </c>
      <c r="CB239" t="str">
        <f t="shared" si="31"/>
        <v>FemalePacific23Hanging, strangulation and suffocation</v>
      </c>
      <c r="CC239" t="s">
        <v>8</v>
      </c>
      <c r="CD239" t="s">
        <v>79</v>
      </c>
      <c r="CE239" t="s">
        <v>43</v>
      </c>
      <c r="CF239">
        <v>23</v>
      </c>
      <c r="CG239">
        <v>4</v>
      </c>
      <c r="CH239">
        <v>5</v>
      </c>
      <c r="CI239">
        <v>80</v>
      </c>
    </row>
    <row r="240" spans="1:87" x14ac:dyDescent="0.2">
      <c r="A240" t="str">
        <f t="shared" si="26"/>
        <v>1997AllSexNon-Maori22</v>
      </c>
      <c r="B240">
        <v>1997</v>
      </c>
      <c r="C240" t="s">
        <v>17</v>
      </c>
      <c r="D240" t="s">
        <v>19</v>
      </c>
      <c r="E240">
        <v>22</v>
      </c>
      <c r="F240">
        <v>104</v>
      </c>
      <c r="G240">
        <v>23.608462725869401</v>
      </c>
      <c r="H240">
        <v>4.5</v>
      </c>
      <c r="J240" s="358" t="str">
        <f t="shared" si="27"/>
        <v>2003FemaleAllEth192</v>
      </c>
      <c r="K240" s="359">
        <v>2003</v>
      </c>
      <c r="L240" t="s">
        <v>8</v>
      </c>
      <c r="M240" t="s">
        <v>27</v>
      </c>
      <c r="N240">
        <v>19</v>
      </c>
      <c r="O240">
        <v>2</v>
      </c>
      <c r="P240">
        <v>16</v>
      </c>
      <c r="Q240">
        <v>3.6539267135674001</v>
      </c>
      <c r="R240">
        <v>1.8</v>
      </c>
      <c r="T240" s="358" t="str">
        <f t="shared" si="29"/>
        <v>1997AllSexAllEth25Sharp object</v>
      </c>
      <c r="U240" s="360">
        <v>1997</v>
      </c>
      <c r="V240" s="360" t="s">
        <v>17</v>
      </c>
      <c r="W240" s="360" t="s">
        <v>27</v>
      </c>
      <c r="X240" s="360">
        <v>25</v>
      </c>
      <c r="Y240" s="360" t="s">
        <v>48</v>
      </c>
      <c r="Z240" s="360">
        <v>4</v>
      </c>
      <c r="AA240" s="360">
        <v>54</v>
      </c>
      <c r="AB240" s="360">
        <v>7.4</v>
      </c>
      <c r="AQ240" t="str">
        <f t="shared" si="28"/>
        <v>2012MaleRural24</v>
      </c>
      <c r="AR240">
        <v>2012</v>
      </c>
      <c r="AS240" t="s">
        <v>20</v>
      </c>
      <c r="AT240" t="s">
        <v>96</v>
      </c>
      <c r="AU240">
        <v>24</v>
      </c>
      <c r="AV240">
        <v>28</v>
      </c>
      <c r="AW240">
        <v>27.955271565495199</v>
      </c>
      <c r="AX240">
        <v>10.4</v>
      </c>
      <c r="BS240" t="str">
        <f t="shared" si="30"/>
        <v>FemalePacific242</v>
      </c>
      <c r="BT240" t="s">
        <v>8</v>
      </c>
      <c r="BU240" t="s">
        <v>79</v>
      </c>
      <c r="BV240">
        <v>24</v>
      </c>
      <c r="BW240">
        <v>2</v>
      </c>
      <c r="BX240">
        <v>1</v>
      </c>
      <c r="BY240">
        <v>8.8611872549456692</v>
      </c>
      <c r="BZ240">
        <v>17.399999999999999</v>
      </c>
      <c r="CB240" t="str">
        <f t="shared" si="31"/>
        <v>FemalePacific24Hanging, strangulation and suffocation</v>
      </c>
      <c r="CC240" t="s">
        <v>8</v>
      </c>
      <c r="CD240" t="s">
        <v>79</v>
      </c>
      <c r="CE240" t="s">
        <v>43</v>
      </c>
      <c r="CF240">
        <v>24</v>
      </c>
      <c r="CG240">
        <v>3</v>
      </c>
      <c r="CH240">
        <v>6</v>
      </c>
      <c r="CI240">
        <v>50</v>
      </c>
    </row>
    <row r="241" spans="1:87" x14ac:dyDescent="0.2">
      <c r="A241" t="str">
        <f t="shared" si="26"/>
        <v>1997AllSexNon-Maori23</v>
      </c>
      <c r="B241">
        <v>1997</v>
      </c>
      <c r="C241" t="s">
        <v>17</v>
      </c>
      <c r="D241" t="s">
        <v>19</v>
      </c>
      <c r="E241">
        <v>23</v>
      </c>
      <c r="F241">
        <v>200</v>
      </c>
      <c r="G241">
        <v>19.763431722284299</v>
      </c>
      <c r="H241">
        <v>2.7</v>
      </c>
      <c r="J241" s="358" t="str">
        <f t="shared" si="27"/>
        <v>2003FemaleAllEth193</v>
      </c>
      <c r="K241" s="359">
        <v>2003</v>
      </c>
      <c r="L241" t="s">
        <v>8</v>
      </c>
      <c r="M241" t="s">
        <v>27</v>
      </c>
      <c r="N241">
        <v>19</v>
      </c>
      <c r="O241">
        <v>3</v>
      </c>
      <c r="P241">
        <v>33</v>
      </c>
      <c r="Q241">
        <v>7.6911121663073496</v>
      </c>
      <c r="R241">
        <v>2.6</v>
      </c>
      <c r="T241" s="358" t="str">
        <f t="shared" si="29"/>
        <v>1997AllSexAllEth22Submersion (drowning)</v>
      </c>
      <c r="U241" s="360">
        <v>1997</v>
      </c>
      <c r="V241" s="360" t="s">
        <v>17</v>
      </c>
      <c r="W241" s="360" t="s">
        <v>27</v>
      </c>
      <c r="X241" s="360">
        <v>22</v>
      </c>
      <c r="Y241" s="360" t="s">
        <v>49</v>
      </c>
      <c r="Z241" s="360">
        <v>1</v>
      </c>
      <c r="AA241" s="360">
        <v>142</v>
      </c>
      <c r="AB241" s="360">
        <v>0.7</v>
      </c>
      <c r="AQ241" t="str">
        <f t="shared" si="28"/>
        <v>2012MaleUrban24</v>
      </c>
      <c r="AR241">
        <v>2012</v>
      </c>
      <c r="AS241" t="s">
        <v>20</v>
      </c>
      <c r="AT241" t="s">
        <v>97</v>
      </c>
      <c r="AU241">
        <v>24</v>
      </c>
      <c r="AV241">
        <v>76</v>
      </c>
      <c r="AW241">
        <v>17.001856781727501</v>
      </c>
      <c r="AX241">
        <v>3.8</v>
      </c>
      <c r="BS241" t="str">
        <f t="shared" si="30"/>
        <v>FemalePacific243</v>
      </c>
      <c r="BT241" t="s">
        <v>8</v>
      </c>
      <c r="BU241" t="s">
        <v>79</v>
      </c>
      <c r="BV241">
        <v>24</v>
      </c>
      <c r="BW241">
        <v>3</v>
      </c>
      <c r="BX241">
        <v>0</v>
      </c>
      <c r="BY241">
        <v>0</v>
      </c>
      <c r="CB241" t="str">
        <f t="shared" si="31"/>
        <v>FemalePacific25Hanging, strangulation and suffocation</v>
      </c>
      <c r="CC241" t="s">
        <v>8</v>
      </c>
      <c r="CD241" t="s">
        <v>79</v>
      </c>
      <c r="CE241" t="s">
        <v>43</v>
      </c>
      <c r="CF241">
        <v>25</v>
      </c>
      <c r="CG241">
        <v>1</v>
      </c>
      <c r="CH241">
        <v>1</v>
      </c>
      <c r="CI241">
        <v>100</v>
      </c>
    </row>
    <row r="242" spans="1:87" x14ac:dyDescent="0.2">
      <c r="A242" t="str">
        <f t="shared" si="26"/>
        <v>1997AllSexNon-Maori24</v>
      </c>
      <c r="B242">
        <v>1997</v>
      </c>
      <c r="C242" t="s">
        <v>17</v>
      </c>
      <c r="D242" t="s">
        <v>19</v>
      </c>
      <c r="E242">
        <v>24</v>
      </c>
      <c r="F242">
        <v>95</v>
      </c>
      <c r="G242">
        <v>13.5431813645824</v>
      </c>
      <c r="H242">
        <v>2.7</v>
      </c>
      <c r="J242" s="358" t="str">
        <f t="shared" si="27"/>
        <v>2003FemaleAllEth194</v>
      </c>
      <c r="K242" s="359">
        <v>2003</v>
      </c>
      <c r="L242" t="s">
        <v>8</v>
      </c>
      <c r="M242" t="s">
        <v>27</v>
      </c>
      <c r="N242">
        <v>19</v>
      </c>
      <c r="O242">
        <v>4</v>
      </c>
      <c r="P242">
        <v>27</v>
      </c>
      <c r="Q242">
        <v>6.1399591072496698</v>
      </c>
      <c r="R242">
        <v>2.2999999999999998</v>
      </c>
      <c r="T242" s="358" t="str">
        <f t="shared" si="29"/>
        <v>1997AllSexAllEth23Submersion (drowning)</v>
      </c>
      <c r="U242" s="360">
        <v>1997</v>
      </c>
      <c r="V242" s="360" t="s">
        <v>17</v>
      </c>
      <c r="W242" s="360" t="s">
        <v>27</v>
      </c>
      <c r="X242" s="360">
        <v>23</v>
      </c>
      <c r="Y242" s="360" t="s">
        <v>49</v>
      </c>
      <c r="Z242" s="360">
        <v>6</v>
      </c>
      <c r="AA242" s="360">
        <v>256</v>
      </c>
      <c r="AB242" s="360">
        <v>2.2999999999999998</v>
      </c>
      <c r="AQ242" t="str">
        <f t="shared" si="28"/>
        <v>2012MaleRural25</v>
      </c>
      <c r="AR242">
        <v>2012</v>
      </c>
      <c r="AS242" t="s">
        <v>20</v>
      </c>
      <c r="AT242" t="s">
        <v>96</v>
      </c>
      <c r="AU242">
        <v>25</v>
      </c>
      <c r="AV242">
        <v>6</v>
      </c>
      <c r="AW242">
        <v>13.7362637362637</v>
      </c>
      <c r="AX242">
        <v>11</v>
      </c>
      <c r="BS242" t="str">
        <f t="shared" si="30"/>
        <v>FemalePacific244</v>
      </c>
      <c r="BT242" t="s">
        <v>8</v>
      </c>
      <c r="BU242" t="s">
        <v>79</v>
      </c>
      <c r="BV242">
        <v>24</v>
      </c>
      <c r="BW242">
        <v>4</v>
      </c>
      <c r="BX242">
        <v>2</v>
      </c>
      <c r="BY242">
        <v>7.48713254903776</v>
      </c>
      <c r="BZ242">
        <v>10.4</v>
      </c>
      <c r="CB242" t="str">
        <f t="shared" si="31"/>
        <v>FemalePacific21Other</v>
      </c>
      <c r="CC242" t="s">
        <v>8</v>
      </c>
      <c r="CD242" t="s">
        <v>79</v>
      </c>
      <c r="CE242" t="s">
        <v>45</v>
      </c>
      <c r="CF242">
        <v>21</v>
      </c>
      <c r="CG242">
        <v>1</v>
      </c>
      <c r="CH242">
        <v>6</v>
      </c>
      <c r="CI242">
        <v>16.7</v>
      </c>
    </row>
    <row r="243" spans="1:87" x14ac:dyDescent="0.2">
      <c r="A243" t="str">
        <f t="shared" si="26"/>
        <v>1997AllSexNon-Maori25</v>
      </c>
      <c r="B243">
        <v>1997</v>
      </c>
      <c r="C243" t="s">
        <v>17</v>
      </c>
      <c r="D243" t="s">
        <v>19</v>
      </c>
      <c r="E243">
        <v>25</v>
      </c>
      <c r="F243">
        <v>53</v>
      </c>
      <c r="G243">
        <v>12.6244581010909</v>
      </c>
      <c r="H243">
        <v>3.4</v>
      </c>
      <c r="J243" s="358" t="str">
        <f t="shared" si="27"/>
        <v>2003FemaleAllEth195</v>
      </c>
      <c r="K243" s="359">
        <v>2003</v>
      </c>
      <c r="L243" t="s">
        <v>8</v>
      </c>
      <c r="M243" t="s">
        <v>27</v>
      </c>
      <c r="N243">
        <v>19</v>
      </c>
      <c r="O243">
        <v>5</v>
      </c>
      <c r="P243">
        <v>39</v>
      </c>
      <c r="Q243">
        <v>9.2123736313424303</v>
      </c>
      <c r="R243">
        <v>2.9</v>
      </c>
      <c r="T243" s="358" t="str">
        <f t="shared" si="29"/>
        <v>1997AllSexAllEth24Submersion (drowning)</v>
      </c>
      <c r="U243" s="360">
        <v>1997</v>
      </c>
      <c r="V243" s="360" t="s">
        <v>17</v>
      </c>
      <c r="W243" s="360" t="s">
        <v>27</v>
      </c>
      <c r="X243" s="360">
        <v>24</v>
      </c>
      <c r="Y243" s="360" t="s">
        <v>49</v>
      </c>
      <c r="Z243" s="360">
        <v>5</v>
      </c>
      <c r="AA243" s="360">
        <v>102</v>
      </c>
      <c r="AB243" s="360">
        <v>4.9000000000000004</v>
      </c>
      <c r="AQ243" t="str">
        <f t="shared" si="28"/>
        <v>2012MaleUrban25</v>
      </c>
      <c r="AR243">
        <v>2012</v>
      </c>
      <c r="AS243" t="s">
        <v>20</v>
      </c>
      <c r="AT243" t="s">
        <v>97</v>
      </c>
      <c r="AU243">
        <v>25</v>
      </c>
      <c r="AV243">
        <v>37</v>
      </c>
      <c r="AW243">
        <v>15.8716540837337</v>
      </c>
      <c r="AX243">
        <v>5.0999999999999996</v>
      </c>
      <c r="BS243" t="str">
        <f t="shared" si="30"/>
        <v>FemalePacific245</v>
      </c>
      <c r="BT243" t="s">
        <v>8</v>
      </c>
      <c r="BU243" t="s">
        <v>79</v>
      </c>
      <c r="BV243">
        <v>24</v>
      </c>
      <c r="BW243">
        <v>5</v>
      </c>
      <c r="BX243">
        <v>3</v>
      </c>
      <c r="BY243">
        <v>4.2113207433908304</v>
      </c>
      <c r="BZ243">
        <v>4.8</v>
      </c>
      <c r="CB243" t="str">
        <f t="shared" si="31"/>
        <v>FemalePacific23Other</v>
      </c>
      <c r="CC243" t="s">
        <v>8</v>
      </c>
      <c r="CD243" t="s">
        <v>79</v>
      </c>
      <c r="CE243" t="s">
        <v>45</v>
      </c>
      <c r="CF243">
        <v>23</v>
      </c>
      <c r="CG243">
        <v>1</v>
      </c>
      <c r="CH243">
        <v>5</v>
      </c>
      <c r="CI243">
        <v>20</v>
      </c>
    </row>
    <row r="244" spans="1:87" x14ac:dyDescent="0.2">
      <c r="A244" t="str">
        <f t="shared" si="26"/>
        <v>1997FemaleAllEth21</v>
      </c>
      <c r="B244">
        <v>1997</v>
      </c>
      <c r="C244" t="s">
        <v>8</v>
      </c>
      <c r="D244" t="s">
        <v>27</v>
      </c>
      <c r="E244">
        <v>21</v>
      </c>
      <c r="F244">
        <v>3</v>
      </c>
      <c r="J244" s="358" t="str">
        <f t="shared" si="27"/>
        <v>2004FemaleAllEth191</v>
      </c>
      <c r="K244" s="359">
        <v>2004</v>
      </c>
      <c r="L244" t="s">
        <v>8</v>
      </c>
      <c r="M244" t="s">
        <v>27</v>
      </c>
      <c r="N244">
        <v>19</v>
      </c>
      <c r="O244">
        <v>1</v>
      </c>
      <c r="P244">
        <v>4</v>
      </c>
      <c r="Q244">
        <v>1.19661890525868</v>
      </c>
      <c r="R244">
        <v>1.2</v>
      </c>
      <c r="T244" s="358" t="str">
        <f t="shared" si="29"/>
        <v>1997AllSexAllEth25Submersion (drowning)</v>
      </c>
      <c r="U244" s="360">
        <v>1997</v>
      </c>
      <c r="V244" s="360" t="s">
        <v>17</v>
      </c>
      <c r="W244" s="360" t="s">
        <v>27</v>
      </c>
      <c r="X244" s="360">
        <v>25</v>
      </c>
      <c r="Y244" s="360" t="s">
        <v>49</v>
      </c>
      <c r="Z244" s="360">
        <v>5</v>
      </c>
      <c r="AA244" s="360">
        <v>54</v>
      </c>
      <c r="AB244" s="360">
        <v>9.3000000000000007</v>
      </c>
      <c r="AQ244" t="str">
        <f t="shared" si="28"/>
        <v>2013AllSexRural22</v>
      </c>
      <c r="AR244">
        <v>2013</v>
      </c>
      <c r="AS244" t="s">
        <v>17</v>
      </c>
      <c r="AT244" t="s">
        <v>96</v>
      </c>
      <c r="AU244">
        <v>22</v>
      </c>
      <c r="AV244">
        <v>16</v>
      </c>
      <c r="AW244">
        <v>22.873481057898498</v>
      </c>
      <c r="AX244">
        <v>11.2</v>
      </c>
      <c r="BS244" t="str">
        <f t="shared" si="30"/>
        <v>FemaleAsian251</v>
      </c>
      <c r="BT244" t="s">
        <v>8</v>
      </c>
      <c r="BU244" t="s">
        <v>78</v>
      </c>
      <c r="BV244">
        <v>25</v>
      </c>
      <c r="BW244">
        <v>1</v>
      </c>
      <c r="BX244">
        <v>4</v>
      </c>
      <c r="BY244">
        <v>23.8122649524589</v>
      </c>
      <c r="BZ244">
        <v>23.3</v>
      </c>
      <c r="CB244" t="str">
        <f t="shared" si="31"/>
        <v>FemalePacific22Poisoning by solids and liquids</v>
      </c>
      <c r="CC244" t="s">
        <v>8</v>
      </c>
      <c r="CD244" t="s">
        <v>79</v>
      </c>
      <c r="CE244" t="s">
        <v>47</v>
      </c>
      <c r="CF244">
        <v>22</v>
      </c>
      <c r="CG244">
        <v>2</v>
      </c>
      <c r="CH244">
        <v>17</v>
      </c>
      <c r="CI244">
        <v>11.8</v>
      </c>
    </row>
    <row r="245" spans="1:87" x14ac:dyDescent="0.2">
      <c r="A245" t="str">
        <f t="shared" si="26"/>
        <v>1997FemaleAllEth22</v>
      </c>
      <c r="B245">
        <v>1997</v>
      </c>
      <c r="C245" t="s">
        <v>8</v>
      </c>
      <c r="D245" t="s">
        <v>27</v>
      </c>
      <c r="E245">
        <v>22</v>
      </c>
      <c r="F245">
        <v>29</v>
      </c>
      <c r="G245">
        <v>10.7694592988711</v>
      </c>
      <c r="H245">
        <v>3.9</v>
      </c>
      <c r="J245" s="358" t="str">
        <f t="shared" si="27"/>
        <v>2004FemaleAllEth192</v>
      </c>
      <c r="K245" s="359">
        <v>2004</v>
      </c>
      <c r="L245" t="s">
        <v>8</v>
      </c>
      <c r="M245" t="s">
        <v>27</v>
      </c>
      <c r="N245">
        <v>19</v>
      </c>
      <c r="O245">
        <v>2</v>
      </c>
      <c r="P245">
        <v>16</v>
      </c>
      <c r="Q245">
        <v>3.8651389081266099</v>
      </c>
      <c r="R245">
        <v>1.9</v>
      </c>
      <c r="T245" s="358" t="str">
        <f t="shared" si="29"/>
        <v>1997AllSexMaori22Firearms and explosives</v>
      </c>
      <c r="U245" s="360">
        <v>1997</v>
      </c>
      <c r="V245" s="360" t="s">
        <v>17</v>
      </c>
      <c r="W245" s="360" t="s">
        <v>18</v>
      </c>
      <c r="X245" s="360">
        <v>22</v>
      </c>
      <c r="Y245" s="360" t="s">
        <v>42</v>
      </c>
      <c r="Z245" s="360">
        <v>1</v>
      </c>
      <c r="AA245" s="360">
        <v>38</v>
      </c>
      <c r="AB245" s="360">
        <v>2.6</v>
      </c>
      <c r="AQ245" t="str">
        <f t="shared" si="28"/>
        <v>2013AllSexUrban22</v>
      </c>
      <c r="AR245">
        <v>2013</v>
      </c>
      <c r="AS245" t="s">
        <v>17</v>
      </c>
      <c r="AT245" t="s">
        <v>97</v>
      </c>
      <c r="AU245">
        <v>22</v>
      </c>
      <c r="AV245">
        <v>96</v>
      </c>
      <c r="AW245">
        <v>17.222511257422699</v>
      </c>
      <c r="AX245">
        <v>3.4</v>
      </c>
      <c r="BS245" t="str">
        <f t="shared" si="30"/>
        <v>FemaleAsian252</v>
      </c>
      <c r="BT245" t="s">
        <v>8</v>
      </c>
      <c r="BU245" t="s">
        <v>78</v>
      </c>
      <c r="BV245">
        <v>25</v>
      </c>
      <c r="BW245">
        <v>2</v>
      </c>
      <c r="BX245">
        <v>1</v>
      </c>
      <c r="BY245">
        <v>5.1428591174275304</v>
      </c>
      <c r="BZ245">
        <v>10.1</v>
      </c>
      <c r="CB245" t="str">
        <f t="shared" si="31"/>
        <v>FemalePacific24Poisoning by solids and liquids</v>
      </c>
      <c r="CC245" t="s">
        <v>8</v>
      </c>
      <c r="CD245" t="s">
        <v>79</v>
      </c>
      <c r="CE245" t="s">
        <v>47</v>
      </c>
      <c r="CF245">
        <v>24</v>
      </c>
      <c r="CG245">
        <v>2</v>
      </c>
      <c r="CH245">
        <v>6</v>
      </c>
      <c r="CI245">
        <v>33.299999999999997</v>
      </c>
    </row>
    <row r="246" spans="1:87" x14ac:dyDescent="0.2">
      <c r="A246" t="str">
        <f t="shared" si="26"/>
        <v>1997FemaleAllEth23</v>
      </c>
      <c r="B246">
        <v>1997</v>
      </c>
      <c r="C246" t="s">
        <v>8</v>
      </c>
      <c r="D246" t="s">
        <v>27</v>
      </c>
      <c r="E246">
        <v>23</v>
      </c>
      <c r="F246">
        <v>55</v>
      </c>
      <c r="G246">
        <v>9.2497603471182792</v>
      </c>
      <c r="H246">
        <v>2.4</v>
      </c>
      <c r="J246" s="358" t="str">
        <f t="shared" si="27"/>
        <v>2004FemaleAllEth193</v>
      </c>
      <c r="K246" s="359">
        <v>2004</v>
      </c>
      <c r="L246" t="s">
        <v>8</v>
      </c>
      <c r="M246" t="s">
        <v>27</v>
      </c>
      <c r="N246">
        <v>19</v>
      </c>
      <c r="O246">
        <v>3</v>
      </c>
      <c r="P246">
        <v>26</v>
      </c>
      <c r="Q246">
        <v>6.0549324228786503</v>
      </c>
      <c r="R246">
        <v>2.2999999999999998</v>
      </c>
      <c r="T246" s="358" t="str">
        <f t="shared" si="29"/>
        <v>1997AllSexMaori23Firearms and explosives</v>
      </c>
      <c r="U246" s="360">
        <v>1997</v>
      </c>
      <c r="V246" s="360" t="s">
        <v>17</v>
      </c>
      <c r="W246" s="360" t="s">
        <v>18</v>
      </c>
      <c r="X246" s="360">
        <v>23</v>
      </c>
      <c r="Y246" s="360" t="s">
        <v>42</v>
      </c>
      <c r="Z246" s="360">
        <v>6</v>
      </c>
      <c r="AA246" s="360">
        <v>56</v>
      </c>
      <c r="AB246" s="360">
        <v>10.7</v>
      </c>
      <c r="AQ246" t="str">
        <f t="shared" si="28"/>
        <v>2013AllSexRural23</v>
      </c>
      <c r="AR246">
        <v>2013</v>
      </c>
      <c r="AS246" t="s">
        <v>17</v>
      </c>
      <c r="AT246" t="s">
        <v>96</v>
      </c>
      <c r="AU246">
        <v>23</v>
      </c>
      <c r="AV246">
        <v>25</v>
      </c>
      <c r="AW246">
        <v>17.618040873854799</v>
      </c>
      <c r="AX246">
        <v>6.9</v>
      </c>
      <c r="BS246" t="str">
        <f t="shared" si="30"/>
        <v>FemaleAsian253</v>
      </c>
      <c r="BT246" t="s">
        <v>8</v>
      </c>
      <c r="BU246" t="s">
        <v>78</v>
      </c>
      <c r="BV246">
        <v>25</v>
      </c>
      <c r="BW246">
        <v>3</v>
      </c>
      <c r="BX246">
        <v>1</v>
      </c>
      <c r="BY246">
        <v>5.6719373394898103</v>
      </c>
      <c r="BZ246">
        <v>11.1</v>
      </c>
      <c r="CB246" t="str">
        <f t="shared" si="31"/>
        <v>FemalePacific24Sharp object</v>
      </c>
      <c r="CC246" t="s">
        <v>8</v>
      </c>
      <c r="CD246" t="s">
        <v>79</v>
      </c>
      <c r="CE246" t="s">
        <v>48</v>
      </c>
      <c r="CF246">
        <v>24</v>
      </c>
      <c r="CG246">
        <v>1</v>
      </c>
      <c r="CH246">
        <v>6</v>
      </c>
      <c r="CI246">
        <v>16.7</v>
      </c>
    </row>
    <row r="247" spans="1:87" x14ac:dyDescent="0.2">
      <c r="A247" t="str">
        <f t="shared" si="26"/>
        <v>1997FemaleAllEth24</v>
      </c>
      <c r="B247">
        <v>1997</v>
      </c>
      <c r="C247" t="s">
        <v>8</v>
      </c>
      <c r="D247" t="s">
        <v>27</v>
      </c>
      <c r="E247">
        <v>24</v>
      </c>
      <c r="F247">
        <v>26</v>
      </c>
      <c r="G247">
        <v>6.7625562462610898</v>
      </c>
      <c r="H247">
        <v>2.6</v>
      </c>
      <c r="J247" s="358" t="str">
        <f t="shared" si="27"/>
        <v>2004FemaleAllEth194</v>
      </c>
      <c r="K247" s="359">
        <v>2004</v>
      </c>
      <c r="L247" t="s">
        <v>8</v>
      </c>
      <c r="M247" t="s">
        <v>27</v>
      </c>
      <c r="N247">
        <v>19</v>
      </c>
      <c r="O247">
        <v>4</v>
      </c>
      <c r="P247">
        <v>27</v>
      </c>
      <c r="Q247">
        <v>6.3841599638995996</v>
      </c>
      <c r="R247">
        <v>2.4</v>
      </c>
      <c r="T247" s="358" t="str">
        <f t="shared" si="29"/>
        <v>1997AllSexMaori24Firearms and explosives</v>
      </c>
      <c r="U247" s="360">
        <v>1997</v>
      </c>
      <c r="V247" s="360" t="s">
        <v>17</v>
      </c>
      <c r="W247" s="360" t="s">
        <v>18</v>
      </c>
      <c r="X247" s="360">
        <v>24</v>
      </c>
      <c r="Y247" s="360" t="s">
        <v>42</v>
      </c>
      <c r="Z247" s="360">
        <v>1</v>
      </c>
      <c r="AA247" s="360">
        <v>7</v>
      </c>
      <c r="AB247" s="360">
        <v>14.3</v>
      </c>
      <c r="AQ247" t="str">
        <f t="shared" si="28"/>
        <v>2013AllSexUrban23</v>
      </c>
      <c r="AR247">
        <v>2013</v>
      </c>
      <c r="AS247" t="s">
        <v>17</v>
      </c>
      <c r="AT247" t="s">
        <v>97</v>
      </c>
      <c r="AU247">
        <v>23</v>
      </c>
      <c r="AV247">
        <v>136</v>
      </c>
      <c r="AW247">
        <v>13.606939539164999</v>
      </c>
      <c r="AX247">
        <v>2.2999999999999998</v>
      </c>
      <c r="BS247" t="str">
        <f t="shared" si="30"/>
        <v>FemaleAsian254</v>
      </c>
      <c r="BT247" t="s">
        <v>8</v>
      </c>
      <c r="BU247" t="s">
        <v>78</v>
      </c>
      <c r="BV247">
        <v>25</v>
      </c>
      <c r="BW247">
        <v>4</v>
      </c>
      <c r="BX247">
        <v>1</v>
      </c>
      <c r="BY247">
        <v>5.9162846347193296</v>
      </c>
      <c r="BZ247">
        <v>11.6</v>
      </c>
      <c r="CB247" t="str">
        <f t="shared" si="31"/>
        <v>MaleAllEth21Firearms and explosives</v>
      </c>
      <c r="CC247" t="s">
        <v>20</v>
      </c>
      <c r="CD247" t="s">
        <v>27</v>
      </c>
      <c r="CE247" t="s">
        <v>42</v>
      </c>
      <c r="CF247">
        <v>21</v>
      </c>
      <c r="CG247">
        <v>2</v>
      </c>
      <c r="CH247">
        <v>18</v>
      </c>
      <c r="CI247">
        <v>11.1</v>
      </c>
    </row>
    <row r="248" spans="1:87" x14ac:dyDescent="0.2">
      <c r="A248" t="str">
        <f t="shared" si="26"/>
        <v>1997FemaleAllEth25</v>
      </c>
      <c r="B248">
        <v>1997</v>
      </c>
      <c r="C248" t="s">
        <v>8</v>
      </c>
      <c r="D248" t="s">
        <v>27</v>
      </c>
      <c r="E248">
        <v>25</v>
      </c>
      <c r="F248">
        <v>8</v>
      </c>
      <c r="G248">
        <v>3.2375556454876602</v>
      </c>
      <c r="H248">
        <v>2.2000000000000002</v>
      </c>
      <c r="J248" s="358" t="str">
        <f t="shared" si="27"/>
        <v>2004FemaleAllEth195</v>
      </c>
      <c r="K248" s="359">
        <v>2004</v>
      </c>
      <c r="L248" t="s">
        <v>8</v>
      </c>
      <c r="M248" t="s">
        <v>27</v>
      </c>
      <c r="N248">
        <v>19</v>
      </c>
      <c r="O248">
        <v>5</v>
      </c>
      <c r="P248">
        <v>34</v>
      </c>
      <c r="Q248">
        <v>8.2025452813377999</v>
      </c>
      <c r="R248">
        <v>2.8</v>
      </c>
      <c r="T248" s="358" t="str">
        <f t="shared" si="29"/>
        <v>1997AllSexMaori21Hanging, strangulation and suffocation</v>
      </c>
      <c r="U248" s="360">
        <v>1997</v>
      </c>
      <c r="V248" s="360" t="s">
        <v>17</v>
      </c>
      <c r="W248" s="360" t="s">
        <v>18</v>
      </c>
      <c r="X248" s="360">
        <v>21</v>
      </c>
      <c r="Y248" s="360" t="s">
        <v>43</v>
      </c>
      <c r="Z248" s="360">
        <v>3</v>
      </c>
      <c r="AA248" s="360">
        <v>4</v>
      </c>
      <c r="AB248" s="360">
        <v>75</v>
      </c>
      <c r="AQ248" t="str">
        <f t="shared" si="28"/>
        <v>2013AllSexRural24</v>
      </c>
      <c r="AR248">
        <v>2013</v>
      </c>
      <c r="AS248" t="s">
        <v>17</v>
      </c>
      <c r="AT248" t="s">
        <v>96</v>
      </c>
      <c r="AU248">
        <v>24</v>
      </c>
      <c r="AV248">
        <v>32</v>
      </c>
      <c r="AW248">
        <v>16.1812297734628</v>
      </c>
      <c r="AX248">
        <v>5.6</v>
      </c>
      <c r="BS248" t="str">
        <f t="shared" si="30"/>
        <v>FemaleAsian255</v>
      </c>
      <c r="BT248" t="s">
        <v>8</v>
      </c>
      <c r="BU248" t="s">
        <v>78</v>
      </c>
      <c r="BV248">
        <v>25</v>
      </c>
      <c r="BW248">
        <v>5</v>
      </c>
      <c r="BX248">
        <v>2</v>
      </c>
      <c r="BY248">
        <v>13.879613619750399</v>
      </c>
      <c r="BZ248">
        <v>19.2</v>
      </c>
      <c r="CB248" t="str">
        <f t="shared" si="31"/>
        <v>MaleAllEth22Firearms and explosives</v>
      </c>
      <c r="CC248" t="s">
        <v>20</v>
      </c>
      <c r="CD248" t="s">
        <v>27</v>
      </c>
      <c r="CE248" t="s">
        <v>42</v>
      </c>
      <c r="CF248">
        <v>22</v>
      </c>
      <c r="CG248">
        <v>22</v>
      </c>
      <c r="CH248">
        <v>414</v>
      </c>
      <c r="CI248">
        <v>5.3</v>
      </c>
    </row>
    <row r="249" spans="1:87" x14ac:dyDescent="0.2">
      <c r="A249" t="str">
        <f t="shared" si="26"/>
        <v>1997FemaleMaori21</v>
      </c>
      <c r="B249">
        <v>1997</v>
      </c>
      <c r="C249" t="s">
        <v>8</v>
      </c>
      <c r="D249" t="s">
        <v>18</v>
      </c>
      <c r="E249">
        <v>21</v>
      </c>
      <c r="F249">
        <v>1</v>
      </c>
      <c r="J249" s="358" t="str">
        <f t="shared" si="27"/>
        <v>2005FemaleAllEth191</v>
      </c>
      <c r="K249" s="359">
        <v>2005</v>
      </c>
      <c r="L249" t="s">
        <v>8</v>
      </c>
      <c r="M249" t="s">
        <v>27</v>
      </c>
      <c r="N249">
        <v>19</v>
      </c>
      <c r="O249">
        <v>1</v>
      </c>
      <c r="P249">
        <v>23</v>
      </c>
      <c r="Q249">
        <v>5.1286859019061399</v>
      </c>
      <c r="R249">
        <v>2.1</v>
      </c>
      <c r="T249" s="358" t="str">
        <f t="shared" si="29"/>
        <v>1997AllSexMaori22Hanging, strangulation and suffocation</v>
      </c>
      <c r="U249" s="360">
        <v>1997</v>
      </c>
      <c r="V249" s="360" t="s">
        <v>17</v>
      </c>
      <c r="W249" s="360" t="s">
        <v>18</v>
      </c>
      <c r="X249" s="360">
        <v>22</v>
      </c>
      <c r="Y249" s="360" t="s">
        <v>43</v>
      </c>
      <c r="Z249" s="360">
        <v>27</v>
      </c>
      <c r="AA249" s="360">
        <v>38</v>
      </c>
      <c r="AB249" s="360">
        <v>71.099999999999994</v>
      </c>
      <c r="AQ249" t="str">
        <f t="shared" si="28"/>
        <v>2013AllSexUrban24</v>
      </c>
      <c r="AR249">
        <v>2013</v>
      </c>
      <c r="AS249" t="s">
        <v>17</v>
      </c>
      <c r="AT249" t="s">
        <v>97</v>
      </c>
      <c r="AU249">
        <v>24</v>
      </c>
      <c r="AV249">
        <v>151</v>
      </c>
      <c r="AW249">
        <v>16.059387828898402</v>
      </c>
      <c r="AX249">
        <v>2.6</v>
      </c>
      <c r="BS249" t="str">
        <f t="shared" si="30"/>
        <v>FemaleMaori251</v>
      </c>
      <c r="BT249" t="s">
        <v>8</v>
      </c>
      <c r="BU249" t="s">
        <v>18</v>
      </c>
      <c r="BV249">
        <v>25</v>
      </c>
      <c r="BW249">
        <v>1</v>
      </c>
      <c r="BX249">
        <v>0</v>
      </c>
      <c r="BY249">
        <v>0</v>
      </c>
      <c r="CB249" t="str">
        <f t="shared" si="31"/>
        <v>MaleAllEth23Firearms and explosives</v>
      </c>
      <c r="CC249" t="s">
        <v>20</v>
      </c>
      <c r="CD249" t="s">
        <v>27</v>
      </c>
      <c r="CE249" t="s">
        <v>42</v>
      </c>
      <c r="CF249">
        <v>23</v>
      </c>
      <c r="CG249">
        <v>35</v>
      </c>
      <c r="CH249">
        <v>664</v>
      </c>
      <c r="CI249">
        <v>5.3</v>
      </c>
    </row>
    <row r="250" spans="1:87" x14ac:dyDescent="0.2">
      <c r="A250" t="str">
        <f t="shared" si="26"/>
        <v>1997FemaleMaori22</v>
      </c>
      <c r="B250">
        <v>1997</v>
      </c>
      <c r="C250" t="s">
        <v>8</v>
      </c>
      <c r="D250" t="s">
        <v>18</v>
      </c>
      <c r="E250">
        <v>22</v>
      </c>
      <c r="F250">
        <v>9</v>
      </c>
      <c r="G250">
        <v>17.0680826853783</v>
      </c>
      <c r="H250">
        <v>11.2</v>
      </c>
      <c r="J250" s="358" t="str">
        <f t="shared" si="27"/>
        <v>2005FemaleAllEth192</v>
      </c>
      <c r="K250" s="359">
        <v>2005</v>
      </c>
      <c r="L250" t="s">
        <v>8</v>
      </c>
      <c r="M250" t="s">
        <v>27</v>
      </c>
      <c r="N250">
        <v>19</v>
      </c>
      <c r="O250">
        <v>2</v>
      </c>
      <c r="P250">
        <v>13</v>
      </c>
      <c r="Q250">
        <v>3.06853570496102</v>
      </c>
      <c r="R250">
        <v>1.7</v>
      </c>
      <c r="T250" s="358" t="str">
        <f t="shared" si="29"/>
        <v>1997AllSexMaori23Hanging, strangulation and suffocation</v>
      </c>
      <c r="U250" s="360">
        <v>1997</v>
      </c>
      <c r="V250" s="360" t="s">
        <v>17</v>
      </c>
      <c r="W250" s="360" t="s">
        <v>18</v>
      </c>
      <c r="X250" s="360">
        <v>23</v>
      </c>
      <c r="Y250" s="360" t="s">
        <v>43</v>
      </c>
      <c r="Z250" s="360">
        <v>36</v>
      </c>
      <c r="AA250" s="360">
        <v>56</v>
      </c>
      <c r="AB250" s="360">
        <v>64.3</v>
      </c>
      <c r="AQ250" t="str">
        <f t="shared" si="28"/>
        <v>2013AllSexRural25</v>
      </c>
      <c r="AR250">
        <v>2013</v>
      </c>
      <c r="AS250" t="s">
        <v>17</v>
      </c>
      <c r="AT250" t="s">
        <v>96</v>
      </c>
      <c r="AU250">
        <v>25</v>
      </c>
      <c r="AV250">
        <v>6</v>
      </c>
      <c r="AW250">
        <v>6.9629801555065596</v>
      </c>
      <c r="AX250">
        <v>5.6</v>
      </c>
      <c r="BS250" t="str">
        <f t="shared" si="30"/>
        <v>FemaleMaori252</v>
      </c>
      <c r="BT250" t="s">
        <v>8</v>
      </c>
      <c r="BU250" t="s">
        <v>18</v>
      </c>
      <c r="BV250">
        <v>25</v>
      </c>
      <c r="BW250">
        <v>2</v>
      </c>
      <c r="BX250">
        <v>0</v>
      </c>
      <c r="BY250">
        <v>0</v>
      </c>
      <c r="CB250" t="str">
        <f t="shared" si="31"/>
        <v>MaleAllEth24Firearms and explosives</v>
      </c>
      <c r="CC250" t="s">
        <v>20</v>
      </c>
      <c r="CD250" t="s">
        <v>27</v>
      </c>
      <c r="CE250" t="s">
        <v>42</v>
      </c>
      <c r="CF250">
        <v>24</v>
      </c>
      <c r="CG250">
        <v>86</v>
      </c>
      <c r="CH250">
        <v>595</v>
      </c>
      <c r="CI250">
        <v>14.5</v>
      </c>
    </row>
    <row r="251" spans="1:87" x14ac:dyDescent="0.2">
      <c r="A251" t="str">
        <f t="shared" si="26"/>
        <v>1997FemaleMaori23</v>
      </c>
      <c r="B251">
        <v>1997</v>
      </c>
      <c r="C251" t="s">
        <v>8</v>
      </c>
      <c r="D251" t="s">
        <v>18</v>
      </c>
      <c r="E251">
        <v>23</v>
      </c>
      <c r="F251">
        <v>15</v>
      </c>
      <c r="G251">
        <v>18.649757553151801</v>
      </c>
      <c r="H251">
        <v>9.4</v>
      </c>
      <c r="J251" s="358" t="str">
        <f t="shared" si="27"/>
        <v>2005FemaleAllEth193</v>
      </c>
      <c r="K251" s="359">
        <v>2005</v>
      </c>
      <c r="L251" t="s">
        <v>8</v>
      </c>
      <c r="M251" t="s">
        <v>27</v>
      </c>
      <c r="N251">
        <v>19</v>
      </c>
      <c r="O251">
        <v>3</v>
      </c>
      <c r="P251">
        <v>26</v>
      </c>
      <c r="Q251">
        <v>5.6044522098723002</v>
      </c>
      <c r="R251">
        <v>2.2000000000000002</v>
      </c>
      <c r="T251" s="358" t="str">
        <f t="shared" si="29"/>
        <v>1997AllSexMaori24Hanging, strangulation and suffocation</v>
      </c>
      <c r="U251" s="360">
        <v>1997</v>
      </c>
      <c r="V251" s="360" t="s">
        <v>17</v>
      </c>
      <c r="W251" s="360" t="s">
        <v>18</v>
      </c>
      <c r="X251" s="360">
        <v>24</v>
      </c>
      <c r="Y251" s="360" t="s">
        <v>43</v>
      </c>
      <c r="Z251" s="360">
        <v>4</v>
      </c>
      <c r="AA251" s="360">
        <v>7</v>
      </c>
      <c r="AB251" s="360">
        <v>57.1</v>
      </c>
      <c r="AQ251" t="str">
        <f t="shared" si="28"/>
        <v>2013AllSexUrban25</v>
      </c>
      <c r="AR251">
        <v>2013</v>
      </c>
      <c r="AS251" t="s">
        <v>17</v>
      </c>
      <c r="AT251" t="s">
        <v>97</v>
      </c>
      <c r="AU251">
        <v>25</v>
      </c>
      <c r="AV251">
        <v>49</v>
      </c>
      <c r="AW251">
        <v>9.0799592328360994</v>
      </c>
      <c r="AX251">
        <v>2.5</v>
      </c>
      <c r="BS251" t="str">
        <f t="shared" si="30"/>
        <v>FemaleMaori253</v>
      </c>
      <c r="BT251" t="s">
        <v>8</v>
      </c>
      <c r="BU251" t="s">
        <v>18</v>
      </c>
      <c r="BV251">
        <v>25</v>
      </c>
      <c r="BW251">
        <v>3</v>
      </c>
      <c r="BX251">
        <v>0</v>
      </c>
      <c r="BY251">
        <v>0</v>
      </c>
      <c r="CB251" t="str">
        <f t="shared" si="31"/>
        <v>MaleAllEth25Firearms and explosives</v>
      </c>
      <c r="CC251" t="s">
        <v>20</v>
      </c>
      <c r="CD251" t="s">
        <v>27</v>
      </c>
      <c r="CE251" t="s">
        <v>42</v>
      </c>
      <c r="CF251">
        <v>25</v>
      </c>
      <c r="CG251">
        <v>56</v>
      </c>
      <c r="CH251">
        <v>219</v>
      </c>
      <c r="CI251">
        <v>25.6</v>
      </c>
    </row>
    <row r="252" spans="1:87" x14ac:dyDescent="0.2">
      <c r="A252" t="str">
        <f t="shared" si="26"/>
        <v>1997FemaleMaori24</v>
      </c>
      <c r="B252">
        <v>1997</v>
      </c>
      <c r="C252" t="s">
        <v>8</v>
      </c>
      <c r="D252" t="s">
        <v>18</v>
      </c>
      <c r="E252">
        <v>24</v>
      </c>
      <c r="F252">
        <v>0</v>
      </c>
      <c r="G252">
        <v>0</v>
      </c>
      <c r="J252" s="358" t="str">
        <f t="shared" si="27"/>
        <v>2005FemaleAllEth194</v>
      </c>
      <c r="K252" s="359">
        <v>2005</v>
      </c>
      <c r="L252" t="s">
        <v>8</v>
      </c>
      <c r="M252" t="s">
        <v>27</v>
      </c>
      <c r="N252">
        <v>19</v>
      </c>
      <c r="O252">
        <v>4</v>
      </c>
      <c r="P252">
        <v>38</v>
      </c>
      <c r="Q252">
        <v>8.7928011540217295</v>
      </c>
      <c r="R252">
        <v>2.8</v>
      </c>
      <c r="T252" s="358" t="str">
        <f t="shared" si="29"/>
        <v>1997AllSexMaori23Jumping from a high place</v>
      </c>
      <c r="U252" s="360">
        <v>1997</v>
      </c>
      <c r="V252" s="360" t="s">
        <v>17</v>
      </c>
      <c r="W252" s="360" t="s">
        <v>18</v>
      </c>
      <c r="X252" s="360">
        <v>23</v>
      </c>
      <c r="Y252" s="360" t="s">
        <v>44</v>
      </c>
      <c r="Z252" s="360">
        <v>1</v>
      </c>
      <c r="AA252" s="360">
        <v>56</v>
      </c>
      <c r="AB252" s="360">
        <v>1.8</v>
      </c>
      <c r="AQ252" t="str">
        <f t="shared" si="28"/>
        <v>2013FemaleRural22</v>
      </c>
      <c r="AR252">
        <v>2013</v>
      </c>
      <c r="AS252" t="s">
        <v>8</v>
      </c>
      <c r="AT252" t="s">
        <v>96</v>
      </c>
      <c r="AU252">
        <v>22</v>
      </c>
      <c r="AV252">
        <v>7</v>
      </c>
      <c r="AW252">
        <v>21.665119158155399</v>
      </c>
      <c r="AX252">
        <v>16</v>
      </c>
      <c r="BS252" t="str">
        <f t="shared" si="30"/>
        <v>FemaleMaori254</v>
      </c>
      <c r="BT252" t="s">
        <v>8</v>
      </c>
      <c r="BU252" t="s">
        <v>18</v>
      </c>
      <c r="BV252">
        <v>25</v>
      </c>
      <c r="BW252">
        <v>4</v>
      </c>
      <c r="BX252">
        <v>0</v>
      </c>
      <c r="BY252">
        <v>0</v>
      </c>
      <c r="CB252" t="str">
        <f t="shared" si="31"/>
        <v>MaleAllEth21Hanging, strangulation and suffocation</v>
      </c>
      <c r="CC252" t="s">
        <v>20</v>
      </c>
      <c r="CD252" t="s">
        <v>27</v>
      </c>
      <c r="CE252" t="s">
        <v>43</v>
      </c>
      <c r="CF252">
        <v>21</v>
      </c>
      <c r="CG252">
        <v>15</v>
      </c>
      <c r="CH252">
        <v>18</v>
      </c>
      <c r="CI252">
        <v>83.3</v>
      </c>
    </row>
    <row r="253" spans="1:87" x14ac:dyDescent="0.2">
      <c r="A253" t="str">
        <f t="shared" si="26"/>
        <v>1997FemaleMaori25</v>
      </c>
      <c r="B253">
        <v>1997</v>
      </c>
      <c r="C253" t="s">
        <v>8</v>
      </c>
      <c r="D253" t="s">
        <v>18</v>
      </c>
      <c r="E253">
        <v>25</v>
      </c>
      <c r="F253">
        <v>1</v>
      </c>
      <c r="G253">
        <v>11.2485939257593</v>
      </c>
      <c r="H253">
        <v>22</v>
      </c>
      <c r="J253" s="358" t="str">
        <f t="shared" si="27"/>
        <v>2005FemaleAllEth195</v>
      </c>
      <c r="K253" s="359">
        <v>2005</v>
      </c>
      <c r="L253" t="s">
        <v>8</v>
      </c>
      <c r="M253" t="s">
        <v>27</v>
      </c>
      <c r="N253">
        <v>19</v>
      </c>
      <c r="O253">
        <v>5</v>
      </c>
      <c r="P253">
        <v>26</v>
      </c>
      <c r="Q253">
        <v>6.3735189706331496</v>
      </c>
      <c r="R253">
        <v>2.4</v>
      </c>
      <c r="T253" s="358" t="str">
        <f t="shared" si="29"/>
        <v>1997AllSexMaori22Other</v>
      </c>
      <c r="U253" s="360">
        <v>1997</v>
      </c>
      <c r="V253" s="360" t="s">
        <v>17</v>
      </c>
      <c r="W253" s="360" t="s">
        <v>18</v>
      </c>
      <c r="X253" s="360">
        <v>22</v>
      </c>
      <c r="Y253" s="360" t="s">
        <v>45</v>
      </c>
      <c r="Z253" s="360">
        <v>1</v>
      </c>
      <c r="AA253" s="360">
        <v>38</v>
      </c>
      <c r="AB253" s="360">
        <v>2.6</v>
      </c>
      <c r="AQ253" t="str">
        <f t="shared" si="28"/>
        <v>2013FemaleUrban22</v>
      </c>
      <c r="AR253">
        <v>2013</v>
      </c>
      <c r="AS253" t="s">
        <v>8</v>
      </c>
      <c r="AT253" t="s">
        <v>97</v>
      </c>
      <c r="AU253">
        <v>22</v>
      </c>
      <c r="AV253">
        <v>31</v>
      </c>
      <c r="AW253">
        <v>11.2416594139832</v>
      </c>
      <c r="AX253">
        <v>4</v>
      </c>
      <c r="BS253" t="str">
        <f t="shared" si="30"/>
        <v>FemaleMaori255</v>
      </c>
      <c r="BT253" t="s">
        <v>8</v>
      </c>
      <c r="BU253" t="s">
        <v>18</v>
      </c>
      <c r="BV253">
        <v>25</v>
      </c>
      <c r="BW253">
        <v>5</v>
      </c>
      <c r="BX253">
        <v>0</v>
      </c>
      <c r="BY253">
        <v>0</v>
      </c>
      <c r="CB253" t="str">
        <f t="shared" si="31"/>
        <v>MaleAllEth22Hanging, strangulation and suffocation</v>
      </c>
      <c r="CC253" t="s">
        <v>20</v>
      </c>
      <c r="CD253" t="s">
        <v>27</v>
      </c>
      <c r="CE253" t="s">
        <v>43</v>
      </c>
      <c r="CF253">
        <v>22</v>
      </c>
      <c r="CG253">
        <v>342</v>
      </c>
      <c r="CH253">
        <v>414</v>
      </c>
      <c r="CI253">
        <v>82.6</v>
      </c>
    </row>
    <row r="254" spans="1:87" x14ac:dyDescent="0.2">
      <c r="A254" t="str">
        <f t="shared" si="26"/>
        <v>1997FemaleNon-Maori21</v>
      </c>
      <c r="B254">
        <v>1997</v>
      </c>
      <c r="C254" t="s">
        <v>8</v>
      </c>
      <c r="D254" t="s">
        <v>19</v>
      </c>
      <c r="E254">
        <v>21</v>
      </c>
      <c r="F254">
        <v>2</v>
      </c>
      <c r="J254" s="358" t="str">
        <f t="shared" si="27"/>
        <v>2006FemaleAllEth191</v>
      </c>
      <c r="K254" s="359">
        <v>2006</v>
      </c>
      <c r="L254" t="s">
        <v>8</v>
      </c>
      <c r="M254" t="s">
        <v>27</v>
      </c>
      <c r="N254">
        <v>19</v>
      </c>
      <c r="O254">
        <v>1</v>
      </c>
      <c r="P254">
        <v>18</v>
      </c>
      <c r="Q254">
        <v>3.91928161789447</v>
      </c>
      <c r="R254">
        <v>1.8</v>
      </c>
      <c r="T254" s="358" t="str">
        <f t="shared" si="29"/>
        <v>1997AllSexMaori23Other</v>
      </c>
      <c r="U254" s="360">
        <v>1997</v>
      </c>
      <c r="V254" s="360" t="s">
        <v>17</v>
      </c>
      <c r="W254" s="360" t="s">
        <v>18</v>
      </c>
      <c r="X254" s="360">
        <v>23</v>
      </c>
      <c r="Y254" s="360" t="s">
        <v>45</v>
      </c>
      <c r="Z254" s="360">
        <v>3</v>
      </c>
      <c r="AA254" s="360">
        <v>56</v>
      </c>
      <c r="AB254" s="360">
        <v>5.4</v>
      </c>
      <c r="AQ254" t="str">
        <f t="shared" si="28"/>
        <v>2013FemaleRural23</v>
      </c>
      <c r="AR254">
        <v>2013</v>
      </c>
      <c r="AS254" t="s">
        <v>8</v>
      </c>
      <c r="AT254" t="s">
        <v>96</v>
      </c>
      <c r="AU254">
        <v>23</v>
      </c>
      <c r="AV254">
        <v>8</v>
      </c>
      <c r="AW254">
        <v>11.026878015162</v>
      </c>
      <c r="AX254">
        <v>7.6</v>
      </c>
      <c r="BS254" t="str">
        <f t="shared" si="30"/>
        <v>FemaleOther251</v>
      </c>
      <c r="BT254" t="s">
        <v>8</v>
      </c>
      <c r="BU254" t="s">
        <v>45</v>
      </c>
      <c r="BV254">
        <v>25</v>
      </c>
      <c r="BW254">
        <v>1</v>
      </c>
      <c r="BX254">
        <v>10</v>
      </c>
      <c r="BY254">
        <v>3.2416210850481599</v>
      </c>
      <c r="BZ254">
        <v>2</v>
      </c>
      <c r="CB254" t="str">
        <f t="shared" si="31"/>
        <v>MaleAllEth23Hanging, strangulation and suffocation</v>
      </c>
      <c r="CC254" t="s">
        <v>20</v>
      </c>
      <c r="CD254" t="s">
        <v>27</v>
      </c>
      <c r="CE254" t="s">
        <v>43</v>
      </c>
      <c r="CF254">
        <v>23</v>
      </c>
      <c r="CG254">
        <v>453</v>
      </c>
      <c r="CH254">
        <v>664</v>
      </c>
      <c r="CI254">
        <v>68.2</v>
      </c>
    </row>
    <row r="255" spans="1:87" x14ac:dyDescent="0.2">
      <c r="A255" t="str">
        <f t="shared" si="26"/>
        <v>1997FemaleNon-Maori22</v>
      </c>
      <c r="B255">
        <v>1997</v>
      </c>
      <c r="C255" t="s">
        <v>8</v>
      </c>
      <c r="D255" t="s">
        <v>19</v>
      </c>
      <c r="E255">
        <v>22</v>
      </c>
      <c r="F255">
        <v>20</v>
      </c>
      <c r="G255">
        <v>9.2357423227891893</v>
      </c>
      <c r="H255">
        <v>4</v>
      </c>
      <c r="J255" s="358" t="str">
        <f t="shared" si="27"/>
        <v>2006FemaleAllEth192</v>
      </c>
      <c r="K255" s="359">
        <v>2006</v>
      </c>
      <c r="L255" t="s">
        <v>8</v>
      </c>
      <c r="M255" t="s">
        <v>27</v>
      </c>
      <c r="N255">
        <v>19</v>
      </c>
      <c r="O255">
        <v>2</v>
      </c>
      <c r="P255">
        <v>24</v>
      </c>
      <c r="Q255">
        <v>5.3220540822637998</v>
      </c>
      <c r="R255">
        <v>2.1</v>
      </c>
      <c r="T255" s="358" t="str">
        <f t="shared" si="29"/>
        <v>1997AllSexMaori24Other</v>
      </c>
      <c r="U255" s="360">
        <v>1997</v>
      </c>
      <c r="V255" s="360" t="s">
        <v>17</v>
      </c>
      <c r="W255" s="360" t="s">
        <v>18</v>
      </c>
      <c r="X255" s="360">
        <v>24</v>
      </c>
      <c r="Y255" s="360" t="s">
        <v>45</v>
      </c>
      <c r="Z255" s="360">
        <v>1</v>
      </c>
      <c r="AA255" s="360">
        <v>7</v>
      </c>
      <c r="AB255" s="360">
        <v>14.3</v>
      </c>
      <c r="AQ255" t="str">
        <f t="shared" si="28"/>
        <v>2013FemaleUrban23</v>
      </c>
      <c r="AR255">
        <v>2013</v>
      </c>
      <c r="AS255" t="s">
        <v>8</v>
      </c>
      <c r="AT255" t="s">
        <v>97</v>
      </c>
      <c r="AU255">
        <v>23</v>
      </c>
      <c r="AV255">
        <v>39</v>
      </c>
      <c r="AW255">
        <v>7.4655436447166901</v>
      </c>
      <c r="AX255">
        <v>2.2999999999999998</v>
      </c>
      <c r="BS255" t="str">
        <f t="shared" si="30"/>
        <v>FemaleOther252</v>
      </c>
      <c r="BT255" t="s">
        <v>8</v>
      </c>
      <c r="BU255" t="s">
        <v>45</v>
      </c>
      <c r="BV255">
        <v>25</v>
      </c>
      <c r="BW255">
        <v>2</v>
      </c>
      <c r="BX255">
        <v>10</v>
      </c>
      <c r="BY255">
        <v>3.2060404345346898</v>
      </c>
      <c r="BZ255">
        <v>2</v>
      </c>
      <c r="CB255" t="str">
        <f t="shared" si="31"/>
        <v>MaleAllEth24Hanging, strangulation and suffocation</v>
      </c>
      <c r="CC255" t="s">
        <v>20</v>
      </c>
      <c r="CD255" t="s">
        <v>27</v>
      </c>
      <c r="CE255" t="s">
        <v>43</v>
      </c>
      <c r="CF255">
        <v>24</v>
      </c>
      <c r="CG255">
        <v>294</v>
      </c>
      <c r="CH255">
        <v>595</v>
      </c>
      <c r="CI255">
        <v>49.4</v>
      </c>
    </row>
    <row r="256" spans="1:87" x14ac:dyDescent="0.2">
      <c r="A256" t="str">
        <f t="shared" si="26"/>
        <v>1997FemaleNon-Maori23</v>
      </c>
      <c r="B256">
        <v>1997</v>
      </c>
      <c r="C256" t="s">
        <v>8</v>
      </c>
      <c r="D256" t="s">
        <v>19</v>
      </c>
      <c r="E256">
        <v>23</v>
      </c>
      <c r="F256">
        <v>40</v>
      </c>
      <c r="G256">
        <v>7.77937687191256</v>
      </c>
      <c r="H256">
        <v>2.4</v>
      </c>
      <c r="J256" s="358" t="str">
        <f t="shared" si="27"/>
        <v>2006FemaleAllEth193</v>
      </c>
      <c r="K256" s="359">
        <v>2006</v>
      </c>
      <c r="L256" t="s">
        <v>8</v>
      </c>
      <c r="M256" t="s">
        <v>27</v>
      </c>
      <c r="N256">
        <v>19</v>
      </c>
      <c r="O256">
        <v>3</v>
      </c>
      <c r="P256">
        <v>25</v>
      </c>
      <c r="Q256">
        <v>5.4993855608744502</v>
      </c>
      <c r="R256">
        <v>2.2000000000000002</v>
      </c>
      <c r="T256" s="358" t="str">
        <f t="shared" si="29"/>
        <v>1997AllSexMaori22Poisoning by gases and vapours</v>
      </c>
      <c r="U256" s="360">
        <v>1997</v>
      </c>
      <c r="V256" s="360" t="s">
        <v>17</v>
      </c>
      <c r="W256" s="360" t="s">
        <v>18</v>
      </c>
      <c r="X256" s="360">
        <v>22</v>
      </c>
      <c r="Y256" s="360" t="s">
        <v>46</v>
      </c>
      <c r="Z256" s="360">
        <v>4</v>
      </c>
      <c r="AA256" s="360">
        <v>38</v>
      </c>
      <c r="AB256" s="360">
        <v>10.5</v>
      </c>
      <c r="AQ256" t="str">
        <f t="shared" si="28"/>
        <v>2013FemaleRural24</v>
      </c>
      <c r="AR256">
        <v>2013</v>
      </c>
      <c r="AS256" t="s">
        <v>8</v>
      </c>
      <c r="AT256" t="s">
        <v>96</v>
      </c>
      <c r="AU256">
        <v>24</v>
      </c>
      <c r="AV256">
        <v>9</v>
      </c>
      <c r="AW256">
        <v>9.2109303039606996</v>
      </c>
      <c r="AX256">
        <v>6</v>
      </c>
      <c r="BS256" t="str">
        <f t="shared" si="30"/>
        <v>FemaleOther253</v>
      </c>
      <c r="BT256" t="s">
        <v>8</v>
      </c>
      <c r="BU256" t="s">
        <v>45</v>
      </c>
      <c r="BV256">
        <v>25</v>
      </c>
      <c r="BW256">
        <v>3</v>
      </c>
      <c r="BX256">
        <v>15</v>
      </c>
      <c r="BY256">
        <v>4.8231925036372703</v>
      </c>
      <c r="BZ256">
        <v>2.4</v>
      </c>
      <c r="CB256" t="str">
        <f t="shared" si="31"/>
        <v>MaleAllEth25Hanging, strangulation and suffocation</v>
      </c>
      <c r="CC256" t="s">
        <v>20</v>
      </c>
      <c r="CD256" t="s">
        <v>27</v>
      </c>
      <c r="CE256" t="s">
        <v>43</v>
      </c>
      <c r="CF256">
        <v>25</v>
      </c>
      <c r="CG256">
        <v>81</v>
      </c>
      <c r="CH256">
        <v>219</v>
      </c>
      <c r="CI256">
        <v>37</v>
      </c>
    </row>
    <row r="257" spans="1:87" x14ac:dyDescent="0.2">
      <c r="A257" t="str">
        <f t="shared" si="26"/>
        <v>1997FemaleNon-Maori24</v>
      </c>
      <c r="B257">
        <v>1997</v>
      </c>
      <c r="C257" t="s">
        <v>8</v>
      </c>
      <c r="D257" t="s">
        <v>19</v>
      </c>
      <c r="E257">
        <v>24</v>
      </c>
      <c r="F257">
        <v>26</v>
      </c>
      <c r="G257">
        <v>7.4063523714570598</v>
      </c>
      <c r="H257">
        <v>2.8</v>
      </c>
      <c r="J257" s="358" t="str">
        <f t="shared" si="27"/>
        <v>2006FemaleAllEth194</v>
      </c>
      <c r="K257" s="359">
        <v>2006</v>
      </c>
      <c r="L257" t="s">
        <v>8</v>
      </c>
      <c r="M257" t="s">
        <v>27</v>
      </c>
      <c r="N257">
        <v>19</v>
      </c>
      <c r="O257">
        <v>4</v>
      </c>
      <c r="P257">
        <v>24</v>
      </c>
      <c r="Q257">
        <v>5.3830777309068196</v>
      </c>
      <c r="R257">
        <v>2.2000000000000002</v>
      </c>
      <c r="T257" s="358" t="str">
        <f t="shared" si="29"/>
        <v>1997AllSexMaori23Poisoning by gases and vapours</v>
      </c>
      <c r="U257" s="360">
        <v>1997</v>
      </c>
      <c r="V257" s="360" t="s">
        <v>17</v>
      </c>
      <c r="W257" s="360" t="s">
        <v>18</v>
      </c>
      <c r="X257" s="360">
        <v>23</v>
      </c>
      <c r="Y257" s="360" t="s">
        <v>46</v>
      </c>
      <c r="Z257" s="360">
        <v>4</v>
      </c>
      <c r="AA257" s="360">
        <v>56</v>
      </c>
      <c r="AB257" s="360">
        <v>7.1</v>
      </c>
      <c r="AQ257" t="str">
        <f t="shared" si="28"/>
        <v>2013FemaleUrban24</v>
      </c>
      <c r="AR257">
        <v>2013</v>
      </c>
      <c r="AS257" t="s">
        <v>8</v>
      </c>
      <c r="AT257" t="s">
        <v>97</v>
      </c>
      <c r="AU257">
        <v>24</v>
      </c>
      <c r="AV257">
        <v>44</v>
      </c>
      <c r="AW257">
        <v>9.0029259509340491</v>
      </c>
      <c r="AX257">
        <v>2.7</v>
      </c>
      <c r="BS257" t="str">
        <f t="shared" si="30"/>
        <v>FemaleOther254</v>
      </c>
      <c r="BT257" t="s">
        <v>8</v>
      </c>
      <c r="BU257" t="s">
        <v>45</v>
      </c>
      <c r="BV257">
        <v>25</v>
      </c>
      <c r="BW257">
        <v>4</v>
      </c>
      <c r="BX257">
        <v>10</v>
      </c>
      <c r="BY257">
        <v>3.1798656176273701</v>
      </c>
      <c r="BZ257">
        <v>2</v>
      </c>
      <c r="CB257" t="str">
        <f t="shared" si="31"/>
        <v>MaleAllEth22Jumping from a high place</v>
      </c>
      <c r="CC257" t="s">
        <v>20</v>
      </c>
      <c r="CD257" t="s">
        <v>27</v>
      </c>
      <c r="CE257" t="s">
        <v>44</v>
      </c>
      <c r="CF257">
        <v>22</v>
      </c>
      <c r="CG257">
        <v>12</v>
      </c>
      <c r="CH257">
        <v>414</v>
      </c>
      <c r="CI257">
        <v>2.9</v>
      </c>
    </row>
    <row r="258" spans="1:87" x14ac:dyDescent="0.2">
      <c r="A258" t="str">
        <f t="shared" si="26"/>
        <v>1997FemaleNon-Maori25</v>
      </c>
      <c r="B258">
        <v>1997</v>
      </c>
      <c r="C258" t="s">
        <v>8</v>
      </c>
      <c r="D258" t="s">
        <v>19</v>
      </c>
      <c r="E258">
        <v>25</v>
      </c>
      <c r="F258">
        <v>7</v>
      </c>
      <c r="G258">
        <v>2.9385836027034999</v>
      </c>
      <c r="H258">
        <v>2.2000000000000002</v>
      </c>
      <c r="J258" s="358" t="str">
        <f t="shared" si="27"/>
        <v>2006FemaleAllEth195</v>
      </c>
      <c r="K258" s="359">
        <v>2006</v>
      </c>
      <c r="L258" t="s">
        <v>8</v>
      </c>
      <c r="M258" t="s">
        <v>27</v>
      </c>
      <c r="N258">
        <v>19</v>
      </c>
      <c r="O258">
        <v>5</v>
      </c>
      <c r="P258">
        <v>35</v>
      </c>
      <c r="Q258">
        <v>8.3867177720886303</v>
      </c>
      <c r="R258">
        <v>2.8</v>
      </c>
      <c r="T258" s="358" t="str">
        <f t="shared" si="29"/>
        <v>1997AllSexMaori21Poisoning by solids and liquids</v>
      </c>
      <c r="U258" s="360">
        <v>1997</v>
      </c>
      <c r="V258" s="360" t="s">
        <v>17</v>
      </c>
      <c r="W258" s="360" t="s">
        <v>18</v>
      </c>
      <c r="X258" s="360">
        <v>21</v>
      </c>
      <c r="Y258" s="360" t="s">
        <v>47</v>
      </c>
      <c r="Z258" s="360">
        <v>1</v>
      </c>
      <c r="AA258" s="360">
        <v>4</v>
      </c>
      <c r="AB258" s="360">
        <v>25</v>
      </c>
      <c r="AQ258" t="str">
        <f t="shared" si="28"/>
        <v>2013FemaleRural25</v>
      </c>
      <c r="AR258">
        <v>2013</v>
      </c>
      <c r="AS258" t="s">
        <v>8</v>
      </c>
      <c r="AT258" t="s">
        <v>96</v>
      </c>
      <c r="AU258">
        <v>25</v>
      </c>
      <c r="AV258">
        <v>0</v>
      </c>
      <c r="AW258">
        <v>0</v>
      </c>
      <c r="BS258" t="str">
        <f t="shared" si="30"/>
        <v>FemaleOther255</v>
      </c>
      <c r="BT258" t="s">
        <v>8</v>
      </c>
      <c r="BU258" t="s">
        <v>45</v>
      </c>
      <c r="BV258">
        <v>25</v>
      </c>
      <c r="BW258">
        <v>5</v>
      </c>
      <c r="BX258">
        <v>7</v>
      </c>
      <c r="BY258">
        <v>3.3396976559879201</v>
      </c>
      <c r="BZ258">
        <v>2.5</v>
      </c>
      <c r="CB258" t="str">
        <f t="shared" si="31"/>
        <v>MaleAllEth23Jumping from a high place</v>
      </c>
      <c r="CC258" t="s">
        <v>20</v>
      </c>
      <c r="CD258" t="s">
        <v>27</v>
      </c>
      <c r="CE258" t="s">
        <v>44</v>
      </c>
      <c r="CF258">
        <v>23</v>
      </c>
      <c r="CG258">
        <v>18</v>
      </c>
      <c r="CH258">
        <v>664</v>
      </c>
      <c r="CI258">
        <v>2.7</v>
      </c>
    </row>
    <row r="259" spans="1:87" x14ac:dyDescent="0.2">
      <c r="A259" t="str">
        <f t="shared" si="26"/>
        <v>1997MaleAllEth21</v>
      </c>
      <c r="B259">
        <v>1997</v>
      </c>
      <c r="C259" t="s">
        <v>20</v>
      </c>
      <c r="D259" t="s">
        <v>27</v>
      </c>
      <c r="E259">
        <v>21</v>
      </c>
      <c r="F259">
        <v>5</v>
      </c>
      <c r="J259" s="358" t="str">
        <f t="shared" si="27"/>
        <v>2007FemaleAllEth191</v>
      </c>
      <c r="K259" s="359">
        <v>2007</v>
      </c>
      <c r="L259" t="s">
        <v>8</v>
      </c>
      <c r="M259" t="s">
        <v>27</v>
      </c>
      <c r="N259">
        <v>19</v>
      </c>
      <c r="O259">
        <v>1</v>
      </c>
      <c r="P259">
        <v>17</v>
      </c>
      <c r="Q259">
        <v>3.21939072200857</v>
      </c>
      <c r="R259">
        <v>1.5</v>
      </c>
      <c r="T259" s="358" t="str">
        <f t="shared" si="29"/>
        <v>1997AllSexMaori22Poisoning by solids and liquids</v>
      </c>
      <c r="U259" s="360">
        <v>1997</v>
      </c>
      <c r="V259" s="360" t="s">
        <v>17</v>
      </c>
      <c r="W259" s="360" t="s">
        <v>18</v>
      </c>
      <c r="X259" s="360">
        <v>22</v>
      </c>
      <c r="Y259" s="360" t="s">
        <v>47</v>
      </c>
      <c r="Z259" s="360">
        <v>5</v>
      </c>
      <c r="AA259" s="360">
        <v>38</v>
      </c>
      <c r="AB259" s="360">
        <v>13.2</v>
      </c>
      <c r="AQ259" t="str">
        <f t="shared" si="28"/>
        <v>2013FemaleUrban25</v>
      </c>
      <c r="AR259">
        <v>2013</v>
      </c>
      <c r="AS259" t="s">
        <v>8</v>
      </c>
      <c r="AT259" t="s">
        <v>97</v>
      </c>
      <c r="AU259">
        <v>25</v>
      </c>
      <c r="AV259">
        <v>8</v>
      </c>
      <c r="AW259">
        <v>2.6923335801305801</v>
      </c>
      <c r="AX259">
        <v>1.9</v>
      </c>
      <c r="BS259" t="str">
        <f t="shared" si="30"/>
        <v>FemalePacific251</v>
      </c>
      <c r="BT259" t="s">
        <v>8</v>
      </c>
      <c r="BU259" t="s">
        <v>79</v>
      </c>
      <c r="BV259">
        <v>25</v>
      </c>
      <c r="BW259">
        <v>1</v>
      </c>
      <c r="BX259">
        <v>1</v>
      </c>
      <c r="BY259">
        <v>36.882075113299301</v>
      </c>
      <c r="BZ259">
        <v>72.3</v>
      </c>
      <c r="CB259" t="str">
        <f t="shared" si="31"/>
        <v>MaleAllEth24Jumping from a high place</v>
      </c>
      <c r="CC259" t="s">
        <v>20</v>
      </c>
      <c r="CD259" t="s">
        <v>27</v>
      </c>
      <c r="CE259" t="s">
        <v>44</v>
      </c>
      <c r="CF259">
        <v>24</v>
      </c>
      <c r="CG259">
        <v>20</v>
      </c>
      <c r="CH259">
        <v>595</v>
      </c>
      <c r="CI259">
        <v>3.4</v>
      </c>
    </row>
    <row r="260" spans="1:87" x14ac:dyDescent="0.2">
      <c r="A260" t="str">
        <f t="shared" ref="A260:A323" si="32">B260&amp;C260&amp;D260&amp;E260</f>
        <v>1997MaleAllEth22</v>
      </c>
      <c r="B260">
        <v>1997</v>
      </c>
      <c r="C260" t="s">
        <v>20</v>
      </c>
      <c r="D260" t="s">
        <v>27</v>
      </c>
      <c r="E260">
        <v>22</v>
      </c>
      <c r="F260">
        <v>113</v>
      </c>
      <c r="G260">
        <v>41.037187681580498</v>
      </c>
      <c r="H260">
        <v>7.6</v>
      </c>
      <c r="J260" s="358" t="str">
        <f t="shared" ref="J260:J323" si="33">K260&amp;L260&amp;M260&amp;N260&amp;O260</f>
        <v>2007FemaleAllEth192</v>
      </c>
      <c r="K260" s="359">
        <v>2007</v>
      </c>
      <c r="L260" t="s">
        <v>8</v>
      </c>
      <c r="M260" t="s">
        <v>27</v>
      </c>
      <c r="N260">
        <v>19</v>
      </c>
      <c r="O260">
        <v>2</v>
      </c>
      <c r="P260">
        <v>21</v>
      </c>
      <c r="Q260">
        <v>4.3903552637485497</v>
      </c>
      <c r="R260">
        <v>1.9</v>
      </c>
      <c r="T260" s="358" t="str">
        <f t="shared" si="29"/>
        <v>1997AllSexMaori23Poisoning by solids and liquids</v>
      </c>
      <c r="U260" s="360">
        <v>1997</v>
      </c>
      <c r="V260" s="360" t="s">
        <v>17</v>
      </c>
      <c r="W260" s="360" t="s">
        <v>18</v>
      </c>
      <c r="X260" s="360">
        <v>23</v>
      </c>
      <c r="Y260" s="360" t="s">
        <v>47</v>
      </c>
      <c r="Z260" s="360">
        <v>5</v>
      </c>
      <c r="AA260" s="360">
        <v>56</v>
      </c>
      <c r="AB260" s="360">
        <v>8.9</v>
      </c>
      <c r="AQ260" t="str">
        <f t="shared" ref="AQ260:AQ323" si="34">AR260&amp;AS260&amp;AT260&amp;AU260</f>
        <v>2013MaleRural22</v>
      </c>
      <c r="AR260">
        <v>2013</v>
      </c>
      <c r="AS260" t="s">
        <v>20</v>
      </c>
      <c r="AT260" t="s">
        <v>96</v>
      </c>
      <c r="AU260">
        <v>22</v>
      </c>
      <c r="AV260">
        <v>9</v>
      </c>
      <c r="AW260">
        <v>23.9170874302418</v>
      </c>
      <c r="AX260">
        <v>15.6</v>
      </c>
      <c r="BS260" t="str">
        <f t="shared" si="30"/>
        <v>FemalePacific252</v>
      </c>
      <c r="BT260" t="s">
        <v>8</v>
      </c>
      <c r="BU260" t="s">
        <v>79</v>
      </c>
      <c r="BV260">
        <v>25</v>
      </c>
      <c r="BW260">
        <v>2</v>
      </c>
      <c r="BX260">
        <v>0</v>
      </c>
      <c r="BY260">
        <v>0</v>
      </c>
      <c r="CB260" t="str">
        <f t="shared" si="31"/>
        <v>MaleAllEth25Jumping from a high place</v>
      </c>
      <c r="CC260" t="s">
        <v>20</v>
      </c>
      <c r="CD260" t="s">
        <v>27</v>
      </c>
      <c r="CE260" t="s">
        <v>44</v>
      </c>
      <c r="CF260">
        <v>25</v>
      </c>
      <c r="CG260">
        <v>5</v>
      </c>
      <c r="CH260">
        <v>219</v>
      </c>
      <c r="CI260">
        <v>2.2999999999999998</v>
      </c>
    </row>
    <row r="261" spans="1:87" x14ac:dyDescent="0.2">
      <c r="A261" t="str">
        <f t="shared" si="32"/>
        <v>1997MaleAllEth23</v>
      </c>
      <c r="B261">
        <v>1997</v>
      </c>
      <c r="C261" t="s">
        <v>20</v>
      </c>
      <c r="D261" t="s">
        <v>27</v>
      </c>
      <c r="E261">
        <v>23</v>
      </c>
      <c r="F261">
        <v>201</v>
      </c>
      <c r="G261">
        <v>35.230399803691299</v>
      </c>
      <c r="H261">
        <v>4.9000000000000004</v>
      </c>
      <c r="J261" s="358" t="str">
        <f t="shared" si="33"/>
        <v>2007FemaleAllEth193</v>
      </c>
      <c r="K261" s="359">
        <v>2007</v>
      </c>
      <c r="L261" t="s">
        <v>8</v>
      </c>
      <c r="M261" t="s">
        <v>27</v>
      </c>
      <c r="N261">
        <v>19</v>
      </c>
      <c r="O261">
        <v>3</v>
      </c>
      <c r="P261">
        <v>25</v>
      </c>
      <c r="Q261">
        <v>5.7446892212915204</v>
      </c>
      <c r="R261">
        <v>2.2999999999999998</v>
      </c>
      <c r="T261" s="358" t="str">
        <f t="shared" ref="T261:T324" si="35">U261&amp;V261&amp;W261&amp;X261&amp;Y261</f>
        <v>1997AllSexMaori24Sharp object</v>
      </c>
      <c r="U261" s="360">
        <v>1997</v>
      </c>
      <c r="V261" s="360" t="s">
        <v>17</v>
      </c>
      <c r="W261" s="360" t="s">
        <v>18</v>
      </c>
      <c r="X261" s="360">
        <v>24</v>
      </c>
      <c r="Y261" s="360" t="s">
        <v>48</v>
      </c>
      <c r="Z261" s="360">
        <v>1</v>
      </c>
      <c r="AA261" s="360">
        <v>7</v>
      </c>
      <c r="AB261" s="360">
        <v>14.3</v>
      </c>
      <c r="AQ261" t="str">
        <f t="shared" si="34"/>
        <v>2013MaleUrban22</v>
      </c>
      <c r="AR261">
        <v>2013</v>
      </c>
      <c r="AS261" t="s">
        <v>20</v>
      </c>
      <c r="AT261" t="s">
        <v>97</v>
      </c>
      <c r="AU261">
        <v>22</v>
      </c>
      <c r="AV261">
        <v>65</v>
      </c>
      <c r="AW261">
        <v>23.076649980473601</v>
      </c>
      <c r="AX261">
        <v>5.6</v>
      </c>
      <c r="BS261" t="str">
        <f t="shared" ref="BS261:BS324" si="36">BT261&amp;BU261&amp;BV261&amp;BW261</f>
        <v>FemalePacific253</v>
      </c>
      <c r="BT261" t="s">
        <v>8</v>
      </c>
      <c r="BU261" t="s">
        <v>79</v>
      </c>
      <c r="BV261">
        <v>25</v>
      </c>
      <c r="BW261">
        <v>3</v>
      </c>
      <c r="BX261">
        <v>0</v>
      </c>
      <c r="BY261">
        <v>0</v>
      </c>
      <c r="CB261" t="str">
        <f t="shared" ref="CB261:CB324" si="37">CC261&amp;CD261&amp;CF261&amp;CE261</f>
        <v>MaleAllEth22Other</v>
      </c>
      <c r="CC261" t="s">
        <v>20</v>
      </c>
      <c r="CD261" t="s">
        <v>27</v>
      </c>
      <c r="CE261" t="s">
        <v>45</v>
      </c>
      <c r="CF261">
        <v>22</v>
      </c>
      <c r="CG261">
        <v>11</v>
      </c>
      <c r="CH261">
        <v>414</v>
      </c>
      <c r="CI261">
        <v>2.7</v>
      </c>
    </row>
    <row r="262" spans="1:87" x14ac:dyDescent="0.2">
      <c r="A262" t="str">
        <f t="shared" si="32"/>
        <v>1997MaleAllEth24</v>
      </c>
      <c r="B262">
        <v>1997</v>
      </c>
      <c r="C262" t="s">
        <v>20</v>
      </c>
      <c r="D262" t="s">
        <v>27</v>
      </c>
      <c r="E262">
        <v>24</v>
      </c>
      <c r="F262">
        <v>76</v>
      </c>
      <c r="G262">
        <v>19.856303069889002</v>
      </c>
      <c r="H262">
        <v>4.5</v>
      </c>
      <c r="J262" s="358" t="str">
        <f t="shared" si="33"/>
        <v>2007FemaleAllEth194</v>
      </c>
      <c r="K262" s="359">
        <v>2007</v>
      </c>
      <c r="L262" t="s">
        <v>8</v>
      </c>
      <c r="M262" t="s">
        <v>27</v>
      </c>
      <c r="N262">
        <v>19</v>
      </c>
      <c r="O262">
        <v>4</v>
      </c>
      <c r="P262">
        <v>22</v>
      </c>
      <c r="Q262">
        <v>4.9567640127175396</v>
      </c>
      <c r="R262">
        <v>2.1</v>
      </c>
      <c r="T262" s="358" t="str">
        <f t="shared" si="35"/>
        <v>1997AllSexMaori23Submersion (drowning)</v>
      </c>
      <c r="U262" s="360">
        <v>1997</v>
      </c>
      <c r="V262" s="360" t="s">
        <v>17</v>
      </c>
      <c r="W262" s="360" t="s">
        <v>18</v>
      </c>
      <c r="X262" s="360">
        <v>23</v>
      </c>
      <c r="Y262" s="360" t="s">
        <v>49</v>
      </c>
      <c r="Z262" s="360">
        <v>1</v>
      </c>
      <c r="AA262" s="360">
        <v>56</v>
      </c>
      <c r="AB262" s="360">
        <v>1.8</v>
      </c>
      <c r="AQ262" t="str">
        <f t="shared" si="34"/>
        <v>2013MaleRural23</v>
      </c>
      <c r="AR262">
        <v>2013</v>
      </c>
      <c r="AS262" t="s">
        <v>20</v>
      </c>
      <c r="AT262" t="s">
        <v>96</v>
      </c>
      <c r="AU262">
        <v>23</v>
      </c>
      <c r="AV262">
        <v>17</v>
      </c>
      <c r="AW262">
        <v>24.516873377559801</v>
      </c>
      <c r="AX262">
        <v>11.7</v>
      </c>
      <c r="BS262" t="str">
        <f t="shared" si="36"/>
        <v>FemalePacific254</v>
      </c>
      <c r="BT262" t="s">
        <v>8</v>
      </c>
      <c r="BU262" t="s">
        <v>79</v>
      </c>
      <c r="BV262">
        <v>25</v>
      </c>
      <c r="BW262">
        <v>4</v>
      </c>
      <c r="BX262">
        <v>0</v>
      </c>
      <c r="BY262">
        <v>0</v>
      </c>
      <c r="CB262" t="str">
        <f t="shared" si="37"/>
        <v>MaleAllEth23Other</v>
      </c>
      <c r="CC262" t="s">
        <v>20</v>
      </c>
      <c r="CD262" t="s">
        <v>27</v>
      </c>
      <c r="CE262" t="s">
        <v>45</v>
      </c>
      <c r="CF262">
        <v>23</v>
      </c>
      <c r="CG262">
        <v>22</v>
      </c>
      <c r="CH262">
        <v>664</v>
      </c>
      <c r="CI262">
        <v>3.3</v>
      </c>
    </row>
    <row r="263" spans="1:87" x14ac:dyDescent="0.2">
      <c r="A263" t="str">
        <f t="shared" si="32"/>
        <v>1997MaleAllEth25</v>
      </c>
      <c r="B263">
        <v>1997</v>
      </c>
      <c r="C263" t="s">
        <v>20</v>
      </c>
      <c r="D263" t="s">
        <v>27</v>
      </c>
      <c r="E263">
        <v>25</v>
      </c>
      <c r="F263">
        <v>46</v>
      </c>
      <c r="G263">
        <v>24.361826077745999</v>
      </c>
      <c r="H263">
        <v>7</v>
      </c>
      <c r="J263" s="358" t="str">
        <f t="shared" si="33"/>
        <v>2007FemaleAllEth195</v>
      </c>
      <c r="K263" s="359">
        <v>2007</v>
      </c>
      <c r="L263" t="s">
        <v>8</v>
      </c>
      <c r="M263" t="s">
        <v>27</v>
      </c>
      <c r="N263">
        <v>19</v>
      </c>
      <c r="O263">
        <v>5</v>
      </c>
      <c r="P263">
        <v>30</v>
      </c>
      <c r="Q263">
        <v>6.78604023432323</v>
      </c>
      <c r="R263">
        <v>2.4</v>
      </c>
      <c r="T263" s="358" t="str">
        <f t="shared" si="35"/>
        <v>1997AllSexMaori25Submersion (drowning)</v>
      </c>
      <c r="U263" s="360">
        <v>1997</v>
      </c>
      <c r="V263" s="360" t="s">
        <v>17</v>
      </c>
      <c r="W263" s="360" t="s">
        <v>18</v>
      </c>
      <c r="X263" s="360">
        <v>25</v>
      </c>
      <c r="Y263" s="360" t="s">
        <v>49</v>
      </c>
      <c r="Z263" s="360">
        <v>1</v>
      </c>
      <c r="AA263" s="360">
        <v>1</v>
      </c>
      <c r="AB263" s="360">
        <v>100</v>
      </c>
      <c r="AQ263" t="str">
        <f t="shared" si="34"/>
        <v>2013MaleUrban23</v>
      </c>
      <c r="AR263">
        <v>2013</v>
      </c>
      <c r="AS263" t="s">
        <v>20</v>
      </c>
      <c r="AT263" t="s">
        <v>97</v>
      </c>
      <c r="AU263">
        <v>23</v>
      </c>
      <c r="AV263">
        <v>97</v>
      </c>
      <c r="AW263">
        <v>20.331167470132002</v>
      </c>
      <c r="AX263">
        <v>4</v>
      </c>
      <c r="BS263" t="str">
        <f t="shared" si="36"/>
        <v>FemalePacific255</v>
      </c>
      <c r="BT263" t="s">
        <v>8</v>
      </c>
      <c r="BU263" t="s">
        <v>79</v>
      </c>
      <c r="BV263">
        <v>25</v>
      </c>
      <c r="BW263">
        <v>5</v>
      </c>
      <c r="BX263">
        <v>0</v>
      </c>
      <c r="BY263">
        <v>0</v>
      </c>
      <c r="CB263" t="str">
        <f t="shared" si="37"/>
        <v>MaleAllEth24Other</v>
      </c>
      <c r="CC263" t="s">
        <v>20</v>
      </c>
      <c r="CD263" t="s">
        <v>27</v>
      </c>
      <c r="CE263" t="s">
        <v>45</v>
      </c>
      <c r="CF263">
        <v>24</v>
      </c>
      <c r="CG263">
        <v>28</v>
      </c>
      <c r="CH263">
        <v>595</v>
      </c>
      <c r="CI263">
        <v>4.7</v>
      </c>
    </row>
    <row r="264" spans="1:87" x14ac:dyDescent="0.2">
      <c r="A264" t="str">
        <f t="shared" si="32"/>
        <v>1997MaleMaori21</v>
      </c>
      <c r="B264">
        <v>1997</v>
      </c>
      <c r="C264" t="s">
        <v>20</v>
      </c>
      <c r="D264" t="s">
        <v>18</v>
      </c>
      <c r="E264">
        <v>21</v>
      </c>
      <c r="F264">
        <v>3</v>
      </c>
      <c r="J264" s="358" t="str">
        <f t="shared" si="33"/>
        <v>2008FemaleAllEth191</v>
      </c>
      <c r="K264" s="359">
        <v>2008</v>
      </c>
      <c r="L264" t="s">
        <v>8</v>
      </c>
      <c r="M264" t="s">
        <v>27</v>
      </c>
      <c r="N264">
        <v>19</v>
      </c>
      <c r="O264">
        <v>1</v>
      </c>
      <c r="P264">
        <v>21</v>
      </c>
      <c r="Q264">
        <v>4.8919643634299597</v>
      </c>
      <c r="R264">
        <v>2.1</v>
      </c>
      <c r="T264" s="358" t="str">
        <f t="shared" si="35"/>
        <v>1997AllSexNon-Maori21Firearms and explosives</v>
      </c>
      <c r="U264" s="360">
        <v>1997</v>
      </c>
      <c r="V264" s="360" t="s">
        <v>17</v>
      </c>
      <c r="W264" s="360" t="s">
        <v>19</v>
      </c>
      <c r="X264" s="360">
        <v>21</v>
      </c>
      <c r="Y264" s="360" t="s">
        <v>42</v>
      </c>
      <c r="Z264" s="360">
        <v>1</v>
      </c>
      <c r="AA264" s="360">
        <v>4</v>
      </c>
      <c r="AB264" s="360">
        <v>25</v>
      </c>
      <c r="AQ264" t="str">
        <f t="shared" si="34"/>
        <v>2013MaleRural24</v>
      </c>
      <c r="AR264">
        <v>2013</v>
      </c>
      <c r="AS264" t="s">
        <v>20</v>
      </c>
      <c r="AT264" t="s">
        <v>96</v>
      </c>
      <c r="AU264">
        <v>24</v>
      </c>
      <c r="AV264">
        <v>23</v>
      </c>
      <c r="AW264">
        <v>22.9885057471264</v>
      </c>
      <c r="AX264">
        <v>9.4</v>
      </c>
      <c r="BS264" t="str">
        <f t="shared" si="36"/>
        <v>MaleAsian211</v>
      </c>
      <c r="BT264" t="s">
        <v>20</v>
      </c>
      <c r="BU264" t="s">
        <v>78</v>
      </c>
      <c r="BV264">
        <v>21</v>
      </c>
      <c r="BW264">
        <v>1</v>
      </c>
      <c r="BX264">
        <v>0</v>
      </c>
      <c r="CB264" t="str">
        <f t="shared" si="37"/>
        <v>MaleAllEth25Other</v>
      </c>
      <c r="CC264" t="s">
        <v>20</v>
      </c>
      <c r="CD264" t="s">
        <v>27</v>
      </c>
      <c r="CE264" t="s">
        <v>45</v>
      </c>
      <c r="CF264">
        <v>25</v>
      </c>
      <c r="CG264">
        <v>9</v>
      </c>
      <c r="CH264">
        <v>219</v>
      </c>
      <c r="CI264">
        <v>4.0999999999999996</v>
      </c>
    </row>
    <row r="265" spans="1:87" x14ac:dyDescent="0.2">
      <c r="A265" t="str">
        <f t="shared" si="32"/>
        <v>1997MaleMaori22</v>
      </c>
      <c r="B265">
        <v>1997</v>
      </c>
      <c r="C265" t="s">
        <v>20</v>
      </c>
      <c r="D265" t="s">
        <v>18</v>
      </c>
      <c r="E265">
        <v>22</v>
      </c>
      <c r="F265">
        <v>29</v>
      </c>
      <c r="G265">
        <v>56.431212298112499</v>
      </c>
      <c r="H265">
        <v>20.5</v>
      </c>
      <c r="J265" s="358" t="str">
        <f t="shared" si="33"/>
        <v>2008FemaleAllEth192</v>
      </c>
      <c r="K265" s="359">
        <v>2008</v>
      </c>
      <c r="L265" t="s">
        <v>8</v>
      </c>
      <c r="M265" t="s">
        <v>27</v>
      </c>
      <c r="N265">
        <v>19</v>
      </c>
      <c r="O265">
        <v>2</v>
      </c>
      <c r="P265">
        <v>24</v>
      </c>
      <c r="Q265">
        <v>4.92960345088603</v>
      </c>
      <c r="R265">
        <v>2</v>
      </c>
      <c r="T265" s="358" t="str">
        <f t="shared" si="35"/>
        <v>1997AllSexNon-Maori22Firearms and explosives</v>
      </c>
      <c r="U265" s="360">
        <v>1997</v>
      </c>
      <c r="V265" s="360" t="s">
        <v>17</v>
      </c>
      <c r="W265" s="360" t="s">
        <v>19</v>
      </c>
      <c r="X265" s="360">
        <v>22</v>
      </c>
      <c r="Y265" s="360" t="s">
        <v>42</v>
      </c>
      <c r="Z265" s="360">
        <v>12</v>
      </c>
      <c r="AA265" s="360">
        <v>104</v>
      </c>
      <c r="AB265" s="360">
        <v>11.5</v>
      </c>
      <c r="AQ265" t="str">
        <f t="shared" si="34"/>
        <v>2013MaleUrban24</v>
      </c>
      <c r="AR265">
        <v>2013</v>
      </c>
      <c r="AS265" t="s">
        <v>20</v>
      </c>
      <c r="AT265" t="s">
        <v>97</v>
      </c>
      <c r="AU265">
        <v>24</v>
      </c>
      <c r="AV265">
        <v>107</v>
      </c>
      <c r="AW265">
        <v>23.696682464455002</v>
      </c>
      <c r="AX265">
        <v>4.5</v>
      </c>
      <c r="BS265" t="str">
        <f t="shared" si="36"/>
        <v>MaleAsian212</v>
      </c>
      <c r="BT265" t="s">
        <v>20</v>
      </c>
      <c r="BU265" t="s">
        <v>78</v>
      </c>
      <c r="BV265">
        <v>21</v>
      </c>
      <c r="BW265">
        <v>2</v>
      </c>
      <c r="BX265">
        <v>0</v>
      </c>
      <c r="CB265" t="str">
        <f t="shared" si="37"/>
        <v>MaleAllEth22Poisoning by gases and vapours</v>
      </c>
      <c r="CC265" t="s">
        <v>20</v>
      </c>
      <c r="CD265" t="s">
        <v>27</v>
      </c>
      <c r="CE265" t="s">
        <v>46</v>
      </c>
      <c r="CF265">
        <v>22</v>
      </c>
      <c r="CG265">
        <v>16</v>
      </c>
      <c r="CH265">
        <v>414</v>
      </c>
      <c r="CI265">
        <v>3.9</v>
      </c>
    </row>
    <row r="266" spans="1:87" x14ac:dyDescent="0.2">
      <c r="A266" t="str">
        <f t="shared" si="32"/>
        <v>1997MaleMaori23</v>
      </c>
      <c r="B266">
        <v>1997</v>
      </c>
      <c r="C266" t="s">
        <v>20</v>
      </c>
      <c r="D266" t="s">
        <v>18</v>
      </c>
      <c r="E266">
        <v>23</v>
      </c>
      <c r="F266">
        <v>41</v>
      </c>
      <c r="G266">
        <v>56.365136101182301</v>
      </c>
      <c r="H266">
        <v>17.3</v>
      </c>
      <c r="J266" s="358" t="str">
        <f t="shared" si="33"/>
        <v>2008FemaleAllEth193</v>
      </c>
      <c r="K266" s="359">
        <v>2008</v>
      </c>
      <c r="L266" t="s">
        <v>8</v>
      </c>
      <c r="M266" t="s">
        <v>27</v>
      </c>
      <c r="N266">
        <v>19</v>
      </c>
      <c r="O266">
        <v>3</v>
      </c>
      <c r="P266">
        <v>33</v>
      </c>
      <c r="Q266">
        <v>7.5691748656037197</v>
      </c>
      <c r="R266">
        <v>2.6</v>
      </c>
      <c r="T266" s="358" t="str">
        <f t="shared" si="35"/>
        <v>1997AllSexNon-Maori23Firearms and explosives</v>
      </c>
      <c r="U266" s="360">
        <v>1997</v>
      </c>
      <c r="V266" s="360" t="s">
        <v>17</v>
      </c>
      <c r="W266" s="360" t="s">
        <v>19</v>
      </c>
      <c r="X266" s="360">
        <v>23</v>
      </c>
      <c r="Y266" s="360" t="s">
        <v>42</v>
      </c>
      <c r="Z266" s="360">
        <v>17</v>
      </c>
      <c r="AA266" s="360">
        <v>200</v>
      </c>
      <c r="AB266" s="360">
        <v>8.5</v>
      </c>
      <c r="AQ266" t="str">
        <f t="shared" si="34"/>
        <v>2013MaleRural25</v>
      </c>
      <c r="AR266">
        <v>2013</v>
      </c>
      <c r="AS266" t="s">
        <v>20</v>
      </c>
      <c r="AT266" t="s">
        <v>96</v>
      </c>
      <c r="AU266">
        <v>25</v>
      </c>
      <c r="AV266">
        <v>6</v>
      </c>
      <c r="AW266">
        <v>13.057671381936901</v>
      </c>
      <c r="AX266">
        <v>10.4</v>
      </c>
      <c r="BS266" t="str">
        <f t="shared" si="36"/>
        <v>MaleAsian213</v>
      </c>
      <c r="BT266" t="s">
        <v>20</v>
      </c>
      <c r="BU266" t="s">
        <v>78</v>
      </c>
      <c r="BV266">
        <v>21</v>
      </c>
      <c r="BW266">
        <v>3</v>
      </c>
      <c r="BX266">
        <v>0</v>
      </c>
      <c r="CB266" t="str">
        <f t="shared" si="37"/>
        <v>MaleAllEth23Poisoning by gases and vapours</v>
      </c>
      <c r="CC266" t="s">
        <v>20</v>
      </c>
      <c r="CD266" t="s">
        <v>27</v>
      </c>
      <c r="CE266" t="s">
        <v>46</v>
      </c>
      <c r="CF266">
        <v>23</v>
      </c>
      <c r="CG266">
        <v>78</v>
      </c>
      <c r="CH266">
        <v>664</v>
      </c>
      <c r="CI266">
        <v>11.7</v>
      </c>
    </row>
    <row r="267" spans="1:87" x14ac:dyDescent="0.2">
      <c r="A267" t="str">
        <f t="shared" si="32"/>
        <v>1997MaleMaori24</v>
      </c>
      <c r="B267">
        <v>1997</v>
      </c>
      <c r="C267" t="s">
        <v>20</v>
      </c>
      <c r="D267" t="s">
        <v>18</v>
      </c>
      <c r="E267">
        <v>24</v>
      </c>
      <c r="F267">
        <v>7</v>
      </c>
      <c r="G267">
        <v>21.6450216450216</v>
      </c>
      <c r="H267">
        <v>16</v>
      </c>
      <c r="J267" s="358" t="str">
        <f t="shared" si="33"/>
        <v>2008FemaleAllEth194</v>
      </c>
      <c r="K267" s="359">
        <v>2008</v>
      </c>
      <c r="L267" t="s">
        <v>8</v>
      </c>
      <c r="M267" t="s">
        <v>27</v>
      </c>
      <c r="N267">
        <v>19</v>
      </c>
      <c r="O267">
        <v>4</v>
      </c>
      <c r="P267">
        <v>22</v>
      </c>
      <c r="Q267">
        <v>4.8262497491326304</v>
      </c>
      <c r="R267">
        <v>2</v>
      </c>
      <c r="T267" s="358" t="str">
        <f t="shared" si="35"/>
        <v>1997AllSexNon-Maori24Firearms and explosives</v>
      </c>
      <c r="U267" s="360">
        <v>1997</v>
      </c>
      <c r="V267" s="360" t="s">
        <v>17</v>
      </c>
      <c r="W267" s="360" t="s">
        <v>19</v>
      </c>
      <c r="X267" s="360">
        <v>24</v>
      </c>
      <c r="Y267" s="360" t="s">
        <v>42</v>
      </c>
      <c r="Z267" s="360">
        <v>13</v>
      </c>
      <c r="AA267" s="360">
        <v>95</v>
      </c>
      <c r="AB267" s="360">
        <v>13.7</v>
      </c>
      <c r="AQ267" t="str">
        <f t="shared" si="34"/>
        <v>2013MaleUrban25</v>
      </c>
      <c r="AR267">
        <v>2013</v>
      </c>
      <c r="AS267" t="s">
        <v>20</v>
      </c>
      <c r="AT267" t="s">
        <v>97</v>
      </c>
      <c r="AU267">
        <v>25</v>
      </c>
      <c r="AV267">
        <v>41</v>
      </c>
      <c r="AW267">
        <v>16.9072164948454</v>
      </c>
      <c r="AX267">
        <v>5.2</v>
      </c>
      <c r="BS267" t="str">
        <f t="shared" si="36"/>
        <v>MaleAsian214</v>
      </c>
      <c r="BT267" t="s">
        <v>20</v>
      </c>
      <c r="BU267" t="s">
        <v>78</v>
      </c>
      <c r="BV267">
        <v>21</v>
      </c>
      <c r="BW267">
        <v>4</v>
      </c>
      <c r="BX267">
        <v>0</v>
      </c>
      <c r="CB267" t="str">
        <f t="shared" si="37"/>
        <v>MaleAllEth24Poisoning by gases and vapours</v>
      </c>
      <c r="CC267" t="s">
        <v>20</v>
      </c>
      <c r="CD267" t="s">
        <v>27</v>
      </c>
      <c r="CE267" t="s">
        <v>46</v>
      </c>
      <c r="CF267">
        <v>24</v>
      </c>
      <c r="CG267">
        <v>80</v>
      </c>
      <c r="CH267">
        <v>595</v>
      </c>
      <c r="CI267">
        <v>13.4</v>
      </c>
    </row>
    <row r="268" spans="1:87" x14ac:dyDescent="0.2">
      <c r="A268" t="str">
        <f t="shared" si="32"/>
        <v>1997MaleMaori25</v>
      </c>
      <c r="B268">
        <v>1997</v>
      </c>
      <c r="C268" t="s">
        <v>20</v>
      </c>
      <c r="D268" t="s">
        <v>18</v>
      </c>
      <c r="E268">
        <v>25</v>
      </c>
      <c r="F268">
        <v>0</v>
      </c>
      <c r="G268">
        <v>0</v>
      </c>
      <c r="J268" s="358" t="str">
        <f t="shared" si="33"/>
        <v>2008FemaleAllEth195</v>
      </c>
      <c r="K268" s="359">
        <v>2008</v>
      </c>
      <c r="L268" t="s">
        <v>8</v>
      </c>
      <c r="M268" t="s">
        <v>27</v>
      </c>
      <c r="N268">
        <v>19</v>
      </c>
      <c r="O268">
        <v>5</v>
      </c>
      <c r="P268">
        <v>30</v>
      </c>
      <c r="Q268">
        <v>6.8810283175385996</v>
      </c>
      <c r="R268">
        <v>2.5</v>
      </c>
      <c r="T268" s="358" t="str">
        <f t="shared" si="35"/>
        <v>1997AllSexNon-Maori25Firearms and explosives</v>
      </c>
      <c r="U268" s="360">
        <v>1997</v>
      </c>
      <c r="V268" s="360" t="s">
        <v>17</v>
      </c>
      <c r="W268" s="360" t="s">
        <v>19</v>
      </c>
      <c r="X268" s="360">
        <v>25</v>
      </c>
      <c r="Y268" s="360" t="s">
        <v>42</v>
      </c>
      <c r="Z268" s="360">
        <v>5</v>
      </c>
      <c r="AA268" s="360">
        <v>53</v>
      </c>
      <c r="AB268" s="360">
        <v>9.4</v>
      </c>
      <c r="AQ268" t="str">
        <f t="shared" si="34"/>
        <v>2014AllSexRural22</v>
      </c>
      <c r="AR268">
        <v>2014</v>
      </c>
      <c r="AS268" t="s">
        <v>17</v>
      </c>
      <c r="AT268" t="s">
        <v>96</v>
      </c>
      <c r="AU268">
        <v>22</v>
      </c>
      <c r="AV268">
        <v>8</v>
      </c>
      <c r="AW268">
        <v>11.160714285714301</v>
      </c>
      <c r="AX268">
        <v>7.7</v>
      </c>
      <c r="BS268" t="str">
        <f t="shared" si="36"/>
        <v>MaleAsian215</v>
      </c>
      <c r="BT268" t="s">
        <v>20</v>
      </c>
      <c r="BU268" t="s">
        <v>78</v>
      </c>
      <c r="BV268">
        <v>21</v>
      </c>
      <c r="BW268">
        <v>5</v>
      </c>
      <c r="BX268">
        <v>0</v>
      </c>
      <c r="CB268" t="str">
        <f t="shared" si="37"/>
        <v>MaleAllEth25Poisoning by gases and vapours</v>
      </c>
      <c r="CC268" t="s">
        <v>20</v>
      </c>
      <c r="CD268" t="s">
        <v>27</v>
      </c>
      <c r="CE268" t="s">
        <v>46</v>
      </c>
      <c r="CF268">
        <v>25</v>
      </c>
      <c r="CG268">
        <v>15</v>
      </c>
      <c r="CH268">
        <v>219</v>
      </c>
      <c r="CI268">
        <v>6.8</v>
      </c>
    </row>
    <row r="269" spans="1:87" x14ac:dyDescent="0.2">
      <c r="A269" t="str">
        <f t="shared" si="32"/>
        <v>1997MaleNon-Maori21</v>
      </c>
      <c r="B269">
        <v>1997</v>
      </c>
      <c r="C269" t="s">
        <v>20</v>
      </c>
      <c r="D269" t="s">
        <v>19</v>
      </c>
      <c r="E269">
        <v>21</v>
      </c>
      <c r="F269">
        <v>2</v>
      </c>
      <c r="J269" s="358" t="str">
        <f t="shared" si="33"/>
        <v>2009FemaleAllEth191</v>
      </c>
      <c r="K269" s="359">
        <v>2009</v>
      </c>
      <c r="L269" t="s">
        <v>8</v>
      </c>
      <c r="M269" t="s">
        <v>27</v>
      </c>
      <c r="N269">
        <v>19</v>
      </c>
      <c r="O269">
        <v>1</v>
      </c>
      <c r="P269">
        <v>12</v>
      </c>
      <c r="Q269">
        <v>2.38907362919592</v>
      </c>
      <c r="R269">
        <v>1.4</v>
      </c>
      <c r="T269" s="358" t="str">
        <f t="shared" si="35"/>
        <v>1997AllSexNon-Maori21Hanging, strangulation and suffocation</v>
      </c>
      <c r="U269" s="360">
        <v>1997</v>
      </c>
      <c r="V269" s="360" t="s">
        <v>17</v>
      </c>
      <c r="W269" s="360" t="s">
        <v>19</v>
      </c>
      <c r="X269" s="360">
        <v>21</v>
      </c>
      <c r="Y269" s="360" t="s">
        <v>43</v>
      </c>
      <c r="Z269" s="360">
        <v>3</v>
      </c>
      <c r="AA269" s="360">
        <v>4</v>
      </c>
      <c r="AB269" s="360">
        <v>75</v>
      </c>
      <c r="AQ269" t="str">
        <f t="shared" si="34"/>
        <v>2014AllSexUrban22</v>
      </c>
      <c r="AR269">
        <v>2014</v>
      </c>
      <c r="AS269" t="s">
        <v>17</v>
      </c>
      <c r="AT269" t="s">
        <v>97</v>
      </c>
      <c r="AU269">
        <v>22</v>
      </c>
      <c r="AV269">
        <v>82</v>
      </c>
      <c r="AW269">
        <v>14.4490845976282</v>
      </c>
      <c r="AX269">
        <v>3.1</v>
      </c>
      <c r="BS269" t="str">
        <f t="shared" si="36"/>
        <v>MaleMaori211</v>
      </c>
      <c r="BT269" t="s">
        <v>20</v>
      </c>
      <c r="BU269" t="s">
        <v>18</v>
      </c>
      <c r="BV269">
        <v>21</v>
      </c>
      <c r="BW269">
        <v>1</v>
      </c>
      <c r="BX269">
        <v>0</v>
      </c>
      <c r="CB269" t="str">
        <f t="shared" si="37"/>
        <v>MaleAllEth21Poisoning by solids and liquids</v>
      </c>
      <c r="CC269" t="s">
        <v>20</v>
      </c>
      <c r="CD269" t="s">
        <v>27</v>
      </c>
      <c r="CE269" t="s">
        <v>47</v>
      </c>
      <c r="CF269">
        <v>21</v>
      </c>
      <c r="CG269">
        <v>1</v>
      </c>
      <c r="CH269">
        <v>18</v>
      </c>
      <c r="CI269">
        <v>5.6</v>
      </c>
    </row>
    <row r="270" spans="1:87" x14ac:dyDescent="0.2">
      <c r="A270" t="str">
        <f t="shared" si="32"/>
        <v>1997MaleNon-Maori22</v>
      </c>
      <c r="B270">
        <v>1997</v>
      </c>
      <c r="C270" t="s">
        <v>20</v>
      </c>
      <c r="D270" t="s">
        <v>19</v>
      </c>
      <c r="E270">
        <v>22</v>
      </c>
      <c r="F270">
        <v>84</v>
      </c>
      <c r="G270">
        <v>37.505022994150998</v>
      </c>
      <c r="H270">
        <v>8</v>
      </c>
      <c r="J270" s="358" t="str">
        <f t="shared" si="33"/>
        <v>2009FemaleAllEth192</v>
      </c>
      <c r="K270" s="359">
        <v>2009</v>
      </c>
      <c r="L270" t="s">
        <v>8</v>
      </c>
      <c r="M270" t="s">
        <v>27</v>
      </c>
      <c r="N270">
        <v>19</v>
      </c>
      <c r="O270">
        <v>2</v>
      </c>
      <c r="P270">
        <v>18</v>
      </c>
      <c r="Q270">
        <v>3.6586615219409002</v>
      </c>
      <c r="R270">
        <v>1.7</v>
      </c>
      <c r="T270" s="358" t="str">
        <f t="shared" si="35"/>
        <v>1997AllSexNon-Maori22Hanging, strangulation and suffocation</v>
      </c>
      <c r="U270" s="360">
        <v>1997</v>
      </c>
      <c r="V270" s="360" t="s">
        <v>17</v>
      </c>
      <c r="W270" s="360" t="s">
        <v>19</v>
      </c>
      <c r="X270" s="360">
        <v>22</v>
      </c>
      <c r="Y270" s="360" t="s">
        <v>43</v>
      </c>
      <c r="Z270" s="360">
        <v>50</v>
      </c>
      <c r="AA270" s="360">
        <v>104</v>
      </c>
      <c r="AB270" s="360">
        <v>48.1</v>
      </c>
      <c r="AQ270" t="str">
        <f t="shared" si="34"/>
        <v>2014AllSexRural23</v>
      </c>
      <c r="AR270">
        <v>2014</v>
      </c>
      <c r="AS270" t="s">
        <v>17</v>
      </c>
      <c r="AT270" t="s">
        <v>96</v>
      </c>
      <c r="AU270">
        <v>23</v>
      </c>
      <c r="AV270">
        <v>22</v>
      </c>
      <c r="AW270">
        <v>15.8057331704864</v>
      </c>
      <c r="AX270">
        <v>6.6</v>
      </c>
      <c r="BS270" t="str">
        <f t="shared" si="36"/>
        <v>MaleMaori212</v>
      </c>
      <c r="BT270" t="s">
        <v>20</v>
      </c>
      <c r="BU270" t="s">
        <v>18</v>
      </c>
      <c r="BV270">
        <v>21</v>
      </c>
      <c r="BW270">
        <v>2</v>
      </c>
      <c r="BX270">
        <v>1</v>
      </c>
      <c r="CB270" t="str">
        <f t="shared" si="37"/>
        <v>MaleAllEth22Poisoning by solids and liquids</v>
      </c>
      <c r="CC270" t="s">
        <v>20</v>
      </c>
      <c r="CD270" t="s">
        <v>27</v>
      </c>
      <c r="CE270" t="s">
        <v>47</v>
      </c>
      <c r="CF270">
        <v>22</v>
      </c>
      <c r="CG270">
        <v>9</v>
      </c>
      <c r="CH270">
        <v>414</v>
      </c>
      <c r="CI270">
        <v>2.2000000000000002</v>
      </c>
    </row>
    <row r="271" spans="1:87" x14ac:dyDescent="0.2">
      <c r="A271" t="str">
        <f t="shared" si="32"/>
        <v>1997MaleNon-Maori23</v>
      </c>
      <c r="B271">
        <v>1997</v>
      </c>
      <c r="C271" t="s">
        <v>20</v>
      </c>
      <c r="D271" t="s">
        <v>19</v>
      </c>
      <c r="E271">
        <v>23</v>
      </c>
      <c r="F271">
        <v>160</v>
      </c>
      <c r="G271">
        <v>32.142067940296101</v>
      </c>
      <c r="H271">
        <v>5</v>
      </c>
      <c r="J271" s="358" t="str">
        <f t="shared" si="33"/>
        <v>2009FemaleAllEth193</v>
      </c>
      <c r="K271" s="359">
        <v>2009</v>
      </c>
      <c r="L271" t="s">
        <v>8</v>
      </c>
      <c r="M271" t="s">
        <v>27</v>
      </c>
      <c r="N271">
        <v>19</v>
      </c>
      <c r="O271">
        <v>3</v>
      </c>
      <c r="P271">
        <v>24</v>
      </c>
      <c r="Q271">
        <v>5.2206184166965404</v>
      </c>
      <c r="R271">
        <v>2.1</v>
      </c>
      <c r="T271" s="358" t="str">
        <f t="shared" si="35"/>
        <v>1997AllSexNon-Maori23Hanging, strangulation and suffocation</v>
      </c>
      <c r="U271" s="360">
        <v>1997</v>
      </c>
      <c r="V271" s="360" t="s">
        <v>17</v>
      </c>
      <c r="W271" s="360" t="s">
        <v>19</v>
      </c>
      <c r="X271" s="360">
        <v>23</v>
      </c>
      <c r="Y271" s="360" t="s">
        <v>43</v>
      </c>
      <c r="Z271" s="360">
        <v>61</v>
      </c>
      <c r="AA271" s="360">
        <v>200</v>
      </c>
      <c r="AB271" s="360">
        <v>30.5</v>
      </c>
      <c r="AQ271" t="str">
        <f t="shared" si="34"/>
        <v>2014AllSexUrban23</v>
      </c>
      <c r="AR271">
        <v>2014</v>
      </c>
      <c r="AS271" t="s">
        <v>17</v>
      </c>
      <c r="AT271" t="s">
        <v>97</v>
      </c>
      <c r="AU271">
        <v>23</v>
      </c>
      <c r="AV271">
        <v>166</v>
      </c>
      <c r="AW271">
        <v>16.335206305783299</v>
      </c>
      <c r="AX271">
        <v>2.5</v>
      </c>
      <c r="BS271" t="str">
        <f t="shared" si="36"/>
        <v>MaleMaori213</v>
      </c>
      <c r="BT271" t="s">
        <v>20</v>
      </c>
      <c r="BU271" t="s">
        <v>18</v>
      </c>
      <c r="BV271">
        <v>21</v>
      </c>
      <c r="BW271">
        <v>3</v>
      </c>
      <c r="BX271">
        <v>3</v>
      </c>
      <c r="CB271" t="str">
        <f t="shared" si="37"/>
        <v>MaleAllEth23Poisoning by solids and liquids</v>
      </c>
      <c r="CC271" t="s">
        <v>20</v>
      </c>
      <c r="CD271" t="s">
        <v>27</v>
      </c>
      <c r="CE271" t="s">
        <v>47</v>
      </c>
      <c r="CF271">
        <v>23</v>
      </c>
      <c r="CG271">
        <v>38</v>
      </c>
      <c r="CH271">
        <v>664</v>
      </c>
      <c r="CI271">
        <v>5.7</v>
      </c>
    </row>
    <row r="272" spans="1:87" x14ac:dyDescent="0.2">
      <c r="A272" t="str">
        <f t="shared" si="32"/>
        <v>1997MaleNon-Maori24</v>
      </c>
      <c r="B272">
        <v>1997</v>
      </c>
      <c r="C272" t="s">
        <v>20</v>
      </c>
      <c r="D272" t="s">
        <v>19</v>
      </c>
      <c r="E272">
        <v>24</v>
      </c>
      <c r="F272">
        <v>69</v>
      </c>
      <c r="G272">
        <v>19.691218857909298</v>
      </c>
      <c r="H272">
        <v>4.5999999999999996</v>
      </c>
      <c r="J272" s="358" t="str">
        <f t="shared" si="33"/>
        <v>2009FemaleAllEth194</v>
      </c>
      <c r="K272" s="359">
        <v>2009</v>
      </c>
      <c r="L272" t="s">
        <v>8</v>
      </c>
      <c r="M272" t="s">
        <v>27</v>
      </c>
      <c r="N272">
        <v>19</v>
      </c>
      <c r="O272">
        <v>4</v>
      </c>
      <c r="P272">
        <v>34</v>
      </c>
      <c r="Q272">
        <v>7.3510824533927499</v>
      </c>
      <c r="R272">
        <v>2.5</v>
      </c>
      <c r="T272" s="358" t="str">
        <f t="shared" si="35"/>
        <v>1997AllSexNon-Maori24Hanging, strangulation and suffocation</v>
      </c>
      <c r="U272" s="360">
        <v>1997</v>
      </c>
      <c r="V272" s="360" t="s">
        <v>17</v>
      </c>
      <c r="W272" s="360" t="s">
        <v>19</v>
      </c>
      <c r="X272" s="360">
        <v>24</v>
      </c>
      <c r="Y272" s="360" t="s">
        <v>43</v>
      </c>
      <c r="Z272" s="360">
        <v>34</v>
      </c>
      <c r="AA272" s="360">
        <v>95</v>
      </c>
      <c r="AB272" s="360">
        <v>35.799999999999997</v>
      </c>
      <c r="AQ272" t="str">
        <f t="shared" si="34"/>
        <v>2014AllSexRural24</v>
      </c>
      <c r="AR272">
        <v>2014</v>
      </c>
      <c r="AS272" t="s">
        <v>17</v>
      </c>
      <c r="AT272" t="s">
        <v>96</v>
      </c>
      <c r="AU272">
        <v>24</v>
      </c>
      <c r="AV272">
        <v>31</v>
      </c>
      <c r="AW272">
        <v>15.630514798568001</v>
      </c>
      <c r="AX272">
        <v>5.5</v>
      </c>
      <c r="BS272" t="str">
        <f t="shared" si="36"/>
        <v>MaleMaori214</v>
      </c>
      <c r="BT272" t="s">
        <v>20</v>
      </c>
      <c r="BU272" t="s">
        <v>18</v>
      </c>
      <c r="BV272">
        <v>21</v>
      </c>
      <c r="BW272">
        <v>4</v>
      </c>
      <c r="BX272">
        <v>4</v>
      </c>
      <c r="CB272" t="str">
        <f t="shared" si="37"/>
        <v>MaleAllEth24Poisoning by solids and liquids</v>
      </c>
      <c r="CC272" t="s">
        <v>20</v>
      </c>
      <c r="CD272" t="s">
        <v>27</v>
      </c>
      <c r="CE272" t="s">
        <v>47</v>
      </c>
      <c r="CF272">
        <v>24</v>
      </c>
      <c r="CG272">
        <v>59</v>
      </c>
      <c r="CH272">
        <v>595</v>
      </c>
      <c r="CI272">
        <v>9.9</v>
      </c>
    </row>
    <row r="273" spans="1:87" x14ac:dyDescent="0.2">
      <c r="A273" t="str">
        <f t="shared" si="32"/>
        <v>1997MaleNon-Maori25</v>
      </c>
      <c r="B273">
        <v>1997</v>
      </c>
      <c r="C273" t="s">
        <v>20</v>
      </c>
      <c r="D273" t="s">
        <v>19</v>
      </c>
      <c r="E273">
        <v>25</v>
      </c>
      <c r="F273">
        <v>46</v>
      </c>
      <c r="G273">
        <v>25.3290017069545</v>
      </c>
      <c r="H273">
        <v>7.3</v>
      </c>
      <c r="J273" s="358" t="str">
        <f t="shared" si="33"/>
        <v>2009FemaleAllEth195</v>
      </c>
      <c r="K273" s="359">
        <v>2009</v>
      </c>
      <c r="L273" t="s">
        <v>8</v>
      </c>
      <c r="M273" t="s">
        <v>27</v>
      </c>
      <c r="N273">
        <v>19</v>
      </c>
      <c r="O273">
        <v>5</v>
      </c>
      <c r="P273">
        <v>28</v>
      </c>
      <c r="Q273">
        <v>6.5983231739770396</v>
      </c>
      <c r="R273">
        <v>2.4</v>
      </c>
      <c r="T273" s="358" t="str">
        <f t="shared" si="35"/>
        <v>1997AllSexNon-Maori25Hanging, strangulation and suffocation</v>
      </c>
      <c r="U273" s="360">
        <v>1997</v>
      </c>
      <c r="V273" s="360" t="s">
        <v>17</v>
      </c>
      <c r="W273" s="360" t="s">
        <v>19</v>
      </c>
      <c r="X273" s="360">
        <v>25</v>
      </c>
      <c r="Y273" s="360" t="s">
        <v>43</v>
      </c>
      <c r="Z273" s="360">
        <v>14</v>
      </c>
      <c r="AA273" s="360">
        <v>53</v>
      </c>
      <c r="AB273" s="360">
        <v>26.4</v>
      </c>
      <c r="AQ273" t="str">
        <f t="shared" si="34"/>
        <v>2014AllSexUrban24</v>
      </c>
      <c r="AR273">
        <v>2014</v>
      </c>
      <c r="AS273" t="s">
        <v>17</v>
      </c>
      <c r="AT273" t="s">
        <v>97</v>
      </c>
      <c r="AU273">
        <v>24</v>
      </c>
      <c r="AV273">
        <v>129</v>
      </c>
      <c r="AW273">
        <v>13.511390416339401</v>
      </c>
      <c r="AX273">
        <v>2.2999999999999998</v>
      </c>
      <c r="BS273" t="str">
        <f t="shared" si="36"/>
        <v>MaleMaori215</v>
      </c>
      <c r="BT273" t="s">
        <v>20</v>
      </c>
      <c r="BU273" t="s">
        <v>18</v>
      </c>
      <c r="BV273">
        <v>21</v>
      </c>
      <c r="BW273">
        <v>5</v>
      </c>
      <c r="BX273">
        <v>3</v>
      </c>
      <c r="CB273" t="str">
        <f t="shared" si="37"/>
        <v>MaleAllEth25Poisoning by solids and liquids</v>
      </c>
      <c r="CC273" t="s">
        <v>20</v>
      </c>
      <c r="CD273" t="s">
        <v>27</v>
      </c>
      <c r="CE273" t="s">
        <v>47</v>
      </c>
      <c r="CF273">
        <v>25</v>
      </c>
      <c r="CG273">
        <v>30</v>
      </c>
      <c r="CH273">
        <v>219</v>
      </c>
      <c r="CI273">
        <v>13.7</v>
      </c>
    </row>
    <row r="274" spans="1:87" x14ac:dyDescent="0.2">
      <c r="A274" t="str">
        <f t="shared" si="32"/>
        <v>1998AllSexAllEth21</v>
      </c>
      <c r="B274">
        <v>1998</v>
      </c>
      <c r="C274" t="s">
        <v>17</v>
      </c>
      <c r="D274" t="s">
        <v>27</v>
      </c>
      <c r="E274">
        <v>21</v>
      </c>
      <c r="F274">
        <v>12</v>
      </c>
      <c r="J274" s="358" t="str">
        <f t="shared" si="33"/>
        <v>2010FemaleAllEth191</v>
      </c>
      <c r="K274" s="359">
        <v>2010</v>
      </c>
      <c r="L274" t="s">
        <v>8</v>
      </c>
      <c r="M274" t="s">
        <v>27</v>
      </c>
      <c r="N274">
        <v>19</v>
      </c>
      <c r="O274">
        <v>1</v>
      </c>
      <c r="P274">
        <v>30</v>
      </c>
      <c r="Q274">
        <v>6.2730726130140999</v>
      </c>
      <c r="R274">
        <v>2.2000000000000002</v>
      </c>
      <c r="T274" s="358" t="str">
        <f t="shared" si="35"/>
        <v>1997AllSexNon-Maori22Jumping from a high place</v>
      </c>
      <c r="U274" s="360">
        <v>1997</v>
      </c>
      <c r="V274" s="360" t="s">
        <v>17</v>
      </c>
      <c r="W274" s="360" t="s">
        <v>19</v>
      </c>
      <c r="X274" s="360">
        <v>22</v>
      </c>
      <c r="Y274" s="360" t="s">
        <v>44</v>
      </c>
      <c r="Z274" s="360">
        <v>2</v>
      </c>
      <c r="AA274" s="360">
        <v>104</v>
      </c>
      <c r="AB274" s="360">
        <v>1.9</v>
      </c>
      <c r="AQ274" t="str">
        <f t="shared" si="34"/>
        <v>2014AllSexRural25</v>
      </c>
      <c r="AR274">
        <v>2014</v>
      </c>
      <c r="AS274" t="s">
        <v>17</v>
      </c>
      <c r="AT274" t="s">
        <v>96</v>
      </c>
      <c r="AU274">
        <v>25</v>
      </c>
      <c r="AV274">
        <v>7</v>
      </c>
      <c r="AW274">
        <v>7.7846975088967998</v>
      </c>
      <c r="AX274">
        <v>5.8</v>
      </c>
      <c r="BS274" t="str">
        <f t="shared" si="36"/>
        <v>MaleOther211</v>
      </c>
      <c r="BT274" t="s">
        <v>20</v>
      </c>
      <c r="BU274" t="s">
        <v>45</v>
      </c>
      <c r="BV274">
        <v>21</v>
      </c>
      <c r="BW274">
        <v>1</v>
      </c>
      <c r="BX274">
        <v>0</v>
      </c>
      <c r="CB274" t="str">
        <f t="shared" si="37"/>
        <v>MaleAllEth22Sharp object</v>
      </c>
      <c r="CC274" t="s">
        <v>20</v>
      </c>
      <c r="CD274" t="s">
        <v>27</v>
      </c>
      <c r="CE274" t="s">
        <v>48</v>
      </c>
      <c r="CF274">
        <v>22</v>
      </c>
      <c r="CG274">
        <v>1</v>
      </c>
      <c r="CH274">
        <v>414</v>
      </c>
      <c r="CI274">
        <v>0.2</v>
      </c>
    </row>
    <row r="275" spans="1:87" x14ac:dyDescent="0.2">
      <c r="A275" t="str">
        <f t="shared" si="32"/>
        <v>1998AllSexAllEth22</v>
      </c>
      <c r="B275">
        <v>1998</v>
      </c>
      <c r="C275" t="s">
        <v>17</v>
      </c>
      <c r="D275" t="s">
        <v>27</v>
      </c>
      <c r="E275">
        <v>22</v>
      </c>
      <c r="F275">
        <v>140</v>
      </c>
      <c r="G275">
        <v>26.071734515252</v>
      </c>
      <c r="H275">
        <v>4.3</v>
      </c>
      <c r="J275" s="358" t="str">
        <f t="shared" si="33"/>
        <v>2010FemaleAllEth192</v>
      </c>
      <c r="K275" s="359">
        <v>2010</v>
      </c>
      <c r="L275" t="s">
        <v>8</v>
      </c>
      <c r="M275" t="s">
        <v>27</v>
      </c>
      <c r="N275">
        <v>19</v>
      </c>
      <c r="O275">
        <v>2</v>
      </c>
      <c r="P275">
        <v>27</v>
      </c>
      <c r="Q275">
        <v>6.4808380547622102</v>
      </c>
      <c r="R275">
        <v>2.4</v>
      </c>
      <c r="T275" s="358" t="str">
        <f t="shared" si="35"/>
        <v>1997AllSexNon-Maori23Jumping from a high place</v>
      </c>
      <c r="U275" s="360">
        <v>1997</v>
      </c>
      <c r="V275" s="360" t="s">
        <v>17</v>
      </c>
      <c r="W275" s="360" t="s">
        <v>19</v>
      </c>
      <c r="X275" s="360">
        <v>23</v>
      </c>
      <c r="Y275" s="360" t="s">
        <v>44</v>
      </c>
      <c r="Z275" s="360">
        <v>7</v>
      </c>
      <c r="AA275" s="360">
        <v>200</v>
      </c>
      <c r="AB275" s="360">
        <v>3.5</v>
      </c>
      <c r="AQ275" t="str">
        <f t="shared" si="34"/>
        <v>2014AllSexUrban25</v>
      </c>
      <c r="AR275">
        <v>2014</v>
      </c>
      <c r="AS275" t="s">
        <v>17</v>
      </c>
      <c r="AT275" t="s">
        <v>97</v>
      </c>
      <c r="AU275">
        <v>25</v>
      </c>
      <c r="AV275">
        <v>53</v>
      </c>
      <c r="AW275">
        <v>9.4587118305284399</v>
      </c>
      <c r="AX275">
        <v>2.5</v>
      </c>
      <c r="BS275" t="str">
        <f t="shared" si="36"/>
        <v>MaleOther212</v>
      </c>
      <c r="BT275" t="s">
        <v>20</v>
      </c>
      <c r="BU275" t="s">
        <v>45</v>
      </c>
      <c r="BV275">
        <v>21</v>
      </c>
      <c r="BW275">
        <v>2</v>
      </c>
      <c r="BX275">
        <v>2</v>
      </c>
      <c r="CB275" t="str">
        <f t="shared" si="37"/>
        <v>MaleAllEth23Sharp object</v>
      </c>
      <c r="CC275" t="s">
        <v>20</v>
      </c>
      <c r="CD275" t="s">
        <v>27</v>
      </c>
      <c r="CE275" t="s">
        <v>48</v>
      </c>
      <c r="CF275">
        <v>23</v>
      </c>
      <c r="CG275">
        <v>14</v>
      </c>
      <c r="CH275">
        <v>664</v>
      </c>
      <c r="CI275">
        <v>2.1</v>
      </c>
    </row>
    <row r="276" spans="1:87" x14ac:dyDescent="0.2">
      <c r="A276" t="str">
        <f t="shared" si="32"/>
        <v>1998AllSexAllEth23</v>
      </c>
      <c r="B276">
        <v>1998</v>
      </c>
      <c r="C276" t="s">
        <v>17</v>
      </c>
      <c r="D276" t="s">
        <v>27</v>
      </c>
      <c r="E276">
        <v>23</v>
      </c>
      <c r="F276">
        <v>249</v>
      </c>
      <c r="G276">
        <v>21.256978947907601</v>
      </c>
      <c r="H276">
        <v>2.6</v>
      </c>
      <c r="J276" s="358" t="str">
        <f t="shared" si="33"/>
        <v>2010FemaleAllEth193</v>
      </c>
      <c r="K276" s="359">
        <v>2010</v>
      </c>
      <c r="L276" t="s">
        <v>8</v>
      </c>
      <c r="M276" t="s">
        <v>27</v>
      </c>
      <c r="N276">
        <v>19</v>
      </c>
      <c r="O276">
        <v>3</v>
      </c>
      <c r="P276">
        <v>24</v>
      </c>
      <c r="Q276">
        <v>5.2396119815643303</v>
      </c>
      <c r="R276">
        <v>2.1</v>
      </c>
      <c r="T276" s="358" t="str">
        <f t="shared" si="35"/>
        <v>1997AllSexNon-Maori24Jumping from a high place</v>
      </c>
      <c r="U276" s="360">
        <v>1997</v>
      </c>
      <c r="V276" s="360" t="s">
        <v>17</v>
      </c>
      <c r="W276" s="360" t="s">
        <v>19</v>
      </c>
      <c r="X276" s="360">
        <v>24</v>
      </c>
      <c r="Y276" s="360" t="s">
        <v>44</v>
      </c>
      <c r="Z276" s="360">
        <v>1</v>
      </c>
      <c r="AA276" s="360">
        <v>95</v>
      </c>
      <c r="AB276" s="360">
        <v>1.1000000000000001</v>
      </c>
      <c r="AQ276" t="str">
        <f t="shared" si="34"/>
        <v>2014FemaleRural22</v>
      </c>
      <c r="AR276">
        <v>2014</v>
      </c>
      <c r="AS276" t="s">
        <v>8</v>
      </c>
      <c r="AT276" t="s">
        <v>96</v>
      </c>
      <c r="AU276">
        <v>22</v>
      </c>
      <c r="AV276">
        <v>1</v>
      </c>
      <c r="AW276">
        <v>3.0441400304414001</v>
      </c>
      <c r="AX276">
        <v>6</v>
      </c>
      <c r="BS276" t="str">
        <f t="shared" si="36"/>
        <v>MaleOther213</v>
      </c>
      <c r="BT276" t="s">
        <v>20</v>
      </c>
      <c r="BU276" t="s">
        <v>45</v>
      </c>
      <c r="BV276">
        <v>21</v>
      </c>
      <c r="BW276">
        <v>3</v>
      </c>
      <c r="BX276">
        <v>1</v>
      </c>
      <c r="CB276" t="str">
        <f t="shared" si="37"/>
        <v>MaleAllEth24Sharp object</v>
      </c>
      <c r="CC276" t="s">
        <v>20</v>
      </c>
      <c r="CD276" t="s">
        <v>27</v>
      </c>
      <c r="CE276" t="s">
        <v>48</v>
      </c>
      <c r="CF276">
        <v>24</v>
      </c>
      <c r="CG276">
        <v>16</v>
      </c>
      <c r="CH276">
        <v>595</v>
      </c>
      <c r="CI276">
        <v>2.7</v>
      </c>
    </row>
    <row r="277" spans="1:87" x14ac:dyDescent="0.2">
      <c r="A277" t="str">
        <f t="shared" si="32"/>
        <v>1998AllSexAllEth24</v>
      </c>
      <c r="B277">
        <v>1998</v>
      </c>
      <c r="C277" t="s">
        <v>17</v>
      </c>
      <c r="D277" t="s">
        <v>27</v>
      </c>
      <c r="E277">
        <v>24</v>
      </c>
      <c r="F277">
        <v>114</v>
      </c>
      <c r="G277">
        <v>14.4382385348987</v>
      </c>
      <c r="H277">
        <v>2.7</v>
      </c>
      <c r="J277" s="358" t="str">
        <f t="shared" si="33"/>
        <v>2010FemaleAllEth194</v>
      </c>
      <c r="K277" s="359">
        <v>2010</v>
      </c>
      <c r="L277" t="s">
        <v>8</v>
      </c>
      <c r="M277" t="s">
        <v>27</v>
      </c>
      <c r="N277">
        <v>19</v>
      </c>
      <c r="O277">
        <v>4</v>
      </c>
      <c r="P277">
        <v>27</v>
      </c>
      <c r="Q277">
        <v>5.6067155020755699</v>
      </c>
      <c r="R277">
        <v>2.1</v>
      </c>
      <c r="T277" s="358" t="str">
        <f t="shared" si="35"/>
        <v>1997AllSexNon-Maori22Other</v>
      </c>
      <c r="U277" s="360">
        <v>1997</v>
      </c>
      <c r="V277" s="360" t="s">
        <v>17</v>
      </c>
      <c r="W277" s="360" t="s">
        <v>19</v>
      </c>
      <c r="X277" s="360">
        <v>22</v>
      </c>
      <c r="Y277" s="360" t="s">
        <v>45</v>
      </c>
      <c r="Z277" s="360">
        <v>3</v>
      </c>
      <c r="AA277" s="360">
        <v>104</v>
      </c>
      <c r="AB277" s="360">
        <v>2.9</v>
      </c>
      <c r="AQ277" t="str">
        <f t="shared" si="34"/>
        <v>2014FemaleUrban22</v>
      </c>
      <c r="AR277">
        <v>2014</v>
      </c>
      <c r="AS277" t="s">
        <v>8</v>
      </c>
      <c r="AT277" t="s">
        <v>97</v>
      </c>
      <c r="AU277">
        <v>22</v>
      </c>
      <c r="AV277">
        <v>21</v>
      </c>
      <c r="AW277">
        <v>7.53714736917666</v>
      </c>
      <c r="AX277">
        <v>3.2</v>
      </c>
      <c r="BS277" t="str">
        <f t="shared" si="36"/>
        <v>MaleOther214</v>
      </c>
      <c r="BT277" t="s">
        <v>20</v>
      </c>
      <c r="BU277" t="s">
        <v>45</v>
      </c>
      <c r="BV277">
        <v>21</v>
      </c>
      <c r="BW277">
        <v>4</v>
      </c>
      <c r="BX277">
        <v>0</v>
      </c>
      <c r="CB277" t="str">
        <f t="shared" si="37"/>
        <v>MaleAllEth25Sharp object</v>
      </c>
      <c r="CC277" t="s">
        <v>20</v>
      </c>
      <c r="CD277" t="s">
        <v>27</v>
      </c>
      <c r="CE277" t="s">
        <v>48</v>
      </c>
      <c r="CF277">
        <v>25</v>
      </c>
      <c r="CG277">
        <v>9</v>
      </c>
      <c r="CH277">
        <v>219</v>
      </c>
      <c r="CI277">
        <v>4.0999999999999996</v>
      </c>
    </row>
    <row r="278" spans="1:87" x14ac:dyDescent="0.2">
      <c r="A278" t="str">
        <f t="shared" si="32"/>
        <v>1998AllSexAllEth25</v>
      </c>
      <c r="B278">
        <v>1998</v>
      </c>
      <c r="C278" t="s">
        <v>17</v>
      </c>
      <c r="D278" t="s">
        <v>27</v>
      </c>
      <c r="E278">
        <v>25</v>
      </c>
      <c r="F278">
        <v>64</v>
      </c>
      <c r="G278">
        <v>14.481603837625</v>
      </c>
      <c r="H278">
        <v>3.5</v>
      </c>
      <c r="J278" s="358" t="str">
        <f t="shared" si="33"/>
        <v>2010FemaleAllEth195</v>
      </c>
      <c r="K278" s="359">
        <v>2010</v>
      </c>
      <c r="L278" t="s">
        <v>8</v>
      </c>
      <c r="M278" t="s">
        <v>27</v>
      </c>
      <c r="N278">
        <v>19</v>
      </c>
      <c r="O278">
        <v>5</v>
      </c>
      <c r="P278">
        <v>37</v>
      </c>
      <c r="Q278">
        <v>8.3546213274244803</v>
      </c>
      <c r="R278">
        <v>2.7</v>
      </c>
      <c r="T278" s="358" t="str">
        <f t="shared" si="35"/>
        <v>1997AllSexNon-Maori23Other</v>
      </c>
      <c r="U278" s="360">
        <v>1997</v>
      </c>
      <c r="V278" s="360" t="s">
        <v>17</v>
      </c>
      <c r="W278" s="360" t="s">
        <v>19</v>
      </c>
      <c r="X278" s="360">
        <v>23</v>
      </c>
      <c r="Y278" s="360" t="s">
        <v>45</v>
      </c>
      <c r="Z278" s="360">
        <v>5</v>
      </c>
      <c r="AA278" s="360">
        <v>200</v>
      </c>
      <c r="AB278" s="360">
        <v>2.5</v>
      </c>
      <c r="AQ278" t="str">
        <f t="shared" si="34"/>
        <v>2014FemaleRural23</v>
      </c>
      <c r="AR278">
        <v>2014</v>
      </c>
      <c r="AS278" t="s">
        <v>8</v>
      </c>
      <c r="AT278" t="s">
        <v>96</v>
      </c>
      <c r="AU278">
        <v>23</v>
      </c>
      <c r="AV278">
        <v>5</v>
      </c>
      <c r="AW278">
        <v>7.0952178231871699</v>
      </c>
      <c r="AX278">
        <v>6.2</v>
      </c>
      <c r="BS278" t="str">
        <f t="shared" si="36"/>
        <v>MaleOther215</v>
      </c>
      <c r="BT278" t="s">
        <v>20</v>
      </c>
      <c r="BU278" t="s">
        <v>45</v>
      </c>
      <c r="BV278">
        <v>21</v>
      </c>
      <c r="BW278">
        <v>5</v>
      </c>
      <c r="BX278">
        <v>2</v>
      </c>
      <c r="CB278" t="str">
        <f t="shared" si="37"/>
        <v>MaleAllEth22Submersion (drowning)</v>
      </c>
      <c r="CC278" t="s">
        <v>20</v>
      </c>
      <c r="CD278" t="s">
        <v>27</v>
      </c>
      <c r="CE278" t="s">
        <v>49</v>
      </c>
      <c r="CF278">
        <v>22</v>
      </c>
      <c r="CG278">
        <v>1</v>
      </c>
      <c r="CH278">
        <v>414</v>
      </c>
      <c r="CI278">
        <v>0.2</v>
      </c>
    </row>
    <row r="279" spans="1:87" x14ac:dyDescent="0.2">
      <c r="A279" t="str">
        <f t="shared" si="32"/>
        <v>1998AllSexMaori21</v>
      </c>
      <c r="B279">
        <v>1998</v>
      </c>
      <c r="C279" t="s">
        <v>17</v>
      </c>
      <c r="D279" t="s">
        <v>18</v>
      </c>
      <c r="E279">
        <v>21</v>
      </c>
      <c r="F279">
        <v>9</v>
      </c>
      <c r="J279" s="358" t="str">
        <f t="shared" si="33"/>
        <v>2011FemaleAllEth191</v>
      </c>
      <c r="K279" s="359">
        <v>2011</v>
      </c>
      <c r="L279" t="s">
        <v>8</v>
      </c>
      <c r="M279" t="s">
        <v>27</v>
      </c>
      <c r="N279">
        <v>19</v>
      </c>
      <c r="O279">
        <v>1</v>
      </c>
      <c r="P279">
        <v>18</v>
      </c>
      <c r="Q279">
        <v>3.1724695276464998</v>
      </c>
      <c r="R279">
        <v>1.5</v>
      </c>
      <c r="T279" s="358" t="str">
        <f t="shared" si="35"/>
        <v>1997AllSexNon-Maori24Other</v>
      </c>
      <c r="U279" s="360">
        <v>1997</v>
      </c>
      <c r="V279" s="360" t="s">
        <v>17</v>
      </c>
      <c r="W279" s="360" t="s">
        <v>19</v>
      </c>
      <c r="X279" s="360">
        <v>24</v>
      </c>
      <c r="Y279" s="360" t="s">
        <v>45</v>
      </c>
      <c r="Z279" s="360">
        <v>1</v>
      </c>
      <c r="AA279" s="360">
        <v>95</v>
      </c>
      <c r="AB279" s="360">
        <v>1.1000000000000001</v>
      </c>
      <c r="AQ279" t="str">
        <f t="shared" si="34"/>
        <v>2014FemaleUrban23</v>
      </c>
      <c r="AR279">
        <v>2014</v>
      </c>
      <c r="AS279" t="s">
        <v>8</v>
      </c>
      <c r="AT279" t="s">
        <v>97</v>
      </c>
      <c r="AU279">
        <v>23</v>
      </c>
      <c r="AV279">
        <v>44</v>
      </c>
      <c r="AW279">
        <v>8.3122378811349993</v>
      </c>
      <c r="AX279">
        <v>2.5</v>
      </c>
      <c r="BS279" t="str">
        <f t="shared" si="36"/>
        <v>MalePacific211</v>
      </c>
      <c r="BT279" t="s">
        <v>20</v>
      </c>
      <c r="BU279" t="s">
        <v>79</v>
      </c>
      <c r="BV279">
        <v>21</v>
      </c>
      <c r="BW279">
        <v>1</v>
      </c>
      <c r="BX279">
        <v>0</v>
      </c>
      <c r="CB279" t="str">
        <f t="shared" si="37"/>
        <v>MaleAllEth23Submersion (drowning)</v>
      </c>
      <c r="CC279" t="s">
        <v>20</v>
      </c>
      <c r="CD279" t="s">
        <v>27</v>
      </c>
      <c r="CE279" t="s">
        <v>49</v>
      </c>
      <c r="CF279">
        <v>23</v>
      </c>
      <c r="CG279">
        <v>6</v>
      </c>
      <c r="CH279">
        <v>664</v>
      </c>
      <c r="CI279">
        <v>0.9</v>
      </c>
    </row>
    <row r="280" spans="1:87" x14ac:dyDescent="0.2">
      <c r="A280" t="str">
        <f t="shared" si="32"/>
        <v>1998AllSexMaori22</v>
      </c>
      <c r="B280">
        <v>1998</v>
      </c>
      <c r="C280" t="s">
        <v>17</v>
      </c>
      <c r="D280" t="s">
        <v>18</v>
      </c>
      <c r="E280">
        <v>22</v>
      </c>
      <c r="F280">
        <v>43</v>
      </c>
      <c r="G280">
        <v>41.485769416304898</v>
      </c>
      <c r="H280">
        <v>12.4</v>
      </c>
      <c r="J280" s="358" t="str">
        <f t="shared" si="33"/>
        <v>2011FemaleAllEth192</v>
      </c>
      <c r="K280" s="359">
        <v>2011</v>
      </c>
      <c r="L280" t="s">
        <v>8</v>
      </c>
      <c r="M280" t="s">
        <v>27</v>
      </c>
      <c r="N280">
        <v>19</v>
      </c>
      <c r="O280">
        <v>2</v>
      </c>
      <c r="P280">
        <v>14</v>
      </c>
      <c r="Q280">
        <v>2.9406434228190901</v>
      </c>
      <c r="R280">
        <v>1.5</v>
      </c>
      <c r="T280" s="358" t="str">
        <f t="shared" si="35"/>
        <v>1997AllSexNon-Maori25Other</v>
      </c>
      <c r="U280" s="360">
        <v>1997</v>
      </c>
      <c r="V280" s="360" t="s">
        <v>17</v>
      </c>
      <c r="W280" s="360" t="s">
        <v>19</v>
      </c>
      <c r="X280" s="360">
        <v>25</v>
      </c>
      <c r="Y280" s="360" t="s">
        <v>45</v>
      </c>
      <c r="Z280" s="360">
        <v>2</v>
      </c>
      <c r="AA280" s="360">
        <v>53</v>
      </c>
      <c r="AB280" s="360">
        <v>3.8</v>
      </c>
      <c r="AQ280" t="str">
        <f t="shared" si="34"/>
        <v>2014FemaleRural24</v>
      </c>
      <c r="AR280">
        <v>2014</v>
      </c>
      <c r="AS280" t="s">
        <v>8</v>
      </c>
      <c r="AT280" t="s">
        <v>96</v>
      </c>
      <c r="AU280">
        <v>24</v>
      </c>
      <c r="AV280">
        <v>12</v>
      </c>
      <c r="AW280">
        <v>12.233662962585401</v>
      </c>
      <c r="AX280">
        <v>6.9</v>
      </c>
      <c r="BS280" t="str">
        <f t="shared" si="36"/>
        <v>MalePacific212</v>
      </c>
      <c r="BT280" t="s">
        <v>20</v>
      </c>
      <c r="BU280" t="s">
        <v>79</v>
      </c>
      <c r="BV280">
        <v>21</v>
      </c>
      <c r="BW280">
        <v>2</v>
      </c>
      <c r="BX280">
        <v>0</v>
      </c>
      <c r="CB280" t="str">
        <f t="shared" si="37"/>
        <v>MaleAllEth24Submersion (drowning)</v>
      </c>
      <c r="CC280" t="s">
        <v>20</v>
      </c>
      <c r="CD280" t="s">
        <v>27</v>
      </c>
      <c r="CE280" t="s">
        <v>49</v>
      </c>
      <c r="CF280">
        <v>24</v>
      </c>
      <c r="CG280">
        <v>12</v>
      </c>
      <c r="CH280">
        <v>595</v>
      </c>
      <c r="CI280">
        <v>2</v>
      </c>
    </row>
    <row r="281" spans="1:87" x14ac:dyDescent="0.2">
      <c r="A281" t="str">
        <f t="shared" si="32"/>
        <v>1998AllSexMaori23</v>
      </c>
      <c r="B281">
        <v>1998</v>
      </c>
      <c r="C281" t="s">
        <v>17</v>
      </c>
      <c r="D281" t="s">
        <v>18</v>
      </c>
      <c r="E281">
        <v>23</v>
      </c>
      <c r="F281">
        <v>47</v>
      </c>
      <c r="G281">
        <v>29.862125929220401</v>
      </c>
      <c r="H281">
        <v>8.5</v>
      </c>
      <c r="J281" s="358" t="str">
        <f t="shared" si="33"/>
        <v>2011FemaleAllEth193</v>
      </c>
      <c r="K281" s="359">
        <v>2011</v>
      </c>
      <c r="L281" t="s">
        <v>8</v>
      </c>
      <c r="M281" t="s">
        <v>27</v>
      </c>
      <c r="N281">
        <v>19</v>
      </c>
      <c r="O281">
        <v>3</v>
      </c>
      <c r="P281">
        <v>17</v>
      </c>
      <c r="Q281">
        <v>3.8279008266893402</v>
      </c>
      <c r="R281">
        <v>1.8</v>
      </c>
      <c r="T281" s="358" t="str">
        <f t="shared" si="35"/>
        <v>1997AllSexNon-Maori22Poisoning by gases and vapours</v>
      </c>
      <c r="U281" s="360">
        <v>1997</v>
      </c>
      <c r="V281" s="360" t="s">
        <v>17</v>
      </c>
      <c r="W281" s="360" t="s">
        <v>19</v>
      </c>
      <c r="X281" s="360">
        <v>22</v>
      </c>
      <c r="Y281" s="360" t="s">
        <v>46</v>
      </c>
      <c r="Z281" s="360">
        <v>32</v>
      </c>
      <c r="AA281" s="360">
        <v>104</v>
      </c>
      <c r="AB281" s="360">
        <v>30.8</v>
      </c>
      <c r="AQ281" t="str">
        <f t="shared" si="34"/>
        <v>2014FemaleUrban24</v>
      </c>
      <c r="AR281">
        <v>2014</v>
      </c>
      <c r="AS281" t="s">
        <v>8</v>
      </c>
      <c r="AT281" t="s">
        <v>97</v>
      </c>
      <c r="AU281">
        <v>24</v>
      </c>
      <c r="AV281">
        <v>32</v>
      </c>
      <c r="AW281">
        <v>6.4386317907444699</v>
      </c>
      <c r="AX281">
        <v>2.2000000000000002</v>
      </c>
      <c r="BS281" t="str">
        <f t="shared" si="36"/>
        <v>MalePacific213</v>
      </c>
      <c r="BT281" t="s">
        <v>20</v>
      </c>
      <c r="BU281" t="s">
        <v>79</v>
      </c>
      <c r="BV281">
        <v>21</v>
      </c>
      <c r="BW281">
        <v>3</v>
      </c>
      <c r="BX281">
        <v>0</v>
      </c>
      <c r="CB281" t="str">
        <f t="shared" si="37"/>
        <v>MaleAllEth25Submersion (drowning)</v>
      </c>
      <c r="CC281" t="s">
        <v>20</v>
      </c>
      <c r="CD281" t="s">
        <v>27</v>
      </c>
      <c r="CE281" t="s">
        <v>49</v>
      </c>
      <c r="CF281">
        <v>25</v>
      </c>
      <c r="CG281">
        <v>14</v>
      </c>
      <c r="CH281">
        <v>219</v>
      </c>
      <c r="CI281">
        <v>6.4</v>
      </c>
    </row>
    <row r="282" spans="1:87" x14ac:dyDescent="0.2">
      <c r="A282" t="str">
        <f t="shared" si="32"/>
        <v>1998AllSexMaori24</v>
      </c>
      <c r="B282">
        <v>1998</v>
      </c>
      <c r="C282" t="s">
        <v>17</v>
      </c>
      <c r="D282" t="s">
        <v>18</v>
      </c>
      <c r="E282">
        <v>24</v>
      </c>
      <c r="F282">
        <v>12</v>
      </c>
      <c r="G282">
        <v>17.528483786152499</v>
      </c>
      <c r="H282">
        <v>9.9</v>
      </c>
      <c r="J282" s="358" t="str">
        <f t="shared" si="33"/>
        <v>2011FemaleAllEth194</v>
      </c>
      <c r="K282" s="359">
        <v>2011</v>
      </c>
      <c r="L282" t="s">
        <v>8</v>
      </c>
      <c r="M282" t="s">
        <v>27</v>
      </c>
      <c r="N282">
        <v>19</v>
      </c>
      <c r="O282">
        <v>4</v>
      </c>
      <c r="P282">
        <v>23</v>
      </c>
      <c r="Q282">
        <v>5.1852837425382301</v>
      </c>
      <c r="R282">
        <v>2.1</v>
      </c>
      <c r="T282" s="358" t="str">
        <f t="shared" si="35"/>
        <v>1997AllSexNon-Maori23Poisoning by gases and vapours</v>
      </c>
      <c r="U282" s="360">
        <v>1997</v>
      </c>
      <c r="V282" s="360" t="s">
        <v>17</v>
      </c>
      <c r="W282" s="360" t="s">
        <v>19</v>
      </c>
      <c r="X282" s="360">
        <v>23</v>
      </c>
      <c r="Y282" s="360" t="s">
        <v>46</v>
      </c>
      <c r="Z282" s="360">
        <v>78</v>
      </c>
      <c r="AA282" s="360">
        <v>200</v>
      </c>
      <c r="AB282" s="360">
        <v>39</v>
      </c>
      <c r="AQ282" t="str">
        <f t="shared" si="34"/>
        <v>2014FemaleRural25</v>
      </c>
      <c r="AR282">
        <v>2014</v>
      </c>
      <c r="AS282" t="s">
        <v>8</v>
      </c>
      <c r="AT282" t="s">
        <v>96</v>
      </c>
      <c r="AU282">
        <v>25</v>
      </c>
      <c r="AV282">
        <v>1</v>
      </c>
      <c r="AW282">
        <v>2.3529411764705901</v>
      </c>
      <c r="AX282">
        <v>4.5999999999999996</v>
      </c>
      <c r="BS282" t="str">
        <f t="shared" si="36"/>
        <v>MalePacific214</v>
      </c>
      <c r="BT282" t="s">
        <v>20</v>
      </c>
      <c r="BU282" t="s">
        <v>79</v>
      </c>
      <c r="BV282">
        <v>21</v>
      </c>
      <c r="BW282">
        <v>4</v>
      </c>
      <c r="BX282">
        <v>0</v>
      </c>
      <c r="CB282" t="str">
        <f t="shared" si="37"/>
        <v>MaleAsian22Firearms and explosives</v>
      </c>
      <c r="CC282" t="s">
        <v>20</v>
      </c>
      <c r="CD282" t="s">
        <v>78</v>
      </c>
      <c r="CE282" t="s">
        <v>42</v>
      </c>
      <c r="CF282">
        <v>22</v>
      </c>
      <c r="CG282">
        <v>1</v>
      </c>
      <c r="CH282">
        <v>22</v>
      </c>
      <c r="CI282">
        <v>4.5</v>
      </c>
    </row>
    <row r="283" spans="1:87" x14ac:dyDescent="0.2">
      <c r="A283" t="str">
        <f t="shared" si="32"/>
        <v>1998AllSexMaori25</v>
      </c>
      <c r="B283">
        <v>1998</v>
      </c>
      <c r="C283" t="s">
        <v>17</v>
      </c>
      <c r="D283" t="s">
        <v>18</v>
      </c>
      <c r="E283">
        <v>25</v>
      </c>
      <c r="F283">
        <v>2</v>
      </c>
      <c r="G283">
        <v>11.7577895355673</v>
      </c>
      <c r="H283">
        <v>16.3</v>
      </c>
      <c r="J283" s="358" t="str">
        <f t="shared" si="33"/>
        <v>2011FemaleAllEth195</v>
      </c>
      <c r="K283" s="359">
        <v>2011</v>
      </c>
      <c r="L283" t="s">
        <v>8</v>
      </c>
      <c r="M283" t="s">
        <v>27</v>
      </c>
      <c r="N283">
        <v>19</v>
      </c>
      <c r="O283">
        <v>5</v>
      </c>
      <c r="P283">
        <v>44</v>
      </c>
      <c r="Q283">
        <v>9.9898574049395492</v>
      </c>
      <c r="R283">
        <v>3</v>
      </c>
      <c r="T283" s="358" t="str">
        <f t="shared" si="35"/>
        <v>1997AllSexNon-Maori24Poisoning by gases and vapours</v>
      </c>
      <c r="U283" s="360">
        <v>1997</v>
      </c>
      <c r="V283" s="360" t="s">
        <v>17</v>
      </c>
      <c r="W283" s="360" t="s">
        <v>19</v>
      </c>
      <c r="X283" s="360">
        <v>24</v>
      </c>
      <c r="Y283" s="360" t="s">
        <v>46</v>
      </c>
      <c r="Z283" s="360">
        <v>23</v>
      </c>
      <c r="AA283" s="360">
        <v>95</v>
      </c>
      <c r="AB283" s="360">
        <v>24.2</v>
      </c>
      <c r="AQ283" t="str">
        <f t="shared" si="34"/>
        <v>2014FemaleUrban25</v>
      </c>
      <c r="AR283">
        <v>2014</v>
      </c>
      <c r="AS283" t="s">
        <v>8</v>
      </c>
      <c r="AT283" t="s">
        <v>97</v>
      </c>
      <c r="AU283">
        <v>25</v>
      </c>
      <c r="AV283">
        <v>10</v>
      </c>
      <c r="AW283">
        <v>3.2577534532186601</v>
      </c>
      <c r="AX283">
        <v>2</v>
      </c>
      <c r="BS283" t="str">
        <f t="shared" si="36"/>
        <v>MalePacific215</v>
      </c>
      <c r="BT283" t="s">
        <v>20</v>
      </c>
      <c r="BU283" t="s">
        <v>79</v>
      </c>
      <c r="BV283">
        <v>21</v>
      </c>
      <c r="BW283">
        <v>5</v>
      </c>
      <c r="BX283">
        <v>2</v>
      </c>
      <c r="CB283" t="str">
        <f t="shared" si="37"/>
        <v>MaleAsian22Hanging, strangulation and suffocation</v>
      </c>
      <c r="CC283" t="s">
        <v>20</v>
      </c>
      <c r="CD283" t="s">
        <v>78</v>
      </c>
      <c r="CE283" t="s">
        <v>43</v>
      </c>
      <c r="CF283">
        <v>22</v>
      </c>
      <c r="CG283">
        <v>15</v>
      </c>
      <c r="CH283">
        <v>22</v>
      </c>
      <c r="CI283">
        <v>68.2</v>
      </c>
    </row>
    <row r="284" spans="1:87" x14ac:dyDescent="0.2">
      <c r="A284" t="str">
        <f t="shared" si="32"/>
        <v>1998AllSexNon-Maori21</v>
      </c>
      <c r="B284">
        <v>1998</v>
      </c>
      <c r="C284" t="s">
        <v>17</v>
      </c>
      <c r="D284" t="s">
        <v>19</v>
      </c>
      <c r="E284">
        <v>21</v>
      </c>
      <c r="F284">
        <v>3</v>
      </c>
      <c r="J284" s="358" t="str">
        <f t="shared" si="33"/>
        <v>2012FemaleAllEth191</v>
      </c>
      <c r="K284" s="359">
        <v>2012</v>
      </c>
      <c r="L284" t="s">
        <v>8</v>
      </c>
      <c r="M284" t="s">
        <v>27</v>
      </c>
      <c r="N284">
        <v>19</v>
      </c>
      <c r="O284">
        <v>1</v>
      </c>
      <c r="P284">
        <v>8</v>
      </c>
      <c r="Q284">
        <v>1.6745010318739699</v>
      </c>
      <c r="R284">
        <v>1.2</v>
      </c>
      <c r="T284" s="358" t="str">
        <f t="shared" si="35"/>
        <v>1997AllSexNon-Maori25Poisoning by gases and vapours</v>
      </c>
      <c r="U284" s="360">
        <v>1997</v>
      </c>
      <c r="V284" s="360" t="s">
        <v>17</v>
      </c>
      <c r="W284" s="360" t="s">
        <v>19</v>
      </c>
      <c r="X284" s="360">
        <v>25</v>
      </c>
      <c r="Y284" s="360" t="s">
        <v>46</v>
      </c>
      <c r="Z284" s="360">
        <v>16</v>
      </c>
      <c r="AA284" s="360">
        <v>53</v>
      </c>
      <c r="AB284" s="360">
        <v>30.2</v>
      </c>
      <c r="AQ284" t="str">
        <f t="shared" si="34"/>
        <v>2014MaleRural22</v>
      </c>
      <c r="AR284">
        <v>2014</v>
      </c>
      <c r="AS284" t="s">
        <v>20</v>
      </c>
      <c r="AT284" t="s">
        <v>96</v>
      </c>
      <c r="AU284">
        <v>22</v>
      </c>
      <c r="AV284">
        <v>7</v>
      </c>
      <c r="AW284">
        <v>18.027298480556301</v>
      </c>
      <c r="AX284">
        <v>13.4</v>
      </c>
      <c r="BS284" t="str">
        <f t="shared" si="36"/>
        <v>MaleAsian221</v>
      </c>
      <c r="BT284" t="s">
        <v>20</v>
      </c>
      <c r="BU284" t="s">
        <v>78</v>
      </c>
      <c r="BV284">
        <v>22</v>
      </c>
      <c r="BW284">
        <v>1</v>
      </c>
      <c r="BX284">
        <v>4</v>
      </c>
      <c r="BY284">
        <v>10.714208319443401</v>
      </c>
      <c r="BZ284">
        <v>10.5</v>
      </c>
      <c r="CB284" t="str">
        <f t="shared" si="37"/>
        <v>MaleAsian23Hanging, strangulation and suffocation</v>
      </c>
      <c r="CC284" t="s">
        <v>20</v>
      </c>
      <c r="CD284" t="s">
        <v>78</v>
      </c>
      <c r="CE284" t="s">
        <v>43</v>
      </c>
      <c r="CF284">
        <v>23</v>
      </c>
      <c r="CG284">
        <v>25</v>
      </c>
      <c r="CH284">
        <v>33</v>
      </c>
      <c r="CI284">
        <v>75.8</v>
      </c>
    </row>
    <row r="285" spans="1:87" x14ac:dyDescent="0.2">
      <c r="A285" t="str">
        <f t="shared" si="32"/>
        <v>1998AllSexNon-Maori22</v>
      </c>
      <c r="B285">
        <v>1998</v>
      </c>
      <c r="C285" t="s">
        <v>17</v>
      </c>
      <c r="D285" t="s">
        <v>19</v>
      </c>
      <c r="E285">
        <v>22</v>
      </c>
      <c r="F285">
        <v>97</v>
      </c>
      <c r="G285">
        <v>22.384787575289</v>
      </c>
      <c r="H285">
        <v>4.5</v>
      </c>
      <c r="J285" s="358" t="str">
        <f t="shared" si="33"/>
        <v>2012FemaleAllEth192</v>
      </c>
      <c r="K285" s="359">
        <v>2012</v>
      </c>
      <c r="L285" t="s">
        <v>8</v>
      </c>
      <c r="M285" t="s">
        <v>27</v>
      </c>
      <c r="N285">
        <v>19</v>
      </c>
      <c r="O285">
        <v>2</v>
      </c>
      <c r="P285">
        <v>24</v>
      </c>
      <c r="Q285">
        <v>5.1035643666233099</v>
      </c>
      <c r="R285">
        <v>2</v>
      </c>
      <c r="T285" s="358" t="str">
        <f t="shared" si="35"/>
        <v>1997AllSexNon-Maori22Poisoning by solids and liquids</v>
      </c>
      <c r="U285" s="360">
        <v>1997</v>
      </c>
      <c r="V285" s="360" t="s">
        <v>17</v>
      </c>
      <c r="W285" s="360" t="s">
        <v>19</v>
      </c>
      <c r="X285" s="360">
        <v>22</v>
      </c>
      <c r="Y285" s="360" t="s">
        <v>47</v>
      </c>
      <c r="Z285" s="360">
        <v>4</v>
      </c>
      <c r="AA285" s="360">
        <v>104</v>
      </c>
      <c r="AB285" s="360">
        <v>3.8</v>
      </c>
      <c r="AQ285" t="str">
        <f t="shared" si="34"/>
        <v>2014MaleUrban22</v>
      </c>
      <c r="AR285">
        <v>2014</v>
      </c>
      <c r="AS285" t="s">
        <v>20</v>
      </c>
      <c r="AT285" t="s">
        <v>97</v>
      </c>
      <c r="AU285">
        <v>22</v>
      </c>
      <c r="AV285">
        <v>61</v>
      </c>
      <c r="AW285">
        <v>21.114572516441701</v>
      </c>
      <c r="AX285">
        <v>5.3</v>
      </c>
      <c r="BS285" t="str">
        <f t="shared" si="36"/>
        <v>MaleAsian222</v>
      </c>
      <c r="BT285" t="s">
        <v>20</v>
      </c>
      <c r="BU285" t="s">
        <v>78</v>
      </c>
      <c r="BV285">
        <v>22</v>
      </c>
      <c r="BW285">
        <v>2</v>
      </c>
      <c r="BX285">
        <v>1</v>
      </c>
      <c r="BY285">
        <v>2.08746796716868</v>
      </c>
      <c r="BZ285">
        <v>4.0999999999999996</v>
      </c>
      <c r="CB285" t="str">
        <f t="shared" si="37"/>
        <v>MaleAsian24Hanging, strangulation and suffocation</v>
      </c>
      <c r="CC285" t="s">
        <v>20</v>
      </c>
      <c r="CD285" t="s">
        <v>78</v>
      </c>
      <c r="CE285" t="s">
        <v>43</v>
      </c>
      <c r="CF285">
        <v>24</v>
      </c>
      <c r="CG285">
        <v>14</v>
      </c>
      <c r="CH285">
        <v>23</v>
      </c>
      <c r="CI285">
        <v>60.9</v>
      </c>
    </row>
    <row r="286" spans="1:87" x14ac:dyDescent="0.2">
      <c r="A286" t="str">
        <f t="shared" si="32"/>
        <v>1998AllSexNon-Maori23</v>
      </c>
      <c r="B286">
        <v>1998</v>
      </c>
      <c r="C286" t="s">
        <v>17</v>
      </c>
      <c r="D286" t="s">
        <v>19</v>
      </c>
      <c r="E286">
        <v>23</v>
      </c>
      <c r="F286">
        <v>202</v>
      </c>
      <c r="G286">
        <v>19.9213009990237</v>
      </c>
      <c r="H286">
        <v>2.7</v>
      </c>
      <c r="J286" s="358" t="str">
        <f t="shared" si="33"/>
        <v>2012FemaleAllEth193</v>
      </c>
      <c r="K286" s="359">
        <v>2012</v>
      </c>
      <c r="L286" t="s">
        <v>8</v>
      </c>
      <c r="M286" t="s">
        <v>27</v>
      </c>
      <c r="N286">
        <v>19</v>
      </c>
      <c r="O286">
        <v>3</v>
      </c>
      <c r="P286">
        <v>21</v>
      </c>
      <c r="Q286">
        <v>4.4674700999259302</v>
      </c>
      <c r="R286">
        <v>1.9</v>
      </c>
      <c r="T286" s="358" t="str">
        <f t="shared" si="35"/>
        <v>1997AllSexNon-Maori23Poisoning by solids and liquids</v>
      </c>
      <c r="U286" s="360">
        <v>1997</v>
      </c>
      <c r="V286" s="360" t="s">
        <v>17</v>
      </c>
      <c r="W286" s="360" t="s">
        <v>19</v>
      </c>
      <c r="X286" s="360">
        <v>23</v>
      </c>
      <c r="Y286" s="360" t="s">
        <v>47</v>
      </c>
      <c r="Z286" s="360">
        <v>22</v>
      </c>
      <c r="AA286" s="360">
        <v>200</v>
      </c>
      <c r="AB286" s="360">
        <v>11</v>
      </c>
      <c r="AQ286" t="str">
        <f t="shared" si="34"/>
        <v>2014MaleRural23</v>
      </c>
      <c r="AR286">
        <v>2014</v>
      </c>
      <c r="AS286" t="s">
        <v>20</v>
      </c>
      <c r="AT286" t="s">
        <v>96</v>
      </c>
      <c r="AU286">
        <v>23</v>
      </c>
      <c r="AV286">
        <v>17</v>
      </c>
      <c r="AW286">
        <v>24.741667879493502</v>
      </c>
      <c r="AX286">
        <v>11.8</v>
      </c>
      <c r="BS286" t="str">
        <f t="shared" si="36"/>
        <v>MaleAsian223</v>
      </c>
      <c r="BT286" t="s">
        <v>20</v>
      </c>
      <c r="BU286" t="s">
        <v>78</v>
      </c>
      <c r="BV286">
        <v>22</v>
      </c>
      <c r="BW286">
        <v>3</v>
      </c>
      <c r="BX286">
        <v>2</v>
      </c>
      <c r="BY286">
        <v>4.0173756989928702</v>
      </c>
      <c r="BZ286">
        <v>5.6</v>
      </c>
      <c r="CB286" t="str">
        <f t="shared" si="37"/>
        <v>MaleAsian25Hanging, strangulation and suffocation</v>
      </c>
      <c r="CC286" t="s">
        <v>20</v>
      </c>
      <c r="CD286" t="s">
        <v>78</v>
      </c>
      <c r="CE286" t="s">
        <v>43</v>
      </c>
      <c r="CF286">
        <v>25</v>
      </c>
      <c r="CG286">
        <v>4</v>
      </c>
      <c r="CH286">
        <v>6</v>
      </c>
      <c r="CI286">
        <v>66.7</v>
      </c>
    </row>
    <row r="287" spans="1:87" x14ac:dyDescent="0.2">
      <c r="A287" t="str">
        <f t="shared" si="32"/>
        <v>1998AllSexNon-Maori24</v>
      </c>
      <c r="B287">
        <v>1998</v>
      </c>
      <c r="C287" t="s">
        <v>17</v>
      </c>
      <c r="D287" t="s">
        <v>19</v>
      </c>
      <c r="E287">
        <v>24</v>
      </c>
      <c r="F287">
        <v>102</v>
      </c>
      <c r="G287">
        <v>14.1448600074885</v>
      </c>
      <c r="H287">
        <v>2.7</v>
      </c>
      <c r="J287" s="358" t="str">
        <f t="shared" si="33"/>
        <v>2012FemaleAllEth194</v>
      </c>
      <c r="K287" s="359">
        <v>2012</v>
      </c>
      <c r="L287" t="s">
        <v>8</v>
      </c>
      <c r="M287" t="s">
        <v>27</v>
      </c>
      <c r="N287">
        <v>19</v>
      </c>
      <c r="O287">
        <v>4</v>
      </c>
      <c r="P287">
        <v>41</v>
      </c>
      <c r="Q287">
        <v>8.9298192148046898</v>
      </c>
      <c r="R287">
        <v>2.7</v>
      </c>
      <c r="T287" s="358" t="str">
        <f t="shared" si="35"/>
        <v>1997AllSexNon-Maori24Poisoning by solids and liquids</v>
      </c>
      <c r="U287" s="360">
        <v>1997</v>
      </c>
      <c r="V287" s="360" t="s">
        <v>17</v>
      </c>
      <c r="W287" s="360" t="s">
        <v>19</v>
      </c>
      <c r="X287" s="360">
        <v>24</v>
      </c>
      <c r="Y287" s="360" t="s">
        <v>47</v>
      </c>
      <c r="Z287" s="360">
        <v>14</v>
      </c>
      <c r="AA287" s="360">
        <v>95</v>
      </c>
      <c r="AB287" s="360">
        <v>14.7</v>
      </c>
      <c r="AQ287" t="str">
        <f t="shared" si="34"/>
        <v>2014MaleUrban23</v>
      </c>
      <c r="AR287">
        <v>2014</v>
      </c>
      <c r="AS287" t="s">
        <v>20</v>
      </c>
      <c r="AT287" t="s">
        <v>97</v>
      </c>
      <c r="AU287">
        <v>23</v>
      </c>
      <c r="AV287">
        <v>122</v>
      </c>
      <c r="AW287">
        <v>25.058538388859201</v>
      </c>
      <c r="AX287">
        <v>4.4000000000000004</v>
      </c>
      <c r="BS287" t="str">
        <f t="shared" si="36"/>
        <v>MaleAsian224</v>
      </c>
      <c r="BT287" t="s">
        <v>20</v>
      </c>
      <c r="BU287" t="s">
        <v>78</v>
      </c>
      <c r="BV287">
        <v>22</v>
      </c>
      <c r="BW287">
        <v>4</v>
      </c>
      <c r="BX287">
        <v>7</v>
      </c>
      <c r="BY287">
        <v>12.2250620195023</v>
      </c>
      <c r="BZ287">
        <v>9.1</v>
      </c>
      <c r="CB287" t="str">
        <f t="shared" si="37"/>
        <v>MaleAsian22Jumping from a high place</v>
      </c>
      <c r="CC287" t="s">
        <v>20</v>
      </c>
      <c r="CD287" t="s">
        <v>78</v>
      </c>
      <c r="CE287" t="s">
        <v>44</v>
      </c>
      <c r="CF287">
        <v>22</v>
      </c>
      <c r="CG287">
        <v>4</v>
      </c>
      <c r="CH287">
        <v>22</v>
      </c>
      <c r="CI287">
        <v>18.2</v>
      </c>
    </row>
    <row r="288" spans="1:87" x14ac:dyDescent="0.2">
      <c r="A288" t="str">
        <f t="shared" si="32"/>
        <v>1998AllSexNon-Maori25</v>
      </c>
      <c r="B288">
        <v>1998</v>
      </c>
      <c r="C288" t="s">
        <v>17</v>
      </c>
      <c r="D288" t="s">
        <v>19</v>
      </c>
      <c r="E288">
        <v>25</v>
      </c>
      <c r="F288">
        <v>62</v>
      </c>
      <c r="G288">
        <v>14.590638458099001</v>
      </c>
      <c r="H288">
        <v>3.6</v>
      </c>
      <c r="J288" s="358" t="str">
        <f t="shared" si="33"/>
        <v>2012FemaleAllEth195</v>
      </c>
      <c r="K288" s="359">
        <v>2012</v>
      </c>
      <c r="L288" t="s">
        <v>8</v>
      </c>
      <c r="M288" t="s">
        <v>27</v>
      </c>
      <c r="N288">
        <v>19</v>
      </c>
      <c r="O288">
        <v>5</v>
      </c>
      <c r="P288">
        <v>43</v>
      </c>
      <c r="Q288">
        <v>9.4963410912357702</v>
      </c>
      <c r="R288">
        <v>2.8</v>
      </c>
      <c r="T288" s="358" t="str">
        <f t="shared" si="35"/>
        <v>1997AllSexNon-Maori25Poisoning by solids and liquids</v>
      </c>
      <c r="U288" s="360">
        <v>1997</v>
      </c>
      <c r="V288" s="360" t="s">
        <v>17</v>
      </c>
      <c r="W288" s="360" t="s">
        <v>19</v>
      </c>
      <c r="X288" s="360">
        <v>25</v>
      </c>
      <c r="Y288" s="360" t="s">
        <v>47</v>
      </c>
      <c r="Z288" s="360">
        <v>8</v>
      </c>
      <c r="AA288" s="360">
        <v>53</v>
      </c>
      <c r="AB288" s="360">
        <v>15.1</v>
      </c>
      <c r="AQ288" t="str">
        <f t="shared" si="34"/>
        <v>2014MaleRural24</v>
      </c>
      <c r="AR288">
        <v>2014</v>
      </c>
      <c r="AS288" t="s">
        <v>20</v>
      </c>
      <c r="AT288" t="s">
        <v>96</v>
      </c>
      <c r="AU288">
        <v>24</v>
      </c>
      <c r="AV288">
        <v>19</v>
      </c>
      <c r="AW288">
        <v>18.954509177972898</v>
      </c>
      <c r="AX288">
        <v>8.5</v>
      </c>
      <c r="BS288" t="str">
        <f t="shared" si="36"/>
        <v>MaleAsian225</v>
      </c>
      <c r="BT288" t="s">
        <v>20</v>
      </c>
      <c r="BU288" t="s">
        <v>78</v>
      </c>
      <c r="BV288">
        <v>22</v>
      </c>
      <c r="BW288">
        <v>5</v>
      </c>
      <c r="BX288">
        <v>7</v>
      </c>
      <c r="BY288">
        <v>12.670275818627401</v>
      </c>
      <c r="BZ288">
        <v>9.4</v>
      </c>
      <c r="CB288" t="str">
        <f t="shared" si="37"/>
        <v>MaleAsian23Jumping from a high place</v>
      </c>
      <c r="CC288" t="s">
        <v>20</v>
      </c>
      <c r="CD288" t="s">
        <v>78</v>
      </c>
      <c r="CE288" t="s">
        <v>44</v>
      </c>
      <c r="CF288">
        <v>23</v>
      </c>
      <c r="CG288">
        <v>2</v>
      </c>
      <c r="CH288">
        <v>33</v>
      </c>
      <c r="CI288">
        <v>6.1</v>
      </c>
    </row>
    <row r="289" spans="1:87" x14ac:dyDescent="0.2">
      <c r="A289" t="str">
        <f t="shared" si="32"/>
        <v>1998FemaleAllEth21</v>
      </c>
      <c r="B289">
        <v>1998</v>
      </c>
      <c r="C289" t="s">
        <v>8</v>
      </c>
      <c r="D289" t="s">
        <v>27</v>
      </c>
      <c r="E289">
        <v>21</v>
      </c>
      <c r="F289">
        <v>4</v>
      </c>
      <c r="J289" s="358" t="str">
        <f t="shared" si="33"/>
        <v>2013FemaleAllEth191</v>
      </c>
      <c r="K289" s="359">
        <v>2013</v>
      </c>
      <c r="L289" t="s">
        <v>8</v>
      </c>
      <c r="M289" t="s">
        <v>27</v>
      </c>
      <c r="N289">
        <v>19</v>
      </c>
      <c r="O289">
        <v>1</v>
      </c>
      <c r="P289">
        <v>19</v>
      </c>
      <c r="Q289">
        <v>3.4168305432326198</v>
      </c>
      <c r="R289">
        <v>1.5</v>
      </c>
      <c r="T289" s="358" t="str">
        <f t="shared" si="35"/>
        <v>1997AllSexNon-Maori23Sharp object</v>
      </c>
      <c r="U289" s="360">
        <v>1997</v>
      </c>
      <c r="V289" s="360" t="s">
        <v>17</v>
      </c>
      <c r="W289" s="360" t="s">
        <v>19</v>
      </c>
      <c r="X289" s="360">
        <v>23</v>
      </c>
      <c r="Y289" s="360" t="s">
        <v>48</v>
      </c>
      <c r="Z289" s="360">
        <v>5</v>
      </c>
      <c r="AA289" s="360">
        <v>200</v>
      </c>
      <c r="AB289" s="360">
        <v>2.5</v>
      </c>
      <c r="AQ289" t="str">
        <f t="shared" si="34"/>
        <v>2014MaleUrban24</v>
      </c>
      <c r="AR289">
        <v>2014</v>
      </c>
      <c r="AS289" t="s">
        <v>20</v>
      </c>
      <c r="AT289" t="s">
        <v>97</v>
      </c>
      <c r="AU289">
        <v>24</v>
      </c>
      <c r="AV289">
        <v>97</v>
      </c>
      <c r="AW289">
        <v>21.191069165902</v>
      </c>
      <c r="AX289">
        <v>4.2</v>
      </c>
      <c r="BS289" t="str">
        <f t="shared" si="36"/>
        <v>MaleMaori221</v>
      </c>
      <c r="BT289" t="s">
        <v>20</v>
      </c>
      <c r="BU289" t="s">
        <v>18</v>
      </c>
      <c r="BV289">
        <v>22</v>
      </c>
      <c r="BW289">
        <v>1</v>
      </c>
      <c r="BX289">
        <v>6</v>
      </c>
      <c r="BY289">
        <v>21.325345996584399</v>
      </c>
      <c r="BZ289">
        <v>17.100000000000001</v>
      </c>
      <c r="CB289" t="str">
        <f t="shared" si="37"/>
        <v>MaleAsian24Jumping from a high place</v>
      </c>
      <c r="CC289" t="s">
        <v>20</v>
      </c>
      <c r="CD289" t="s">
        <v>78</v>
      </c>
      <c r="CE289" t="s">
        <v>44</v>
      </c>
      <c r="CF289">
        <v>24</v>
      </c>
      <c r="CG289">
        <v>2</v>
      </c>
      <c r="CH289">
        <v>23</v>
      </c>
      <c r="CI289">
        <v>8.6999999999999993</v>
      </c>
    </row>
    <row r="290" spans="1:87" x14ac:dyDescent="0.2">
      <c r="A290" t="str">
        <f t="shared" si="32"/>
        <v>1998FemaleAllEth22</v>
      </c>
      <c r="B290">
        <v>1998</v>
      </c>
      <c r="C290" t="s">
        <v>8</v>
      </c>
      <c r="D290" t="s">
        <v>27</v>
      </c>
      <c r="E290">
        <v>22</v>
      </c>
      <c r="F290">
        <v>35</v>
      </c>
      <c r="G290">
        <v>13.1757265472067</v>
      </c>
      <c r="H290">
        <v>4.4000000000000004</v>
      </c>
      <c r="J290" s="358" t="str">
        <f t="shared" si="33"/>
        <v>2013FemaleAllEth192</v>
      </c>
      <c r="K290" s="359">
        <v>2013</v>
      </c>
      <c r="L290" t="s">
        <v>8</v>
      </c>
      <c r="M290" t="s">
        <v>27</v>
      </c>
      <c r="N290">
        <v>19</v>
      </c>
      <c r="O290">
        <v>2</v>
      </c>
      <c r="P290">
        <v>28</v>
      </c>
      <c r="Q290">
        <v>5.2973793210445397</v>
      </c>
      <c r="R290">
        <v>2</v>
      </c>
      <c r="T290" s="358" t="str">
        <f t="shared" si="35"/>
        <v>1997AllSexNon-Maori24Sharp object</v>
      </c>
      <c r="U290" s="360">
        <v>1997</v>
      </c>
      <c r="V290" s="360" t="s">
        <v>17</v>
      </c>
      <c r="W290" s="360" t="s">
        <v>19</v>
      </c>
      <c r="X290" s="360">
        <v>24</v>
      </c>
      <c r="Y290" s="360" t="s">
        <v>48</v>
      </c>
      <c r="Z290" s="360">
        <v>4</v>
      </c>
      <c r="AA290" s="360">
        <v>95</v>
      </c>
      <c r="AB290" s="360">
        <v>4.2</v>
      </c>
      <c r="AQ290" t="str">
        <f t="shared" si="34"/>
        <v>2014MaleRural25</v>
      </c>
      <c r="AR290">
        <v>2014</v>
      </c>
      <c r="AS290" t="s">
        <v>20</v>
      </c>
      <c r="AT290" t="s">
        <v>96</v>
      </c>
      <c r="AU290">
        <v>25</v>
      </c>
      <c r="AV290">
        <v>6</v>
      </c>
      <c r="AW290">
        <v>12.6528890763391</v>
      </c>
      <c r="AX290">
        <v>10.1</v>
      </c>
      <c r="BS290" t="str">
        <f t="shared" si="36"/>
        <v>MaleMaori222</v>
      </c>
      <c r="BT290" t="s">
        <v>20</v>
      </c>
      <c r="BU290" t="s">
        <v>18</v>
      </c>
      <c r="BV290">
        <v>22</v>
      </c>
      <c r="BW290">
        <v>2</v>
      </c>
      <c r="BX290">
        <v>12</v>
      </c>
      <c r="BY290">
        <v>31.894912779183901</v>
      </c>
      <c r="BZ290">
        <v>18</v>
      </c>
      <c r="CB290" t="str">
        <f t="shared" si="37"/>
        <v>MaleAsian25Jumping from a high place</v>
      </c>
      <c r="CC290" t="s">
        <v>20</v>
      </c>
      <c r="CD290" t="s">
        <v>78</v>
      </c>
      <c r="CE290" t="s">
        <v>44</v>
      </c>
      <c r="CF290">
        <v>25</v>
      </c>
      <c r="CG290">
        <v>1</v>
      </c>
      <c r="CH290">
        <v>6</v>
      </c>
      <c r="CI290">
        <v>16.7</v>
      </c>
    </row>
    <row r="291" spans="1:87" x14ac:dyDescent="0.2">
      <c r="A291" t="str">
        <f t="shared" si="32"/>
        <v>1998FemaleAllEth23</v>
      </c>
      <c r="B291">
        <v>1998</v>
      </c>
      <c r="C291" t="s">
        <v>8</v>
      </c>
      <c r="D291" t="s">
        <v>27</v>
      </c>
      <c r="E291">
        <v>23</v>
      </c>
      <c r="F291">
        <v>54</v>
      </c>
      <c r="G291">
        <v>9.0082575694386495</v>
      </c>
      <c r="H291">
        <v>2.4</v>
      </c>
      <c r="J291" s="358" t="str">
        <f t="shared" si="33"/>
        <v>2013FemaleAllEth193</v>
      </c>
      <c r="K291" s="359">
        <v>2013</v>
      </c>
      <c r="L291" t="s">
        <v>8</v>
      </c>
      <c r="M291" t="s">
        <v>27</v>
      </c>
      <c r="N291">
        <v>19</v>
      </c>
      <c r="O291">
        <v>3</v>
      </c>
      <c r="P291">
        <v>25</v>
      </c>
      <c r="Q291">
        <v>5.5756498222800701</v>
      </c>
      <c r="R291">
        <v>2.2000000000000002</v>
      </c>
      <c r="T291" s="358" t="str">
        <f t="shared" si="35"/>
        <v>1997AllSexNon-Maori25Sharp object</v>
      </c>
      <c r="U291" s="360">
        <v>1997</v>
      </c>
      <c r="V291" s="360" t="s">
        <v>17</v>
      </c>
      <c r="W291" s="360" t="s">
        <v>19</v>
      </c>
      <c r="X291" s="360">
        <v>25</v>
      </c>
      <c r="Y291" s="360" t="s">
        <v>48</v>
      </c>
      <c r="Z291" s="360">
        <v>4</v>
      </c>
      <c r="AA291" s="360">
        <v>53</v>
      </c>
      <c r="AB291" s="360">
        <v>7.5</v>
      </c>
      <c r="AQ291" t="str">
        <f t="shared" si="34"/>
        <v>2014MaleUrban25</v>
      </c>
      <c r="AR291">
        <v>2014</v>
      </c>
      <c r="AS291" t="s">
        <v>20</v>
      </c>
      <c r="AT291" t="s">
        <v>97</v>
      </c>
      <c r="AU291">
        <v>25</v>
      </c>
      <c r="AV291">
        <v>43</v>
      </c>
      <c r="AW291">
        <v>16.969888314456</v>
      </c>
      <c r="AX291">
        <v>5.0999999999999996</v>
      </c>
      <c r="BS291" t="str">
        <f t="shared" si="36"/>
        <v>MaleMaori223</v>
      </c>
      <c r="BT291" t="s">
        <v>20</v>
      </c>
      <c r="BU291" t="s">
        <v>18</v>
      </c>
      <c r="BV291">
        <v>22</v>
      </c>
      <c r="BW291">
        <v>3</v>
      </c>
      <c r="BX291">
        <v>27</v>
      </c>
      <c r="BY291">
        <v>50.121945490158303</v>
      </c>
      <c r="BZ291">
        <v>18.899999999999999</v>
      </c>
      <c r="CB291" t="str">
        <f t="shared" si="37"/>
        <v>MaleAsian23Other</v>
      </c>
      <c r="CC291" t="s">
        <v>20</v>
      </c>
      <c r="CD291" t="s">
        <v>78</v>
      </c>
      <c r="CE291" t="s">
        <v>45</v>
      </c>
      <c r="CF291">
        <v>23</v>
      </c>
      <c r="CG291">
        <v>1</v>
      </c>
      <c r="CH291">
        <v>33</v>
      </c>
      <c r="CI291">
        <v>3</v>
      </c>
    </row>
    <row r="292" spans="1:87" x14ac:dyDescent="0.2">
      <c r="A292" t="str">
        <f t="shared" si="32"/>
        <v>1998FemaleAllEth24</v>
      </c>
      <c r="B292">
        <v>1998</v>
      </c>
      <c r="C292" t="s">
        <v>8</v>
      </c>
      <c r="D292" t="s">
        <v>27</v>
      </c>
      <c r="E292">
        <v>24</v>
      </c>
      <c r="F292">
        <v>24</v>
      </c>
      <c r="G292">
        <v>6.05540697381036</v>
      </c>
      <c r="H292">
        <v>2.4</v>
      </c>
      <c r="J292" s="358" t="str">
        <f t="shared" si="33"/>
        <v>2013FemaleAllEth194</v>
      </c>
      <c r="K292" s="359">
        <v>2013</v>
      </c>
      <c r="L292" t="s">
        <v>8</v>
      </c>
      <c r="M292" t="s">
        <v>27</v>
      </c>
      <c r="N292">
        <v>19</v>
      </c>
      <c r="O292">
        <v>4</v>
      </c>
      <c r="P292">
        <v>23</v>
      </c>
      <c r="Q292">
        <v>5.5573244121361203</v>
      </c>
      <c r="R292">
        <v>2.2999999999999998</v>
      </c>
      <c r="T292" s="358" t="str">
        <f t="shared" si="35"/>
        <v>1997AllSexNon-Maori22Submersion (drowning)</v>
      </c>
      <c r="U292" s="360">
        <v>1997</v>
      </c>
      <c r="V292" s="360" t="s">
        <v>17</v>
      </c>
      <c r="W292" s="360" t="s">
        <v>19</v>
      </c>
      <c r="X292" s="360">
        <v>22</v>
      </c>
      <c r="Y292" s="360" t="s">
        <v>49</v>
      </c>
      <c r="Z292" s="360">
        <v>1</v>
      </c>
      <c r="AA292" s="360">
        <v>104</v>
      </c>
      <c r="AB292" s="360">
        <v>1</v>
      </c>
      <c r="AQ292" t="str">
        <f t="shared" si="34"/>
        <v>2015AllSexRural22</v>
      </c>
      <c r="AR292">
        <v>2015</v>
      </c>
      <c r="AS292" t="s">
        <v>17</v>
      </c>
      <c r="AT292" t="s">
        <v>96</v>
      </c>
      <c r="AU292">
        <v>22</v>
      </c>
      <c r="AV292">
        <v>10</v>
      </c>
      <c r="AW292">
        <v>13.5043889264011</v>
      </c>
      <c r="AX292">
        <v>8.4</v>
      </c>
      <c r="BS292" t="str">
        <f t="shared" si="36"/>
        <v>MaleMaori224</v>
      </c>
      <c r="BT292" t="s">
        <v>20</v>
      </c>
      <c r="BU292" t="s">
        <v>18</v>
      </c>
      <c r="BV292">
        <v>22</v>
      </c>
      <c r="BW292">
        <v>4</v>
      </c>
      <c r="BX292">
        <v>32</v>
      </c>
      <c r="BY292">
        <v>42.061684787569298</v>
      </c>
      <c r="BZ292">
        <v>14.6</v>
      </c>
      <c r="CB292" t="str">
        <f t="shared" si="37"/>
        <v>MaleAsian24Other</v>
      </c>
      <c r="CC292" t="s">
        <v>20</v>
      </c>
      <c r="CD292" t="s">
        <v>78</v>
      </c>
      <c r="CE292" t="s">
        <v>45</v>
      </c>
      <c r="CF292">
        <v>24</v>
      </c>
      <c r="CG292">
        <v>2</v>
      </c>
      <c r="CH292">
        <v>23</v>
      </c>
      <c r="CI292">
        <v>8.6999999999999993</v>
      </c>
    </row>
    <row r="293" spans="1:87" x14ac:dyDescent="0.2">
      <c r="A293" t="str">
        <f t="shared" si="32"/>
        <v>1998FemaleAllEth25</v>
      </c>
      <c r="B293">
        <v>1998</v>
      </c>
      <c r="C293" t="s">
        <v>8</v>
      </c>
      <c r="D293" t="s">
        <v>27</v>
      </c>
      <c r="E293">
        <v>25</v>
      </c>
      <c r="F293">
        <v>16</v>
      </c>
      <c r="G293">
        <v>6.3979526551503501</v>
      </c>
      <c r="H293">
        <v>3.1</v>
      </c>
      <c r="J293" s="358" t="str">
        <f t="shared" si="33"/>
        <v>2013FemaleAllEth195</v>
      </c>
      <c r="K293" s="359">
        <v>2013</v>
      </c>
      <c r="L293" t="s">
        <v>8</v>
      </c>
      <c r="M293" t="s">
        <v>27</v>
      </c>
      <c r="N293">
        <v>19</v>
      </c>
      <c r="O293">
        <v>5</v>
      </c>
      <c r="P293">
        <v>45</v>
      </c>
      <c r="Q293">
        <v>10.227777888353501</v>
      </c>
      <c r="R293">
        <v>3</v>
      </c>
      <c r="T293" s="358" t="str">
        <f t="shared" si="35"/>
        <v>1997AllSexNon-Maori23Submersion (drowning)</v>
      </c>
      <c r="U293" s="360">
        <v>1997</v>
      </c>
      <c r="V293" s="360" t="s">
        <v>17</v>
      </c>
      <c r="W293" s="360" t="s">
        <v>19</v>
      </c>
      <c r="X293" s="360">
        <v>23</v>
      </c>
      <c r="Y293" s="360" t="s">
        <v>49</v>
      </c>
      <c r="Z293" s="360">
        <v>5</v>
      </c>
      <c r="AA293" s="360">
        <v>200</v>
      </c>
      <c r="AB293" s="360">
        <v>2.5</v>
      </c>
      <c r="AQ293" t="str">
        <f t="shared" si="34"/>
        <v>2015AllSexUrban22</v>
      </c>
      <c r="AR293">
        <v>2015</v>
      </c>
      <c r="AS293" t="s">
        <v>17</v>
      </c>
      <c r="AT293" t="s">
        <v>97</v>
      </c>
      <c r="AU293">
        <v>22</v>
      </c>
      <c r="AV293">
        <v>101</v>
      </c>
      <c r="AW293">
        <v>17.372159823870401</v>
      </c>
      <c r="AX293">
        <v>3.4</v>
      </c>
      <c r="BS293" t="str">
        <f t="shared" si="36"/>
        <v>MaleMaori225</v>
      </c>
      <c r="BT293" t="s">
        <v>20</v>
      </c>
      <c r="BU293" t="s">
        <v>18</v>
      </c>
      <c r="BV293">
        <v>22</v>
      </c>
      <c r="BW293">
        <v>5</v>
      </c>
      <c r="BX293">
        <v>61</v>
      </c>
      <c r="BY293">
        <v>48.244550507230102</v>
      </c>
      <c r="BZ293">
        <v>12.1</v>
      </c>
      <c r="CB293" t="str">
        <f t="shared" si="37"/>
        <v>MaleAsian25Other</v>
      </c>
      <c r="CC293" t="s">
        <v>20</v>
      </c>
      <c r="CD293" t="s">
        <v>78</v>
      </c>
      <c r="CE293" t="s">
        <v>45</v>
      </c>
      <c r="CF293">
        <v>25</v>
      </c>
      <c r="CG293">
        <v>1</v>
      </c>
      <c r="CH293">
        <v>6</v>
      </c>
      <c r="CI293">
        <v>16.7</v>
      </c>
    </row>
    <row r="294" spans="1:87" x14ac:dyDescent="0.2">
      <c r="A294" t="str">
        <f t="shared" si="32"/>
        <v>1998FemaleMaori21</v>
      </c>
      <c r="B294">
        <v>1998</v>
      </c>
      <c r="C294" t="s">
        <v>8</v>
      </c>
      <c r="D294" t="s">
        <v>18</v>
      </c>
      <c r="E294">
        <v>21</v>
      </c>
      <c r="F294">
        <v>3</v>
      </c>
      <c r="J294" s="358" t="str">
        <f t="shared" si="33"/>
        <v>2014FemaleAllEth191</v>
      </c>
      <c r="K294" s="359">
        <v>2014</v>
      </c>
      <c r="L294" t="s">
        <v>8</v>
      </c>
      <c r="M294" t="s">
        <v>27</v>
      </c>
      <c r="N294">
        <v>19</v>
      </c>
      <c r="O294">
        <v>1</v>
      </c>
      <c r="P294">
        <v>14</v>
      </c>
      <c r="Q294">
        <v>2.7543322496102798</v>
      </c>
      <c r="R294">
        <v>1.4</v>
      </c>
      <c r="T294" s="358" t="str">
        <f t="shared" si="35"/>
        <v>1997AllSexNon-Maori24Submersion (drowning)</v>
      </c>
      <c r="U294" s="360">
        <v>1997</v>
      </c>
      <c r="V294" s="360" t="s">
        <v>17</v>
      </c>
      <c r="W294" s="360" t="s">
        <v>19</v>
      </c>
      <c r="X294" s="360">
        <v>24</v>
      </c>
      <c r="Y294" s="360" t="s">
        <v>49</v>
      </c>
      <c r="Z294" s="360">
        <v>5</v>
      </c>
      <c r="AA294" s="360">
        <v>95</v>
      </c>
      <c r="AB294" s="360">
        <v>5.3</v>
      </c>
      <c r="AQ294" t="str">
        <f t="shared" si="34"/>
        <v>2015AllSexRural23</v>
      </c>
      <c r="AR294">
        <v>2015</v>
      </c>
      <c r="AS294" t="s">
        <v>17</v>
      </c>
      <c r="AT294" t="s">
        <v>96</v>
      </c>
      <c r="AU294">
        <v>23</v>
      </c>
      <c r="AV294">
        <v>26</v>
      </c>
      <c r="AW294">
        <v>18.703690381986899</v>
      </c>
      <c r="AX294">
        <v>7.2</v>
      </c>
      <c r="BS294" t="str">
        <f t="shared" si="36"/>
        <v>MaleOther221</v>
      </c>
      <c r="BT294" t="s">
        <v>20</v>
      </c>
      <c r="BU294" t="s">
        <v>45</v>
      </c>
      <c r="BV294">
        <v>22</v>
      </c>
      <c r="BW294">
        <v>1</v>
      </c>
      <c r="BX294">
        <v>38</v>
      </c>
      <c r="BY294">
        <v>17.287381191388398</v>
      </c>
      <c r="BZ294">
        <v>5.5</v>
      </c>
      <c r="CB294" t="str">
        <f t="shared" si="37"/>
        <v>MaleAsian22Poisoning by gases and vapours</v>
      </c>
      <c r="CC294" t="s">
        <v>20</v>
      </c>
      <c r="CD294" t="s">
        <v>78</v>
      </c>
      <c r="CE294" t="s">
        <v>46</v>
      </c>
      <c r="CF294">
        <v>22</v>
      </c>
      <c r="CG294">
        <v>1</v>
      </c>
      <c r="CH294">
        <v>22</v>
      </c>
      <c r="CI294">
        <v>4.5</v>
      </c>
    </row>
    <row r="295" spans="1:87" x14ac:dyDescent="0.2">
      <c r="A295" t="str">
        <f t="shared" si="32"/>
        <v>1998FemaleMaori22</v>
      </c>
      <c r="B295">
        <v>1998</v>
      </c>
      <c r="C295" t="s">
        <v>8</v>
      </c>
      <c r="D295" t="s">
        <v>18</v>
      </c>
      <c r="E295">
        <v>22</v>
      </c>
      <c r="F295">
        <v>13</v>
      </c>
      <c r="G295">
        <v>24.823372159633401</v>
      </c>
      <c r="H295">
        <v>13.5</v>
      </c>
      <c r="J295" s="358" t="str">
        <f t="shared" si="33"/>
        <v>2014FemaleAllEth192</v>
      </c>
      <c r="K295" s="359">
        <v>2014</v>
      </c>
      <c r="L295" t="s">
        <v>8</v>
      </c>
      <c r="M295" t="s">
        <v>27</v>
      </c>
      <c r="N295">
        <v>19</v>
      </c>
      <c r="O295">
        <v>2</v>
      </c>
      <c r="P295">
        <v>23</v>
      </c>
      <c r="Q295">
        <v>4.3764290323286197</v>
      </c>
      <c r="R295">
        <v>1.8</v>
      </c>
      <c r="T295" s="358" t="str">
        <f t="shared" si="35"/>
        <v>1997AllSexNon-Maori25Submersion (drowning)</v>
      </c>
      <c r="U295" s="360">
        <v>1997</v>
      </c>
      <c r="V295" s="360" t="s">
        <v>17</v>
      </c>
      <c r="W295" s="360" t="s">
        <v>19</v>
      </c>
      <c r="X295" s="360">
        <v>25</v>
      </c>
      <c r="Y295" s="360" t="s">
        <v>49</v>
      </c>
      <c r="Z295" s="360">
        <v>4</v>
      </c>
      <c r="AA295" s="360">
        <v>53</v>
      </c>
      <c r="AB295" s="360">
        <v>7.5</v>
      </c>
      <c r="AQ295" t="str">
        <f t="shared" si="34"/>
        <v>2015AllSexUrban23</v>
      </c>
      <c r="AR295">
        <v>2015</v>
      </c>
      <c r="AS295" t="s">
        <v>17</v>
      </c>
      <c r="AT295" t="s">
        <v>97</v>
      </c>
      <c r="AU295">
        <v>23</v>
      </c>
      <c r="AV295">
        <v>144</v>
      </c>
      <c r="AW295">
        <v>13.8035486623019</v>
      </c>
      <c r="AX295">
        <v>2.2999999999999998</v>
      </c>
      <c r="BS295" t="str">
        <f t="shared" si="36"/>
        <v>MaleOther222</v>
      </c>
      <c r="BT295" t="s">
        <v>20</v>
      </c>
      <c r="BU295" t="s">
        <v>45</v>
      </c>
      <c r="BV295">
        <v>22</v>
      </c>
      <c r="BW295">
        <v>2</v>
      </c>
      <c r="BX295">
        <v>36</v>
      </c>
      <c r="BY295">
        <v>18.0721119575859</v>
      </c>
      <c r="BZ295">
        <v>5.9</v>
      </c>
      <c r="CB295" t="str">
        <f t="shared" si="37"/>
        <v>MaleAsian23Poisoning by gases and vapours</v>
      </c>
      <c r="CC295" t="s">
        <v>20</v>
      </c>
      <c r="CD295" t="s">
        <v>78</v>
      </c>
      <c r="CE295" t="s">
        <v>46</v>
      </c>
      <c r="CF295">
        <v>23</v>
      </c>
      <c r="CG295">
        <v>3</v>
      </c>
      <c r="CH295">
        <v>33</v>
      </c>
      <c r="CI295">
        <v>9.1</v>
      </c>
    </row>
    <row r="296" spans="1:87" x14ac:dyDescent="0.2">
      <c r="A296" t="str">
        <f t="shared" si="32"/>
        <v>1998FemaleMaori23</v>
      </c>
      <c r="B296">
        <v>1998</v>
      </c>
      <c r="C296" t="s">
        <v>8</v>
      </c>
      <c r="D296" t="s">
        <v>18</v>
      </c>
      <c r="E296">
        <v>23</v>
      </c>
      <c r="F296">
        <v>7</v>
      </c>
      <c r="G296">
        <v>8.4622823984526097</v>
      </c>
      <c r="H296">
        <v>6.3</v>
      </c>
      <c r="J296" s="358" t="str">
        <f t="shared" si="33"/>
        <v>2014FemaleAllEth193</v>
      </c>
      <c r="K296" s="359">
        <v>2014</v>
      </c>
      <c r="L296" t="s">
        <v>8</v>
      </c>
      <c r="M296" t="s">
        <v>27</v>
      </c>
      <c r="N296">
        <v>19</v>
      </c>
      <c r="O296">
        <v>3</v>
      </c>
      <c r="P296">
        <v>23</v>
      </c>
      <c r="Q296">
        <v>4.9801442476464199</v>
      </c>
      <c r="R296">
        <v>2</v>
      </c>
      <c r="T296" s="358" t="str">
        <f t="shared" si="35"/>
        <v>1997FemaleAllEth21Firearms and explosives</v>
      </c>
      <c r="U296" s="360">
        <v>1997</v>
      </c>
      <c r="V296" s="360" t="s">
        <v>8</v>
      </c>
      <c r="W296" s="360" t="s">
        <v>27</v>
      </c>
      <c r="X296" s="360">
        <v>21</v>
      </c>
      <c r="Y296" s="360" t="s">
        <v>42</v>
      </c>
      <c r="Z296" s="360">
        <v>1</v>
      </c>
      <c r="AA296" s="360">
        <v>3</v>
      </c>
      <c r="AB296" s="360">
        <v>33.299999999999997</v>
      </c>
      <c r="AQ296" t="str">
        <f t="shared" si="34"/>
        <v>2015AllSexRural24</v>
      </c>
      <c r="AR296">
        <v>2015</v>
      </c>
      <c r="AS296" t="s">
        <v>17</v>
      </c>
      <c r="AT296" t="s">
        <v>96</v>
      </c>
      <c r="AU296">
        <v>24</v>
      </c>
      <c r="AV296">
        <v>42</v>
      </c>
      <c r="AW296">
        <v>20.842638082477301</v>
      </c>
      <c r="AX296">
        <v>6.3</v>
      </c>
      <c r="BS296" t="str">
        <f t="shared" si="36"/>
        <v>MaleOther223</v>
      </c>
      <c r="BT296" t="s">
        <v>20</v>
      </c>
      <c r="BU296" t="s">
        <v>45</v>
      </c>
      <c r="BV296">
        <v>22</v>
      </c>
      <c r="BW296">
        <v>3</v>
      </c>
      <c r="BX296">
        <v>49</v>
      </c>
      <c r="BY296">
        <v>25.461114003629799</v>
      </c>
      <c r="BZ296">
        <v>7.1</v>
      </c>
      <c r="CB296" t="str">
        <f t="shared" si="37"/>
        <v>MaleAsian24Poisoning by gases and vapours</v>
      </c>
      <c r="CC296" t="s">
        <v>20</v>
      </c>
      <c r="CD296" t="s">
        <v>78</v>
      </c>
      <c r="CE296" t="s">
        <v>46</v>
      </c>
      <c r="CF296">
        <v>24</v>
      </c>
      <c r="CG296">
        <v>2</v>
      </c>
      <c r="CH296">
        <v>23</v>
      </c>
      <c r="CI296">
        <v>8.6999999999999993</v>
      </c>
    </row>
    <row r="297" spans="1:87" x14ac:dyDescent="0.2">
      <c r="A297" t="str">
        <f t="shared" si="32"/>
        <v>1998FemaleMaori24</v>
      </c>
      <c r="B297">
        <v>1998</v>
      </c>
      <c r="C297" t="s">
        <v>8</v>
      </c>
      <c r="D297" t="s">
        <v>18</v>
      </c>
      <c r="E297">
        <v>24</v>
      </c>
      <c r="F297">
        <v>2</v>
      </c>
      <c r="G297">
        <v>5.7355893318038396</v>
      </c>
      <c r="H297">
        <v>7.9</v>
      </c>
      <c r="J297" s="358" t="str">
        <f t="shared" si="33"/>
        <v>2014FemaleAllEth194</v>
      </c>
      <c r="K297" s="359">
        <v>2014</v>
      </c>
      <c r="L297" t="s">
        <v>8</v>
      </c>
      <c r="M297" t="s">
        <v>27</v>
      </c>
      <c r="N297">
        <v>19</v>
      </c>
      <c r="O297">
        <v>4</v>
      </c>
      <c r="P297">
        <v>28</v>
      </c>
      <c r="Q297">
        <v>6.1098861266219604</v>
      </c>
      <c r="R297">
        <v>2.2999999999999998</v>
      </c>
      <c r="T297" s="358" t="str">
        <f t="shared" si="35"/>
        <v>1997FemaleAllEth22Firearms and explosives</v>
      </c>
      <c r="U297" s="360">
        <v>1997</v>
      </c>
      <c r="V297" s="360" t="s">
        <v>8</v>
      </c>
      <c r="W297" s="360" t="s">
        <v>27</v>
      </c>
      <c r="X297" s="360">
        <v>22</v>
      </c>
      <c r="Y297" s="360" t="s">
        <v>42</v>
      </c>
      <c r="Z297" s="360">
        <v>1</v>
      </c>
      <c r="AA297" s="360">
        <v>29</v>
      </c>
      <c r="AB297" s="360">
        <v>3.4</v>
      </c>
      <c r="AQ297" t="str">
        <f t="shared" si="34"/>
        <v>2015AllSexUrban24</v>
      </c>
      <c r="AR297">
        <v>2015</v>
      </c>
      <c r="AS297" t="s">
        <v>17</v>
      </c>
      <c r="AT297" t="s">
        <v>97</v>
      </c>
      <c r="AU297">
        <v>24</v>
      </c>
      <c r="AV297">
        <v>127</v>
      </c>
      <c r="AW297">
        <v>13.1285147204763</v>
      </c>
      <c r="AX297">
        <v>2.2999999999999998</v>
      </c>
      <c r="BS297" t="str">
        <f t="shared" si="36"/>
        <v>MaleOther224</v>
      </c>
      <c r="BT297" t="s">
        <v>20</v>
      </c>
      <c r="BU297" t="s">
        <v>45</v>
      </c>
      <c r="BV297">
        <v>22</v>
      </c>
      <c r="BW297">
        <v>4</v>
      </c>
      <c r="BX297">
        <v>42</v>
      </c>
      <c r="BY297">
        <v>23.1759865665109</v>
      </c>
      <c r="BZ297">
        <v>7</v>
      </c>
      <c r="CB297" t="str">
        <f t="shared" si="37"/>
        <v>MaleAsian22Poisoning by solids and liquids</v>
      </c>
      <c r="CC297" t="s">
        <v>20</v>
      </c>
      <c r="CD297" t="s">
        <v>78</v>
      </c>
      <c r="CE297" t="s">
        <v>47</v>
      </c>
      <c r="CF297">
        <v>22</v>
      </c>
      <c r="CG297">
        <v>1</v>
      </c>
      <c r="CH297">
        <v>22</v>
      </c>
      <c r="CI297">
        <v>4.5</v>
      </c>
    </row>
    <row r="298" spans="1:87" x14ac:dyDescent="0.2">
      <c r="A298" t="str">
        <f t="shared" si="32"/>
        <v>1998FemaleMaori25</v>
      </c>
      <c r="B298">
        <v>1998</v>
      </c>
      <c r="C298" t="s">
        <v>8</v>
      </c>
      <c r="D298" t="s">
        <v>18</v>
      </c>
      <c r="E298">
        <v>25</v>
      </c>
      <c r="F298">
        <v>0</v>
      </c>
      <c r="G298">
        <v>0</v>
      </c>
      <c r="J298" s="358" t="str">
        <f t="shared" si="33"/>
        <v>2014FemaleAllEth195</v>
      </c>
      <c r="K298" s="359">
        <v>2014</v>
      </c>
      <c r="L298" t="s">
        <v>8</v>
      </c>
      <c r="M298" t="s">
        <v>27</v>
      </c>
      <c r="N298">
        <v>19</v>
      </c>
      <c r="O298">
        <v>5</v>
      </c>
      <c r="P298">
        <v>38</v>
      </c>
      <c r="Q298">
        <v>8.3627623467666599</v>
      </c>
      <c r="R298">
        <v>2.7</v>
      </c>
      <c r="T298" s="358" t="str">
        <f t="shared" si="35"/>
        <v>1997FemaleAllEth23Firearms and explosives</v>
      </c>
      <c r="U298" s="360">
        <v>1997</v>
      </c>
      <c r="V298" s="360" t="s">
        <v>8</v>
      </c>
      <c r="W298" s="360" t="s">
        <v>27</v>
      </c>
      <c r="X298" s="360">
        <v>23</v>
      </c>
      <c r="Y298" s="360" t="s">
        <v>42</v>
      </c>
      <c r="Z298" s="360">
        <v>2</v>
      </c>
      <c r="AA298" s="360">
        <v>55</v>
      </c>
      <c r="AB298" s="360">
        <v>3.6</v>
      </c>
      <c r="AQ298" t="str">
        <f t="shared" si="34"/>
        <v>2015AllSexRural25</v>
      </c>
      <c r="AR298">
        <v>2015</v>
      </c>
      <c r="AS298" t="s">
        <v>17</v>
      </c>
      <c r="AT298" t="s">
        <v>96</v>
      </c>
      <c r="AU298">
        <v>25</v>
      </c>
      <c r="AV298">
        <v>11</v>
      </c>
      <c r="AW298">
        <v>11.413156256484699</v>
      </c>
      <c r="AX298">
        <v>6.7</v>
      </c>
      <c r="BS298" t="str">
        <f t="shared" si="36"/>
        <v>MaleOther225</v>
      </c>
      <c r="BT298" t="s">
        <v>20</v>
      </c>
      <c r="BU298" t="s">
        <v>45</v>
      </c>
      <c r="BV298">
        <v>22</v>
      </c>
      <c r="BW298">
        <v>5</v>
      </c>
      <c r="BX298">
        <v>42</v>
      </c>
      <c r="BY298">
        <v>33.660005806564399</v>
      </c>
      <c r="BZ298">
        <v>10.199999999999999</v>
      </c>
      <c r="CB298" t="str">
        <f t="shared" si="37"/>
        <v>MaleAsian24Poisoning by solids and liquids</v>
      </c>
      <c r="CC298" t="s">
        <v>20</v>
      </c>
      <c r="CD298" t="s">
        <v>78</v>
      </c>
      <c r="CE298" t="s">
        <v>47</v>
      </c>
      <c r="CF298">
        <v>24</v>
      </c>
      <c r="CG298">
        <v>3</v>
      </c>
      <c r="CH298">
        <v>23</v>
      </c>
      <c r="CI298">
        <v>13</v>
      </c>
    </row>
    <row r="299" spans="1:87" x14ac:dyDescent="0.2">
      <c r="A299" t="str">
        <f t="shared" si="32"/>
        <v>1998FemaleNon-Maori21</v>
      </c>
      <c r="B299">
        <v>1998</v>
      </c>
      <c r="C299" t="s">
        <v>8</v>
      </c>
      <c r="D299" t="s">
        <v>19</v>
      </c>
      <c r="E299">
        <v>21</v>
      </c>
      <c r="F299">
        <v>1</v>
      </c>
      <c r="J299" s="358" t="str">
        <f t="shared" si="33"/>
        <v>2015FemaleAllEth191</v>
      </c>
      <c r="K299" s="359">
        <v>2015</v>
      </c>
      <c r="L299" t="s">
        <v>8</v>
      </c>
      <c r="M299" t="s">
        <v>27</v>
      </c>
      <c r="N299">
        <v>19</v>
      </c>
      <c r="O299">
        <v>1</v>
      </c>
      <c r="P299">
        <v>22</v>
      </c>
      <c r="Q299">
        <v>4.0757342154773699</v>
      </c>
      <c r="R299">
        <v>1.7</v>
      </c>
      <c r="T299" s="358" t="str">
        <f t="shared" si="35"/>
        <v>1997FemaleAllEth21Hanging, strangulation and suffocation</v>
      </c>
      <c r="U299" s="360">
        <v>1997</v>
      </c>
      <c r="V299" s="360" t="s">
        <v>8</v>
      </c>
      <c r="W299" s="360" t="s">
        <v>27</v>
      </c>
      <c r="X299" s="360">
        <v>21</v>
      </c>
      <c r="Y299" s="360" t="s">
        <v>43</v>
      </c>
      <c r="Z299" s="360">
        <v>1</v>
      </c>
      <c r="AA299" s="360">
        <v>3</v>
      </c>
      <c r="AB299" s="360">
        <v>33.299999999999997</v>
      </c>
      <c r="AQ299" t="str">
        <f t="shared" si="34"/>
        <v>2015AllSexUrban25</v>
      </c>
      <c r="AR299">
        <v>2015</v>
      </c>
      <c r="AS299" t="s">
        <v>17</v>
      </c>
      <c r="AT299" t="s">
        <v>97</v>
      </c>
      <c r="AU299">
        <v>25</v>
      </c>
      <c r="AV299">
        <v>53</v>
      </c>
      <c r="AW299">
        <v>9.1735179575941199</v>
      </c>
      <c r="AX299">
        <v>2.5</v>
      </c>
      <c r="BS299" t="str">
        <f t="shared" si="36"/>
        <v>MalePacific221</v>
      </c>
      <c r="BT299" t="s">
        <v>20</v>
      </c>
      <c r="BU299" t="s">
        <v>79</v>
      </c>
      <c r="BV299">
        <v>22</v>
      </c>
      <c r="BW299">
        <v>1</v>
      </c>
      <c r="BX299">
        <v>1</v>
      </c>
      <c r="BY299">
        <v>14.9449195627477</v>
      </c>
      <c r="BZ299">
        <v>29.3</v>
      </c>
      <c r="CB299" t="str">
        <f t="shared" si="37"/>
        <v>MaleAsian23Sharp object</v>
      </c>
      <c r="CC299" t="s">
        <v>20</v>
      </c>
      <c r="CD299" t="s">
        <v>78</v>
      </c>
      <c r="CE299" t="s">
        <v>48</v>
      </c>
      <c r="CF299">
        <v>23</v>
      </c>
      <c r="CG299">
        <v>1</v>
      </c>
      <c r="CH299">
        <v>33</v>
      </c>
      <c r="CI299">
        <v>3</v>
      </c>
    </row>
    <row r="300" spans="1:87" x14ac:dyDescent="0.2">
      <c r="A300" t="str">
        <f t="shared" si="32"/>
        <v>1998FemaleNon-Maori22</v>
      </c>
      <c r="B300">
        <v>1998</v>
      </c>
      <c r="C300" t="s">
        <v>8</v>
      </c>
      <c r="D300" t="s">
        <v>19</v>
      </c>
      <c r="E300">
        <v>22</v>
      </c>
      <c r="F300">
        <v>22</v>
      </c>
      <c r="G300">
        <v>10.315562432597201</v>
      </c>
      <c r="H300">
        <v>4.3</v>
      </c>
      <c r="J300" s="358" t="str">
        <f t="shared" si="33"/>
        <v>2015FemaleAllEth192</v>
      </c>
      <c r="K300" s="359">
        <v>2015</v>
      </c>
      <c r="L300" t="s">
        <v>8</v>
      </c>
      <c r="M300" t="s">
        <v>27</v>
      </c>
      <c r="N300">
        <v>19</v>
      </c>
      <c r="O300">
        <v>2</v>
      </c>
      <c r="P300">
        <v>22</v>
      </c>
      <c r="Q300">
        <v>4.5337462187208599</v>
      </c>
      <c r="R300">
        <v>1.9</v>
      </c>
      <c r="T300" s="358" t="str">
        <f t="shared" si="35"/>
        <v>1997FemaleAllEth22Hanging, strangulation and suffocation</v>
      </c>
      <c r="U300" s="360">
        <v>1997</v>
      </c>
      <c r="V300" s="360" t="s">
        <v>8</v>
      </c>
      <c r="W300" s="360" t="s">
        <v>27</v>
      </c>
      <c r="X300" s="360">
        <v>22</v>
      </c>
      <c r="Y300" s="360" t="s">
        <v>43</v>
      </c>
      <c r="Z300" s="360">
        <v>23</v>
      </c>
      <c r="AA300" s="360">
        <v>29</v>
      </c>
      <c r="AB300" s="360">
        <v>79.3</v>
      </c>
      <c r="AQ300" t="str">
        <f t="shared" si="34"/>
        <v>2015FemaleRural22</v>
      </c>
      <c r="AR300">
        <v>2015</v>
      </c>
      <c r="AS300" t="s">
        <v>8</v>
      </c>
      <c r="AT300" t="s">
        <v>96</v>
      </c>
      <c r="AU300">
        <v>22</v>
      </c>
      <c r="AV300">
        <v>4</v>
      </c>
      <c r="AW300">
        <v>11.7994100294985</v>
      </c>
      <c r="AX300">
        <v>11.6</v>
      </c>
      <c r="BS300" t="str">
        <f t="shared" si="36"/>
        <v>MalePacific222</v>
      </c>
      <c r="BT300" t="s">
        <v>20</v>
      </c>
      <c r="BU300" t="s">
        <v>79</v>
      </c>
      <c r="BV300">
        <v>22</v>
      </c>
      <c r="BW300">
        <v>2</v>
      </c>
      <c r="BX300">
        <v>0</v>
      </c>
      <c r="BY300">
        <v>0</v>
      </c>
      <c r="CB300" t="str">
        <f t="shared" si="37"/>
        <v>MaleAsian23Submersion (drowning)</v>
      </c>
      <c r="CC300" t="s">
        <v>20</v>
      </c>
      <c r="CD300" t="s">
        <v>78</v>
      </c>
      <c r="CE300" t="s">
        <v>49</v>
      </c>
      <c r="CF300">
        <v>23</v>
      </c>
      <c r="CG300">
        <v>1</v>
      </c>
      <c r="CH300">
        <v>33</v>
      </c>
      <c r="CI300">
        <v>3</v>
      </c>
    </row>
    <row r="301" spans="1:87" x14ac:dyDescent="0.2">
      <c r="A301" t="str">
        <f t="shared" si="32"/>
        <v>1998FemaleNon-Maori23</v>
      </c>
      <c r="B301">
        <v>1998</v>
      </c>
      <c r="C301" t="s">
        <v>8</v>
      </c>
      <c r="D301" t="s">
        <v>19</v>
      </c>
      <c r="E301">
        <v>23</v>
      </c>
      <c r="F301">
        <v>47</v>
      </c>
      <c r="G301">
        <v>9.0956592417703597</v>
      </c>
      <c r="H301">
        <v>2.6</v>
      </c>
      <c r="J301" s="358" t="str">
        <f t="shared" si="33"/>
        <v>2015FemaleAllEth193</v>
      </c>
      <c r="K301" s="359">
        <v>2015</v>
      </c>
      <c r="L301" t="s">
        <v>8</v>
      </c>
      <c r="M301" t="s">
        <v>27</v>
      </c>
      <c r="N301">
        <v>19</v>
      </c>
      <c r="O301">
        <v>3</v>
      </c>
      <c r="P301">
        <v>29</v>
      </c>
      <c r="Q301">
        <v>5.6703552086804097</v>
      </c>
      <c r="R301">
        <v>2.1</v>
      </c>
      <c r="T301" s="358" t="str">
        <f t="shared" si="35"/>
        <v>1997FemaleAllEth23Hanging, strangulation and suffocation</v>
      </c>
      <c r="U301" s="360">
        <v>1997</v>
      </c>
      <c r="V301" s="360" t="s">
        <v>8</v>
      </c>
      <c r="W301" s="360" t="s">
        <v>27</v>
      </c>
      <c r="X301" s="360">
        <v>23</v>
      </c>
      <c r="Y301" s="360" t="s">
        <v>43</v>
      </c>
      <c r="Z301" s="360">
        <v>13</v>
      </c>
      <c r="AA301" s="360">
        <v>55</v>
      </c>
      <c r="AB301" s="360">
        <v>23.6</v>
      </c>
      <c r="AQ301" t="str">
        <f t="shared" si="34"/>
        <v>2015FemaleUrban22</v>
      </c>
      <c r="AR301">
        <v>2015</v>
      </c>
      <c r="AS301" t="s">
        <v>8</v>
      </c>
      <c r="AT301" t="s">
        <v>97</v>
      </c>
      <c r="AU301">
        <v>22</v>
      </c>
      <c r="AV301">
        <v>38</v>
      </c>
      <c r="AW301">
        <v>13.445616021513001</v>
      </c>
      <c r="AX301">
        <v>4.3</v>
      </c>
      <c r="BS301" t="str">
        <f t="shared" si="36"/>
        <v>MalePacific223</v>
      </c>
      <c r="BT301" t="s">
        <v>20</v>
      </c>
      <c r="BU301" t="s">
        <v>79</v>
      </c>
      <c r="BV301">
        <v>22</v>
      </c>
      <c r="BW301">
        <v>3</v>
      </c>
      <c r="BX301">
        <v>5</v>
      </c>
      <c r="BY301">
        <v>33.464068804819398</v>
      </c>
      <c r="BZ301">
        <v>29.3</v>
      </c>
      <c r="CB301" t="str">
        <f t="shared" si="37"/>
        <v>MaleMaori21Firearms and explosives</v>
      </c>
      <c r="CC301" t="s">
        <v>20</v>
      </c>
      <c r="CD301" t="s">
        <v>18</v>
      </c>
      <c r="CE301" t="s">
        <v>42</v>
      </c>
      <c r="CF301">
        <v>21</v>
      </c>
      <c r="CG301">
        <v>2</v>
      </c>
      <c r="CH301">
        <v>11</v>
      </c>
      <c r="CI301">
        <v>18.2</v>
      </c>
    </row>
    <row r="302" spans="1:87" x14ac:dyDescent="0.2">
      <c r="A302" t="str">
        <f t="shared" si="32"/>
        <v>1998FemaleNon-Maori24</v>
      </c>
      <c r="B302">
        <v>1998</v>
      </c>
      <c r="C302" t="s">
        <v>8</v>
      </c>
      <c r="D302" t="s">
        <v>19</v>
      </c>
      <c r="E302">
        <v>24</v>
      </c>
      <c r="F302">
        <v>22</v>
      </c>
      <c r="G302">
        <v>6.08625888732122</v>
      </c>
      <c r="H302">
        <v>2.5</v>
      </c>
      <c r="J302" s="358" t="str">
        <f t="shared" si="33"/>
        <v>2015FemaleAllEth194</v>
      </c>
      <c r="K302" s="359">
        <v>2015</v>
      </c>
      <c r="L302" t="s">
        <v>8</v>
      </c>
      <c r="M302" t="s">
        <v>27</v>
      </c>
      <c r="N302">
        <v>19</v>
      </c>
      <c r="O302">
        <v>4</v>
      </c>
      <c r="P302">
        <v>29</v>
      </c>
      <c r="Q302">
        <v>6.56171162535788</v>
      </c>
      <c r="R302">
        <v>2.4</v>
      </c>
      <c r="T302" s="358" t="str">
        <f t="shared" si="35"/>
        <v>1997FemaleAllEth24Hanging, strangulation and suffocation</v>
      </c>
      <c r="U302" s="360">
        <v>1997</v>
      </c>
      <c r="V302" s="360" t="s">
        <v>8</v>
      </c>
      <c r="W302" s="360" t="s">
        <v>27</v>
      </c>
      <c r="X302" s="360">
        <v>24</v>
      </c>
      <c r="Y302" s="360" t="s">
        <v>43</v>
      </c>
      <c r="Z302" s="360">
        <v>9</v>
      </c>
      <c r="AA302" s="360">
        <v>26</v>
      </c>
      <c r="AB302" s="360">
        <v>34.6</v>
      </c>
      <c r="AQ302" t="str">
        <f t="shared" si="34"/>
        <v>2015FemaleRural23</v>
      </c>
      <c r="AR302">
        <v>2015</v>
      </c>
      <c r="AS302" t="s">
        <v>8</v>
      </c>
      <c r="AT302" t="s">
        <v>96</v>
      </c>
      <c r="AU302">
        <v>23</v>
      </c>
      <c r="AV302">
        <v>7</v>
      </c>
      <c r="AW302">
        <v>9.9544937428896496</v>
      </c>
      <c r="AX302">
        <v>7.4</v>
      </c>
      <c r="BS302" t="str">
        <f t="shared" si="36"/>
        <v>MalePacific224</v>
      </c>
      <c r="BT302" t="s">
        <v>20</v>
      </c>
      <c r="BU302" t="s">
        <v>79</v>
      </c>
      <c r="BV302">
        <v>22</v>
      </c>
      <c r="BW302">
        <v>4</v>
      </c>
      <c r="BX302">
        <v>6</v>
      </c>
      <c r="BY302">
        <v>21.649185873782201</v>
      </c>
      <c r="BZ302">
        <v>17.3</v>
      </c>
      <c r="CB302" t="str">
        <f t="shared" si="37"/>
        <v>MaleMaori22Firearms and explosives</v>
      </c>
      <c r="CC302" t="s">
        <v>20</v>
      </c>
      <c r="CD302" t="s">
        <v>18</v>
      </c>
      <c r="CE302" t="s">
        <v>42</v>
      </c>
      <c r="CF302">
        <v>22</v>
      </c>
      <c r="CG302">
        <v>4</v>
      </c>
      <c r="CH302">
        <v>139</v>
      </c>
      <c r="CI302">
        <v>2.9</v>
      </c>
    </row>
    <row r="303" spans="1:87" x14ac:dyDescent="0.2">
      <c r="A303" t="str">
        <f t="shared" si="32"/>
        <v>1998FemaleNon-Maori25</v>
      </c>
      <c r="B303">
        <v>1998</v>
      </c>
      <c r="C303" t="s">
        <v>8</v>
      </c>
      <c r="D303" t="s">
        <v>19</v>
      </c>
      <c r="E303">
        <v>25</v>
      </c>
      <c r="F303">
        <v>16</v>
      </c>
      <c r="G303">
        <v>6.6472787702534299</v>
      </c>
      <c r="H303">
        <v>3.3</v>
      </c>
      <c r="J303" s="358" t="str">
        <f t="shared" si="33"/>
        <v>2015FemaleAllEth195</v>
      </c>
      <c r="K303" s="359">
        <v>2015</v>
      </c>
      <c r="L303" t="s">
        <v>8</v>
      </c>
      <c r="M303" t="s">
        <v>27</v>
      </c>
      <c r="N303">
        <v>19</v>
      </c>
      <c r="O303">
        <v>5</v>
      </c>
      <c r="P303">
        <v>40</v>
      </c>
      <c r="Q303">
        <v>8.7248394367418296</v>
      </c>
      <c r="R303">
        <v>2.7</v>
      </c>
      <c r="T303" s="358" t="str">
        <f t="shared" si="35"/>
        <v>1997FemaleAllEth25Hanging, strangulation and suffocation</v>
      </c>
      <c r="U303" s="360">
        <v>1997</v>
      </c>
      <c r="V303" s="360" t="s">
        <v>8</v>
      </c>
      <c r="W303" s="360" t="s">
        <v>27</v>
      </c>
      <c r="X303" s="360">
        <v>25</v>
      </c>
      <c r="Y303" s="360" t="s">
        <v>43</v>
      </c>
      <c r="Z303" s="360">
        <v>1</v>
      </c>
      <c r="AA303" s="360">
        <v>8</v>
      </c>
      <c r="AB303" s="360">
        <v>12.5</v>
      </c>
      <c r="AQ303" t="str">
        <f t="shared" si="34"/>
        <v>2015FemaleUrban23</v>
      </c>
      <c r="AR303">
        <v>2015</v>
      </c>
      <c r="AS303" t="s">
        <v>8</v>
      </c>
      <c r="AT303" t="s">
        <v>97</v>
      </c>
      <c r="AU303">
        <v>23</v>
      </c>
      <c r="AV303">
        <v>28</v>
      </c>
      <c r="AW303">
        <v>5.18364928909953</v>
      </c>
      <c r="AX303">
        <v>1.9</v>
      </c>
      <c r="BS303" t="str">
        <f t="shared" si="36"/>
        <v>MalePacific225</v>
      </c>
      <c r="BT303" t="s">
        <v>20</v>
      </c>
      <c r="BU303" t="s">
        <v>79</v>
      </c>
      <c r="BV303">
        <v>22</v>
      </c>
      <c r="BW303">
        <v>5</v>
      </c>
      <c r="BX303">
        <v>23</v>
      </c>
      <c r="BY303">
        <v>30.8379076650467</v>
      </c>
      <c r="BZ303">
        <v>12.6</v>
      </c>
      <c r="CB303" t="str">
        <f t="shared" si="37"/>
        <v>MaleMaori23Firearms and explosives</v>
      </c>
      <c r="CC303" t="s">
        <v>20</v>
      </c>
      <c r="CD303" t="s">
        <v>18</v>
      </c>
      <c r="CE303" t="s">
        <v>42</v>
      </c>
      <c r="CF303">
        <v>23</v>
      </c>
      <c r="CG303">
        <v>2</v>
      </c>
      <c r="CH303">
        <v>171</v>
      </c>
      <c r="CI303">
        <v>1.2</v>
      </c>
    </row>
    <row r="304" spans="1:87" x14ac:dyDescent="0.2">
      <c r="A304" t="str">
        <f t="shared" si="32"/>
        <v>1998MaleAllEth21</v>
      </c>
      <c r="B304">
        <v>1998</v>
      </c>
      <c r="C304" t="s">
        <v>20</v>
      </c>
      <c r="D304" t="s">
        <v>27</v>
      </c>
      <c r="E304">
        <v>21</v>
      </c>
      <c r="F304">
        <v>8</v>
      </c>
      <c r="J304" s="358" t="str">
        <f t="shared" si="33"/>
        <v>2001FemaleMaori191</v>
      </c>
      <c r="K304" s="359">
        <v>2001</v>
      </c>
      <c r="L304" t="s">
        <v>8</v>
      </c>
      <c r="M304" t="s">
        <v>18</v>
      </c>
      <c r="N304">
        <v>19</v>
      </c>
      <c r="O304">
        <v>1</v>
      </c>
      <c r="P304">
        <v>1</v>
      </c>
      <c r="Q304">
        <v>5.4890449667462198</v>
      </c>
      <c r="R304">
        <v>10.8</v>
      </c>
      <c r="T304" s="358" t="str">
        <f t="shared" si="35"/>
        <v>1997FemaleAllEth23Jumping from a high place</v>
      </c>
      <c r="U304" s="360">
        <v>1997</v>
      </c>
      <c r="V304" s="360" t="s">
        <v>8</v>
      </c>
      <c r="W304" s="360" t="s">
        <v>27</v>
      </c>
      <c r="X304" s="360">
        <v>23</v>
      </c>
      <c r="Y304" s="360" t="s">
        <v>44</v>
      </c>
      <c r="Z304" s="360">
        <v>2</v>
      </c>
      <c r="AA304" s="360">
        <v>55</v>
      </c>
      <c r="AB304" s="360">
        <v>3.6</v>
      </c>
      <c r="AQ304" t="str">
        <f t="shared" si="34"/>
        <v>2015FemaleRural24</v>
      </c>
      <c r="AR304">
        <v>2015</v>
      </c>
      <c r="AS304" t="s">
        <v>8</v>
      </c>
      <c r="AT304" t="s">
        <v>96</v>
      </c>
      <c r="AU304">
        <v>24</v>
      </c>
      <c r="AV304">
        <v>11</v>
      </c>
      <c r="AW304">
        <v>10.9813317360487</v>
      </c>
      <c r="AX304">
        <v>6.5</v>
      </c>
      <c r="BS304" t="str">
        <f t="shared" si="36"/>
        <v>MaleAsian231</v>
      </c>
      <c r="BT304" t="s">
        <v>20</v>
      </c>
      <c r="BU304" t="s">
        <v>78</v>
      </c>
      <c r="BV304">
        <v>23</v>
      </c>
      <c r="BW304">
        <v>1</v>
      </c>
      <c r="BX304">
        <v>1</v>
      </c>
      <c r="BY304">
        <v>1.5176759531236399</v>
      </c>
      <c r="BZ304">
        <v>3</v>
      </c>
      <c r="CB304" t="str">
        <f t="shared" si="37"/>
        <v>MaleMaori24Firearms and explosives</v>
      </c>
      <c r="CC304" t="s">
        <v>20</v>
      </c>
      <c r="CD304" t="s">
        <v>18</v>
      </c>
      <c r="CE304" t="s">
        <v>42</v>
      </c>
      <c r="CF304">
        <v>24</v>
      </c>
      <c r="CG304">
        <v>2</v>
      </c>
      <c r="CH304">
        <v>51</v>
      </c>
      <c r="CI304">
        <v>3.9</v>
      </c>
    </row>
    <row r="305" spans="1:87" x14ac:dyDescent="0.2">
      <c r="A305" t="str">
        <f t="shared" si="32"/>
        <v>1998MaleAllEth22</v>
      </c>
      <c r="B305">
        <v>1998</v>
      </c>
      <c r="C305" t="s">
        <v>20</v>
      </c>
      <c r="D305" t="s">
        <v>27</v>
      </c>
      <c r="E305">
        <v>22</v>
      </c>
      <c r="F305">
        <v>105</v>
      </c>
      <c r="G305">
        <v>38.696837915530303</v>
      </c>
      <c r="H305">
        <v>7.4</v>
      </c>
      <c r="J305" s="358" t="str">
        <f t="shared" si="33"/>
        <v>2001FemaleMaori192</v>
      </c>
      <c r="K305" s="359">
        <v>2001</v>
      </c>
      <c r="L305" t="s">
        <v>8</v>
      </c>
      <c r="M305" t="s">
        <v>18</v>
      </c>
      <c r="N305">
        <v>19</v>
      </c>
      <c r="O305">
        <v>2</v>
      </c>
      <c r="P305">
        <v>1</v>
      </c>
      <c r="Q305">
        <v>3.0003923965032699</v>
      </c>
      <c r="R305">
        <v>5.9</v>
      </c>
      <c r="T305" s="358" t="str">
        <f t="shared" si="35"/>
        <v>1997FemaleAllEth22Other</v>
      </c>
      <c r="U305" s="360">
        <v>1997</v>
      </c>
      <c r="V305" s="360" t="s">
        <v>8</v>
      </c>
      <c r="W305" s="360" t="s">
        <v>27</v>
      </c>
      <c r="X305" s="360">
        <v>22</v>
      </c>
      <c r="Y305" s="360" t="s">
        <v>45</v>
      </c>
      <c r="Z305" s="360">
        <v>1</v>
      </c>
      <c r="AA305" s="360">
        <v>29</v>
      </c>
      <c r="AB305" s="360">
        <v>3.4</v>
      </c>
      <c r="AQ305" t="str">
        <f t="shared" si="34"/>
        <v>2015FemaleUrban24</v>
      </c>
      <c r="AR305">
        <v>2015</v>
      </c>
      <c r="AS305" t="s">
        <v>8</v>
      </c>
      <c r="AT305" t="s">
        <v>97</v>
      </c>
      <c r="AU305">
        <v>24</v>
      </c>
      <c r="AV305">
        <v>34</v>
      </c>
      <c r="AW305">
        <v>6.7480400912970104</v>
      </c>
      <c r="AX305">
        <v>2.2999999999999998</v>
      </c>
      <c r="BS305" t="str">
        <f t="shared" si="36"/>
        <v>MaleAsian232</v>
      </c>
      <c r="BT305" t="s">
        <v>20</v>
      </c>
      <c r="BU305" t="s">
        <v>78</v>
      </c>
      <c r="BV305">
        <v>23</v>
      </c>
      <c r="BW305">
        <v>2</v>
      </c>
      <c r="BX305">
        <v>5</v>
      </c>
      <c r="BY305">
        <v>5.6332347434092904</v>
      </c>
      <c r="BZ305">
        <v>4.9000000000000004</v>
      </c>
      <c r="CB305" t="str">
        <f t="shared" si="37"/>
        <v>MaleMaori21Hanging, strangulation and suffocation</v>
      </c>
      <c r="CC305" t="s">
        <v>20</v>
      </c>
      <c r="CD305" t="s">
        <v>18</v>
      </c>
      <c r="CE305" t="s">
        <v>43</v>
      </c>
      <c r="CF305">
        <v>21</v>
      </c>
      <c r="CG305">
        <v>9</v>
      </c>
      <c r="CH305">
        <v>11</v>
      </c>
      <c r="CI305">
        <v>81.8</v>
      </c>
    </row>
    <row r="306" spans="1:87" x14ac:dyDescent="0.2">
      <c r="A306" t="str">
        <f t="shared" si="32"/>
        <v>1998MaleAllEth23</v>
      </c>
      <c r="B306">
        <v>1998</v>
      </c>
      <c r="C306" t="s">
        <v>20</v>
      </c>
      <c r="D306" t="s">
        <v>27</v>
      </c>
      <c r="E306">
        <v>23</v>
      </c>
      <c r="F306">
        <v>195</v>
      </c>
      <c r="G306">
        <v>34.094485435535198</v>
      </c>
      <c r="H306">
        <v>4.8</v>
      </c>
      <c r="J306" s="358" t="str">
        <f t="shared" si="33"/>
        <v>2001FemaleMaori193</v>
      </c>
      <c r="K306" s="359">
        <v>2001</v>
      </c>
      <c r="L306" t="s">
        <v>8</v>
      </c>
      <c r="M306" t="s">
        <v>18</v>
      </c>
      <c r="N306">
        <v>19</v>
      </c>
      <c r="O306">
        <v>3</v>
      </c>
      <c r="P306">
        <v>3</v>
      </c>
      <c r="Q306">
        <v>6.0606292399639496</v>
      </c>
      <c r="R306">
        <v>6.9</v>
      </c>
      <c r="T306" s="358" t="str">
        <f t="shared" si="35"/>
        <v>1997FemaleAllEth23Other</v>
      </c>
      <c r="U306" s="360">
        <v>1997</v>
      </c>
      <c r="V306" s="360" t="s">
        <v>8</v>
      </c>
      <c r="W306" s="360" t="s">
        <v>27</v>
      </c>
      <c r="X306" s="360">
        <v>23</v>
      </c>
      <c r="Y306" s="360" t="s">
        <v>45</v>
      </c>
      <c r="Z306" s="360">
        <v>2</v>
      </c>
      <c r="AA306" s="360">
        <v>55</v>
      </c>
      <c r="AB306" s="360">
        <v>3.6</v>
      </c>
      <c r="AQ306" t="str">
        <f t="shared" si="34"/>
        <v>2015FemaleRural25</v>
      </c>
      <c r="AR306">
        <v>2015</v>
      </c>
      <c r="AS306" t="s">
        <v>8</v>
      </c>
      <c r="AT306" t="s">
        <v>96</v>
      </c>
      <c r="AU306">
        <v>25</v>
      </c>
      <c r="AV306">
        <v>2</v>
      </c>
      <c r="AW306">
        <v>4.36205016357688</v>
      </c>
      <c r="AX306">
        <v>6</v>
      </c>
      <c r="BS306" t="str">
        <f t="shared" si="36"/>
        <v>MaleAsian233</v>
      </c>
      <c r="BT306" t="s">
        <v>20</v>
      </c>
      <c r="BU306" t="s">
        <v>78</v>
      </c>
      <c r="BV306">
        <v>23</v>
      </c>
      <c r="BW306">
        <v>3</v>
      </c>
      <c r="BX306">
        <v>12</v>
      </c>
      <c r="BY306">
        <v>12.1858531166974</v>
      </c>
      <c r="BZ306">
        <v>6.9</v>
      </c>
      <c r="CB306" t="str">
        <f t="shared" si="37"/>
        <v>MaleMaori22Hanging, strangulation and suffocation</v>
      </c>
      <c r="CC306" t="s">
        <v>20</v>
      </c>
      <c r="CD306" t="s">
        <v>18</v>
      </c>
      <c r="CE306" t="s">
        <v>43</v>
      </c>
      <c r="CF306">
        <v>22</v>
      </c>
      <c r="CG306">
        <v>127</v>
      </c>
      <c r="CH306">
        <v>139</v>
      </c>
      <c r="CI306">
        <v>91.4</v>
      </c>
    </row>
    <row r="307" spans="1:87" x14ac:dyDescent="0.2">
      <c r="A307" t="str">
        <f t="shared" si="32"/>
        <v>1998MaleAllEth24</v>
      </c>
      <c r="B307">
        <v>1998</v>
      </c>
      <c r="C307" t="s">
        <v>20</v>
      </c>
      <c r="D307" t="s">
        <v>27</v>
      </c>
      <c r="E307">
        <v>24</v>
      </c>
      <c r="F307">
        <v>90</v>
      </c>
      <c r="G307">
        <v>22.886786695148</v>
      </c>
      <c r="H307">
        <v>4.7</v>
      </c>
      <c r="J307" s="358" t="str">
        <f t="shared" si="33"/>
        <v>2001FemaleMaori194</v>
      </c>
      <c r="K307" s="359">
        <v>2001</v>
      </c>
      <c r="L307" t="s">
        <v>8</v>
      </c>
      <c r="M307" t="s">
        <v>18</v>
      </c>
      <c r="N307">
        <v>19</v>
      </c>
      <c r="O307">
        <v>4</v>
      </c>
      <c r="P307">
        <v>3</v>
      </c>
      <c r="Q307">
        <v>4.0474188275223399</v>
      </c>
      <c r="R307">
        <v>4.5999999999999996</v>
      </c>
      <c r="T307" s="358" t="str">
        <f t="shared" si="35"/>
        <v>1997FemaleAllEth22Poisoning by gases and vapours</v>
      </c>
      <c r="U307" s="360">
        <v>1997</v>
      </c>
      <c r="V307" s="360" t="s">
        <v>8</v>
      </c>
      <c r="W307" s="360" t="s">
        <v>27</v>
      </c>
      <c r="X307" s="360">
        <v>22</v>
      </c>
      <c r="Y307" s="360" t="s">
        <v>46</v>
      </c>
      <c r="Z307" s="360">
        <v>1</v>
      </c>
      <c r="AA307" s="360">
        <v>29</v>
      </c>
      <c r="AB307" s="360">
        <v>3.4</v>
      </c>
      <c r="AQ307" t="str">
        <f t="shared" si="34"/>
        <v>2015FemaleUrban25</v>
      </c>
      <c r="AR307">
        <v>2015</v>
      </c>
      <c r="AS307" t="s">
        <v>8</v>
      </c>
      <c r="AT307" t="s">
        <v>97</v>
      </c>
      <c r="AU307">
        <v>25</v>
      </c>
      <c r="AV307">
        <v>14</v>
      </c>
      <c r="AW307">
        <v>4.4341684350552697</v>
      </c>
      <c r="AX307">
        <v>2.2999999999999998</v>
      </c>
      <c r="BS307" t="str">
        <f t="shared" si="36"/>
        <v>MaleAsian234</v>
      </c>
      <c r="BT307" t="s">
        <v>20</v>
      </c>
      <c r="BU307" t="s">
        <v>78</v>
      </c>
      <c r="BV307">
        <v>23</v>
      </c>
      <c r="BW307">
        <v>4</v>
      </c>
      <c r="BX307">
        <v>6</v>
      </c>
      <c r="BY307">
        <v>5.5847833262349296</v>
      </c>
      <c r="BZ307">
        <v>4.5</v>
      </c>
      <c r="CB307" t="str">
        <f t="shared" si="37"/>
        <v>MaleMaori23Hanging, strangulation and suffocation</v>
      </c>
      <c r="CC307" t="s">
        <v>20</v>
      </c>
      <c r="CD307" t="s">
        <v>18</v>
      </c>
      <c r="CE307" t="s">
        <v>43</v>
      </c>
      <c r="CF307">
        <v>23</v>
      </c>
      <c r="CG307">
        <v>145</v>
      </c>
      <c r="CH307">
        <v>171</v>
      </c>
      <c r="CI307">
        <v>84.8</v>
      </c>
    </row>
    <row r="308" spans="1:87" x14ac:dyDescent="0.2">
      <c r="A308" t="str">
        <f t="shared" si="32"/>
        <v>1998MaleAllEth25</v>
      </c>
      <c r="B308">
        <v>1998</v>
      </c>
      <c r="C308" t="s">
        <v>20</v>
      </c>
      <c r="D308" t="s">
        <v>27</v>
      </c>
      <c r="E308">
        <v>25</v>
      </c>
      <c r="F308">
        <v>48</v>
      </c>
      <c r="G308">
        <v>25.019546520719299</v>
      </c>
      <c r="H308">
        <v>7.1</v>
      </c>
      <c r="J308" s="358" t="str">
        <f t="shared" si="33"/>
        <v>2001FemaleMaori195</v>
      </c>
      <c r="K308" s="359">
        <v>2001</v>
      </c>
      <c r="L308" t="s">
        <v>8</v>
      </c>
      <c r="M308" t="s">
        <v>18</v>
      </c>
      <c r="N308">
        <v>19</v>
      </c>
      <c r="O308">
        <v>5</v>
      </c>
      <c r="P308">
        <v>10</v>
      </c>
      <c r="Q308">
        <v>7.4097688561329704</v>
      </c>
      <c r="R308">
        <v>4.5999999999999996</v>
      </c>
      <c r="T308" s="358" t="str">
        <f t="shared" si="35"/>
        <v>1997FemaleAllEth23Poisoning by gases and vapours</v>
      </c>
      <c r="U308" s="360">
        <v>1997</v>
      </c>
      <c r="V308" s="360" t="s">
        <v>8</v>
      </c>
      <c r="W308" s="360" t="s">
        <v>27</v>
      </c>
      <c r="X308" s="360">
        <v>23</v>
      </c>
      <c r="Y308" s="360" t="s">
        <v>46</v>
      </c>
      <c r="Z308" s="360">
        <v>18</v>
      </c>
      <c r="AA308" s="360">
        <v>55</v>
      </c>
      <c r="AB308" s="360">
        <v>32.700000000000003</v>
      </c>
      <c r="AQ308" t="str">
        <f t="shared" si="34"/>
        <v>2015MaleRural22</v>
      </c>
      <c r="AR308">
        <v>2015</v>
      </c>
      <c r="AS308" t="s">
        <v>20</v>
      </c>
      <c r="AT308" t="s">
        <v>96</v>
      </c>
      <c r="AU308">
        <v>22</v>
      </c>
      <c r="AV308">
        <v>6</v>
      </c>
      <c r="AW308">
        <v>14.951407924246199</v>
      </c>
      <c r="AX308">
        <v>12</v>
      </c>
      <c r="BS308" t="str">
        <f t="shared" si="36"/>
        <v>MaleAsian235</v>
      </c>
      <c r="BT308" t="s">
        <v>20</v>
      </c>
      <c r="BU308" t="s">
        <v>78</v>
      </c>
      <c r="BV308">
        <v>23</v>
      </c>
      <c r="BW308">
        <v>5</v>
      </c>
      <c r="BX308">
        <v>7</v>
      </c>
      <c r="BY308">
        <v>8.1117590158635107</v>
      </c>
      <c r="BZ308">
        <v>6</v>
      </c>
      <c r="CB308" t="str">
        <f t="shared" si="37"/>
        <v>MaleMaori24Hanging, strangulation and suffocation</v>
      </c>
      <c r="CC308" t="s">
        <v>20</v>
      </c>
      <c r="CD308" t="s">
        <v>18</v>
      </c>
      <c r="CE308" t="s">
        <v>43</v>
      </c>
      <c r="CF308">
        <v>24</v>
      </c>
      <c r="CG308">
        <v>34</v>
      </c>
      <c r="CH308">
        <v>51</v>
      </c>
      <c r="CI308">
        <v>66.7</v>
      </c>
    </row>
    <row r="309" spans="1:87" x14ac:dyDescent="0.2">
      <c r="A309" t="str">
        <f t="shared" si="32"/>
        <v>1998MaleMaori21</v>
      </c>
      <c r="B309">
        <v>1998</v>
      </c>
      <c r="C309" t="s">
        <v>20</v>
      </c>
      <c r="D309" t="s">
        <v>18</v>
      </c>
      <c r="E309">
        <v>21</v>
      </c>
      <c r="F309">
        <v>6</v>
      </c>
      <c r="J309" s="358" t="str">
        <f t="shared" si="33"/>
        <v>2002FemaleMaori191</v>
      </c>
      <c r="K309" s="359">
        <v>2002</v>
      </c>
      <c r="L309" t="s">
        <v>8</v>
      </c>
      <c r="M309" t="s">
        <v>18</v>
      </c>
      <c r="N309">
        <v>19</v>
      </c>
      <c r="O309">
        <v>1</v>
      </c>
      <c r="P309">
        <v>2</v>
      </c>
      <c r="Q309">
        <v>7.7512913371868004</v>
      </c>
      <c r="R309">
        <v>10.7</v>
      </c>
      <c r="T309" s="358" t="str">
        <f t="shared" si="35"/>
        <v>1997FemaleAllEth24Poisoning by gases and vapours</v>
      </c>
      <c r="U309" s="360">
        <v>1997</v>
      </c>
      <c r="V309" s="360" t="s">
        <v>8</v>
      </c>
      <c r="W309" s="360" t="s">
        <v>27</v>
      </c>
      <c r="X309" s="360">
        <v>24</v>
      </c>
      <c r="Y309" s="360" t="s">
        <v>46</v>
      </c>
      <c r="Z309" s="360">
        <v>4</v>
      </c>
      <c r="AA309" s="360">
        <v>26</v>
      </c>
      <c r="AB309" s="360">
        <v>15.4</v>
      </c>
      <c r="AQ309" t="str">
        <f t="shared" si="34"/>
        <v>2015MaleUrban22</v>
      </c>
      <c r="AR309">
        <v>2015</v>
      </c>
      <c r="AS309" t="s">
        <v>20</v>
      </c>
      <c r="AT309" t="s">
        <v>97</v>
      </c>
      <c r="AU309">
        <v>22</v>
      </c>
      <c r="AV309">
        <v>63</v>
      </c>
      <c r="AW309">
        <v>21.0864544632995</v>
      </c>
      <c r="AX309">
        <v>5.2</v>
      </c>
      <c r="BS309" t="str">
        <f t="shared" si="36"/>
        <v>MaleMaori231</v>
      </c>
      <c r="BT309" t="s">
        <v>20</v>
      </c>
      <c r="BU309" t="s">
        <v>18</v>
      </c>
      <c r="BV309">
        <v>23</v>
      </c>
      <c r="BW309">
        <v>1</v>
      </c>
      <c r="BX309">
        <v>9</v>
      </c>
      <c r="BY309">
        <v>24.5006039083726</v>
      </c>
      <c r="BZ309">
        <v>16</v>
      </c>
      <c r="CB309" t="str">
        <f t="shared" si="37"/>
        <v>MaleMaori25Hanging, strangulation and suffocation</v>
      </c>
      <c r="CC309" t="s">
        <v>20</v>
      </c>
      <c r="CD309" t="s">
        <v>18</v>
      </c>
      <c r="CE309" t="s">
        <v>43</v>
      </c>
      <c r="CF309">
        <v>25</v>
      </c>
      <c r="CG309">
        <v>1</v>
      </c>
      <c r="CH309">
        <v>1</v>
      </c>
      <c r="CI309">
        <v>100</v>
      </c>
    </row>
    <row r="310" spans="1:87" x14ac:dyDescent="0.2">
      <c r="A310" t="str">
        <f t="shared" si="32"/>
        <v>1998MaleMaori22</v>
      </c>
      <c r="B310">
        <v>1998</v>
      </c>
      <c r="C310" t="s">
        <v>20</v>
      </c>
      <c r="D310" t="s">
        <v>18</v>
      </c>
      <c r="E310">
        <v>22</v>
      </c>
      <c r="F310">
        <v>30</v>
      </c>
      <c r="G310">
        <v>58.490933905244702</v>
      </c>
      <c r="H310">
        <v>20.9</v>
      </c>
      <c r="J310" s="358" t="str">
        <f t="shared" si="33"/>
        <v>2002FemaleMaori192</v>
      </c>
      <c r="K310" s="359">
        <v>2002</v>
      </c>
      <c r="L310" t="s">
        <v>8</v>
      </c>
      <c r="M310" t="s">
        <v>18</v>
      </c>
      <c r="N310">
        <v>19</v>
      </c>
      <c r="O310">
        <v>2</v>
      </c>
      <c r="P310">
        <v>1</v>
      </c>
      <c r="Q310">
        <v>3.41466787811409</v>
      </c>
      <c r="R310">
        <v>6.7</v>
      </c>
      <c r="T310" s="358" t="str">
        <f t="shared" si="35"/>
        <v>1997FemaleAllEth21Poisoning by solids and liquids</v>
      </c>
      <c r="U310" s="360">
        <v>1997</v>
      </c>
      <c r="V310" s="360" t="s">
        <v>8</v>
      </c>
      <c r="W310" s="360" t="s">
        <v>27</v>
      </c>
      <c r="X310" s="360">
        <v>21</v>
      </c>
      <c r="Y310" s="360" t="s">
        <v>47</v>
      </c>
      <c r="Z310" s="360">
        <v>1</v>
      </c>
      <c r="AA310" s="360">
        <v>3</v>
      </c>
      <c r="AB310" s="360">
        <v>33.299999999999997</v>
      </c>
      <c r="AQ310" t="str">
        <f t="shared" si="34"/>
        <v>2015MaleRural23</v>
      </c>
      <c r="AR310">
        <v>2015</v>
      </c>
      <c r="AS310" t="s">
        <v>20</v>
      </c>
      <c r="AT310" t="s">
        <v>96</v>
      </c>
      <c r="AU310">
        <v>23</v>
      </c>
      <c r="AV310">
        <v>19</v>
      </c>
      <c r="AW310">
        <v>27.668559778651499</v>
      </c>
      <c r="AX310">
        <v>12.4</v>
      </c>
      <c r="BS310" t="str">
        <f t="shared" si="36"/>
        <v>MaleMaori232</v>
      </c>
      <c r="BT310" t="s">
        <v>20</v>
      </c>
      <c r="BU310" t="s">
        <v>18</v>
      </c>
      <c r="BV310">
        <v>23</v>
      </c>
      <c r="BW310">
        <v>2</v>
      </c>
      <c r="BX310">
        <v>16</v>
      </c>
      <c r="BY310">
        <v>32.110465546887802</v>
      </c>
      <c r="BZ310">
        <v>15.7</v>
      </c>
      <c r="CB310" t="str">
        <f t="shared" si="37"/>
        <v>MaleMaori22Jumping from a high place</v>
      </c>
      <c r="CC310" t="s">
        <v>20</v>
      </c>
      <c r="CD310" t="s">
        <v>18</v>
      </c>
      <c r="CE310" t="s">
        <v>44</v>
      </c>
      <c r="CF310">
        <v>22</v>
      </c>
      <c r="CG310">
        <v>2</v>
      </c>
      <c r="CH310">
        <v>139</v>
      </c>
      <c r="CI310">
        <v>1.4</v>
      </c>
    </row>
    <row r="311" spans="1:87" x14ac:dyDescent="0.2">
      <c r="A311" t="str">
        <f t="shared" si="32"/>
        <v>1998MaleMaori23</v>
      </c>
      <c r="B311">
        <v>1998</v>
      </c>
      <c r="C311" t="s">
        <v>20</v>
      </c>
      <c r="D311" t="s">
        <v>18</v>
      </c>
      <c r="E311">
        <v>23</v>
      </c>
      <c r="F311">
        <v>40</v>
      </c>
      <c r="G311">
        <v>53.569037096558198</v>
      </c>
      <c r="H311">
        <v>16.600000000000001</v>
      </c>
      <c r="J311" s="358" t="str">
        <f t="shared" si="33"/>
        <v>2002FemaleMaori193</v>
      </c>
      <c r="K311" s="359">
        <v>2002</v>
      </c>
      <c r="L311" t="s">
        <v>8</v>
      </c>
      <c r="M311" t="s">
        <v>18</v>
      </c>
      <c r="N311">
        <v>19</v>
      </c>
      <c r="O311">
        <v>3</v>
      </c>
      <c r="P311">
        <v>1</v>
      </c>
      <c r="Q311">
        <v>2.0975548009171399</v>
      </c>
      <c r="R311">
        <v>4.0999999999999996</v>
      </c>
      <c r="T311" s="358" t="str">
        <f t="shared" si="35"/>
        <v>1997FemaleAllEth22Poisoning by solids and liquids</v>
      </c>
      <c r="U311" s="360">
        <v>1997</v>
      </c>
      <c r="V311" s="360" t="s">
        <v>8</v>
      </c>
      <c r="W311" s="360" t="s">
        <v>27</v>
      </c>
      <c r="X311" s="360">
        <v>22</v>
      </c>
      <c r="Y311" s="360" t="s">
        <v>47</v>
      </c>
      <c r="Z311" s="360">
        <v>3</v>
      </c>
      <c r="AA311" s="360">
        <v>29</v>
      </c>
      <c r="AB311" s="360">
        <v>10.3</v>
      </c>
      <c r="AQ311" t="str">
        <f t="shared" si="34"/>
        <v>2015MaleUrban23</v>
      </c>
      <c r="AR311">
        <v>2015</v>
      </c>
      <c r="AS311" t="s">
        <v>20</v>
      </c>
      <c r="AT311" t="s">
        <v>97</v>
      </c>
      <c r="AU311">
        <v>23</v>
      </c>
      <c r="AV311">
        <v>116</v>
      </c>
      <c r="AW311">
        <v>23.059796437658999</v>
      </c>
      <c r="AX311">
        <v>4.2</v>
      </c>
      <c r="BS311" t="str">
        <f t="shared" si="36"/>
        <v>MaleMaori233</v>
      </c>
      <c r="BT311" t="s">
        <v>20</v>
      </c>
      <c r="BU311" t="s">
        <v>18</v>
      </c>
      <c r="BV311">
        <v>23</v>
      </c>
      <c r="BW311">
        <v>3</v>
      </c>
      <c r="BX311">
        <v>24</v>
      </c>
      <c r="BY311">
        <v>34.652266820731697</v>
      </c>
      <c r="BZ311">
        <v>13.9</v>
      </c>
      <c r="CB311" t="str">
        <f t="shared" si="37"/>
        <v>MaleMaori24Jumping from a high place</v>
      </c>
      <c r="CC311" t="s">
        <v>20</v>
      </c>
      <c r="CD311" t="s">
        <v>18</v>
      </c>
      <c r="CE311" t="s">
        <v>44</v>
      </c>
      <c r="CF311">
        <v>24</v>
      </c>
      <c r="CG311">
        <v>1</v>
      </c>
      <c r="CH311">
        <v>51</v>
      </c>
      <c r="CI311">
        <v>2</v>
      </c>
    </row>
    <row r="312" spans="1:87" x14ac:dyDescent="0.2">
      <c r="A312" t="str">
        <f t="shared" si="32"/>
        <v>1998MaleMaori24</v>
      </c>
      <c r="B312">
        <v>1998</v>
      </c>
      <c r="C312" t="s">
        <v>20</v>
      </c>
      <c r="D312" t="s">
        <v>18</v>
      </c>
      <c r="E312">
        <v>24</v>
      </c>
      <c r="F312">
        <v>10</v>
      </c>
      <c r="G312">
        <v>29.753049687592998</v>
      </c>
      <c r="H312">
        <v>18.399999999999999</v>
      </c>
      <c r="J312" s="358" t="str">
        <f t="shared" si="33"/>
        <v>2002FemaleMaori194</v>
      </c>
      <c r="K312" s="359">
        <v>2002</v>
      </c>
      <c r="L312" t="s">
        <v>8</v>
      </c>
      <c r="M312" t="s">
        <v>18</v>
      </c>
      <c r="N312">
        <v>19</v>
      </c>
      <c r="O312">
        <v>4</v>
      </c>
      <c r="P312">
        <v>5</v>
      </c>
      <c r="Q312">
        <v>7.3913499666275699</v>
      </c>
      <c r="R312">
        <v>6.5</v>
      </c>
      <c r="T312" s="358" t="str">
        <f t="shared" si="35"/>
        <v>1997FemaleAllEth23Poisoning by solids and liquids</v>
      </c>
      <c r="U312" s="360">
        <v>1997</v>
      </c>
      <c r="V312" s="360" t="s">
        <v>8</v>
      </c>
      <c r="W312" s="360" t="s">
        <v>27</v>
      </c>
      <c r="X312" s="360">
        <v>23</v>
      </c>
      <c r="Y312" s="360" t="s">
        <v>47</v>
      </c>
      <c r="Z312" s="360">
        <v>15</v>
      </c>
      <c r="AA312" s="360">
        <v>55</v>
      </c>
      <c r="AB312" s="360">
        <v>27.3</v>
      </c>
      <c r="AQ312" t="str">
        <f t="shared" si="34"/>
        <v>2015MaleRural24</v>
      </c>
      <c r="AR312">
        <v>2015</v>
      </c>
      <c r="AS312" t="s">
        <v>20</v>
      </c>
      <c r="AT312" t="s">
        <v>96</v>
      </c>
      <c r="AU312">
        <v>24</v>
      </c>
      <c r="AV312">
        <v>31</v>
      </c>
      <c r="AW312">
        <v>30.5840568271507</v>
      </c>
      <c r="AX312">
        <v>10.8</v>
      </c>
      <c r="BS312" t="str">
        <f t="shared" si="36"/>
        <v>MaleMaori234</v>
      </c>
      <c r="BT312" t="s">
        <v>20</v>
      </c>
      <c r="BU312" t="s">
        <v>18</v>
      </c>
      <c r="BV312">
        <v>23</v>
      </c>
      <c r="BW312">
        <v>4</v>
      </c>
      <c r="BX312">
        <v>41</v>
      </c>
      <c r="BY312">
        <v>43.680479502421598</v>
      </c>
      <c r="BZ312">
        <v>13.4</v>
      </c>
      <c r="CB312" t="str">
        <f t="shared" si="37"/>
        <v>MaleMaori22Other</v>
      </c>
      <c r="CC312" t="s">
        <v>20</v>
      </c>
      <c r="CD312" t="s">
        <v>18</v>
      </c>
      <c r="CE312" t="s">
        <v>45</v>
      </c>
      <c r="CF312">
        <v>22</v>
      </c>
      <c r="CG312">
        <v>4</v>
      </c>
      <c r="CH312">
        <v>139</v>
      </c>
      <c r="CI312">
        <v>2.9</v>
      </c>
    </row>
    <row r="313" spans="1:87" x14ac:dyDescent="0.2">
      <c r="A313" t="str">
        <f t="shared" si="32"/>
        <v>1998MaleMaori25</v>
      </c>
      <c r="B313">
        <v>1998</v>
      </c>
      <c r="C313" t="s">
        <v>20</v>
      </c>
      <c r="D313" t="s">
        <v>18</v>
      </c>
      <c r="E313">
        <v>25</v>
      </c>
      <c r="F313">
        <v>2</v>
      </c>
      <c r="G313">
        <v>26.2123197903014</v>
      </c>
      <c r="H313">
        <v>36.299999999999997</v>
      </c>
      <c r="J313" s="358" t="str">
        <f t="shared" si="33"/>
        <v>2002FemaleMaori195</v>
      </c>
      <c r="K313" s="359">
        <v>2002</v>
      </c>
      <c r="L313" t="s">
        <v>8</v>
      </c>
      <c r="M313" t="s">
        <v>18</v>
      </c>
      <c r="N313">
        <v>19</v>
      </c>
      <c r="O313">
        <v>5</v>
      </c>
      <c r="P313">
        <v>8</v>
      </c>
      <c r="Q313">
        <v>5.9718665818165704</v>
      </c>
      <c r="R313">
        <v>4.0999999999999996</v>
      </c>
      <c r="T313" s="358" t="str">
        <f t="shared" si="35"/>
        <v>1997FemaleAllEth24Poisoning by solids and liquids</v>
      </c>
      <c r="U313" s="360">
        <v>1997</v>
      </c>
      <c r="V313" s="360" t="s">
        <v>8</v>
      </c>
      <c r="W313" s="360" t="s">
        <v>27</v>
      </c>
      <c r="X313" s="360">
        <v>24</v>
      </c>
      <c r="Y313" s="360" t="s">
        <v>47</v>
      </c>
      <c r="Z313" s="360">
        <v>10</v>
      </c>
      <c r="AA313" s="360">
        <v>26</v>
      </c>
      <c r="AB313" s="360">
        <v>38.5</v>
      </c>
      <c r="AQ313" t="str">
        <f t="shared" si="34"/>
        <v>2015MaleUrban24</v>
      </c>
      <c r="AR313">
        <v>2015</v>
      </c>
      <c r="AS313" t="s">
        <v>20</v>
      </c>
      <c r="AT313" t="s">
        <v>97</v>
      </c>
      <c r="AU313">
        <v>24</v>
      </c>
      <c r="AV313">
        <v>93</v>
      </c>
      <c r="AW313">
        <v>20.066456652138299</v>
      </c>
      <c r="AX313">
        <v>4.0999999999999996</v>
      </c>
      <c r="BS313" t="str">
        <f t="shared" si="36"/>
        <v>MaleMaori235</v>
      </c>
      <c r="BT313" t="s">
        <v>20</v>
      </c>
      <c r="BU313" t="s">
        <v>18</v>
      </c>
      <c r="BV313">
        <v>23</v>
      </c>
      <c r="BW313">
        <v>5</v>
      </c>
      <c r="BX313">
        <v>79</v>
      </c>
      <c r="BY313">
        <v>56.356939888091901</v>
      </c>
      <c r="BZ313">
        <v>12.4</v>
      </c>
      <c r="CB313" t="str">
        <f t="shared" si="37"/>
        <v>MaleMaori23Other</v>
      </c>
      <c r="CC313" t="s">
        <v>20</v>
      </c>
      <c r="CD313" t="s">
        <v>18</v>
      </c>
      <c r="CE313" t="s">
        <v>45</v>
      </c>
      <c r="CF313">
        <v>23</v>
      </c>
      <c r="CG313">
        <v>8</v>
      </c>
      <c r="CH313">
        <v>171</v>
      </c>
      <c r="CI313">
        <v>4.7</v>
      </c>
    </row>
    <row r="314" spans="1:87" x14ac:dyDescent="0.2">
      <c r="A314" t="str">
        <f t="shared" si="32"/>
        <v>1998MaleNon-Maori21</v>
      </c>
      <c r="B314">
        <v>1998</v>
      </c>
      <c r="C314" t="s">
        <v>20</v>
      </c>
      <c r="D314" t="s">
        <v>19</v>
      </c>
      <c r="E314">
        <v>21</v>
      </c>
      <c r="F314">
        <v>2</v>
      </c>
      <c r="J314" s="358" t="str">
        <f t="shared" si="33"/>
        <v>2003FemaleMaori191</v>
      </c>
      <c r="K314" s="359">
        <v>2003</v>
      </c>
      <c r="L314" t="s">
        <v>8</v>
      </c>
      <c r="M314" t="s">
        <v>18</v>
      </c>
      <c r="N314">
        <v>19</v>
      </c>
      <c r="O314">
        <v>1</v>
      </c>
      <c r="P314">
        <v>1</v>
      </c>
      <c r="Q314">
        <v>7.8314195870861196</v>
      </c>
      <c r="R314">
        <v>15.3</v>
      </c>
      <c r="T314" s="358" t="str">
        <f t="shared" si="35"/>
        <v>1997FemaleAllEth25Poisoning by solids and liquids</v>
      </c>
      <c r="U314" s="360">
        <v>1997</v>
      </c>
      <c r="V314" s="360" t="s">
        <v>8</v>
      </c>
      <c r="W314" s="360" t="s">
        <v>27</v>
      </c>
      <c r="X314" s="360">
        <v>25</v>
      </c>
      <c r="Y314" s="360" t="s">
        <v>47</v>
      </c>
      <c r="Z314" s="360">
        <v>4</v>
      </c>
      <c r="AA314" s="360">
        <v>8</v>
      </c>
      <c r="AB314" s="360">
        <v>50</v>
      </c>
      <c r="AQ314" t="str">
        <f t="shared" si="34"/>
        <v>2015MaleRural25</v>
      </c>
      <c r="AR314">
        <v>2015</v>
      </c>
      <c r="AS314" t="s">
        <v>20</v>
      </c>
      <c r="AT314" t="s">
        <v>96</v>
      </c>
      <c r="AU314">
        <v>25</v>
      </c>
      <c r="AV314">
        <v>9</v>
      </c>
      <c r="AW314">
        <v>17.8041543026706</v>
      </c>
      <c r="AX314">
        <v>11.6</v>
      </c>
      <c r="BS314" t="str">
        <f t="shared" si="36"/>
        <v>MaleOther231</v>
      </c>
      <c r="BT314" t="s">
        <v>20</v>
      </c>
      <c r="BU314" t="s">
        <v>45</v>
      </c>
      <c r="BV314">
        <v>23</v>
      </c>
      <c r="BW314">
        <v>1</v>
      </c>
      <c r="BX314">
        <v>71</v>
      </c>
      <c r="BY314">
        <v>17.481959038781799</v>
      </c>
      <c r="BZ314">
        <v>4.0999999999999996</v>
      </c>
      <c r="CB314" t="str">
        <f t="shared" si="37"/>
        <v>MaleMaori24Other</v>
      </c>
      <c r="CC314" t="s">
        <v>20</v>
      </c>
      <c r="CD314" t="s">
        <v>18</v>
      </c>
      <c r="CE314" t="s">
        <v>45</v>
      </c>
      <c r="CF314">
        <v>24</v>
      </c>
      <c r="CG314">
        <v>2</v>
      </c>
      <c r="CH314">
        <v>51</v>
      </c>
      <c r="CI314">
        <v>3.9</v>
      </c>
    </row>
    <row r="315" spans="1:87" x14ac:dyDescent="0.2">
      <c r="A315" t="str">
        <f t="shared" si="32"/>
        <v>1998MaleNon-Maori22</v>
      </c>
      <c r="B315">
        <v>1998</v>
      </c>
      <c r="C315" t="s">
        <v>20</v>
      </c>
      <c r="D315" t="s">
        <v>19</v>
      </c>
      <c r="E315">
        <v>22</v>
      </c>
      <c r="F315">
        <v>75</v>
      </c>
      <c r="G315">
        <v>34.083162917518699</v>
      </c>
      <c r="H315">
        <v>7.7</v>
      </c>
      <c r="J315" s="358" t="str">
        <f t="shared" si="33"/>
        <v>2003FemaleMaori192</v>
      </c>
      <c r="K315" s="359">
        <v>2003</v>
      </c>
      <c r="L315" t="s">
        <v>8</v>
      </c>
      <c r="M315" t="s">
        <v>18</v>
      </c>
      <c r="N315">
        <v>19</v>
      </c>
      <c r="O315">
        <v>2</v>
      </c>
      <c r="P315">
        <v>1</v>
      </c>
      <c r="Q315">
        <v>3.3099082708633598</v>
      </c>
      <c r="R315">
        <v>6.5</v>
      </c>
      <c r="T315" s="358" t="str">
        <f t="shared" si="35"/>
        <v>1997FemaleAllEth23Sharp object</v>
      </c>
      <c r="U315" s="360">
        <v>1997</v>
      </c>
      <c r="V315" s="360" t="s">
        <v>8</v>
      </c>
      <c r="W315" s="360" t="s">
        <v>27</v>
      </c>
      <c r="X315" s="360">
        <v>23</v>
      </c>
      <c r="Y315" s="360" t="s">
        <v>48</v>
      </c>
      <c r="Z315" s="360">
        <v>1</v>
      </c>
      <c r="AA315" s="360">
        <v>55</v>
      </c>
      <c r="AB315" s="360">
        <v>1.8</v>
      </c>
      <c r="AQ315" t="str">
        <f t="shared" si="34"/>
        <v>2015MaleUrban25</v>
      </c>
      <c r="AR315">
        <v>2015</v>
      </c>
      <c r="AS315" t="s">
        <v>20</v>
      </c>
      <c r="AT315" t="s">
        <v>97</v>
      </c>
      <c r="AU315">
        <v>25</v>
      </c>
      <c r="AV315">
        <v>39</v>
      </c>
      <c r="AW315">
        <v>14.884359972521199</v>
      </c>
      <c r="AX315">
        <v>4.7</v>
      </c>
      <c r="BS315" t="str">
        <f t="shared" si="36"/>
        <v>MaleOther232</v>
      </c>
      <c r="BT315" t="s">
        <v>20</v>
      </c>
      <c r="BU315" t="s">
        <v>45</v>
      </c>
      <c r="BV315">
        <v>23</v>
      </c>
      <c r="BW315">
        <v>2</v>
      </c>
      <c r="BX315">
        <v>77</v>
      </c>
      <c r="BY315">
        <v>18.617727375146501</v>
      </c>
      <c r="BZ315">
        <v>4.2</v>
      </c>
      <c r="CB315" t="str">
        <f t="shared" si="37"/>
        <v>MaleMaori22Poisoning by gases and vapours</v>
      </c>
      <c r="CC315" t="s">
        <v>20</v>
      </c>
      <c r="CD315" t="s">
        <v>18</v>
      </c>
      <c r="CE315" t="s">
        <v>46</v>
      </c>
      <c r="CF315">
        <v>22</v>
      </c>
      <c r="CG315">
        <v>2</v>
      </c>
      <c r="CH315">
        <v>139</v>
      </c>
      <c r="CI315">
        <v>1.4</v>
      </c>
    </row>
    <row r="316" spans="1:87" x14ac:dyDescent="0.2">
      <c r="A316" t="str">
        <f t="shared" si="32"/>
        <v>1998MaleNon-Maori23</v>
      </c>
      <c r="B316">
        <v>1998</v>
      </c>
      <c r="C316" t="s">
        <v>20</v>
      </c>
      <c r="D316" t="s">
        <v>19</v>
      </c>
      <c r="E316">
        <v>23</v>
      </c>
      <c r="F316">
        <v>155</v>
      </c>
      <c r="G316">
        <v>31.1701892332133</v>
      </c>
      <c r="H316">
        <v>4.9000000000000004</v>
      </c>
      <c r="J316" s="358" t="str">
        <f t="shared" si="33"/>
        <v>2003FemaleMaori193</v>
      </c>
      <c r="K316" s="359">
        <v>2003</v>
      </c>
      <c r="L316" t="s">
        <v>8</v>
      </c>
      <c r="M316" t="s">
        <v>18</v>
      </c>
      <c r="N316">
        <v>19</v>
      </c>
      <c r="O316">
        <v>3</v>
      </c>
      <c r="P316">
        <v>1</v>
      </c>
      <c r="Q316">
        <v>1.9917874287691</v>
      </c>
      <c r="R316">
        <v>3.9</v>
      </c>
      <c r="T316" s="358" t="str">
        <f t="shared" si="35"/>
        <v>1997FemaleAllEth24Sharp object</v>
      </c>
      <c r="U316" s="360">
        <v>1997</v>
      </c>
      <c r="V316" s="360" t="s">
        <v>8</v>
      </c>
      <c r="W316" s="360" t="s">
        <v>27</v>
      </c>
      <c r="X316" s="360">
        <v>24</v>
      </c>
      <c r="Y316" s="360" t="s">
        <v>48</v>
      </c>
      <c r="Z316" s="360">
        <v>1</v>
      </c>
      <c r="AA316" s="360">
        <v>26</v>
      </c>
      <c r="AB316" s="360">
        <v>3.8</v>
      </c>
      <c r="AQ316" t="str">
        <f t="shared" si="34"/>
        <v>2003AllSexRural19</v>
      </c>
      <c r="AR316">
        <v>2003</v>
      </c>
      <c r="AS316" t="s">
        <v>17</v>
      </c>
      <c r="AT316" t="s">
        <v>96</v>
      </c>
      <c r="AU316">
        <v>19</v>
      </c>
      <c r="AV316">
        <v>53</v>
      </c>
      <c r="AW316">
        <v>10.211546180911499</v>
      </c>
      <c r="AX316">
        <v>2.7</v>
      </c>
      <c r="BS316" t="str">
        <f t="shared" si="36"/>
        <v>MaleOther233</v>
      </c>
      <c r="BT316" t="s">
        <v>20</v>
      </c>
      <c r="BU316" t="s">
        <v>45</v>
      </c>
      <c r="BV316">
        <v>23</v>
      </c>
      <c r="BW316">
        <v>3</v>
      </c>
      <c r="BX316">
        <v>82</v>
      </c>
      <c r="BY316">
        <v>20.785975385268099</v>
      </c>
      <c r="BZ316">
        <v>4.5</v>
      </c>
      <c r="CB316" t="str">
        <f t="shared" si="37"/>
        <v>MaleMaori23Poisoning by gases and vapours</v>
      </c>
      <c r="CC316" t="s">
        <v>20</v>
      </c>
      <c r="CD316" t="s">
        <v>18</v>
      </c>
      <c r="CE316" t="s">
        <v>46</v>
      </c>
      <c r="CF316">
        <v>23</v>
      </c>
      <c r="CG316">
        <v>8</v>
      </c>
      <c r="CH316">
        <v>171</v>
      </c>
      <c r="CI316">
        <v>4.7</v>
      </c>
    </row>
    <row r="317" spans="1:87" x14ac:dyDescent="0.2">
      <c r="A317" t="str">
        <f t="shared" si="32"/>
        <v>1998MaleNon-Maori24</v>
      </c>
      <c r="B317">
        <v>1998</v>
      </c>
      <c r="C317" t="s">
        <v>20</v>
      </c>
      <c r="D317" t="s">
        <v>19</v>
      </c>
      <c r="E317">
        <v>24</v>
      </c>
      <c r="F317">
        <v>80</v>
      </c>
      <c r="G317">
        <v>22.2450852264828</v>
      </c>
      <c r="H317">
        <v>4.9000000000000004</v>
      </c>
      <c r="J317" s="358" t="str">
        <f t="shared" si="33"/>
        <v>2003FemaleMaori194</v>
      </c>
      <c r="K317" s="359">
        <v>2003</v>
      </c>
      <c r="L317" t="s">
        <v>8</v>
      </c>
      <c r="M317" t="s">
        <v>18</v>
      </c>
      <c r="N317">
        <v>19</v>
      </c>
      <c r="O317">
        <v>4</v>
      </c>
      <c r="P317">
        <v>5</v>
      </c>
      <c r="Q317">
        <v>6.3101146782222104</v>
      </c>
      <c r="R317">
        <v>5.5</v>
      </c>
      <c r="T317" s="358" t="str">
        <f t="shared" si="35"/>
        <v>1997FemaleAllEth25Sharp object</v>
      </c>
      <c r="U317" s="360">
        <v>1997</v>
      </c>
      <c r="V317" s="360" t="s">
        <v>8</v>
      </c>
      <c r="W317" s="360" t="s">
        <v>27</v>
      </c>
      <c r="X317" s="360">
        <v>25</v>
      </c>
      <c r="Y317" s="360" t="s">
        <v>48</v>
      </c>
      <c r="Z317" s="360">
        <v>1</v>
      </c>
      <c r="AA317" s="360">
        <v>8</v>
      </c>
      <c r="AB317" s="360">
        <v>12.5</v>
      </c>
      <c r="AQ317" t="str">
        <f t="shared" si="34"/>
        <v>2003AllSexUrban19</v>
      </c>
      <c r="AR317">
        <v>2003</v>
      </c>
      <c r="AS317" t="s">
        <v>17</v>
      </c>
      <c r="AT317" t="s">
        <v>97</v>
      </c>
      <c r="AU317">
        <v>19</v>
      </c>
      <c r="AV317">
        <v>410</v>
      </c>
      <c r="AW317">
        <v>11.282052940237</v>
      </c>
      <c r="AX317">
        <v>1.1000000000000001</v>
      </c>
      <c r="BS317" t="str">
        <f t="shared" si="36"/>
        <v>MaleOther234</v>
      </c>
      <c r="BT317" t="s">
        <v>20</v>
      </c>
      <c r="BU317" t="s">
        <v>45</v>
      </c>
      <c r="BV317">
        <v>23</v>
      </c>
      <c r="BW317">
        <v>4</v>
      </c>
      <c r="BX317">
        <v>96</v>
      </c>
      <c r="BY317">
        <v>28.681385062726701</v>
      </c>
      <c r="BZ317">
        <v>5.7</v>
      </c>
      <c r="CB317" t="str">
        <f t="shared" si="37"/>
        <v>MaleMaori24Poisoning by gases and vapours</v>
      </c>
      <c r="CC317" t="s">
        <v>20</v>
      </c>
      <c r="CD317" t="s">
        <v>18</v>
      </c>
      <c r="CE317" t="s">
        <v>46</v>
      </c>
      <c r="CF317">
        <v>24</v>
      </c>
      <c r="CG317">
        <v>7</v>
      </c>
      <c r="CH317">
        <v>51</v>
      </c>
      <c r="CI317">
        <v>13.7</v>
      </c>
    </row>
    <row r="318" spans="1:87" x14ac:dyDescent="0.2">
      <c r="A318" t="str">
        <f t="shared" si="32"/>
        <v>1998MaleNon-Maori25</v>
      </c>
      <c r="B318">
        <v>1998</v>
      </c>
      <c r="C318" t="s">
        <v>20</v>
      </c>
      <c r="D318" t="s">
        <v>19</v>
      </c>
      <c r="E318">
        <v>25</v>
      </c>
      <c r="F318">
        <v>46</v>
      </c>
      <c r="G318">
        <v>24.970144392574099</v>
      </c>
      <c r="H318">
        <v>7.2</v>
      </c>
      <c r="J318" s="358" t="str">
        <f t="shared" si="33"/>
        <v>2003FemaleMaori195</v>
      </c>
      <c r="K318" s="359">
        <v>2003</v>
      </c>
      <c r="L318" t="s">
        <v>8</v>
      </c>
      <c r="M318" t="s">
        <v>18</v>
      </c>
      <c r="N318">
        <v>19</v>
      </c>
      <c r="O318">
        <v>5</v>
      </c>
      <c r="P318">
        <v>11</v>
      </c>
      <c r="Q318">
        <v>8.0753728152817494</v>
      </c>
      <c r="R318">
        <v>4.8</v>
      </c>
      <c r="T318" s="358" t="str">
        <f t="shared" si="35"/>
        <v>1997FemaleAllEth23Submersion (drowning)</v>
      </c>
      <c r="U318" s="360">
        <v>1997</v>
      </c>
      <c r="V318" s="360" t="s">
        <v>8</v>
      </c>
      <c r="W318" s="360" t="s">
        <v>27</v>
      </c>
      <c r="X318" s="360">
        <v>23</v>
      </c>
      <c r="Y318" s="360" t="s">
        <v>49</v>
      </c>
      <c r="Z318" s="360">
        <v>2</v>
      </c>
      <c r="AA318" s="360">
        <v>55</v>
      </c>
      <c r="AB318" s="360">
        <v>3.6</v>
      </c>
      <c r="AQ318" t="str">
        <f t="shared" si="34"/>
        <v>2004AllSexRural19</v>
      </c>
      <c r="AR318">
        <v>2004</v>
      </c>
      <c r="AS318" t="s">
        <v>17</v>
      </c>
      <c r="AT318" t="s">
        <v>96</v>
      </c>
      <c r="AU318">
        <v>19</v>
      </c>
      <c r="AV318">
        <v>65</v>
      </c>
      <c r="AW318">
        <v>10.7197566757345</v>
      </c>
      <c r="AX318">
        <v>2.6</v>
      </c>
      <c r="BS318" t="str">
        <f t="shared" si="36"/>
        <v>MaleOther235</v>
      </c>
      <c r="BT318" t="s">
        <v>20</v>
      </c>
      <c r="BU318" t="s">
        <v>45</v>
      </c>
      <c r="BV318">
        <v>23</v>
      </c>
      <c r="BW318">
        <v>5</v>
      </c>
      <c r="BX318">
        <v>90</v>
      </c>
      <c r="BY318">
        <v>43.176312907306702</v>
      </c>
      <c r="BZ318">
        <v>8.9</v>
      </c>
      <c r="CB318" t="str">
        <f t="shared" si="37"/>
        <v>MaleMaori23Poisoning by solids and liquids</v>
      </c>
      <c r="CC318" t="s">
        <v>20</v>
      </c>
      <c r="CD318" t="s">
        <v>18</v>
      </c>
      <c r="CE318" t="s">
        <v>47</v>
      </c>
      <c r="CF318">
        <v>23</v>
      </c>
      <c r="CG318">
        <v>4</v>
      </c>
      <c r="CH318">
        <v>171</v>
      </c>
      <c r="CI318">
        <v>2.2999999999999998</v>
      </c>
    </row>
    <row r="319" spans="1:87" x14ac:dyDescent="0.2">
      <c r="A319" t="str">
        <f t="shared" si="32"/>
        <v>1999AllSexAllEth21</v>
      </c>
      <c r="B319">
        <v>1999</v>
      </c>
      <c r="C319" t="s">
        <v>17</v>
      </c>
      <c r="D319" t="s">
        <v>27</v>
      </c>
      <c r="E319">
        <v>21</v>
      </c>
      <c r="F319">
        <v>6</v>
      </c>
      <c r="J319" s="358" t="str">
        <f t="shared" si="33"/>
        <v>2004FemaleMaori191</v>
      </c>
      <c r="K319" s="359">
        <v>2004</v>
      </c>
      <c r="L319" t="s">
        <v>8</v>
      </c>
      <c r="M319" t="s">
        <v>18</v>
      </c>
      <c r="N319">
        <v>19</v>
      </c>
      <c r="O319">
        <v>1</v>
      </c>
      <c r="P319">
        <v>0</v>
      </c>
      <c r="Q319">
        <v>0</v>
      </c>
      <c r="T319" s="358" t="str">
        <f t="shared" si="35"/>
        <v>1997FemaleAllEth24Submersion (drowning)</v>
      </c>
      <c r="U319" s="360">
        <v>1997</v>
      </c>
      <c r="V319" s="360" t="s">
        <v>8</v>
      </c>
      <c r="W319" s="360" t="s">
        <v>27</v>
      </c>
      <c r="X319" s="360">
        <v>24</v>
      </c>
      <c r="Y319" s="360" t="s">
        <v>49</v>
      </c>
      <c r="Z319" s="360">
        <v>2</v>
      </c>
      <c r="AA319" s="360">
        <v>26</v>
      </c>
      <c r="AB319" s="360">
        <v>7.7</v>
      </c>
      <c r="AQ319" t="str">
        <f t="shared" si="34"/>
        <v>2004AllSexUrban19</v>
      </c>
      <c r="AR319">
        <v>2004</v>
      </c>
      <c r="AS319" t="s">
        <v>17</v>
      </c>
      <c r="AT319" t="s">
        <v>97</v>
      </c>
      <c r="AU319">
        <v>19</v>
      </c>
      <c r="AV319">
        <v>396</v>
      </c>
      <c r="AW319">
        <v>10.879264473007</v>
      </c>
      <c r="AX319">
        <v>1.1000000000000001</v>
      </c>
      <c r="BS319" t="str">
        <f t="shared" si="36"/>
        <v>MalePacific231</v>
      </c>
      <c r="BT319" t="s">
        <v>20</v>
      </c>
      <c r="BU319" t="s">
        <v>79</v>
      </c>
      <c r="BV319">
        <v>23</v>
      </c>
      <c r="BW319">
        <v>1</v>
      </c>
      <c r="BX319">
        <v>1</v>
      </c>
      <c r="BY319">
        <v>8.8293784964286193</v>
      </c>
      <c r="BZ319">
        <v>17.3</v>
      </c>
      <c r="CB319" t="str">
        <f t="shared" si="37"/>
        <v>MaleMaori24Poisoning by solids and liquids</v>
      </c>
      <c r="CC319" t="s">
        <v>20</v>
      </c>
      <c r="CD319" t="s">
        <v>18</v>
      </c>
      <c r="CE319" t="s">
        <v>47</v>
      </c>
      <c r="CF319">
        <v>24</v>
      </c>
      <c r="CG319">
        <v>2</v>
      </c>
      <c r="CH319">
        <v>51</v>
      </c>
      <c r="CI319">
        <v>3.9</v>
      </c>
    </row>
    <row r="320" spans="1:87" x14ac:dyDescent="0.2">
      <c r="A320" t="str">
        <f t="shared" si="32"/>
        <v>1999AllSexAllEth22</v>
      </c>
      <c r="B320">
        <v>1999</v>
      </c>
      <c r="C320" t="s">
        <v>17</v>
      </c>
      <c r="D320" t="s">
        <v>27</v>
      </c>
      <c r="E320">
        <v>22</v>
      </c>
      <c r="F320">
        <v>120</v>
      </c>
      <c r="G320">
        <v>22.6184642062804</v>
      </c>
      <c r="H320">
        <v>4</v>
      </c>
      <c r="J320" s="358" t="str">
        <f t="shared" si="33"/>
        <v>2004FemaleMaori192</v>
      </c>
      <c r="K320" s="359">
        <v>2004</v>
      </c>
      <c r="L320" t="s">
        <v>8</v>
      </c>
      <c r="M320" t="s">
        <v>18</v>
      </c>
      <c r="N320">
        <v>19</v>
      </c>
      <c r="O320">
        <v>2</v>
      </c>
      <c r="P320">
        <v>2</v>
      </c>
      <c r="Q320">
        <v>5.9274762331421096</v>
      </c>
      <c r="R320">
        <v>8.1999999999999993</v>
      </c>
      <c r="T320" s="358" t="str">
        <f t="shared" si="35"/>
        <v>1997FemaleAllEth25Submersion (drowning)</v>
      </c>
      <c r="U320" s="360">
        <v>1997</v>
      </c>
      <c r="V320" s="360" t="s">
        <v>8</v>
      </c>
      <c r="W320" s="360" t="s">
        <v>27</v>
      </c>
      <c r="X320" s="360">
        <v>25</v>
      </c>
      <c r="Y320" s="360" t="s">
        <v>49</v>
      </c>
      <c r="Z320" s="360">
        <v>2</v>
      </c>
      <c r="AA320" s="360">
        <v>8</v>
      </c>
      <c r="AB320" s="360">
        <v>25</v>
      </c>
      <c r="AQ320" t="str">
        <f t="shared" si="34"/>
        <v>2005AllSexRural19</v>
      </c>
      <c r="AR320">
        <v>2005</v>
      </c>
      <c r="AS320" t="s">
        <v>17</v>
      </c>
      <c r="AT320" t="s">
        <v>96</v>
      </c>
      <c r="AU320">
        <v>19</v>
      </c>
      <c r="AV320">
        <v>80</v>
      </c>
      <c r="AW320">
        <v>15.3405039042526</v>
      </c>
      <c r="AX320">
        <v>3.4</v>
      </c>
      <c r="BS320" t="str">
        <f t="shared" si="36"/>
        <v>MalePacific232</v>
      </c>
      <c r="BT320" t="s">
        <v>20</v>
      </c>
      <c r="BU320" t="s">
        <v>79</v>
      </c>
      <c r="BV320">
        <v>23</v>
      </c>
      <c r="BW320">
        <v>2</v>
      </c>
      <c r="BX320">
        <v>5</v>
      </c>
      <c r="BY320">
        <v>30.046504365295998</v>
      </c>
      <c r="BZ320">
        <v>26.3</v>
      </c>
      <c r="CB320" t="str">
        <f t="shared" si="37"/>
        <v>MaleMaori23Sharp object</v>
      </c>
      <c r="CC320" t="s">
        <v>20</v>
      </c>
      <c r="CD320" t="s">
        <v>18</v>
      </c>
      <c r="CE320" t="s">
        <v>48</v>
      </c>
      <c r="CF320">
        <v>23</v>
      </c>
      <c r="CG320">
        <v>3</v>
      </c>
      <c r="CH320">
        <v>171</v>
      </c>
      <c r="CI320">
        <v>1.8</v>
      </c>
    </row>
    <row r="321" spans="1:87" x14ac:dyDescent="0.2">
      <c r="A321" t="str">
        <f t="shared" si="32"/>
        <v>1999AllSexAllEth23</v>
      </c>
      <c r="B321">
        <v>1999</v>
      </c>
      <c r="C321" t="s">
        <v>17</v>
      </c>
      <c r="D321" t="s">
        <v>27</v>
      </c>
      <c r="E321">
        <v>23</v>
      </c>
      <c r="F321">
        <v>235</v>
      </c>
      <c r="G321">
        <v>20.093713660305099</v>
      </c>
      <c r="H321">
        <v>2.6</v>
      </c>
      <c r="J321" s="358" t="str">
        <f t="shared" si="33"/>
        <v>2004FemaleMaori193</v>
      </c>
      <c r="K321" s="359">
        <v>2004</v>
      </c>
      <c r="L321" t="s">
        <v>8</v>
      </c>
      <c r="M321" t="s">
        <v>18</v>
      </c>
      <c r="N321">
        <v>19</v>
      </c>
      <c r="O321">
        <v>3</v>
      </c>
      <c r="P321">
        <v>4</v>
      </c>
      <c r="Q321">
        <v>7.5757426025945103</v>
      </c>
      <c r="R321">
        <v>7.4</v>
      </c>
      <c r="T321" s="358" t="str">
        <f t="shared" si="35"/>
        <v>1997FemaleMaori23Firearms and explosives</v>
      </c>
      <c r="U321" s="360">
        <v>1997</v>
      </c>
      <c r="V321" s="360" t="s">
        <v>8</v>
      </c>
      <c r="W321" s="360" t="s">
        <v>18</v>
      </c>
      <c r="X321" s="360">
        <v>23</v>
      </c>
      <c r="Y321" s="360" t="s">
        <v>42</v>
      </c>
      <c r="Z321" s="360">
        <v>1</v>
      </c>
      <c r="AA321" s="360">
        <v>15</v>
      </c>
      <c r="AB321" s="360">
        <v>6.7</v>
      </c>
      <c r="AQ321" t="str">
        <f t="shared" si="34"/>
        <v>2005AllSexUrban19</v>
      </c>
      <c r="AR321">
        <v>2005</v>
      </c>
      <c r="AS321" t="s">
        <v>17</v>
      </c>
      <c r="AT321" t="s">
        <v>97</v>
      </c>
      <c r="AU321">
        <v>19</v>
      </c>
      <c r="AV321">
        <v>424</v>
      </c>
      <c r="AW321">
        <v>11.556498028309299</v>
      </c>
      <c r="AX321">
        <v>1.1000000000000001</v>
      </c>
      <c r="BS321" t="str">
        <f t="shared" si="36"/>
        <v>MalePacific233</v>
      </c>
      <c r="BT321" t="s">
        <v>20</v>
      </c>
      <c r="BU321" t="s">
        <v>79</v>
      </c>
      <c r="BV321">
        <v>23</v>
      </c>
      <c r="BW321">
        <v>3</v>
      </c>
      <c r="BX321">
        <v>2</v>
      </c>
      <c r="BY321">
        <v>7.9856876347069203</v>
      </c>
      <c r="BZ321">
        <v>11.1</v>
      </c>
      <c r="CB321" t="str">
        <f t="shared" si="37"/>
        <v>MaleMaori24Sharp object</v>
      </c>
      <c r="CC321" t="s">
        <v>20</v>
      </c>
      <c r="CD321" t="s">
        <v>18</v>
      </c>
      <c r="CE321" t="s">
        <v>48</v>
      </c>
      <c r="CF321">
        <v>24</v>
      </c>
      <c r="CG321">
        <v>1</v>
      </c>
      <c r="CH321">
        <v>51</v>
      </c>
      <c r="CI321">
        <v>2</v>
      </c>
    </row>
    <row r="322" spans="1:87" x14ac:dyDescent="0.2">
      <c r="A322" t="str">
        <f t="shared" si="32"/>
        <v>1999AllSexAllEth24</v>
      </c>
      <c r="B322">
        <v>1999</v>
      </c>
      <c r="C322" t="s">
        <v>17</v>
      </c>
      <c r="D322" t="s">
        <v>27</v>
      </c>
      <c r="E322">
        <v>24</v>
      </c>
      <c r="F322">
        <v>104</v>
      </c>
      <c r="G322">
        <v>12.805358550039401</v>
      </c>
      <c r="H322">
        <v>2.5</v>
      </c>
      <c r="J322" s="358" t="str">
        <f t="shared" si="33"/>
        <v>2004FemaleMaori194</v>
      </c>
      <c r="K322" s="359">
        <v>2004</v>
      </c>
      <c r="L322" t="s">
        <v>8</v>
      </c>
      <c r="M322" t="s">
        <v>18</v>
      </c>
      <c r="N322">
        <v>19</v>
      </c>
      <c r="O322">
        <v>4</v>
      </c>
      <c r="P322">
        <v>7</v>
      </c>
      <c r="Q322">
        <v>9.2650685653367599</v>
      </c>
      <c r="R322">
        <v>6.9</v>
      </c>
      <c r="T322" s="358" t="str">
        <f t="shared" si="35"/>
        <v>1997FemaleMaori22Hanging, strangulation and suffocation</v>
      </c>
      <c r="U322" s="360">
        <v>1997</v>
      </c>
      <c r="V322" s="360" t="s">
        <v>8</v>
      </c>
      <c r="W322" s="360" t="s">
        <v>18</v>
      </c>
      <c r="X322" s="360">
        <v>22</v>
      </c>
      <c r="Y322" s="360" t="s">
        <v>43</v>
      </c>
      <c r="Z322" s="360">
        <v>6</v>
      </c>
      <c r="AA322" s="360">
        <v>9</v>
      </c>
      <c r="AB322" s="360">
        <v>66.7</v>
      </c>
      <c r="AQ322" t="str">
        <f t="shared" si="34"/>
        <v>2006AllSexRural19</v>
      </c>
      <c r="AR322">
        <v>2006</v>
      </c>
      <c r="AS322" t="s">
        <v>17</v>
      </c>
      <c r="AT322" t="s">
        <v>96</v>
      </c>
      <c r="AU322">
        <v>19</v>
      </c>
      <c r="AV322">
        <v>83</v>
      </c>
      <c r="AW322">
        <v>16.104700562699598</v>
      </c>
      <c r="AX322">
        <v>3.5</v>
      </c>
      <c r="BS322" t="str">
        <f t="shared" si="36"/>
        <v>MalePacific234</v>
      </c>
      <c r="BT322" t="s">
        <v>20</v>
      </c>
      <c r="BU322" t="s">
        <v>79</v>
      </c>
      <c r="BV322">
        <v>23</v>
      </c>
      <c r="BW322">
        <v>4</v>
      </c>
      <c r="BX322">
        <v>4</v>
      </c>
      <c r="BY322">
        <v>9.7476482053653104</v>
      </c>
      <c r="BZ322">
        <v>9.6</v>
      </c>
      <c r="CB322" t="str">
        <f t="shared" si="37"/>
        <v>MaleMaori23Submersion (drowning)</v>
      </c>
      <c r="CC322" t="s">
        <v>20</v>
      </c>
      <c r="CD322" t="s">
        <v>18</v>
      </c>
      <c r="CE322" t="s">
        <v>49</v>
      </c>
      <c r="CF322">
        <v>23</v>
      </c>
      <c r="CG322">
        <v>1</v>
      </c>
      <c r="CH322">
        <v>171</v>
      </c>
      <c r="CI322">
        <v>0.6</v>
      </c>
    </row>
    <row r="323" spans="1:87" x14ac:dyDescent="0.2">
      <c r="A323" t="str">
        <f t="shared" si="32"/>
        <v>1999AllSexAllEth25</v>
      </c>
      <c r="B323">
        <v>1999</v>
      </c>
      <c r="C323" t="s">
        <v>17</v>
      </c>
      <c r="D323" t="s">
        <v>27</v>
      </c>
      <c r="E323">
        <v>25</v>
      </c>
      <c r="F323">
        <v>52</v>
      </c>
      <c r="G323">
        <v>11.6169965595818</v>
      </c>
      <c r="H323">
        <v>3.2</v>
      </c>
      <c r="J323" s="358" t="str">
        <f t="shared" si="33"/>
        <v>2004FemaleMaori195</v>
      </c>
      <c r="K323" s="359">
        <v>2004</v>
      </c>
      <c r="L323" t="s">
        <v>8</v>
      </c>
      <c r="M323" t="s">
        <v>18</v>
      </c>
      <c r="N323">
        <v>19</v>
      </c>
      <c r="O323">
        <v>5</v>
      </c>
      <c r="P323">
        <v>15</v>
      </c>
      <c r="Q323">
        <v>11.162918131225</v>
      </c>
      <c r="R323">
        <v>5.6</v>
      </c>
      <c r="T323" s="358" t="str">
        <f t="shared" si="35"/>
        <v>1997FemaleMaori23Hanging, strangulation and suffocation</v>
      </c>
      <c r="U323" s="360">
        <v>1997</v>
      </c>
      <c r="V323" s="360" t="s">
        <v>8</v>
      </c>
      <c r="W323" s="360" t="s">
        <v>18</v>
      </c>
      <c r="X323" s="360">
        <v>23</v>
      </c>
      <c r="Y323" s="360" t="s">
        <v>43</v>
      </c>
      <c r="Z323" s="360">
        <v>8</v>
      </c>
      <c r="AA323" s="360">
        <v>15</v>
      </c>
      <c r="AB323" s="360">
        <v>53.3</v>
      </c>
      <c r="AQ323" t="str">
        <f t="shared" si="34"/>
        <v>2006AllSexUrban19</v>
      </c>
      <c r="AR323">
        <v>2006</v>
      </c>
      <c r="AS323" t="s">
        <v>17</v>
      </c>
      <c r="AT323" t="s">
        <v>97</v>
      </c>
      <c r="AU323">
        <v>19</v>
      </c>
      <c r="AV323">
        <v>435</v>
      </c>
      <c r="AW323">
        <v>11.6470905503125</v>
      </c>
      <c r="AX323">
        <v>1.1000000000000001</v>
      </c>
      <c r="BS323" t="str">
        <f t="shared" si="36"/>
        <v>MalePacific235</v>
      </c>
      <c r="BT323" t="s">
        <v>20</v>
      </c>
      <c r="BU323" t="s">
        <v>79</v>
      </c>
      <c r="BV323">
        <v>23</v>
      </c>
      <c r="BW323">
        <v>5</v>
      </c>
      <c r="BX323">
        <v>16</v>
      </c>
      <c r="BY323">
        <v>17.1411972157949</v>
      </c>
      <c r="BZ323">
        <v>8.4</v>
      </c>
      <c r="CB323" t="str">
        <f t="shared" si="37"/>
        <v>MaleMaori24Submersion (drowning)</v>
      </c>
      <c r="CC323" t="s">
        <v>20</v>
      </c>
      <c r="CD323" t="s">
        <v>18</v>
      </c>
      <c r="CE323" t="s">
        <v>49</v>
      </c>
      <c r="CF323">
        <v>24</v>
      </c>
      <c r="CG323">
        <v>2</v>
      </c>
      <c r="CH323">
        <v>51</v>
      </c>
      <c r="CI323">
        <v>3.9</v>
      </c>
    </row>
    <row r="324" spans="1:87" x14ac:dyDescent="0.2">
      <c r="A324" t="str">
        <f t="shared" ref="A324:A387" si="38">B324&amp;C324&amp;D324&amp;E324</f>
        <v>1999AllSexMaori21</v>
      </c>
      <c r="B324">
        <v>1999</v>
      </c>
      <c r="C324" t="s">
        <v>17</v>
      </c>
      <c r="D324" t="s">
        <v>18</v>
      </c>
      <c r="E324">
        <v>21</v>
      </c>
      <c r="F324">
        <v>4</v>
      </c>
      <c r="J324" s="358" t="str">
        <f t="shared" ref="J324:J387" si="39">K324&amp;L324&amp;M324&amp;N324&amp;O324</f>
        <v>2005FemaleMaori191</v>
      </c>
      <c r="K324" s="359">
        <v>2005</v>
      </c>
      <c r="L324" t="s">
        <v>8</v>
      </c>
      <c r="M324" t="s">
        <v>18</v>
      </c>
      <c r="N324">
        <v>19</v>
      </c>
      <c r="O324">
        <v>1</v>
      </c>
      <c r="P324">
        <v>2</v>
      </c>
      <c r="Q324">
        <v>9.3796299524880098</v>
      </c>
      <c r="R324">
        <v>13</v>
      </c>
      <c r="T324" s="358" t="str">
        <f t="shared" si="35"/>
        <v>1997FemaleMaori23Jumping from a high place</v>
      </c>
      <c r="U324" s="360">
        <v>1997</v>
      </c>
      <c r="V324" s="360" t="s">
        <v>8</v>
      </c>
      <c r="W324" s="360" t="s">
        <v>18</v>
      </c>
      <c r="X324" s="360">
        <v>23</v>
      </c>
      <c r="Y324" s="360" t="s">
        <v>44</v>
      </c>
      <c r="Z324" s="360">
        <v>1</v>
      </c>
      <c r="AA324" s="360">
        <v>15</v>
      </c>
      <c r="AB324" s="360">
        <v>6.7</v>
      </c>
      <c r="AQ324" t="str">
        <f t="shared" ref="AQ324:AQ387" si="40">AR324&amp;AS324&amp;AT324&amp;AU324</f>
        <v>2007AllSexRural19</v>
      </c>
      <c r="AR324">
        <v>2007</v>
      </c>
      <c r="AS324" t="s">
        <v>17</v>
      </c>
      <c r="AT324" t="s">
        <v>96</v>
      </c>
      <c r="AU324">
        <v>19</v>
      </c>
      <c r="AV324">
        <v>78</v>
      </c>
      <c r="AW324">
        <v>14.242406423759199</v>
      </c>
      <c r="AX324">
        <v>3.2</v>
      </c>
      <c r="BS324" t="str">
        <f t="shared" si="36"/>
        <v>MaleAsian241</v>
      </c>
      <c r="BT324" t="s">
        <v>20</v>
      </c>
      <c r="BU324" t="s">
        <v>78</v>
      </c>
      <c r="BV324">
        <v>24</v>
      </c>
      <c r="BW324">
        <v>1</v>
      </c>
      <c r="BX324">
        <v>5</v>
      </c>
      <c r="BY324">
        <v>9.3592336586050404</v>
      </c>
      <c r="BZ324">
        <v>8.1999999999999993</v>
      </c>
      <c r="CB324" t="str">
        <f t="shared" si="37"/>
        <v>MaleOther22Firearms and explosives</v>
      </c>
      <c r="CC324" t="s">
        <v>20</v>
      </c>
      <c r="CD324" t="s">
        <v>45</v>
      </c>
      <c r="CE324" t="s">
        <v>42</v>
      </c>
      <c r="CF324">
        <v>22</v>
      </c>
      <c r="CG324">
        <v>17</v>
      </c>
      <c r="CH324">
        <v>213</v>
      </c>
      <c r="CI324">
        <v>8</v>
      </c>
    </row>
    <row r="325" spans="1:87" x14ac:dyDescent="0.2">
      <c r="A325" t="str">
        <f t="shared" si="38"/>
        <v>1999AllSexMaori22</v>
      </c>
      <c r="B325">
        <v>1999</v>
      </c>
      <c r="C325" t="s">
        <v>17</v>
      </c>
      <c r="D325" t="s">
        <v>18</v>
      </c>
      <c r="E325">
        <v>22</v>
      </c>
      <c r="F325">
        <v>33</v>
      </c>
      <c r="G325">
        <v>32.110538094774697</v>
      </c>
      <c r="H325">
        <v>11</v>
      </c>
      <c r="J325" s="358" t="str">
        <f t="shared" si="39"/>
        <v>2005FemaleMaori192</v>
      </c>
      <c r="K325" s="359">
        <v>2005</v>
      </c>
      <c r="L325" t="s">
        <v>8</v>
      </c>
      <c r="M325" t="s">
        <v>18</v>
      </c>
      <c r="N325">
        <v>19</v>
      </c>
      <c r="O325">
        <v>2</v>
      </c>
      <c r="P325">
        <v>0</v>
      </c>
      <c r="Q325">
        <v>0</v>
      </c>
      <c r="T325" s="358" t="str">
        <f t="shared" ref="T325:T388" si="41">U325&amp;V325&amp;W325&amp;X325&amp;Y325</f>
        <v>1997FemaleMaori23Other</v>
      </c>
      <c r="U325" s="360">
        <v>1997</v>
      </c>
      <c r="V325" s="360" t="s">
        <v>8</v>
      </c>
      <c r="W325" s="360" t="s">
        <v>18</v>
      </c>
      <c r="X325" s="360">
        <v>23</v>
      </c>
      <c r="Y325" s="360" t="s">
        <v>45</v>
      </c>
      <c r="Z325" s="360">
        <v>1</v>
      </c>
      <c r="AA325" s="360">
        <v>15</v>
      </c>
      <c r="AB325" s="360">
        <v>6.7</v>
      </c>
      <c r="AQ325" t="str">
        <f t="shared" si="40"/>
        <v>2007AllSexUrban19</v>
      </c>
      <c r="AR325">
        <v>2007</v>
      </c>
      <c r="AS325" t="s">
        <v>17</v>
      </c>
      <c r="AT325" t="s">
        <v>97</v>
      </c>
      <c r="AU325">
        <v>19</v>
      </c>
      <c r="AV325">
        <v>420</v>
      </c>
      <c r="AW325">
        <v>11.0358390108014</v>
      </c>
      <c r="AX325">
        <v>1.1000000000000001</v>
      </c>
      <c r="BS325" t="str">
        <f t="shared" ref="BS325:BS363" si="42">BT325&amp;BU325&amp;BV325&amp;BW325</f>
        <v>MaleAsian242</v>
      </c>
      <c r="BT325" t="s">
        <v>20</v>
      </c>
      <c r="BU325" t="s">
        <v>78</v>
      </c>
      <c r="BV325">
        <v>24</v>
      </c>
      <c r="BW325">
        <v>2</v>
      </c>
      <c r="BX325">
        <v>3</v>
      </c>
      <c r="BY325">
        <v>5.0085510370362796</v>
      </c>
      <c r="BZ325">
        <v>5.7</v>
      </c>
      <c r="CB325" t="str">
        <f t="shared" ref="CB325:CB388" si="43">CC325&amp;CD325&amp;CF325&amp;CE325</f>
        <v>MaleOther23Firearms and explosives</v>
      </c>
      <c r="CC325" t="s">
        <v>20</v>
      </c>
      <c r="CD325" t="s">
        <v>45</v>
      </c>
      <c r="CE325" t="s">
        <v>42</v>
      </c>
      <c r="CF325">
        <v>23</v>
      </c>
      <c r="CG325">
        <v>33</v>
      </c>
      <c r="CH325">
        <v>431</v>
      </c>
      <c r="CI325">
        <v>7.7</v>
      </c>
    </row>
    <row r="326" spans="1:87" x14ac:dyDescent="0.2">
      <c r="A326" t="str">
        <f t="shared" si="38"/>
        <v>1999AllSexMaori23</v>
      </c>
      <c r="B326">
        <v>1999</v>
      </c>
      <c r="C326" t="s">
        <v>17</v>
      </c>
      <c r="D326" t="s">
        <v>18</v>
      </c>
      <c r="E326">
        <v>23</v>
      </c>
      <c r="F326">
        <v>41</v>
      </c>
      <c r="G326">
        <v>25.360301849446401</v>
      </c>
      <c r="H326">
        <v>7.8</v>
      </c>
      <c r="J326" s="358" t="str">
        <f t="shared" si="39"/>
        <v>2005FemaleMaori193</v>
      </c>
      <c r="K326" s="359">
        <v>2005</v>
      </c>
      <c r="L326" t="s">
        <v>8</v>
      </c>
      <c r="M326" t="s">
        <v>18</v>
      </c>
      <c r="N326">
        <v>19</v>
      </c>
      <c r="O326">
        <v>3</v>
      </c>
      <c r="P326">
        <v>8</v>
      </c>
      <c r="Q326">
        <v>15.512709428565</v>
      </c>
      <c r="R326">
        <v>10.7</v>
      </c>
      <c r="T326" s="358" t="str">
        <f t="shared" si="41"/>
        <v>1997FemaleMaori22Poisoning by gases and vapours</v>
      </c>
      <c r="U326" s="360">
        <v>1997</v>
      </c>
      <c r="V326" s="360" t="s">
        <v>8</v>
      </c>
      <c r="W326" s="360" t="s">
        <v>18</v>
      </c>
      <c r="X326" s="360">
        <v>22</v>
      </c>
      <c r="Y326" s="360" t="s">
        <v>46</v>
      </c>
      <c r="Z326" s="360">
        <v>1</v>
      </c>
      <c r="AA326" s="360">
        <v>9</v>
      </c>
      <c r="AB326" s="360">
        <v>11.1</v>
      </c>
      <c r="AQ326" t="str">
        <f t="shared" si="40"/>
        <v>2008AllSexRural19</v>
      </c>
      <c r="AR326">
        <v>2008</v>
      </c>
      <c r="AS326" t="s">
        <v>17</v>
      </c>
      <c r="AT326" t="s">
        <v>96</v>
      </c>
      <c r="AU326">
        <v>19</v>
      </c>
      <c r="AV326">
        <v>87</v>
      </c>
      <c r="AW326">
        <v>15.9554257560563</v>
      </c>
      <c r="AX326">
        <v>3.4</v>
      </c>
      <c r="BS326" t="str">
        <f t="shared" si="42"/>
        <v>MaleAsian243</v>
      </c>
      <c r="BT326" t="s">
        <v>20</v>
      </c>
      <c r="BU326" t="s">
        <v>78</v>
      </c>
      <c r="BV326">
        <v>24</v>
      </c>
      <c r="BW326">
        <v>3</v>
      </c>
      <c r="BX326">
        <v>4</v>
      </c>
      <c r="BY326">
        <v>7.3611473505290101</v>
      </c>
      <c r="BZ326">
        <v>7.2</v>
      </c>
      <c r="CB326" t="str">
        <f t="shared" si="43"/>
        <v>MaleOther24Firearms and explosives</v>
      </c>
      <c r="CC326" t="s">
        <v>20</v>
      </c>
      <c r="CD326" t="s">
        <v>45</v>
      </c>
      <c r="CE326" t="s">
        <v>42</v>
      </c>
      <c r="CF326">
        <v>24</v>
      </c>
      <c r="CG326">
        <v>84</v>
      </c>
      <c r="CH326">
        <v>505</v>
      </c>
      <c r="CI326">
        <v>16.600000000000001</v>
      </c>
    </row>
    <row r="327" spans="1:87" x14ac:dyDescent="0.2">
      <c r="A327" t="str">
        <f t="shared" si="38"/>
        <v>1999AllSexMaori24</v>
      </c>
      <c r="B327">
        <v>1999</v>
      </c>
      <c r="C327" t="s">
        <v>17</v>
      </c>
      <c r="D327" t="s">
        <v>18</v>
      </c>
      <c r="E327">
        <v>24</v>
      </c>
      <c r="F327">
        <v>1</v>
      </c>
      <c r="G327">
        <v>1.40114894213255</v>
      </c>
      <c r="H327">
        <v>2.7</v>
      </c>
      <c r="J327" s="358" t="str">
        <f t="shared" si="39"/>
        <v>2005FemaleMaori194</v>
      </c>
      <c r="K327" s="359">
        <v>2005</v>
      </c>
      <c r="L327" t="s">
        <v>8</v>
      </c>
      <c r="M327" t="s">
        <v>18</v>
      </c>
      <c r="N327">
        <v>19</v>
      </c>
      <c r="O327">
        <v>4</v>
      </c>
      <c r="P327">
        <v>7</v>
      </c>
      <c r="Q327">
        <v>9.5309577081417203</v>
      </c>
      <c r="R327">
        <v>7.1</v>
      </c>
      <c r="T327" s="358" t="str">
        <f t="shared" si="41"/>
        <v>1997FemaleMaori23Poisoning by gases and vapours</v>
      </c>
      <c r="U327" s="360">
        <v>1997</v>
      </c>
      <c r="V327" s="360" t="s">
        <v>8</v>
      </c>
      <c r="W327" s="360" t="s">
        <v>18</v>
      </c>
      <c r="X327" s="360">
        <v>23</v>
      </c>
      <c r="Y327" s="360" t="s">
        <v>46</v>
      </c>
      <c r="Z327" s="360">
        <v>2</v>
      </c>
      <c r="AA327" s="360">
        <v>15</v>
      </c>
      <c r="AB327" s="360">
        <v>13.3</v>
      </c>
      <c r="AQ327" t="str">
        <f t="shared" si="40"/>
        <v>2008AllSexUrban19</v>
      </c>
      <c r="AR327">
        <v>2008</v>
      </c>
      <c r="AS327" t="s">
        <v>17</v>
      </c>
      <c r="AT327" t="s">
        <v>97</v>
      </c>
      <c r="AU327">
        <v>19</v>
      </c>
      <c r="AV327">
        <v>424</v>
      </c>
      <c r="AW327">
        <v>11.1776130287529</v>
      </c>
      <c r="AX327">
        <v>1.1000000000000001</v>
      </c>
      <c r="BS327" t="str">
        <f t="shared" si="42"/>
        <v>MaleAsian244</v>
      </c>
      <c r="BT327" t="s">
        <v>20</v>
      </c>
      <c r="BU327" t="s">
        <v>78</v>
      </c>
      <c r="BV327">
        <v>24</v>
      </c>
      <c r="BW327">
        <v>4</v>
      </c>
      <c r="BX327">
        <v>7</v>
      </c>
      <c r="BY327">
        <v>13.9001044618129</v>
      </c>
      <c r="BZ327">
        <v>10.3</v>
      </c>
      <c r="CB327" t="str">
        <f t="shared" si="43"/>
        <v>MaleOther25Firearms and explosives</v>
      </c>
      <c r="CC327" t="s">
        <v>20</v>
      </c>
      <c r="CD327" t="s">
        <v>45</v>
      </c>
      <c r="CE327" t="s">
        <v>42</v>
      </c>
      <c r="CF327">
        <v>25</v>
      </c>
      <c r="CG327">
        <v>56</v>
      </c>
      <c r="CH327">
        <v>210</v>
      </c>
      <c r="CI327">
        <v>26.7</v>
      </c>
    </row>
    <row r="328" spans="1:87" x14ac:dyDescent="0.2">
      <c r="A328" t="str">
        <f t="shared" si="38"/>
        <v>1999AllSexMaori25</v>
      </c>
      <c r="B328">
        <v>1999</v>
      </c>
      <c r="C328" t="s">
        <v>17</v>
      </c>
      <c r="D328" t="s">
        <v>18</v>
      </c>
      <c r="E328">
        <v>25</v>
      </c>
      <c r="F328">
        <v>0</v>
      </c>
      <c r="G328">
        <v>0</v>
      </c>
      <c r="J328" s="358" t="str">
        <f t="shared" si="39"/>
        <v>2005FemaleMaori195</v>
      </c>
      <c r="K328" s="359">
        <v>2005</v>
      </c>
      <c r="L328" t="s">
        <v>8</v>
      </c>
      <c r="M328" t="s">
        <v>18</v>
      </c>
      <c r="N328">
        <v>19</v>
      </c>
      <c r="O328">
        <v>5</v>
      </c>
      <c r="P328">
        <v>9</v>
      </c>
      <c r="Q328">
        <v>7.0266750100722302</v>
      </c>
      <c r="R328">
        <v>4.5999999999999996</v>
      </c>
      <c r="T328" s="358" t="str">
        <f t="shared" si="41"/>
        <v>1997FemaleMaori21Poisoning by solids and liquids</v>
      </c>
      <c r="U328" s="360">
        <v>1997</v>
      </c>
      <c r="V328" s="360" t="s">
        <v>8</v>
      </c>
      <c r="W328" s="360" t="s">
        <v>18</v>
      </c>
      <c r="X328" s="360">
        <v>21</v>
      </c>
      <c r="Y328" s="360" t="s">
        <v>47</v>
      </c>
      <c r="Z328" s="360">
        <v>1</v>
      </c>
      <c r="AA328" s="360">
        <v>1</v>
      </c>
      <c r="AB328" s="360">
        <v>100</v>
      </c>
      <c r="AQ328" t="str">
        <f t="shared" si="40"/>
        <v>2009AllSexRural19</v>
      </c>
      <c r="AR328">
        <v>2009</v>
      </c>
      <c r="AS328" t="s">
        <v>17</v>
      </c>
      <c r="AT328" t="s">
        <v>96</v>
      </c>
      <c r="AU328">
        <v>19</v>
      </c>
      <c r="AV328">
        <v>71</v>
      </c>
      <c r="AW328">
        <v>12.661821293405801</v>
      </c>
      <c r="AX328">
        <v>2.9</v>
      </c>
      <c r="BS328" t="str">
        <f t="shared" si="42"/>
        <v>MaleAsian245</v>
      </c>
      <c r="BT328" t="s">
        <v>20</v>
      </c>
      <c r="BU328" t="s">
        <v>78</v>
      </c>
      <c r="BV328">
        <v>24</v>
      </c>
      <c r="BW328">
        <v>5</v>
      </c>
      <c r="BX328">
        <v>3</v>
      </c>
      <c r="BY328">
        <v>7.8571291365399603</v>
      </c>
      <c r="BZ328">
        <v>8.9</v>
      </c>
      <c r="CB328" t="str">
        <f t="shared" si="43"/>
        <v>MaleOther21Hanging, strangulation and suffocation</v>
      </c>
      <c r="CC328" t="s">
        <v>20</v>
      </c>
      <c r="CD328" t="s">
        <v>45</v>
      </c>
      <c r="CE328" t="s">
        <v>43</v>
      </c>
      <c r="CF328">
        <v>21</v>
      </c>
      <c r="CG328">
        <v>4</v>
      </c>
      <c r="CH328">
        <v>5</v>
      </c>
      <c r="CI328">
        <v>80</v>
      </c>
    </row>
    <row r="329" spans="1:87" x14ac:dyDescent="0.2">
      <c r="A329" t="str">
        <f t="shared" si="38"/>
        <v>1999AllSexNon-Maori21</v>
      </c>
      <c r="B329">
        <v>1999</v>
      </c>
      <c r="C329" t="s">
        <v>17</v>
      </c>
      <c r="D329" t="s">
        <v>19</v>
      </c>
      <c r="E329">
        <v>21</v>
      </c>
      <c r="F329">
        <v>2</v>
      </c>
      <c r="J329" s="358" t="str">
        <f t="shared" si="39"/>
        <v>2006FemaleMaori191</v>
      </c>
      <c r="K329" s="359">
        <v>2006</v>
      </c>
      <c r="L329" t="s">
        <v>8</v>
      </c>
      <c r="M329" t="s">
        <v>18</v>
      </c>
      <c r="N329">
        <v>19</v>
      </c>
      <c r="O329">
        <v>1</v>
      </c>
      <c r="P329">
        <v>2</v>
      </c>
      <c r="Q329">
        <v>7.3849414954153101</v>
      </c>
      <c r="R329">
        <v>10.199999999999999</v>
      </c>
      <c r="T329" s="358" t="str">
        <f t="shared" si="41"/>
        <v>1997FemaleMaori22Poisoning by solids and liquids</v>
      </c>
      <c r="U329" s="360">
        <v>1997</v>
      </c>
      <c r="V329" s="360" t="s">
        <v>8</v>
      </c>
      <c r="W329" s="360" t="s">
        <v>18</v>
      </c>
      <c r="X329" s="360">
        <v>22</v>
      </c>
      <c r="Y329" s="360" t="s">
        <v>47</v>
      </c>
      <c r="Z329" s="360">
        <v>2</v>
      </c>
      <c r="AA329" s="360">
        <v>9</v>
      </c>
      <c r="AB329" s="360">
        <v>22.2</v>
      </c>
      <c r="AQ329" t="str">
        <f t="shared" si="40"/>
        <v>2009AllSexUrban19</v>
      </c>
      <c r="AR329">
        <v>2009</v>
      </c>
      <c r="AS329" t="s">
        <v>17</v>
      </c>
      <c r="AT329" t="s">
        <v>97</v>
      </c>
      <c r="AU329">
        <v>19</v>
      </c>
      <c r="AV329">
        <v>438</v>
      </c>
      <c r="AW329">
        <v>11.3576105512283</v>
      </c>
      <c r="AX329">
        <v>1.1000000000000001</v>
      </c>
      <c r="BS329" t="str">
        <f t="shared" si="42"/>
        <v>MaleMaori241</v>
      </c>
      <c r="BT329" t="s">
        <v>20</v>
      </c>
      <c r="BU329" t="s">
        <v>18</v>
      </c>
      <c r="BV329">
        <v>24</v>
      </c>
      <c r="BW329">
        <v>1</v>
      </c>
      <c r="BX329">
        <v>1</v>
      </c>
      <c r="BY329">
        <v>3.2174817047558202</v>
      </c>
      <c r="BZ329">
        <v>6.3</v>
      </c>
      <c r="CB329" t="str">
        <f t="shared" si="43"/>
        <v>MaleOther22Hanging, strangulation and suffocation</v>
      </c>
      <c r="CC329" t="s">
        <v>20</v>
      </c>
      <c r="CD329" t="s">
        <v>45</v>
      </c>
      <c r="CE329" t="s">
        <v>43</v>
      </c>
      <c r="CF329">
        <v>22</v>
      </c>
      <c r="CG329">
        <v>161</v>
      </c>
      <c r="CH329">
        <v>213</v>
      </c>
      <c r="CI329">
        <v>75.599999999999994</v>
      </c>
    </row>
    <row r="330" spans="1:87" x14ac:dyDescent="0.2">
      <c r="A330" t="str">
        <f t="shared" si="38"/>
        <v>1999AllSexNon-Maori22</v>
      </c>
      <c r="B330">
        <v>1999</v>
      </c>
      <c r="C330" t="s">
        <v>17</v>
      </c>
      <c r="D330" t="s">
        <v>19</v>
      </c>
      <c r="E330">
        <v>22</v>
      </c>
      <c r="F330">
        <v>87</v>
      </c>
      <c r="G330">
        <v>20.338032120064501</v>
      </c>
      <c r="H330">
        <v>4.3</v>
      </c>
      <c r="J330" s="358" t="str">
        <f t="shared" si="39"/>
        <v>2006FemaleMaori192</v>
      </c>
      <c r="K330" s="359">
        <v>2006</v>
      </c>
      <c r="L330" t="s">
        <v>8</v>
      </c>
      <c r="M330" t="s">
        <v>18</v>
      </c>
      <c r="N330">
        <v>19</v>
      </c>
      <c r="O330">
        <v>2</v>
      </c>
      <c r="P330">
        <v>1</v>
      </c>
      <c r="Q330">
        <v>3.1378029150237601</v>
      </c>
      <c r="R330">
        <v>6.1</v>
      </c>
      <c r="T330" s="358" t="str">
        <f t="shared" si="41"/>
        <v>1997FemaleMaori23Poisoning by solids and liquids</v>
      </c>
      <c r="U330" s="360">
        <v>1997</v>
      </c>
      <c r="V330" s="360" t="s">
        <v>8</v>
      </c>
      <c r="W330" s="360" t="s">
        <v>18</v>
      </c>
      <c r="X330" s="360">
        <v>23</v>
      </c>
      <c r="Y330" s="360" t="s">
        <v>47</v>
      </c>
      <c r="Z330" s="360">
        <v>2</v>
      </c>
      <c r="AA330" s="360">
        <v>15</v>
      </c>
      <c r="AB330" s="360">
        <v>13.3</v>
      </c>
      <c r="AQ330" t="str">
        <f t="shared" si="40"/>
        <v>2010AllSexRural19</v>
      </c>
      <c r="AR330">
        <v>2010</v>
      </c>
      <c r="AS330" t="s">
        <v>17</v>
      </c>
      <c r="AT330" t="s">
        <v>96</v>
      </c>
      <c r="AU330">
        <v>19</v>
      </c>
      <c r="AV330">
        <v>94</v>
      </c>
      <c r="AW330">
        <v>16.001422327261199</v>
      </c>
      <c r="AX330">
        <v>3.2</v>
      </c>
      <c r="BS330" t="str">
        <f t="shared" si="42"/>
        <v>MaleMaori242</v>
      </c>
      <c r="BT330" t="s">
        <v>20</v>
      </c>
      <c r="BU330" t="s">
        <v>18</v>
      </c>
      <c r="BV330">
        <v>24</v>
      </c>
      <c r="BW330">
        <v>2</v>
      </c>
      <c r="BX330">
        <v>9</v>
      </c>
      <c r="BY330">
        <v>23.360858938992202</v>
      </c>
      <c r="BZ330">
        <v>15.3</v>
      </c>
      <c r="CB330" t="str">
        <f t="shared" si="43"/>
        <v>MaleOther23Hanging, strangulation and suffocation</v>
      </c>
      <c r="CC330" t="s">
        <v>20</v>
      </c>
      <c r="CD330" t="s">
        <v>45</v>
      </c>
      <c r="CE330" t="s">
        <v>43</v>
      </c>
      <c r="CF330">
        <v>23</v>
      </c>
      <c r="CG330">
        <v>259</v>
      </c>
      <c r="CH330">
        <v>431</v>
      </c>
      <c r="CI330">
        <v>60.1</v>
      </c>
    </row>
    <row r="331" spans="1:87" x14ac:dyDescent="0.2">
      <c r="A331" t="str">
        <f t="shared" si="38"/>
        <v>1999AllSexNon-Maori23</v>
      </c>
      <c r="B331">
        <v>1999</v>
      </c>
      <c r="C331" t="s">
        <v>17</v>
      </c>
      <c r="D331" t="s">
        <v>19</v>
      </c>
      <c r="E331">
        <v>23</v>
      </c>
      <c r="F331">
        <v>194</v>
      </c>
      <c r="G331">
        <v>19.248896165103901</v>
      </c>
      <c r="H331">
        <v>2.7</v>
      </c>
      <c r="J331" s="358" t="str">
        <f t="shared" si="39"/>
        <v>2006FemaleMaori193</v>
      </c>
      <c r="K331" s="359">
        <v>2006</v>
      </c>
      <c r="L331" t="s">
        <v>8</v>
      </c>
      <c r="M331" t="s">
        <v>18</v>
      </c>
      <c r="N331">
        <v>19</v>
      </c>
      <c r="O331">
        <v>3</v>
      </c>
      <c r="P331">
        <v>6</v>
      </c>
      <c r="Q331">
        <v>15.0042561278583</v>
      </c>
      <c r="R331">
        <v>12</v>
      </c>
      <c r="T331" s="358" t="str">
        <f t="shared" si="41"/>
        <v>1997FemaleMaori25Submersion (drowning)</v>
      </c>
      <c r="U331" s="360">
        <v>1997</v>
      </c>
      <c r="V331" s="360" t="s">
        <v>8</v>
      </c>
      <c r="W331" s="360" t="s">
        <v>18</v>
      </c>
      <c r="X331" s="360">
        <v>25</v>
      </c>
      <c r="Y331" s="360" t="s">
        <v>49</v>
      </c>
      <c r="Z331" s="360">
        <v>1</v>
      </c>
      <c r="AA331" s="360">
        <v>1</v>
      </c>
      <c r="AB331" s="360">
        <v>100</v>
      </c>
      <c r="AQ331" t="str">
        <f t="shared" si="40"/>
        <v>2010AllSexUrban19</v>
      </c>
      <c r="AR331">
        <v>2010</v>
      </c>
      <c r="AS331" t="s">
        <v>17</v>
      </c>
      <c r="AT331" t="s">
        <v>97</v>
      </c>
      <c r="AU331">
        <v>19</v>
      </c>
      <c r="AV331">
        <v>434</v>
      </c>
      <c r="AW331">
        <v>11.2105392394219</v>
      </c>
      <c r="AX331">
        <v>1.1000000000000001</v>
      </c>
      <c r="BS331" t="str">
        <f t="shared" si="42"/>
        <v>MaleMaori243</v>
      </c>
      <c r="BT331" t="s">
        <v>20</v>
      </c>
      <c r="BU331" t="s">
        <v>18</v>
      </c>
      <c r="BV331">
        <v>24</v>
      </c>
      <c r="BW331">
        <v>3</v>
      </c>
      <c r="BX331">
        <v>7</v>
      </c>
      <c r="BY331">
        <v>14.092583840844799</v>
      </c>
      <c r="BZ331">
        <v>10.4</v>
      </c>
      <c r="CB331" t="str">
        <f t="shared" si="43"/>
        <v>MaleOther24Hanging, strangulation and suffocation</v>
      </c>
      <c r="CC331" t="s">
        <v>20</v>
      </c>
      <c r="CD331" t="s">
        <v>45</v>
      </c>
      <c r="CE331" t="s">
        <v>43</v>
      </c>
      <c r="CF331">
        <v>24</v>
      </c>
      <c r="CG331">
        <v>234</v>
      </c>
      <c r="CH331">
        <v>505</v>
      </c>
      <c r="CI331">
        <v>46.3</v>
      </c>
    </row>
    <row r="332" spans="1:87" x14ac:dyDescent="0.2">
      <c r="A332" t="str">
        <f t="shared" si="38"/>
        <v>1999AllSexNon-Maori24</v>
      </c>
      <c r="B332">
        <v>1999</v>
      </c>
      <c r="C332" t="s">
        <v>17</v>
      </c>
      <c r="D332" t="s">
        <v>19</v>
      </c>
      <c r="E332">
        <v>24</v>
      </c>
      <c r="F332">
        <v>103</v>
      </c>
      <c r="G332">
        <v>13.904075378987301</v>
      </c>
      <c r="H332">
        <v>2.7</v>
      </c>
      <c r="J332" s="358" t="str">
        <f t="shared" si="39"/>
        <v>2006FemaleMaori194</v>
      </c>
      <c r="K332" s="359">
        <v>2006</v>
      </c>
      <c r="L332" t="s">
        <v>8</v>
      </c>
      <c r="M332" t="s">
        <v>18</v>
      </c>
      <c r="N332">
        <v>19</v>
      </c>
      <c r="O332">
        <v>4</v>
      </c>
      <c r="P332">
        <v>6</v>
      </c>
      <c r="Q332">
        <v>7.6553750931023199</v>
      </c>
      <c r="R332">
        <v>6.1</v>
      </c>
      <c r="T332" s="358" t="str">
        <f t="shared" si="41"/>
        <v>1997FemaleNon-Maori21Firearms and explosives</v>
      </c>
      <c r="U332" s="360">
        <v>1997</v>
      </c>
      <c r="V332" s="360" t="s">
        <v>8</v>
      </c>
      <c r="W332" s="360" t="s">
        <v>19</v>
      </c>
      <c r="X332" s="360">
        <v>21</v>
      </c>
      <c r="Y332" s="360" t="s">
        <v>42</v>
      </c>
      <c r="Z332" s="360">
        <v>1</v>
      </c>
      <c r="AA332" s="360">
        <v>2</v>
      </c>
      <c r="AB332" s="360">
        <v>50</v>
      </c>
      <c r="AQ332" t="str">
        <f t="shared" si="40"/>
        <v>2011AllSexRural19</v>
      </c>
      <c r="AR332">
        <v>2011</v>
      </c>
      <c r="AS332" t="s">
        <v>17</v>
      </c>
      <c r="AT332" t="s">
        <v>96</v>
      </c>
      <c r="AU332">
        <v>19</v>
      </c>
      <c r="AV332">
        <v>80</v>
      </c>
      <c r="AW332">
        <v>13.0281155961354</v>
      </c>
      <c r="AX332">
        <v>2.9</v>
      </c>
      <c r="BS332" t="str">
        <f t="shared" si="42"/>
        <v>MaleMaori244</v>
      </c>
      <c r="BT332" t="s">
        <v>20</v>
      </c>
      <c r="BU332" t="s">
        <v>18</v>
      </c>
      <c r="BV332">
        <v>24</v>
      </c>
      <c r="BW332">
        <v>4</v>
      </c>
      <c r="BX332">
        <v>10</v>
      </c>
      <c r="BY332">
        <v>14.8017460981892</v>
      </c>
      <c r="BZ332">
        <v>9.1999999999999993</v>
      </c>
      <c r="CB332" t="str">
        <f t="shared" si="43"/>
        <v>MaleOther25Hanging, strangulation and suffocation</v>
      </c>
      <c r="CC332" t="s">
        <v>20</v>
      </c>
      <c r="CD332" t="s">
        <v>45</v>
      </c>
      <c r="CE332" t="s">
        <v>43</v>
      </c>
      <c r="CF332">
        <v>25</v>
      </c>
      <c r="CG332">
        <v>75</v>
      </c>
      <c r="CH332">
        <v>210</v>
      </c>
      <c r="CI332">
        <v>35.700000000000003</v>
      </c>
    </row>
    <row r="333" spans="1:87" x14ac:dyDescent="0.2">
      <c r="A333" t="str">
        <f t="shared" si="38"/>
        <v>1999AllSexNon-Maori25</v>
      </c>
      <c r="B333">
        <v>1999</v>
      </c>
      <c r="C333" t="s">
        <v>17</v>
      </c>
      <c r="D333" t="s">
        <v>19</v>
      </c>
      <c r="E333">
        <v>25</v>
      </c>
      <c r="F333">
        <v>52</v>
      </c>
      <c r="G333">
        <v>12.099776619508599</v>
      </c>
      <c r="H333">
        <v>3.3</v>
      </c>
      <c r="J333" s="358" t="str">
        <f t="shared" si="39"/>
        <v>2006FemaleMaori195</v>
      </c>
      <c r="K333" s="359">
        <v>2006</v>
      </c>
      <c r="L333" t="s">
        <v>8</v>
      </c>
      <c r="M333" t="s">
        <v>18</v>
      </c>
      <c r="N333">
        <v>19</v>
      </c>
      <c r="O333">
        <v>5</v>
      </c>
      <c r="P333">
        <v>16</v>
      </c>
      <c r="Q333">
        <v>12.0496670673592</v>
      </c>
      <c r="R333">
        <v>5.9</v>
      </c>
      <c r="T333" s="358" t="str">
        <f t="shared" si="41"/>
        <v>1997FemaleNon-Maori22Firearms and explosives</v>
      </c>
      <c r="U333" s="360">
        <v>1997</v>
      </c>
      <c r="V333" s="360" t="s">
        <v>8</v>
      </c>
      <c r="W333" s="360" t="s">
        <v>19</v>
      </c>
      <c r="X333" s="360">
        <v>22</v>
      </c>
      <c r="Y333" s="360" t="s">
        <v>42</v>
      </c>
      <c r="Z333" s="360">
        <v>1</v>
      </c>
      <c r="AA333" s="360">
        <v>20</v>
      </c>
      <c r="AB333" s="360">
        <v>5</v>
      </c>
      <c r="AQ333" t="str">
        <f t="shared" si="40"/>
        <v>2011AllSexUrban19</v>
      </c>
      <c r="AR333">
        <v>2011</v>
      </c>
      <c r="AS333" t="s">
        <v>17</v>
      </c>
      <c r="AT333" t="s">
        <v>97</v>
      </c>
      <c r="AU333">
        <v>19</v>
      </c>
      <c r="AV333">
        <v>413</v>
      </c>
      <c r="AW333">
        <v>10.795139141412101</v>
      </c>
      <c r="AX333">
        <v>1</v>
      </c>
      <c r="BS333" t="str">
        <f t="shared" si="42"/>
        <v>MaleMaori245</v>
      </c>
      <c r="BT333" t="s">
        <v>20</v>
      </c>
      <c r="BU333" t="s">
        <v>18</v>
      </c>
      <c r="BV333">
        <v>24</v>
      </c>
      <c r="BW333">
        <v>5</v>
      </c>
      <c r="BX333">
        <v>23</v>
      </c>
      <c r="BY333">
        <v>20.502266024074999</v>
      </c>
      <c r="BZ333">
        <v>8.4</v>
      </c>
      <c r="CB333" t="str">
        <f t="shared" si="43"/>
        <v>MaleOther22Jumping from a high place</v>
      </c>
      <c r="CC333" t="s">
        <v>20</v>
      </c>
      <c r="CD333" t="s">
        <v>45</v>
      </c>
      <c r="CE333" t="s">
        <v>44</v>
      </c>
      <c r="CF333">
        <v>22</v>
      </c>
      <c r="CG333">
        <v>5</v>
      </c>
      <c r="CH333">
        <v>213</v>
      </c>
      <c r="CI333">
        <v>2.2999999999999998</v>
      </c>
    </row>
    <row r="334" spans="1:87" x14ac:dyDescent="0.2">
      <c r="A334" t="str">
        <f t="shared" si="38"/>
        <v>1999FemaleAllEth21</v>
      </c>
      <c r="B334">
        <v>1999</v>
      </c>
      <c r="C334" t="s">
        <v>8</v>
      </c>
      <c r="D334" t="s">
        <v>27</v>
      </c>
      <c r="E334">
        <v>21</v>
      </c>
      <c r="F334">
        <v>3</v>
      </c>
      <c r="J334" s="358" t="str">
        <f t="shared" si="39"/>
        <v>2007FemaleMaori191</v>
      </c>
      <c r="K334" s="359">
        <v>2007</v>
      </c>
      <c r="L334" t="s">
        <v>8</v>
      </c>
      <c r="M334" t="s">
        <v>18</v>
      </c>
      <c r="N334">
        <v>19</v>
      </c>
      <c r="O334">
        <v>1</v>
      </c>
      <c r="P334">
        <v>0</v>
      </c>
      <c r="Q334">
        <v>0</v>
      </c>
      <c r="T334" s="358" t="str">
        <f t="shared" si="41"/>
        <v>1997FemaleNon-Maori23Firearms and explosives</v>
      </c>
      <c r="U334" s="360">
        <v>1997</v>
      </c>
      <c r="V334" s="360" t="s">
        <v>8</v>
      </c>
      <c r="W334" s="360" t="s">
        <v>19</v>
      </c>
      <c r="X334" s="360">
        <v>23</v>
      </c>
      <c r="Y334" s="360" t="s">
        <v>42</v>
      </c>
      <c r="Z334" s="360">
        <v>1</v>
      </c>
      <c r="AA334" s="360">
        <v>40</v>
      </c>
      <c r="AB334" s="360">
        <v>2.5</v>
      </c>
      <c r="AQ334" t="str">
        <f t="shared" si="40"/>
        <v>2012AllSexRural19</v>
      </c>
      <c r="AR334">
        <v>2012</v>
      </c>
      <c r="AS334" t="s">
        <v>17</v>
      </c>
      <c r="AT334" t="s">
        <v>96</v>
      </c>
      <c r="AU334">
        <v>19</v>
      </c>
      <c r="AV334">
        <v>85</v>
      </c>
      <c r="AW334">
        <v>13.8861187454839</v>
      </c>
      <c r="AX334">
        <v>3</v>
      </c>
      <c r="BS334" t="str">
        <f t="shared" si="42"/>
        <v>MaleOther241</v>
      </c>
      <c r="BT334" t="s">
        <v>20</v>
      </c>
      <c r="BU334" t="s">
        <v>45</v>
      </c>
      <c r="BV334">
        <v>24</v>
      </c>
      <c r="BW334">
        <v>1</v>
      </c>
      <c r="BX334">
        <v>90</v>
      </c>
      <c r="BY334">
        <v>15.3618986715601</v>
      </c>
      <c r="BZ334">
        <v>3.2</v>
      </c>
      <c r="CB334" t="str">
        <f t="shared" si="43"/>
        <v>MaleOther23Jumping from a high place</v>
      </c>
      <c r="CC334" t="s">
        <v>20</v>
      </c>
      <c r="CD334" t="s">
        <v>45</v>
      </c>
      <c r="CE334" t="s">
        <v>44</v>
      </c>
      <c r="CF334">
        <v>23</v>
      </c>
      <c r="CG334">
        <v>15</v>
      </c>
      <c r="CH334">
        <v>431</v>
      </c>
      <c r="CI334">
        <v>3.5</v>
      </c>
    </row>
    <row r="335" spans="1:87" x14ac:dyDescent="0.2">
      <c r="A335" t="str">
        <f t="shared" si="38"/>
        <v>1999FemaleAllEth22</v>
      </c>
      <c r="B335">
        <v>1999</v>
      </c>
      <c r="C335" t="s">
        <v>8</v>
      </c>
      <c r="D335" t="s">
        <v>27</v>
      </c>
      <c r="E335">
        <v>22</v>
      </c>
      <c r="F335">
        <v>37</v>
      </c>
      <c r="G335">
        <v>14.0861156584307</v>
      </c>
      <c r="H335">
        <v>4.5</v>
      </c>
      <c r="J335" s="358" t="str">
        <f t="shared" si="39"/>
        <v>2007FemaleMaori192</v>
      </c>
      <c r="K335" s="359">
        <v>2007</v>
      </c>
      <c r="L335" t="s">
        <v>8</v>
      </c>
      <c r="M335" t="s">
        <v>18</v>
      </c>
      <c r="N335">
        <v>19</v>
      </c>
      <c r="O335">
        <v>2</v>
      </c>
      <c r="P335">
        <v>2</v>
      </c>
      <c r="Q335">
        <v>5.1161249398020896</v>
      </c>
      <c r="R335">
        <v>7.1</v>
      </c>
      <c r="T335" s="358" t="str">
        <f t="shared" si="41"/>
        <v>1997FemaleNon-Maori21Hanging, strangulation and suffocation</v>
      </c>
      <c r="U335" s="360">
        <v>1997</v>
      </c>
      <c r="V335" s="360" t="s">
        <v>8</v>
      </c>
      <c r="W335" s="360" t="s">
        <v>19</v>
      </c>
      <c r="X335" s="360">
        <v>21</v>
      </c>
      <c r="Y335" s="360" t="s">
        <v>43</v>
      </c>
      <c r="Z335" s="360">
        <v>1</v>
      </c>
      <c r="AA335" s="360">
        <v>2</v>
      </c>
      <c r="AB335" s="360">
        <v>50</v>
      </c>
      <c r="AQ335" t="str">
        <f t="shared" si="40"/>
        <v>2012AllSexUrban19</v>
      </c>
      <c r="AR335">
        <v>2012</v>
      </c>
      <c r="AS335" t="s">
        <v>17</v>
      </c>
      <c r="AT335" t="s">
        <v>97</v>
      </c>
      <c r="AU335">
        <v>19</v>
      </c>
      <c r="AV335">
        <v>462</v>
      </c>
      <c r="AW335">
        <v>12.011479006506899</v>
      </c>
      <c r="AX335">
        <v>1.1000000000000001</v>
      </c>
      <c r="BS335" t="str">
        <f t="shared" si="42"/>
        <v>MaleOther242</v>
      </c>
      <c r="BT335" t="s">
        <v>20</v>
      </c>
      <c r="BU335" t="s">
        <v>45</v>
      </c>
      <c r="BV335">
        <v>24</v>
      </c>
      <c r="BW335">
        <v>2</v>
      </c>
      <c r="BX335">
        <v>89</v>
      </c>
      <c r="BY335">
        <v>18.0662196798366</v>
      </c>
      <c r="BZ335">
        <v>3.8</v>
      </c>
      <c r="CB335" t="str">
        <f t="shared" si="43"/>
        <v>MaleOther24Jumping from a high place</v>
      </c>
      <c r="CC335" t="s">
        <v>20</v>
      </c>
      <c r="CD335" t="s">
        <v>45</v>
      </c>
      <c r="CE335" t="s">
        <v>44</v>
      </c>
      <c r="CF335">
        <v>24</v>
      </c>
      <c r="CG335">
        <v>14</v>
      </c>
      <c r="CH335">
        <v>505</v>
      </c>
      <c r="CI335">
        <v>2.8</v>
      </c>
    </row>
    <row r="336" spans="1:87" x14ac:dyDescent="0.2">
      <c r="A336" t="str">
        <f t="shared" si="38"/>
        <v>1999FemaleAllEth23</v>
      </c>
      <c r="B336">
        <v>1999</v>
      </c>
      <c r="C336" t="s">
        <v>8</v>
      </c>
      <c r="D336" t="s">
        <v>27</v>
      </c>
      <c r="E336">
        <v>23</v>
      </c>
      <c r="F336">
        <v>55</v>
      </c>
      <c r="G336">
        <v>9.1593391953104195</v>
      </c>
      <c r="H336">
        <v>2.4</v>
      </c>
      <c r="J336" s="358" t="str">
        <f t="shared" si="39"/>
        <v>2007FemaleMaori193</v>
      </c>
      <c r="K336" s="359">
        <v>2007</v>
      </c>
      <c r="L336" t="s">
        <v>8</v>
      </c>
      <c r="M336" t="s">
        <v>18</v>
      </c>
      <c r="N336">
        <v>19</v>
      </c>
      <c r="O336">
        <v>3</v>
      </c>
      <c r="P336">
        <v>6</v>
      </c>
      <c r="Q336">
        <v>11.7101757636367</v>
      </c>
      <c r="R336">
        <v>9.4</v>
      </c>
      <c r="T336" s="358" t="str">
        <f t="shared" si="41"/>
        <v>1997FemaleNon-Maori22Hanging, strangulation and suffocation</v>
      </c>
      <c r="U336" s="360">
        <v>1997</v>
      </c>
      <c r="V336" s="360" t="s">
        <v>8</v>
      </c>
      <c r="W336" s="360" t="s">
        <v>19</v>
      </c>
      <c r="X336" s="360">
        <v>22</v>
      </c>
      <c r="Y336" s="360" t="s">
        <v>43</v>
      </c>
      <c r="Z336" s="360">
        <v>17</v>
      </c>
      <c r="AA336" s="360">
        <v>20</v>
      </c>
      <c r="AB336" s="360">
        <v>85</v>
      </c>
      <c r="AQ336" t="str">
        <f t="shared" si="40"/>
        <v>2013AllSexRural19</v>
      </c>
      <c r="AR336">
        <v>2013</v>
      </c>
      <c r="AS336" t="s">
        <v>17</v>
      </c>
      <c r="AT336" t="s">
        <v>96</v>
      </c>
      <c r="AU336">
        <v>19</v>
      </c>
      <c r="AV336">
        <v>79</v>
      </c>
      <c r="AW336">
        <v>12.778557565856</v>
      </c>
      <c r="AX336">
        <v>2.8</v>
      </c>
      <c r="BS336" t="str">
        <f t="shared" si="42"/>
        <v>MaleOther243</v>
      </c>
      <c r="BT336" t="s">
        <v>20</v>
      </c>
      <c r="BU336" t="s">
        <v>45</v>
      </c>
      <c r="BV336">
        <v>24</v>
      </c>
      <c r="BW336">
        <v>3</v>
      </c>
      <c r="BX336">
        <v>109</v>
      </c>
      <c r="BY336">
        <v>25.7643123416949</v>
      </c>
      <c r="BZ336">
        <v>4.8</v>
      </c>
      <c r="CB336" t="str">
        <f t="shared" si="43"/>
        <v>MaleOther25Jumping from a high place</v>
      </c>
      <c r="CC336" t="s">
        <v>20</v>
      </c>
      <c r="CD336" t="s">
        <v>45</v>
      </c>
      <c r="CE336" t="s">
        <v>44</v>
      </c>
      <c r="CF336">
        <v>25</v>
      </c>
      <c r="CG336">
        <v>4</v>
      </c>
      <c r="CH336">
        <v>210</v>
      </c>
      <c r="CI336">
        <v>1.9</v>
      </c>
    </row>
    <row r="337" spans="1:87" x14ac:dyDescent="0.2">
      <c r="A337" t="str">
        <f t="shared" si="38"/>
        <v>1999FemaleAllEth24</v>
      </c>
      <c r="B337">
        <v>1999</v>
      </c>
      <c r="C337" t="s">
        <v>8</v>
      </c>
      <c r="D337" t="s">
        <v>27</v>
      </c>
      <c r="E337">
        <v>24</v>
      </c>
      <c r="F337">
        <v>21</v>
      </c>
      <c r="G337">
        <v>5.1403813673414396</v>
      </c>
      <c r="H337">
        <v>2.2000000000000002</v>
      </c>
      <c r="J337" s="358" t="str">
        <f t="shared" si="39"/>
        <v>2007FemaleMaori194</v>
      </c>
      <c r="K337" s="359">
        <v>2007</v>
      </c>
      <c r="L337" t="s">
        <v>8</v>
      </c>
      <c r="M337" t="s">
        <v>18</v>
      </c>
      <c r="N337">
        <v>19</v>
      </c>
      <c r="O337">
        <v>4</v>
      </c>
      <c r="P337">
        <v>4</v>
      </c>
      <c r="Q337">
        <v>5.9718588338880698</v>
      </c>
      <c r="R337">
        <v>5.9</v>
      </c>
      <c r="T337" s="358" t="str">
        <f t="shared" si="41"/>
        <v>1997FemaleNon-Maori23Hanging, strangulation and suffocation</v>
      </c>
      <c r="U337" s="360">
        <v>1997</v>
      </c>
      <c r="V337" s="360" t="s">
        <v>8</v>
      </c>
      <c r="W337" s="360" t="s">
        <v>19</v>
      </c>
      <c r="X337" s="360">
        <v>23</v>
      </c>
      <c r="Y337" s="360" t="s">
        <v>43</v>
      </c>
      <c r="Z337" s="360">
        <v>5</v>
      </c>
      <c r="AA337" s="360">
        <v>40</v>
      </c>
      <c r="AB337" s="360">
        <v>12.5</v>
      </c>
      <c r="AQ337" t="str">
        <f t="shared" si="40"/>
        <v>2013AllSexUrban19</v>
      </c>
      <c r="AR337">
        <v>2013</v>
      </c>
      <c r="AS337" t="s">
        <v>17</v>
      </c>
      <c r="AT337" t="s">
        <v>97</v>
      </c>
      <c r="AU337">
        <v>19</v>
      </c>
      <c r="AV337">
        <v>434</v>
      </c>
      <c r="AW337">
        <v>10.8218115430035</v>
      </c>
      <c r="AX337">
        <v>1</v>
      </c>
      <c r="BS337" t="str">
        <f t="shared" si="42"/>
        <v>MaleOther244</v>
      </c>
      <c r="BT337" t="s">
        <v>20</v>
      </c>
      <c r="BU337" t="s">
        <v>45</v>
      </c>
      <c r="BV337">
        <v>24</v>
      </c>
      <c r="BW337">
        <v>4</v>
      </c>
      <c r="BX337">
        <v>111</v>
      </c>
      <c r="BY337">
        <v>31.829472252423098</v>
      </c>
      <c r="BZ337">
        <v>5.9</v>
      </c>
      <c r="CB337" t="str">
        <f t="shared" si="43"/>
        <v>MaleOther22Other</v>
      </c>
      <c r="CC337" t="s">
        <v>20</v>
      </c>
      <c r="CD337" t="s">
        <v>45</v>
      </c>
      <c r="CE337" t="s">
        <v>45</v>
      </c>
      <c r="CF337">
        <v>22</v>
      </c>
      <c r="CG337">
        <v>7</v>
      </c>
      <c r="CH337">
        <v>213</v>
      </c>
      <c r="CI337">
        <v>3.3</v>
      </c>
    </row>
    <row r="338" spans="1:87" x14ac:dyDescent="0.2">
      <c r="A338" t="str">
        <f t="shared" si="38"/>
        <v>1999FemaleAllEth25</v>
      </c>
      <c r="B338">
        <v>1999</v>
      </c>
      <c r="C338" t="s">
        <v>8</v>
      </c>
      <c r="D338" t="s">
        <v>27</v>
      </c>
      <c r="E338">
        <v>25</v>
      </c>
      <c r="F338">
        <v>16</v>
      </c>
      <c r="G338">
        <v>6.3303659742828904</v>
      </c>
      <c r="H338">
        <v>3.1</v>
      </c>
      <c r="J338" s="358" t="str">
        <f t="shared" si="39"/>
        <v>2007FemaleMaori195</v>
      </c>
      <c r="K338" s="359">
        <v>2007</v>
      </c>
      <c r="L338" t="s">
        <v>8</v>
      </c>
      <c r="M338" t="s">
        <v>18</v>
      </c>
      <c r="N338">
        <v>19</v>
      </c>
      <c r="O338">
        <v>5</v>
      </c>
      <c r="P338">
        <v>11</v>
      </c>
      <c r="Q338">
        <v>8.0546849191477197</v>
      </c>
      <c r="R338">
        <v>4.8</v>
      </c>
      <c r="T338" s="358" t="str">
        <f t="shared" si="41"/>
        <v>1997FemaleNon-Maori24Hanging, strangulation and suffocation</v>
      </c>
      <c r="U338" s="360">
        <v>1997</v>
      </c>
      <c r="V338" s="360" t="s">
        <v>8</v>
      </c>
      <c r="W338" s="360" t="s">
        <v>19</v>
      </c>
      <c r="X338" s="360">
        <v>24</v>
      </c>
      <c r="Y338" s="360" t="s">
        <v>43</v>
      </c>
      <c r="Z338" s="360">
        <v>9</v>
      </c>
      <c r="AA338" s="360">
        <v>26</v>
      </c>
      <c r="AB338" s="360">
        <v>34.6</v>
      </c>
      <c r="AQ338" t="str">
        <f t="shared" si="40"/>
        <v>2014AllSexRural19</v>
      </c>
      <c r="AR338">
        <v>2014</v>
      </c>
      <c r="AS338" t="s">
        <v>17</v>
      </c>
      <c r="AT338" t="s">
        <v>96</v>
      </c>
      <c r="AU338">
        <v>19</v>
      </c>
      <c r="AV338">
        <v>70</v>
      </c>
      <c r="AW338">
        <v>10.6709764977776</v>
      </c>
      <c r="AX338">
        <v>2.5</v>
      </c>
      <c r="BS338" t="str">
        <f t="shared" si="42"/>
        <v>MaleOther245</v>
      </c>
      <c r="BT338" t="s">
        <v>20</v>
      </c>
      <c r="BU338" t="s">
        <v>45</v>
      </c>
      <c r="BV338">
        <v>24</v>
      </c>
      <c r="BW338">
        <v>5</v>
      </c>
      <c r="BX338">
        <v>80</v>
      </c>
      <c r="BY338">
        <v>34.549133819359803</v>
      </c>
      <c r="BZ338">
        <v>7.6</v>
      </c>
      <c r="CB338" t="str">
        <f t="shared" si="43"/>
        <v>MaleOther23Other</v>
      </c>
      <c r="CC338" t="s">
        <v>20</v>
      </c>
      <c r="CD338" t="s">
        <v>45</v>
      </c>
      <c r="CE338" t="s">
        <v>45</v>
      </c>
      <c r="CF338">
        <v>23</v>
      </c>
      <c r="CG338">
        <v>13</v>
      </c>
      <c r="CH338">
        <v>431</v>
      </c>
      <c r="CI338">
        <v>3</v>
      </c>
    </row>
    <row r="339" spans="1:87" x14ac:dyDescent="0.2">
      <c r="A339" t="str">
        <f t="shared" si="38"/>
        <v>1999FemaleMaori21</v>
      </c>
      <c r="B339">
        <v>1999</v>
      </c>
      <c r="C339" t="s">
        <v>8</v>
      </c>
      <c r="D339" t="s">
        <v>18</v>
      </c>
      <c r="E339">
        <v>21</v>
      </c>
      <c r="F339">
        <v>3</v>
      </c>
      <c r="J339" s="358" t="str">
        <f t="shared" si="39"/>
        <v>2008FemaleMaori191</v>
      </c>
      <c r="K339" s="359">
        <v>2008</v>
      </c>
      <c r="L339" t="s">
        <v>8</v>
      </c>
      <c r="M339" t="s">
        <v>18</v>
      </c>
      <c r="N339">
        <v>19</v>
      </c>
      <c r="O339">
        <v>1</v>
      </c>
      <c r="P339">
        <v>1</v>
      </c>
      <c r="Q339">
        <v>3.3942639729847901</v>
      </c>
      <c r="R339">
        <v>6.7</v>
      </c>
      <c r="T339" s="358" t="str">
        <f t="shared" si="41"/>
        <v>1997FemaleNon-Maori25Hanging, strangulation and suffocation</v>
      </c>
      <c r="U339" s="360">
        <v>1997</v>
      </c>
      <c r="V339" s="360" t="s">
        <v>8</v>
      </c>
      <c r="W339" s="360" t="s">
        <v>19</v>
      </c>
      <c r="X339" s="360">
        <v>25</v>
      </c>
      <c r="Y339" s="360" t="s">
        <v>43</v>
      </c>
      <c r="Z339" s="360">
        <v>1</v>
      </c>
      <c r="AA339" s="360">
        <v>7</v>
      </c>
      <c r="AB339" s="360">
        <v>14.3</v>
      </c>
      <c r="AQ339" t="str">
        <f t="shared" si="40"/>
        <v>2014AllSexUrban19</v>
      </c>
      <c r="AR339">
        <v>2014</v>
      </c>
      <c r="AS339" t="s">
        <v>17</v>
      </c>
      <c r="AT339" t="s">
        <v>97</v>
      </c>
      <c r="AU339">
        <v>19</v>
      </c>
      <c r="AV339">
        <v>433</v>
      </c>
      <c r="AW339">
        <v>10.661562054914199</v>
      </c>
      <c r="AX339">
        <v>1</v>
      </c>
      <c r="BS339" t="str">
        <f t="shared" si="42"/>
        <v>MalePacific241</v>
      </c>
      <c r="BT339" t="s">
        <v>20</v>
      </c>
      <c r="BU339" t="s">
        <v>79</v>
      </c>
      <c r="BV339">
        <v>24</v>
      </c>
      <c r="BW339">
        <v>1</v>
      </c>
      <c r="BX339">
        <v>1</v>
      </c>
      <c r="BY339">
        <v>12.6865686832306</v>
      </c>
      <c r="BZ339">
        <v>24.9</v>
      </c>
      <c r="CB339" t="str">
        <f t="shared" si="43"/>
        <v>MaleOther24Other</v>
      </c>
      <c r="CC339" t="s">
        <v>20</v>
      </c>
      <c r="CD339" t="s">
        <v>45</v>
      </c>
      <c r="CE339" t="s">
        <v>45</v>
      </c>
      <c r="CF339">
        <v>24</v>
      </c>
      <c r="CG339">
        <v>23</v>
      </c>
      <c r="CH339">
        <v>505</v>
      </c>
      <c r="CI339">
        <v>4.5999999999999996</v>
      </c>
    </row>
    <row r="340" spans="1:87" x14ac:dyDescent="0.2">
      <c r="A340" t="str">
        <f t="shared" si="38"/>
        <v>1999FemaleMaori22</v>
      </c>
      <c r="B340">
        <v>1999</v>
      </c>
      <c r="C340" t="s">
        <v>8</v>
      </c>
      <c r="D340" t="s">
        <v>18</v>
      </c>
      <c r="E340">
        <v>22</v>
      </c>
      <c r="F340">
        <v>10</v>
      </c>
      <c r="G340">
        <v>19.275250578257499</v>
      </c>
      <c r="H340">
        <v>11.9</v>
      </c>
      <c r="J340" s="358" t="str">
        <f t="shared" si="39"/>
        <v>2008FemaleMaori192</v>
      </c>
      <c r="K340" s="359">
        <v>2008</v>
      </c>
      <c r="L340" t="s">
        <v>8</v>
      </c>
      <c r="M340" t="s">
        <v>18</v>
      </c>
      <c r="N340">
        <v>19</v>
      </c>
      <c r="O340">
        <v>2</v>
      </c>
      <c r="P340">
        <v>3</v>
      </c>
      <c r="Q340">
        <v>7.54812771618304</v>
      </c>
      <c r="R340">
        <v>8.5</v>
      </c>
      <c r="T340" s="358" t="str">
        <f t="shared" si="41"/>
        <v>1997FemaleNon-Maori23Jumping from a high place</v>
      </c>
      <c r="U340" s="360">
        <v>1997</v>
      </c>
      <c r="V340" s="360" t="s">
        <v>8</v>
      </c>
      <c r="W340" s="360" t="s">
        <v>19</v>
      </c>
      <c r="X340" s="360">
        <v>23</v>
      </c>
      <c r="Y340" s="360" t="s">
        <v>44</v>
      </c>
      <c r="Z340" s="360">
        <v>1</v>
      </c>
      <c r="AA340" s="360">
        <v>40</v>
      </c>
      <c r="AB340" s="360">
        <v>2.5</v>
      </c>
      <c r="AQ340" t="str">
        <f t="shared" si="40"/>
        <v>2015AllSexRural19</v>
      </c>
      <c r="AR340">
        <v>2015</v>
      </c>
      <c r="AS340" t="s">
        <v>17</v>
      </c>
      <c r="AT340" t="s">
        <v>96</v>
      </c>
      <c r="AU340">
        <v>19</v>
      </c>
      <c r="AV340">
        <v>89</v>
      </c>
      <c r="AW340">
        <v>13.3916304390118</v>
      </c>
      <c r="AX340">
        <v>2.8</v>
      </c>
      <c r="BS340" t="str">
        <f t="shared" si="42"/>
        <v>MalePacific242</v>
      </c>
      <c r="BT340" t="s">
        <v>20</v>
      </c>
      <c r="BU340" t="s">
        <v>79</v>
      </c>
      <c r="BV340">
        <v>24</v>
      </c>
      <c r="BW340">
        <v>2</v>
      </c>
      <c r="BX340">
        <v>2</v>
      </c>
      <c r="BY340">
        <v>18.8159781572733</v>
      </c>
      <c r="BZ340">
        <v>26.1</v>
      </c>
      <c r="CB340" t="str">
        <f t="shared" si="43"/>
        <v>MaleOther25Other</v>
      </c>
      <c r="CC340" t="s">
        <v>20</v>
      </c>
      <c r="CD340" t="s">
        <v>45</v>
      </c>
      <c r="CE340" t="s">
        <v>45</v>
      </c>
      <c r="CF340">
        <v>25</v>
      </c>
      <c r="CG340">
        <v>8</v>
      </c>
      <c r="CH340">
        <v>210</v>
      </c>
      <c r="CI340">
        <v>3.8</v>
      </c>
    </row>
    <row r="341" spans="1:87" x14ac:dyDescent="0.2">
      <c r="A341" t="str">
        <f t="shared" si="38"/>
        <v>1999FemaleMaori23</v>
      </c>
      <c r="B341">
        <v>1999</v>
      </c>
      <c r="C341" t="s">
        <v>8</v>
      </c>
      <c r="D341" t="s">
        <v>18</v>
      </c>
      <c r="E341">
        <v>23</v>
      </c>
      <c r="F341">
        <v>7</v>
      </c>
      <c r="G341">
        <v>8.2382017182534995</v>
      </c>
      <c r="H341">
        <v>6.1</v>
      </c>
      <c r="J341" s="358" t="str">
        <f t="shared" si="39"/>
        <v>2008FemaleMaori193</v>
      </c>
      <c r="K341" s="359">
        <v>2008</v>
      </c>
      <c r="L341" t="s">
        <v>8</v>
      </c>
      <c r="M341" t="s">
        <v>18</v>
      </c>
      <c r="N341">
        <v>19</v>
      </c>
      <c r="O341">
        <v>3</v>
      </c>
      <c r="P341">
        <v>6</v>
      </c>
      <c r="Q341">
        <v>11.157087354221099</v>
      </c>
      <c r="R341">
        <v>8.9</v>
      </c>
      <c r="T341" s="358" t="str">
        <f t="shared" si="41"/>
        <v>1997FemaleNon-Maori22Other</v>
      </c>
      <c r="U341" s="360">
        <v>1997</v>
      </c>
      <c r="V341" s="360" t="s">
        <v>8</v>
      </c>
      <c r="W341" s="360" t="s">
        <v>19</v>
      </c>
      <c r="X341" s="360">
        <v>22</v>
      </c>
      <c r="Y341" s="360" t="s">
        <v>45</v>
      </c>
      <c r="Z341" s="360">
        <v>1</v>
      </c>
      <c r="AA341" s="360">
        <v>20</v>
      </c>
      <c r="AB341" s="360">
        <v>5</v>
      </c>
      <c r="AQ341" t="str">
        <f t="shared" si="40"/>
        <v>2015AllSexUrban19</v>
      </c>
      <c r="AR341">
        <v>2015</v>
      </c>
      <c r="AS341" t="s">
        <v>17</v>
      </c>
      <c r="AT341" t="s">
        <v>97</v>
      </c>
      <c r="AU341">
        <v>19</v>
      </c>
      <c r="AV341">
        <v>435</v>
      </c>
      <c r="AW341">
        <v>10.6722962982372</v>
      </c>
      <c r="AX341">
        <v>1</v>
      </c>
      <c r="BS341" t="str">
        <f t="shared" si="42"/>
        <v>MalePacific243</v>
      </c>
      <c r="BT341" t="s">
        <v>20</v>
      </c>
      <c r="BU341" t="s">
        <v>79</v>
      </c>
      <c r="BV341">
        <v>24</v>
      </c>
      <c r="BW341">
        <v>3</v>
      </c>
      <c r="BX341">
        <v>1</v>
      </c>
      <c r="BY341">
        <v>6.7030970765467703</v>
      </c>
      <c r="BZ341">
        <v>13.1</v>
      </c>
      <c r="CB341" t="str">
        <f t="shared" si="43"/>
        <v>MaleOther22Poisoning by gases and vapours</v>
      </c>
      <c r="CC341" t="s">
        <v>20</v>
      </c>
      <c r="CD341" t="s">
        <v>45</v>
      </c>
      <c r="CE341" t="s">
        <v>46</v>
      </c>
      <c r="CF341">
        <v>22</v>
      </c>
      <c r="CG341">
        <v>13</v>
      </c>
      <c r="CH341">
        <v>213</v>
      </c>
      <c r="CI341">
        <v>6.1</v>
      </c>
    </row>
    <row r="342" spans="1:87" x14ac:dyDescent="0.2">
      <c r="A342" t="str">
        <f t="shared" si="38"/>
        <v>1999FemaleMaori24</v>
      </c>
      <c r="B342">
        <v>1999</v>
      </c>
      <c r="C342" t="s">
        <v>8</v>
      </c>
      <c r="D342" t="s">
        <v>18</v>
      </c>
      <c r="E342">
        <v>24</v>
      </c>
      <c r="F342">
        <v>0</v>
      </c>
      <c r="G342">
        <v>0</v>
      </c>
      <c r="J342" s="358" t="str">
        <f t="shared" si="39"/>
        <v>2008FemaleMaori194</v>
      </c>
      <c r="K342" s="359">
        <v>2008</v>
      </c>
      <c r="L342" t="s">
        <v>8</v>
      </c>
      <c r="M342" t="s">
        <v>18</v>
      </c>
      <c r="N342">
        <v>19</v>
      </c>
      <c r="O342">
        <v>4</v>
      </c>
      <c r="P342">
        <v>6</v>
      </c>
      <c r="Q342">
        <v>6.8763337909106896</v>
      </c>
      <c r="R342">
        <v>5.5</v>
      </c>
      <c r="T342" s="358" t="str">
        <f t="shared" si="41"/>
        <v>1997FemaleNon-Maori23Other</v>
      </c>
      <c r="U342" s="360">
        <v>1997</v>
      </c>
      <c r="V342" s="360" t="s">
        <v>8</v>
      </c>
      <c r="W342" s="360" t="s">
        <v>19</v>
      </c>
      <c r="X342" s="360">
        <v>23</v>
      </c>
      <c r="Y342" s="360" t="s">
        <v>45</v>
      </c>
      <c r="Z342" s="360">
        <v>1</v>
      </c>
      <c r="AA342" s="360">
        <v>40</v>
      </c>
      <c r="AB342" s="360">
        <v>2.5</v>
      </c>
      <c r="AQ342" t="str">
        <f t="shared" si="40"/>
        <v>2003FemaleRural19</v>
      </c>
      <c r="AR342">
        <v>2003</v>
      </c>
      <c r="AS342" t="s">
        <v>8</v>
      </c>
      <c r="AT342" t="s">
        <v>96</v>
      </c>
      <c r="AU342">
        <v>19</v>
      </c>
      <c r="AV342">
        <v>8</v>
      </c>
      <c r="AW342">
        <v>2.8289701245187602</v>
      </c>
      <c r="AX342">
        <v>2</v>
      </c>
      <c r="BS342" t="str">
        <f t="shared" si="42"/>
        <v>MalePacific244</v>
      </c>
      <c r="BT342" t="s">
        <v>20</v>
      </c>
      <c r="BU342" t="s">
        <v>79</v>
      </c>
      <c r="BV342">
        <v>24</v>
      </c>
      <c r="BW342">
        <v>4</v>
      </c>
      <c r="BX342">
        <v>6</v>
      </c>
      <c r="BY342">
        <v>23.580294505135999</v>
      </c>
      <c r="BZ342">
        <v>18.899999999999999</v>
      </c>
      <c r="CB342" t="str">
        <f t="shared" si="43"/>
        <v>MaleOther23Poisoning by gases and vapours</v>
      </c>
      <c r="CC342" t="s">
        <v>20</v>
      </c>
      <c r="CD342" t="s">
        <v>45</v>
      </c>
      <c r="CE342" t="s">
        <v>46</v>
      </c>
      <c r="CF342">
        <v>23</v>
      </c>
      <c r="CG342">
        <v>66</v>
      </c>
      <c r="CH342">
        <v>431</v>
      </c>
      <c r="CI342">
        <v>15.3</v>
      </c>
    </row>
    <row r="343" spans="1:87" x14ac:dyDescent="0.2">
      <c r="A343" t="str">
        <f t="shared" si="38"/>
        <v>1999FemaleMaori25</v>
      </c>
      <c r="B343">
        <v>1999</v>
      </c>
      <c r="C343" t="s">
        <v>8</v>
      </c>
      <c r="D343" t="s">
        <v>18</v>
      </c>
      <c r="E343">
        <v>25</v>
      </c>
      <c r="F343">
        <v>0</v>
      </c>
      <c r="G343">
        <v>0</v>
      </c>
      <c r="J343" s="358" t="str">
        <f t="shared" si="39"/>
        <v>2008FemaleMaori195</v>
      </c>
      <c r="K343" s="359">
        <v>2008</v>
      </c>
      <c r="L343" t="s">
        <v>8</v>
      </c>
      <c r="M343" t="s">
        <v>18</v>
      </c>
      <c r="N343">
        <v>19</v>
      </c>
      <c r="O343">
        <v>5</v>
      </c>
      <c r="P343">
        <v>14</v>
      </c>
      <c r="Q343">
        <v>9.8391827766182391</v>
      </c>
      <c r="R343">
        <v>5.2</v>
      </c>
      <c r="T343" s="358" t="str">
        <f t="shared" si="41"/>
        <v>1997FemaleNon-Maori23Poisoning by gases and vapours</v>
      </c>
      <c r="U343" s="360">
        <v>1997</v>
      </c>
      <c r="V343" s="360" t="s">
        <v>8</v>
      </c>
      <c r="W343" s="360" t="s">
        <v>19</v>
      </c>
      <c r="X343" s="360">
        <v>23</v>
      </c>
      <c r="Y343" s="360" t="s">
        <v>46</v>
      </c>
      <c r="Z343" s="360">
        <v>16</v>
      </c>
      <c r="AA343" s="360">
        <v>40</v>
      </c>
      <c r="AB343" s="360">
        <v>40</v>
      </c>
      <c r="AQ343" t="str">
        <f t="shared" si="40"/>
        <v>2003FemaleUrban19</v>
      </c>
      <c r="AR343">
        <v>2003</v>
      </c>
      <c r="AS343" t="s">
        <v>8</v>
      </c>
      <c r="AT343" t="s">
        <v>97</v>
      </c>
      <c r="AU343">
        <v>19</v>
      </c>
      <c r="AV343">
        <v>112</v>
      </c>
      <c r="AW343">
        <v>5.9436682256245001</v>
      </c>
      <c r="AX343">
        <v>1.1000000000000001</v>
      </c>
      <c r="BS343" t="str">
        <f t="shared" si="42"/>
        <v>MalePacific245</v>
      </c>
      <c r="BT343" t="s">
        <v>20</v>
      </c>
      <c r="BU343" t="s">
        <v>79</v>
      </c>
      <c r="BV343">
        <v>24</v>
      </c>
      <c r="BW343">
        <v>5</v>
      </c>
      <c r="BX343">
        <v>6</v>
      </c>
      <c r="BY343">
        <v>8.9478181958538894</v>
      </c>
      <c r="BZ343">
        <v>7.2</v>
      </c>
      <c r="CB343" t="str">
        <f t="shared" si="43"/>
        <v>MaleOther24Poisoning by gases and vapours</v>
      </c>
      <c r="CC343" t="s">
        <v>20</v>
      </c>
      <c r="CD343" t="s">
        <v>45</v>
      </c>
      <c r="CE343" t="s">
        <v>46</v>
      </c>
      <c r="CF343">
        <v>24</v>
      </c>
      <c r="CG343">
        <v>71</v>
      </c>
      <c r="CH343">
        <v>505</v>
      </c>
      <c r="CI343">
        <v>14.1</v>
      </c>
    </row>
    <row r="344" spans="1:87" x14ac:dyDescent="0.2">
      <c r="A344" t="str">
        <f t="shared" si="38"/>
        <v>1999FemaleNon-Maori21</v>
      </c>
      <c r="B344">
        <v>1999</v>
      </c>
      <c r="C344" t="s">
        <v>8</v>
      </c>
      <c r="D344" t="s">
        <v>19</v>
      </c>
      <c r="E344">
        <v>21</v>
      </c>
      <c r="F344">
        <v>0</v>
      </c>
      <c r="J344" s="358" t="str">
        <f t="shared" si="39"/>
        <v>2009FemaleMaori191</v>
      </c>
      <c r="K344" s="359">
        <v>2009</v>
      </c>
      <c r="L344" t="s">
        <v>8</v>
      </c>
      <c r="M344" t="s">
        <v>18</v>
      </c>
      <c r="N344">
        <v>19</v>
      </c>
      <c r="O344">
        <v>1</v>
      </c>
      <c r="P344">
        <v>0</v>
      </c>
      <c r="Q344">
        <v>0</v>
      </c>
      <c r="T344" s="358" t="str">
        <f t="shared" si="41"/>
        <v>1997FemaleNon-Maori24Poisoning by gases and vapours</v>
      </c>
      <c r="U344" s="360">
        <v>1997</v>
      </c>
      <c r="V344" s="360" t="s">
        <v>8</v>
      </c>
      <c r="W344" s="360" t="s">
        <v>19</v>
      </c>
      <c r="X344" s="360">
        <v>24</v>
      </c>
      <c r="Y344" s="360" t="s">
        <v>46</v>
      </c>
      <c r="Z344" s="360">
        <v>4</v>
      </c>
      <c r="AA344" s="360">
        <v>26</v>
      </c>
      <c r="AB344" s="360">
        <v>15.4</v>
      </c>
      <c r="AQ344" t="str">
        <f t="shared" si="40"/>
        <v>2004FemaleRural19</v>
      </c>
      <c r="AR344">
        <v>2004</v>
      </c>
      <c r="AS344" t="s">
        <v>8</v>
      </c>
      <c r="AT344" t="s">
        <v>96</v>
      </c>
      <c r="AU344">
        <v>19</v>
      </c>
      <c r="AV344">
        <v>7</v>
      </c>
      <c r="AW344">
        <v>2.2165695417537301</v>
      </c>
      <c r="AX344">
        <v>1.6</v>
      </c>
      <c r="BS344" t="str">
        <f t="shared" si="42"/>
        <v>MaleAsian251</v>
      </c>
      <c r="BT344" t="s">
        <v>20</v>
      </c>
      <c r="BU344" t="s">
        <v>78</v>
      </c>
      <c r="BV344">
        <v>25</v>
      </c>
      <c r="BW344">
        <v>1</v>
      </c>
      <c r="BX344">
        <v>0</v>
      </c>
      <c r="BY344">
        <v>0</v>
      </c>
      <c r="CB344" t="str">
        <f t="shared" si="43"/>
        <v>MaleOther25Poisoning by gases and vapours</v>
      </c>
      <c r="CC344" t="s">
        <v>20</v>
      </c>
      <c r="CD344" t="s">
        <v>45</v>
      </c>
      <c r="CE344" t="s">
        <v>46</v>
      </c>
      <c r="CF344">
        <v>25</v>
      </c>
      <c r="CG344">
        <v>15</v>
      </c>
      <c r="CH344">
        <v>210</v>
      </c>
      <c r="CI344">
        <v>7.1</v>
      </c>
    </row>
    <row r="345" spans="1:87" x14ac:dyDescent="0.2">
      <c r="A345" t="str">
        <f t="shared" si="38"/>
        <v>1999FemaleNon-Maori22</v>
      </c>
      <c r="B345">
        <v>1999</v>
      </c>
      <c r="C345" t="s">
        <v>8</v>
      </c>
      <c r="D345" t="s">
        <v>19</v>
      </c>
      <c r="E345">
        <v>22</v>
      </c>
      <c r="F345">
        <v>27</v>
      </c>
      <c r="G345">
        <v>12.808956781631</v>
      </c>
      <c r="H345">
        <v>4.8</v>
      </c>
      <c r="J345" s="358" t="str">
        <f t="shared" si="39"/>
        <v>2009FemaleMaori192</v>
      </c>
      <c r="K345" s="359">
        <v>2009</v>
      </c>
      <c r="L345" t="s">
        <v>8</v>
      </c>
      <c r="M345" t="s">
        <v>18</v>
      </c>
      <c r="N345">
        <v>19</v>
      </c>
      <c r="O345">
        <v>2</v>
      </c>
      <c r="P345">
        <v>1</v>
      </c>
      <c r="Q345">
        <v>2.8983272289270801</v>
      </c>
      <c r="R345">
        <v>5.7</v>
      </c>
      <c r="T345" s="358" t="str">
        <f t="shared" si="41"/>
        <v>1997FemaleNon-Maori22Poisoning by solids and liquids</v>
      </c>
      <c r="U345" s="360">
        <v>1997</v>
      </c>
      <c r="V345" s="360" t="s">
        <v>8</v>
      </c>
      <c r="W345" s="360" t="s">
        <v>19</v>
      </c>
      <c r="X345" s="360">
        <v>22</v>
      </c>
      <c r="Y345" s="360" t="s">
        <v>47</v>
      </c>
      <c r="Z345" s="360">
        <v>1</v>
      </c>
      <c r="AA345" s="360">
        <v>20</v>
      </c>
      <c r="AB345" s="360">
        <v>5</v>
      </c>
      <c r="AQ345" t="str">
        <f t="shared" si="40"/>
        <v>2004FemaleUrban19</v>
      </c>
      <c r="AR345">
        <v>2004</v>
      </c>
      <c r="AS345" t="s">
        <v>8</v>
      </c>
      <c r="AT345" t="s">
        <v>97</v>
      </c>
      <c r="AU345">
        <v>19</v>
      </c>
      <c r="AV345">
        <v>100</v>
      </c>
      <c r="AW345">
        <v>5.4408233207177501</v>
      </c>
      <c r="AX345">
        <v>1.1000000000000001</v>
      </c>
      <c r="BS345" t="str">
        <f t="shared" si="42"/>
        <v>MaleAsian252</v>
      </c>
      <c r="BT345" t="s">
        <v>20</v>
      </c>
      <c r="BU345" t="s">
        <v>78</v>
      </c>
      <c r="BV345">
        <v>25</v>
      </c>
      <c r="BW345">
        <v>2</v>
      </c>
      <c r="BX345">
        <v>3</v>
      </c>
      <c r="BY345">
        <v>17.258597053695301</v>
      </c>
      <c r="BZ345">
        <v>19.5</v>
      </c>
      <c r="CB345" t="str">
        <f t="shared" si="43"/>
        <v>MaleOther21Poisoning by solids and liquids</v>
      </c>
      <c r="CC345" t="s">
        <v>20</v>
      </c>
      <c r="CD345" t="s">
        <v>45</v>
      </c>
      <c r="CE345" t="s">
        <v>47</v>
      </c>
      <c r="CF345">
        <v>21</v>
      </c>
      <c r="CG345">
        <v>1</v>
      </c>
      <c r="CH345">
        <v>5</v>
      </c>
      <c r="CI345">
        <v>20</v>
      </c>
    </row>
    <row r="346" spans="1:87" x14ac:dyDescent="0.2">
      <c r="A346" t="str">
        <f t="shared" si="38"/>
        <v>1999FemaleNon-Maori23</v>
      </c>
      <c r="B346">
        <v>1999</v>
      </c>
      <c r="C346" t="s">
        <v>8</v>
      </c>
      <c r="D346" t="s">
        <v>19</v>
      </c>
      <c r="E346">
        <v>23</v>
      </c>
      <c r="F346">
        <v>48</v>
      </c>
      <c r="G346">
        <v>9.3111675816182</v>
      </c>
      <c r="H346">
        <v>2.6</v>
      </c>
      <c r="J346" s="358" t="str">
        <f t="shared" si="39"/>
        <v>2009FemaleMaori193</v>
      </c>
      <c r="K346" s="359">
        <v>2009</v>
      </c>
      <c r="L346" t="s">
        <v>8</v>
      </c>
      <c r="M346" t="s">
        <v>18</v>
      </c>
      <c r="N346">
        <v>19</v>
      </c>
      <c r="O346">
        <v>3</v>
      </c>
      <c r="P346">
        <v>5</v>
      </c>
      <c r="Q346">
        <v>9.3396018382934098</v>
      </c>
      <c r="R346">
        <v>8.1999999999999993</v>
      </c>
      <c r="T346" s="358" t="str">
        <f t="shared" si="41"/>
        <v>1997FemaleNon-Maori23Poisoning by solids and liquids</v>
      </c>
      <c r="U346" s="360">
        <v>1997</v>
      </c>
      <c r="V346" s="360" t="s">
        <v>8</v>
      </c>
      <c r="W346" s="360" t="s">
        <v>19</v>
      </c>
      <c r="X346" s="360">
        <v>23</v>
      </c>
      <c r="Y346" s="360" t="s">
        <v>47</v>
      </c>
      <c r="Z346" s="360">
        <v>13</v>
      </c>
      <c r="AA346" s="360">
        <v>40</v>
      </c>
      <c r="AB346" s="360">
        <v>32.5</v>
      </c>
      <c r="AQ346" t="str">
        <f t="shared" si="40"/>
        <v>2005FemaleRural19</v>
      </c>
      <c r="AR346">
        <v>2005</v>
      </c>
      <c r="AS346" t="s">
        <v>8</v>
      </c>
      <c r="AT346" t="s">
        <v>96</v>
      </c>
      <c r="AU346">
        <v>19</v>
      </c>
      <c r="AV346">
        <v>16</v>
      </c>
      <c r="AW346">
        <v>6.4204108969494502</v>
      </c>
      <c r="AX346">
        <v>3.1</v>
      </c>
      <c r="BS346" t="str">
        <f t="shared" si="42"/>
        <v>MaleAsian253</v>
      </c>
      <c r="BT346" t="s">
        <v>20</v>
      </c>
      <c r="BU346" t="s">
        <v>78</v>
      </c>
      <c r="BV346">
        <v>25</v>
      </c>
      <c r="BW346">
        <v>3</v>
      </c>
      <c r="BX346">
        <v>1</v>
      </c>
      <c r="BY346">
        <v>6.1406032772328603</v>
      </c>
      <c r="BZ346">
        <v>12</v>
      </c>
      <c r="CB346" t="str">
        <f t="shared" si="43"/>
        <v>MaleOther22Poisoning by solids and liquids</v>
      </c>
      <c r="CC346" t="s">
        <v>20</v>
      </c>
      <c r="CD346" t="s">
        <v>45</v>
      </c>
      <c r="CE346" t="s">
        <v>47</v>
      </c>
      <c r="CF346">
        <v>22</v>
      </c>
      <c r="CG346">
        <v>8</v>
      </c>
      <c r="CH346">
        <v>213</v>
      </c>
      <c r="CI346">
        <v>3.8</v>
      </c>
    </row>
    <row r="347" spans="1:87" x14ac:dyDescent="0.2">
      <c r="A347" t="str">
        <f t="shared" si="38"/>
        <v>1999FemaleNon-Maori24</v>
      </c>
      <c r="B347">
        <v>1999</v>
      </c>
      <c r="C347" t="s">
        <v>8</v>
      </c>
      <c r="D347" t="s">
        <v>19</v>
      </c>
      <c r="E347">
        <v>24</v>
      </c>
      <c r="F347">
        <v>21</v>
      </c>
      <c r="G347">
        <v>5.6445543489947303</v>
      </c>
      <c r="H347">
        <v>2.4</v>
      </c>
      <c r="J347" s="358" t="str">
        <f t="shared" si="39"/>
        <v>2009FemaleMaori194</v>
      </c>
      <c r="K347" s="359">
        <v>2009</v>
      </c>
      <c r="L347" t="s">
        <v>8</v>
      </c>
      <c r="M347" t="s">
        <v>18</v>
      </c>
      <c r="N347">
        <v>19</v>
      </c>
      <c r="O347">
        <v>4</v>
      </c>
      <c r="P347">
        <v>8</v>
      </c>
      <c r="Q347">
        <v>9.7773731081765796</v>
      </c>
      <c r="R347">
        <v>6.8</v>
      </c>
      <c r="T347" s="358" t="str">
        <f t="shared" si="41"/>
        <v>1997FemaleNon-Maori24Poisoning by solids and liquids</v>
      </c>
      <c r="U347" s="360">
        <v>1997</v>
      </c>
      <c r="V347" s="360" t="s">
        <v>8</v>
      </c>
      <c r="W347" s="360" t="s">
        <v>19</v>
      </c>
      <c r="X347" s="360">
        <v>24</v>
      </c>
      <c r="Y347" s="360" t="s">
        <v>47</v>
      </c>
      <c r="Z347" s="360">
        <v>10</v>
      </c>
      <c r="AA347" s="360">
        <v>26</v>
      </c>
      <c r="AB347" s="360">
        <v>38.5</v>
      </c>
      <c r="AQ347" t="str">
        <f t="shared" si="40"/>
        <v>2005FemaleUrban19</v>
      </c>
      <c r="AR347">
        <v>2005</v>
      </c>
      <c r="AS347" t="s">
        <v>8</v>
      </c>
      <c r="AT347" t="s">
        <v>97</v>
      </c>
      <c r="AU347">
        <v>19</v>
      </c>
      <c r="AV347">
        <v>112</v>
      </c>
      <c r="AW347">
        <v>5.7641213993145604</v>
      </c>
      <c r="AX347">
        <v>1.1000000000000001</v>
      </c>
      <c r="BS347" t="str">
        <f t="shared" si="42"/>
        <v>MaleAsian254</v>
      </c>
      <c r="BT347" t="s">
        <v>20</v>
      </c>
      <c r="BU347" t="s">
        <v>78</v>
      </c>
      <c r="BV347">
        <v>25</v>
      </c>
      <c r="BW347">
        <v>4</v>
      </c>
      <c r="BX347">
        <v>2</v>
      </c>
      <c r="BY347">
        <v>13.6364050604294</v>
      </c>
      <c r="BZ347">
        <v>18.899999999999999</v>
      </c>
      <c r="CB347" t="str">
        <f t="shared" si="43"/>
        <v>MaleOther23Poisoning by solids and liquids</v>
      </c>
      <c r="CC347" t="s">
        <v>20</v>
      </c>
      <c r="CD347" t="s">
        <v>45</v>
      </c>
      <c r="CE347" t="s">
        <v>47</v>
      </c>
      <c r="CF347">
        <v>23</v>
      </c>
      <c r="CG347">
        <v>32</v>
      </c>
      <c r="CH347">
        <v>431</v>
      </c>
      <c r="CI347">
        <v>7.4</v>
      </c>
    </row>
    <row r="348" spans="1:87" x14ac:dyDescent="0.2">
      <c r="A348" t="str">
        <f t="shared" si="38"/>
        <v>1999FemaleNon-Maori25</v>
      </c>
      <c r="B348">
        <v>1999</v>
      </c>
      <c r="C348" t="s">
        <v>8</v>
      </c>
      <c r="D348" t="s">
        <v>19</v>
      </c>
      <c r="E348">
        <v>25</v>
      </c>
      <c r="F348">
        <v>16</v>
      </c>
      <c r="G348">
        <v>6.5862594162927603</v>
      </c>
      <c r="H348">
        <v>3.2</v>
      </c>
      <c r="J348" s="358" t="str">
        <f t="shared" si="39"/>
        <v>2009FemaleMaori195</v>
      </c>
      <c r="K348" s="359">
        <v>2009</v>
      </c>
      <c r="L348" t="s">
        <v>8</v>
      </c>
      <c r="M348" t="s">
        <v>18</v>
      </c>
      <c r="N348">
        <v>19</v>
      </c>
      <c r="O348">
        <v>5</v>
      </c>
      <c r="P348">
        <v>11</v>
      </c>
      <c r="Q348">
        <v>7.6954570207172104</v>
      </c>
      <c r="R348">
        <v>4.5</v>
      </c>
      <c r="T348" s="358" t="str">
        <f t="shared" si="41"/>
        <v>1997FemaleNon-Maori25Poisoning by solids and liquids</v>
      </c>
      <c r="U348" s="360">
        <v>1997</v>
      </c>
      <c r="V348" s="360" t="s">
        <v>8</v>
      </c>
      <c r="W348" s="360" t="s">
        <v>19</v>
      </c>
      <c r="X348" s="360">
        <v>25</v>
      </c>
      <c r="Y348" s="360" t="s">
        <v>47</v>
      </c>
      <c r="Z348" s="360">
        <v>4</v>
      </c>
      <c r="AA348" s="360">
        <v>7</v>
      </c>
      <c r="AB348" s="360">
        <v>57.1</v>
      </c>
      <c r="AQ348" t="str">
        <f t="shared" si="40"/>
        <v>2006FemaleRural19</v>
      </c>
      <c r="AR348">
        <v>2006</v>
      </c>
      <c r="AS348" t="s">
        <v>8</v>
      </c>
      <c r="AT348" t="s">
        <v>96</v>
      </c>
      <c r="AU348">
        <v>19</v>
      </c>
      <c r="AV348">
        <v>12</v>
      </c>
      <c r="AW348">
        <v>4.6246622517546001</v>
      </c>
      <c r="AX348">
        <v>2.6</v>
      </c>
      <c r="BS348" t="str">
        <f t="shared" si="42"/>
        <v>MaleAsian255</v>
      </c>
      <c r="BT348" t="s">
        <v>20</v>
      </c>
      <c r="BU348" t="s">
        <v>78</v>
      </c>
      <c r="BV348">
        <v>25</v>
      </c>
      <c r="BW348">
        <v>5</v>
      </c>
      <c r="BX348">
        <v>0</v>
      </c>
      <c r="BY348">
        <v>0</v>
      </c>
      <c r="CB348" t="str">
        <f t="shared" si="43"/>
        <v>MaleOther24Poisoning by solids and liquids</v>
      </c>
      <c r="CC348" t="s">
        <v>20</v>
      </c>
      <c r="CD348" t="s">
        <v>45</v>
      </c>
      <c r="CE348" t="s">
        <v>47</v>
      </c>
      <c r="CF348">
        <v>24</v>
      </c>
      <c r="CG348">
        <v>54</v>
      </c>
      <c r="CH348">
        <v>505</v>
      </c>
      <c r="CI348">
        <v>10.7</v>
      </c>
    </row>
    <row r="349" spans="1:87" x14ac:dyDescent="0.2">
      <c r="A349" t="str">
        <f t="shared" si="38"/>
        <v>1999MaleAllEth21</v>
      </c>
      <c r="B349">
        <v>1999</v>
      </c>
      <c r="C349" t="s">
        <v>20</v>
      </c>
      <c r="D349" t="s">
        <v>27</v>
      </c>
      <c r="E349">
        <v>21</v>
      </c>
      <c r="F349">
        <v>3</v>
      </c>
      <c r="J349" s="358" t="str">
        <f t="shared" si="39"/>
        <v>2010FemaleMaori191</v>
      </c>
      <c r="K349" s="359">
        <v>2010</v>
      </c>
      <c r="L349" t="s">
        <v>8</v>
      </c>
      <c r="M349" t="s">
        <v>18</v>
      </c>
      <c r="N349">
        <v>19</v>
      </c>
      <c r="O349">
        <v>1</v>
      </c>
      <c r="P349">
        <v>1</v>
      </c>
      <c r="Q349">
        <v>2.9236127366550302</v>
      </c>
      <c r="R349">
        <v>5.7</v>
      </c>
      <c r="T349" s="358" t="str">
        <f t="shared" si="41"/>
        <v>1997FemaleNon-Maori23Sharp object</v>
      </c>
      <c r="U349" s="360">
        <v>1997</v>
      </c>
      <c r="V349" s="360" t="s">
        <v>8</v>
      </c>
      <c r="W349" s="360" t="s">
        <v>19</v>
      </c>
      <c r="X349" s="360">
        <v>23</v>
      </c>
      <c r="Y349" s="360" t="s">
        <v>48</v>
      </c>
      <c r="Z349" s="360">
        <v>1</v>
      </c>
      <c r="AA349" s="360">
        <v>40</v>
      </c>
      <c r="AB349" s="360">
        <v>2.5</v>
      </c>
      <c r="AQ349" t="str">
        <f t="shared" si="40"/>
        <v>2006FemaleUrban19</v>
      </c>
      <c r="AR349">
        <v>2006</v>
      </c>
      <c r="AS349" t="s">
        <v>8</v>
      </c>
      <c r="AT349" t="s">
        <v>97</v>
      </c>
      <c r="AU349">
        <v>19</v>
      </c>
      <c r="AV349">
        <v>124</v>
      </c>
      <c r="AW349">
        <v>6.40745337685357</v>
      </c>
      <c r="AX349">
        <v>1.1000000000000001</v>
      </c>
      <c r="BS349" t="str">
        <f t="shared" si="42"/>
        <v>MaleMaori251</v>
      </c>
      <c r="BT349" t="s">
        <v>20</v>
      </c>
      <c r="BU349" t="s">
        <v>18</v>
      </c>
      <c r="BV349">
        <v>25</v>
      </c>
      <c r="BW349">
        <v>1</v>
      </c>
      <c r="BX349">
        <v>0</v>
      </c>
      <c r="BY349">
        <v>0</v>
      </c>
      <c r="CB349" t="str">
        <f t="shared" si="43"/>
        <v>MaleOther25Poisoning by solids and liquids</v>
      </c>
      <c r="CC349" t="s">
        <v>20</v>
      </c>
      <c r="CD349" t="s">
        <v>45</v>
      </c>
      <c r="CE349" t="s">
        <v>47</v>
      </c>
      <c r="CF349">
        <v>25</v>
      </c>
      <c r="CG349">
        <v>29</v>
      </c>
      <c r="CH349">
        <v>210</v>
      </c>
      <c r="CI349">
        <v>13.8</v>
      </c>
    </row>
    <row r="350" spans="1:87" x14ac:dyDescent="0.2">
      <c r="A350" t="str">
        <f t="shared" si="38"/>
        <v>1999MaleAllEth22</v>
      </c>
      <c r="B350">
        <v>1999</v>
      </c>
      <c r="C350" t="s">
        <v>20</v>
      </c>
      <c r="D350" t="s">
        <v>27</v>
      </c>
      <c r="E350">
        <v>22</v>
      </c>
      <c r="F350">
        <v>83</v>
      </c>
      <c r="G350">
        <v>30.986336145747799</v>
      </c>
      <c r="H350">
        <v>6.7</v>
      </c>
      <c r="J350" s="358" t="str">
        <f t="shared" si="39"/>
        <v>2010FemaleMaori192</v>
      </c>
      <c r="K350" s="359">
        <v>2010</v>
      </c>
      <c r="L350" t="s">
        <v>8</v>
      </c>
      <c r="M350" t="s">
        <v>18</v>
      </c>
      <c r="N350">
        <v>19</v>
      </c>
      <c r="O350">
        <v>2</v>
      </c>
      <c r="P350">
        <v>2</v>
      </c>
      <c r="Q350">
        <v>5.1573530377617702</v>
      </c>
      <c r="R350">
        <v>7.1</v>
      </c>
      <c r="T350" s="358" t="str">
        <f t="shared" si="41"/>
        <v>1997FemaleNon-Maori24Sharp object</v>
      </c>
      <c r="U350" s="360">
        <v>1997</v>
      </c>
      <c r="V350" s="360" t="s">
        <v>8</v>
      </c>
      <c r="W350" s="360" t="s">
        <v>19</v>
      </c>
      <c r="X350" s="360">
        <v>24</v>
      </c>
      <c r="Y350" s="360" t="s">
        <v>48</v>
      </c>
      <c r="Z350" s="360">
        <v>1</v>
      </c>
      <c r="AA350" s="360">
        <v>26</v>
      </c>
      <c r="AB350" s="360">
        <v>3.8</v>
      </c>
      <c r="AQ350" t="str">
        <f t="shared" si="40"/>
        <v>2007FemaleRural19</v>
      </c>
      <c r="AR350">
        <v>2007</v>
      </c>
      <c r="AS350" t="s">
        <v>8</v>
      </c>
      <c r="AT350" t="s">
        <v>96</v>
      </c>
      <c r="AU350">
        <v>19</v>
      </c>
      <c r="AV350">
        <v>15</v>
      </c>
      <c r="AW350">
        <v>5.4336190062585397</v>
      </c>
      <c r="AX350">
        <v>2.7</v>
      </c>
      <c r="BS350" t="str">
        <f t="shared" si="42"/>
        <v>MaleMaori252</v>
      </c>
      <c r="BT350" t="s">
        <v>20</v>
      </c>
      <c r="BU350" t="s">
        <v>18</v>
      </c>
      <c r="BV350">
        <v>25</v>
      </c>
      <c r="BW350">
        <v>2</v>
      </c>
      <c r="BX350">
        <v>1</v>
      </c>
      <c r="BY350">
        <v>10.5462740363597</v>
      </c>
      <c r="BZ350">
        <v>20.7</v>
      </c>
      <c r="CB350" t="str">
        <f t="shared" si="43"/>
        <v>MaleOther22Sharp object</v>
      </c>
      <c r="CC350" t="s">
        <v>20</v>
      </c>
      <c r="CD350" t="s">
        <v>45</v>
      </c>
      <c r="CE350" t="s">
        <v>48</v>
      </c>
      <c r="CF350">
        <v>22</v>
      </c>
      <c r="CG350">
        <v>1</v>
      </c>
      <c r="CH350">
        <v>213</v>
      </c>
      <c r="CI350">
        <v>0.5</v>
      </c>
    </row>
    <row r="351" spans="1:87" x14ac:dyDescent="0.2">
      <c r="A351" t="str">
        <f t="shared" si="38"/>
        <v>1999MaleAllEth23</v>
      </c>
      <c r="B351">
        <v>1999</v>
      </c>
      <c r="C351" t="s">
        <v>20</v>
      </c>
      <c r="D351" t="s">
        <v>27</v>
      </c>
      <c r="E351">
        <v>23</v>
      </c>
      <c r="F351">
        <v>180</v>
      </c>
      <c r="G351">
        <v>31.6316668131096</v>
      </c>
      <c r="H351">
        <v>4.5999999999999996</v>
      </c>
      <c r="J351" s="358" t="str">
        <f t="shared" si="39"/>
        <v>2010FemaleMaori193</v>
      </c>
      <c r="K351" s="359">
        <v>2010</v>
      </c>
      <c r="L351" t="s">
        <v>8</v>
      </c>
      <c r="M351" t="s">
        <v>18</v>
      </c>
      <c r="N351">
        <v>19</v>
      </c>
      <c r="O351">
        <v>3</v>
      </c>
      <c r="P351">
        <v>3</v>
      </c>
      <c r="Q351">
        <v>5.6733613787032198</v>
      </c>
      <c r="R351">
        <v>6.4</v>
      </c>
      <c r="T351" s="358" t="str">
        <f t="shared" si="41"/>
        <v>1997FemaleNon-Maori25Sharp object</v>
      </c>
      <c r="U351" s="360">
        <v>1997</v>
      </c>
      <c r="V351" s="360" t="s">
        <v>8</v>
      </c>
      <c r="W351" s="360" t="s">
        <v>19</v>
      </c>
      <c r="X351" s="360">
        <v>25</v>
      </c>
      <c r="Y351" s="360" t="s">
        <v>48</v>
      </c>
      <c r="Z351" s="360">
        <v>1</v>
      </c>
      <c r="AA351" s="360">
        <v>7</v>
      </c>
      <c r="AB351" s="360">
        <v>14.3</v>
      </c>
      <c r="AQ351" t="str">
        <f t="shared" si="40"/>
        <v>2007FemaleUrban19</v>
      </c>
      <c r="AR351">
        <v>2007</v>
      </c>
      <c r="AS351" t="s">
        <v>8</v>
      </c>
      <c r="AT351" t="s">
        <v>97</v>
      </c>
      <c r="AU351">
        <v>19</v>
      </c>
      <c r="AV351">
        <v>105</v>
      </c>
      <c r="AW351">
        <v>5.1735806107572904</v>
      </c>
      <c r="AX351">
        <v>1</v>
      </c>
      <c r="BS351" t="str">
        <f t="shared" si="42"/>
        <v>MaleMaori253</v>
      </c>
      <c r="BT351" t="s">
        <v>20</v>
      </c>
      <c r="BU351" t="s">
        <v>18</v>
      </c>
      <c r="BV351">
        <v>25</v>
      </c>
      <c r="BW351">
        <v>3</v>
      </c>
      <c r="BX351">
        <v>0</v>
      </c>
      <c r="BY351">
        <v>0</v>
      </c>
      <c r="CB351" t="str">
        <f t="shared" si="43"/>
        <v>MaleOther23Sharp object</v>
      </c>
      <c r="CC351" t="s">
        <v>20</v>
      </c>
      <c r="CD351" t="s">
        <v>45</v>
      </c>
      <c r="CE351" t="s">
        <v>48</v>
      </c>
      <c r="CF351">
        <v>23</v>
      </c>
      <c r="CG351">
        <v>10</v>
      </c>
      <c r="CH351">
        <v>431</v>
      </c>
      <c r="CI351">
        <v>2.2999999999999998</v>
      </c>
    </row>
    <row r="352" spans="1:87" x14ac:dyDescent="0.2">
      <c r="A352" t="str">
        <f t="shared" si="38"/>
        <v>1999MaleAllEth24</v>
      </c>
      <c r="B352">
        <v>1999</v>
      </c>
      <c r="C352" t="s">
        <v>20</v>
      </c>
      <c r="D352" t="s">
        <v>27</v>
      </c>
      <c r="E352">
        <v>24</v>
      </c>
      <c r="F352">
        <v>83</v>
      </c>
      <c r="G352">
        <v>20.56338726061</v>
      </c>
      <c r="H352">
        <v>4.4000000000000004</v>
      </c>
      <c r="J352" s="358" t="str">
        <f t="shared" si="39"/>
        <v>2010FemaleMaori194</v>
      </c>
      <c r="K352" s="359">
        <v>2010</v>
      </c>
      <c r="L352" t="s">
        <v>8</v>
      </c>
      <c r="M352" t="s">
        <v>18</v>
      </c>
      <c r="N352">
        <v>19</v>
      </c>
      <c r="O352">
        <v>4</v>
      </c>
      <c r="P352">
        <v>6</v>
      </c>
      <c r="Q352">
        <v>7.28892914760333</v>
      </c>
      <c r="R352">
        <v>5.8</v>
      </c>
      <c r="T352" s="358" t="str">
        <f t="shared" si="41"/>
        <v>1997FemaleNon-Maori23Submersion (drowning)</v>
      </c>
      <c r="U352" s="360">
        <v>1997</v>
      </c>
      <c r="V352" s="360" t="s">
        <v>8</v>
      </c>
      <c r="W352" s="360" t="s">
        <v>19</v>
      </c>
      <c r="X352" s="360">
        <v>23</v>
      </c>
      <c r="Y352" s="360" t="s">
        <v>49</v>
      </c>
      <c r="Z352" s="360">
        <v>2</v>
      </c>
      <c r="AA352" s="360">
        <v>40</v>
      </c>
      <c r="AB352" s="360">
        <v>5</v>
      </c>
      <c r="AQ352" t="str">
        <f t="shared" si="40"/>
        <v>2008FemaleRural19</v>
      </c>
      <c r="AR352">
        <v>2008</v>
      </c>
      <c r="AS352" t="s">
        <v>8</v>
      </c>
      <c r="AT352" t="s">
        <v>96</v>
      </c>
      <c r="AU352">
        <v>19</v>
      </c>
      <c r="AV352">
        <v>14</v>
      </c>
      <c r="AW352">
        <v>4.8492866085801296</v>
      </c>
      <c r="AX352">
        <v>2.5</v>
      </c>
      <c r="BS352" t="str">
        <f t="shared" si="42"/>
        <v>MaleMaori254</v>
      </c>
      <c r="BT352" t="s">
        <v>20</v>
      </c>
      <c r="BU352" t="s">
        <v>18</v>
      </c>
      <c r="BV352">
        <v>25</v>
      </c>
      <c r="BW352">
        <v>4</v>
      </c>
      <c r="BX352">
        <v>0</v>
      </c>
      <c r="BY352">
        <v>0</v>
      </c>
      <c r="CB352" t="str">
        <f t="shared" si="43"/>
        <v>MaleOther24Sharp object</v>
      </c>
      <c r="CC352" t="s">
        <v>20</v>
      </c>
      <c r="CD352" t="s">
        <v>45</v>
      </c>
      <c r="CE352" t="s">
        <v>48</v>
      </c>
      <c r="CF352">
        <v>24</v>
      </c>
      <c r="CG352">
        <v>15</v>
      </c>
      <c r="CH352">
        <v>505</v>
      </c>
      <c r="CI352">
        <v>3</v>
      </c>
    </row>
    <row r="353" spans="1:87" x14ac:dyDescent="0.2">
      <c r="A353" t="str">
        <f t="shared" si="38"/>
        <v>1999MaleAllEth25</v>
      </c>
      <c r="B353">
        <v>1999</v>
      </c>
      <c r="C353" t="s">
        <v>20</v>
      </c>
      <c r="D353" t="s">
        <v>27</v>
      </c>
      <c r="E353">
        <v>25</v>
      </c>
      <c r="F353">
        <v>36</v>
      </c>
      <c r="G353">
        <v>18.4729064039409</v>
      </c>
      <c r="H353">
        <v>6</v>
      </c>
      <c r="J353" s="358" t="str">
        <f t="shared" si="39"/>
        <v>2010FemaleMaori195</v>
      </c>
      <c r="K353" s="359">
        <v>2010</v>
      </c>
      <c r="L353" t="s">
        <v>8</v>
      </c>
      <c r="M353" t="s">
        <v>18</v>
      </c>
      <c r="N353">
        <v>19</v>
      </c>
      <c r="O353">
        <v>5</v>
      </c>
      <c r="P353">
        <v>18</v>
      </c>
      <c r="Q353">
        <v>12.8394209551834</v>
      </c>
      <c r="R353">
        <v>5.9</v>
      </c>
      <c r="T353" s="358" t="str">
        <f t="shared" si="41"/>
        <v>1997FemaleNon-Maori24Submersion (drowning)</v>
      </c>
      <c r="U353" s="360">
        <v>1997</v>
      </c>
      <c r="V353" s="360" t="s">
        <v>8</v>
      </c>
      <c r="W353" s="360" t="s">
        <v>19</v>
      </c>
      <c r="X353" s="360">
        <v>24</v>
      </c>
      <c r="Y353" s="360" t="s">
        <v>49</v>
      </c>
      <c r="Z353" s="360">
        <v>2</v>
      </c>
      <c r="AA353" s="360">
        <v>26</v>
      </c>
      <c r="AB353" s="360">
        <v>7.7</v>
      </c>
      <c r="AQ353" t="str">
        <f t="shared" si="40"/>
        <v>2008FemaleUrban19</v>
      </c>
      <c r="AR353">
        <v>2008</v>
      </c>
      <c r="AS353" t="s">
        <v>8</v>
      </c>
      <c r="AT353" t="s">
        <v>97</v>
      </c>
      <c r="AU353">
        <v>19</v>
      </c>
      <c r="AV353">
        <v>123</v>
      </c>
      <c r="AW353">
        <v>6.3795738477370199</v>
      </c>
      <c r="AX353">
        <v>1.1000000000000001</v>
      </c>
      <c r="BS353" t="str">
        <f t="shared" si="42"/>
        <v>MaleMaori255</v>
      </c>
      <c r="BT353" t="s">
        <v>20</v>
      </c>
      <c r="BU353" t="s">
        <v>18</v>
      </c>
      <c r="BV353">
        <v>25</v>
      </c>
      <c r="BW353">
        <v>5</v>
      </c>
      <c r="BX353">
        <v>0</v>
      </c>
      <c r="BY353">
        <v>0</v>
      </c>
      <c r="CB353" t="str">
        <f t="shared" si="43"/>
        <v>MaleOther25Sharp object</v>
      </c>
      <c r="CC353" t="s">
        <v>20</v>
      </c>
      <c r="CD353" t="s">
        <v>45</v>
      </c>
      <c r="CE353" t="s">
        <v>48</v>
      </c>
      <c r="CF353">
        <v>25</v>
      </c>
      <c r="CG353">
        <v>9</v>
      </c>
      <c r="CH353">
        <v>210</v>
      </c>
      <c r="CI353">
        <v>4.3</v>
      </c>
    </row>
    <row r="354" spans="1:87" x14ac:dyDescent="0.2">
      <c r="A354" t="str">
        <f t="shared" si="38"/>
        <v>1999MaleMaori21</v>
      </c>
      <c r="B354">
        <v>1999</v>
      </c>
      <c r="C354" t="s">
        <v>20</v>
      </c>
      <c r="D354" t="s">
        <v>18</v>
      </c>
      <c r="E354">
        <v>21</v>
      </c>
      <c r="F354">
        <v>1</v>
      </c>
      <c r="J354" s="358" t="str">
        <f t="shared" si="39"/>
        <v>2011FemaleMaori191</v>
      </c>
      <c r="K354" s="359">
        <v>2011</v>
      </c>
      <c r="L354" t="s">
        <v>8</v>
      </c>
      <c r="M354" t="s">
        <v>18</v>
      </c>
      <c r="N354">
        <v>19</v>
      </c>
      <c r="O354">
        <v>1</v>
      </c>
      <c r="P354">
        <v>0</v>
      </c>
      <c r="Q354">
        <v>0</v>
      </c>
      <c r="T354" s="358" t="str">
        <f t="shared" si="41"/>
        <v>1997FemaleNon-Maori25Submersion (drowning)</v>
      </c>
      <c r="U354" s="360">
        <v>1997</v>
      </c>
      <c r="V354" s="360" t="s">
        <v>8</v>
      </c>
      <c r="W354" s="360" t="s">
        <v>19</v>
      </c>
      <c r="X354" s="360">
        <v>25</v>
      </c>
      <c r="Y354" s="360" t="s">
        <v>49</v>
      </c>
      <c r="Z354" s="360">
        <v>1</v>
      </c>
      <c r="AA354" s="360">
        <v>7</v>
      </c>
      <c r="AB354" s="360">
        <v>14.3</v>
      </c>
      <c r="AQ354" t="str">
        <f t="shared" si="40"/>
        <v>2009FemaleRural19</v>
      </c>
      <c r="AR354">
        <v>2009</v>
      </c>
      <c r="AS354" t="s">
        <v>8</v>
      </c>
      <c r="AT354" t="s">
        <v>96</v>
      </c>
      <c r="AU354">
        <v>19</v>
      </c>
      <c r="AV354">
        <v>8</v>
      </c>
      <c r="AW354">
        <v>3.7653504454407498</v>
      </c>
      <c r="AX354">
        <v>2.6</v>
      </c>
      <c r="BS354" t="str">
        <f t="shared" si="42"/>
        <v>MaleOther251</v>
      </c>
      <c r="BT354" t="s">
        <v>20</v>
      </c>
      <c r="BU354" t="s">
        <v>45</v>
      </c>
      <c r="BV354">
        <v>25</v>
      </c>
      <c r="BW354">
        <v>1</v>
      </c>
      <c r="BX354">
        <v>34</v>
      </c>
      <c r="BY354">
        <v>11.848027083299799</v>
      </c>
      <c r="BZ354">
        <v>4</v>
      </c>
      <c r="CB354" t="str">
        <f t="shared" si="43"/>
        <v>MaleOther22Submersion (drowning)</v>
      </c>
      <c r="CC354" t="s">
        <v>20</v>
      </c>
      <c r="CD354" t="s">
        <v>45</v>
      </c>
      <c r="CE354" t="s">
        <v>49</v>
      </c>
      <c r="CF354">
        <v>22</v>
      </c>
      <c r="CG354">
        <v>1</v>
      </c>
      <c r="CH354">
        <v>213</v>
      </c>
      <c r="CI354">
        <v>0.5</v>
      </c>
    </row>
    <row r="355" spans="1:87" x14ac:dyDescent="0.2">
      <c r="A355" t="str">
        <f t="shared" si="38"/>
        <v>1999MaleMaori22</v>
      </c>
      <c r="B355">
        <v>1999</v>
      </c>
      <c r="C355" t="s">
        <v>20</v>
      </c>
      <c r="D355" t="s">
        <v>18</v>
      </c>
      <c r="E355">
        <v>22</v>
      </c>
      <c r="F355">
        <v>23</v>
      </c>
      <c r="G355">
        <v>45.195519748477103</v>
      </c>
      <c r="H355">
        <v>18.5</v>
      </c>
      <c r="J355" s="358" t="str">
        <f t="shared" si="39"/>
        <v>2011FemaleMaori192</v>
      </c>
      <c r="K355" s="359">
        <v>2011</v>
      </c>
      <c r="L355" t="s">
        <v>8</v>
      </c>
      <c r="M355" t="s">
        <v>18</v>
      </c>
      <c r="N355">
        <v>19</v>
      </c>
      <c r="O355">
        <v>2</v>
      </c>
      <c r="P355">
        <v>3</v>
      </c>
      <c r="Q355">
        <v>7.7175676010323304</v>
      </c>
      <c r="R355">
        <v>8.6999999999999993</v>
      </c>
      <c r="T355" s="358" t="str">
        <f t="shared" si="41"/>
        <v>1997MaleAllEth22Firearms and explosives</v>
      </c>
      <c r="U355" s="360">
        <v>1997</v>
      </c>
      <c r="V355" s="360" t="s">
        <v>20</v>
      </c>
      <c r="W355" s="360" t="s">
        <v>27</v>
      </c>
      <c r="X355" s="360">
        <v>22</v>
      </c>
      <c r="Y355" s="360" t="s">
        <v>42</v>
      </c>
      <c r="Z355" s="360">
        <v>12</v>
      </c>
      <c r="AA355" s="360">
        <v>113</v>
      </c>
      <c r="AB355" s="360">
        <v>10.6</v>
      </c>
      <c r="AQ355" t="str">
        <f t="shared" si="40"/>
        <v>2009FemaleUrban19</v>
      </c>
      <c r="AR355">
        <v>2009</v>
      </c>
      <c r="AS355" t="s">
        <v>8</v>
      </c>
      <c r="AT355" t="s">
        <v>97</v>
      </c>
      <c r="AU355">
        <v>19</v>
      </c>
      <c r="AV355">
        <v>109</v>
      </c>
      <c r="AW355">
        <v>5.3823058570931703</v>
      </c>
      <c r="AX355">
        <v>1</v>
      </c>
      <c r="BS355" t="str">
        <f t="shared" si="42"/>
        <v>MaleOther252</v>
      </c>
      <c r="BT355" t="s">
        <v>20</v>
      </c>
      <c r="BU355" t="s">
        <v>45</v>
      </c>
      <c r="BV355">
        <v>25</v>
      </c>
      <c r="BW355">
        <v>2</v>
      </c>
      <c r="BX355">
        <v>37</v>
      </c>
      <c r="BY355">
        <v>13.319916655352101</v>
      </c>
      <c r="BZ355">
        <v>4.3</v>
      </c>
      <c r="CB355" t="str">
        <f t="shared" si="43"/>
        <v>MaleOther23Submersion (drowning)</v>
      </c>
      <c r="CC355" t="s">
        <v>20</v>
      </c>
      <c r="CD355" t="s">
        <v>45</v>
      </c>
      <c r="CE355" t="s">
        <v>49</v>
      </c>
      <c r="CF355">
        <v>23</v>
      </c>
      <c r="CG355">
        <v>3</v>
      </c>
      <c r="CH355">
        <v>431</v>
      </c>
      <c r="CI355">
        <v>0.7</v>
      </c>
    </row>
    <row r="356" spans="1:87" x14ac:dyDescent="0.2">
      <c r="A356" t="str">
        <f t="shared" si="38"/>
        <v>1999MaleMaori23</v>
      </c>
      <c r="B356">
        <v>1999</v>
      </c>
      <c r="C356" t="s">
        <v>20</v>
      </c>
      <c r="D356" t="s">
        <v>18</v>
      </c>
      <c r="E356">
        <v>23</v>
      </c>
      <c r="F356">
        <v>34</v>
      </c>
      <c r="G356">
        <v>44.328552803129099</v>
      </c>
      <c r="H356">
        <v>14.9</v>
      </c>
      <c r="J356" s="358" t="str">
        <f t="shared" si="39"/>
        <v>2011FemaleMaori193</v>
      </c>
      <c r="K356" s="359">
        <v>2011</v>
      </c>
      <c r="L356" t="s">
        <v>8</v>
      </c>
      <c r="M356" t="s">
        <v>18</v>
      </c>
      <c r="N356">
        <v>19</v>
      </c>
      <c r="O356">
        <v>3</v>
      </c>
      <c r="P356">
        <v>4</v>
      </c>
      <c r="Q356">
        <v>7.2880459924250696</v>
      </c>
      <c r="R356">
        <v>7.1</v>
      </c>
      <c r="T356" s="358" t="str">
        <f t="shared" si="41"/>
        <v>1997MaleAllEth23Firearms and explosives</v>
      </c>
      <c r="U356" s="360">
        <v>1997</v>
      </c>
      <c r="V356" s="360" t="s">
        <v>20</v>
      </c>
      <c r="W356" s="360" t="s">
        <v>27</v>
      </c>
      <c r="X356" s="360">
        <v>23</v>
      </c>
      <c r="Y356" s="360" t="s">
        <v>42</v>
      </c>
      <c r="Z356" s="360">
        <v>21</v>
      </c>
      <c r="AA356" s="360">
        <v>201</v>
      </c>
      <c r="AB356" s="360">
        <v>10.4</v>
      </c>
      <c r="AQ356" t="str">
        <f t="shared" si="40"/>
        <v>2010FemaleRural19</v>
      </c>
      <c r="AR356">
        <v>2010</v>
      </c>
      <c r="AS356" t="s">
        <v>8</v>
      </c>
      <c r="AT356" t="s">
        <v>96</v>
      </c>
      <c r="AU356">
        <v>19</v>
      </c>
      <c r="AV356">
        <v>14</v>
      </c>
      <c r="AW356">
        <v>4.65537787927064</v>
      </c>
      <c r="AX356">
        <v>2.4</v>
      </c>
      <c r="BS356" t="str">
        <f t="shared" si="42"/>
        <v>MaleOther253</v>
      </c>
      <c r="BT356" t="s">
        <v>20</v>
      </c>
      <c r="BU356" t="s">
        <v>45</v>
      </c>
      <c r="BV356">
        <v>25</v>
      </c>
      <c r="BW356">
        <v>3</v>
      </c>
      <c r="BX356">
        <v>58</v>
      </c>
      <c r="BY356">
        <v>22.0550928905947</v>
      </c>
      <c r="BZ356">
        <v>5.7</v>
      </c>
      <c r="CB356" t="str">
        <f t="shared" si="43"/>
        <v>MaleOther24Submersion (drowning)</v>
      </c>
      <c r="CC356" t="s">
        <v>20</v>
      </c>
      <c r="CD356" t="s">
        <v>45</v>
      </c>
      <c r="CE356" t="s">
        <v>49</v>
      </c>
      <c r="CF356">
        <v>24</v>
      </c>
      <c r="CG356">
        <v>10</v>
      </c>
      <c r="CH356">
        <v>505</v>
      </c>
      <c r="CI356">
        <v>2</v>
      </c>
    </row>
    <row r="357" spans="1:87" x14ac:dyDescent="0.2">
      <c r="A357" t="str">
        <f t="shared" si="38"/>
        <v>1999MaleMaori24</v>
      </c>
      <c r="B357">
        <v>1999</v>
      </c>
      <c r="C357" t="s">
        <v>20</v>
      </c>
      <c r="D357" t="s">
        <v>18</v>
      </c>
      <c r="E357">
        <v>24</v>
      </c>
      <c r="F357">
        <v>1</v>
      </c>
      <c r="G357">
        <v>2.8669724770642202</v>
      </c>
      <c r="H357">
        <v>5.6</v>
      </c>
      <c r="J357" s="358" t="str">
        <f t="shared" si="39"/>
        <v>2011FemaleMaori194</v>
      </c>
      <c r="K357" s="359">
        <v>2011</v>
      </c>
      <c r="L357" t="s">
        <v>8</v>
      </c>
      <c r="M357" t="s">
        <v>18</v>
      </c>
      <c r="N357">
        <v>19</v>
      </c>
      <c r="O357">
        <v>4</v>
      </c>
      <c r="P357">
        <v>6</v>
      </c>
      <c r="Q357">
        <v>7.64949082052203</v>
      </c>
      <c r="R357">
        <v>6.1</v>
      </c>
      <c r="T357" s="358" t="str">
        <f t="shared" si="41"/>
        <v>1997MaleAllEth24Firearms and explosives</v>
      </c>
      <c r="U357" s="360">
        <v>1997</v>
      </c>
      <c r="V357" s="360" t="s">
        <v>20</v>
      </c>
      <c r="W357" s="360" t="s">
        <v>27</v>
      </c>
      <c r="X357" s="360">
        <v>24</v>
      </c>
      <c r="Y357" s="360" t="s">
        <v>42</v>
      </c>
      <c r="Z357" s="360">
        <v>14</v>
      </c>
      <c r="AA357" s="360">
        <v>76</v>
      </c>
      <c r="AB357" s="360">
        <v>18.399999999999999</v>
      </c>
      <c r="AQ357" t="str">
        <f t="shared" si="40"/>
        <v>2010FemaleUrban19</v>
      </c>
      <c r="AR357">
        <v>2010</v>
      </c>
      <c r="AS357" t="s">
        <v>8</v>
      </c>
      <c r="AT357" t="s">
        <v>97</v>
      </c>
      <c r="AU357">
        <v>19</v>
      </c>
      <c r="AV357">
        <v>133</v>
      </c>
      <c r="AW357">
        <v>6.8063565837858899</v>
      </c>
      <c r="AX357">
        <v>1.2</v>
      </c>
      <c r="BS357" t="str">
        <f t="shared" si="42"/>
        <v>MaleOther254</v>
      </c>
      <c r="BT357" t="s">
        <v>20</v>
      </c>
      <c r="BU357" t="s">
        <v>45</v>
      </c>
      <c r="BV357">
        <v>25</v>
      </c>
      <c r="BW357">
        <v>4</v>
      </c>
      <c r="BX357">
        <v>43</v>
      </c>
      <c r="BY357">
        <v>17.4726734965259</v>
      </c>
      <c r="BZ357">
        <v>5.2</v>
      </c>
      <c r="CB357" t="str">
        <f t="shared" si="43"/>
        <v>MaleOther25Submersion (drowning)</v>
      </c>
      <c r="CC357" t="s">
        <v>20</v>
      </c>
      <c r="CD357" t="s">
        <v>45</v>
      </c>
      <c r="CE357" t="s">
        <v>49</v>
      </c>
      <c r="CF357">
        <v>25</v>
      </c>
      <c r="CG357">
        <v>14</v>
      </c>
      <c r="CH357">
        <v>210</v>
      </c>
      <c r="CI357">
        <v>6.7</v>
      </c>
    </row>
    <row r="358" spans="1:87" x14ac:dyDescent="0.2">
      <c r="A358" t="str">
        <f t="shared" si="38"/>
        <v>1999MaleMaori25</v>
      </c>
      <c r="B358">
        <v>1999</v>
      </c>
      <c r="C358" t="s">
        <v>20</v>
      </c>
      <c r="D358" t="s">
        <v>18</v>
      </c>
      <c r="E358">
        <v>25</v>
      </c>
      <c r="F358">
        <v>0</v>
      </c>
      <c r="G358">
        <v>0</v>
      </c>
      <c r="J358" s="358" t="str">
        <f t="shared" si="39"/>
        <v>2011FemaleMaori195</v>
      </c>
      <c r="K358" s="359">
        <v>2011</v>
      </c>
      <c r="L358" t="s">
        <v>8</v>
      </c>
      <c r="M358" t="s">
        <v>18</v>
      </c>
      <c r="N358">
        <v>19</v>
      </c>
      <c r="O358">
        <v>5</v>
      </c>
      <c r="P358">
        <v>18</v>
      </c>
      <c r="Q358">
        <v>12.5846344986704</v>
      </c>
      <c r="R358">
        <v>5.8</v>
      </c>
      <c r="T358" s="358" t="str">
        <f t="shared" si="41"/>
        <v>1997MaleAllEth25Firearms and explosives</v>
      </c>
      <c r="U358" s="360">
        <v>1997</v>
      </c>
      <c r="V358" s="360" t="s">
        <v>20</v>
      </c>
      <c r="W358" s="360" t="s">
        <v>27</v>
      </c>
      <c r="X358" s="360">
        <v>25</v>
      </c>
      <c r="Y358" s="360" t="s">
        <v>42</v>
      </c>
      <c r="Z358" s="360">
        <v>5</v>
      </c>
      <c r="AA358" s="360">
        <v>46</v>
      </c>
      <c r="AB358" s="360">
        <v>10.9</v>
      </c>
      <c r="AQ358" t="str">
        <f t="shared" si="40"/>
        <v>2011FemaleRural19</v>
      </c>
      <c r="AR358">
        <v>2011</v>
      </c>
      <c r="AS358" t="s">
        <v>8</v>
      </c>
      <c r="AT358" t="s">
        <v>96</v>
      </c>
      <c r="AU358">
        <v>19</v>
      </c>
      <c r="AV358">
        <v>13</v>
      </c>
      <c r="AW358">
        <v>3.5117478579800698</v>
      </c>
      <c r="AX358">
        <v>1.9</v>
      </c>
      <c r="BS358" t="str">
        <f t="shared" si="42"/>
        <v>MaleOther255</v>
      </c>
      <c r="BT358" t="s">
        <v>20</v>
      </c>
      <c r="BU358" t="s">
        <v>45</v>
      </c>
      <c r="BV358">
        <v>25</v>
      </c>
      <c r="BW358">
        <v>5</v>
      </c>
      <c r="BX358">
        <v>31</v>
      </c>
      <c r="BY358">
        <v>18.244205382086399</v>
      </c>
      <c r="BZ358">
        <v>6.4</v>
      </c>
      <c r="CB358" t="str">
        <f t="shared" si="43"/>
        <v>MalePacific21Hanging, strangulation and suffocation</v>
      </c>
      <c r="CC358" t="s">
        <v>20</v>
      </c>
      <c r="CD358" t="s">
        <v>79</v>
      </c>
      <c r="CE358" t="s">
        <v>43</v>
      </c>
      <c r="CF358">
        <v>21</v>
      </c>
      <c r="CG358">
        <v>2</v>
      </c>
      <c r="CH358">
        <v>2</v>
      </c>
      <c r="CI358">
        <v>100</v>
      </c>
    </row>
    <row r="359" spans="1:87" x14ac:dyDescent="0.2">
      <c r="A359" t="str">
        <f t="shared" si="38"/>
        <v>1999MaleNon-Maori21</v>
      </c>
      <c r="B359">
        <v>1999</v>
      </c>
      <c r="C359" t="s">
        <v>20</v>
      </c>
      <c r="D359" t="s">
        <v>19</v>
      </c>
      <c r="E359">
        <v>21</v>
      </c>
      <c r="F359">
        <v>2</v>
      </c>
      <c r="J359" s="358" t="str">
        <f t="shared" si="39"/>
        <v>2012FemaleMaori191</v>
      </c>
      <c r="K359" s="359">
        <v>2012</v>
      </c>
      <c r="L359" t="s">
        <v>8</v>
      </c>
      <c r="M359" t="s">
        <v>18</v>
      </c>
      <c r="N359">
        <v>19</v>
      </c>
      <c r="O359">
        <v>1</v>
      </c>
      <c r="P359">
        <v>0</v>
      </c>
      <c r="Q359">
        <v>0</v>
      </c>
      <c r="T359" s="358" t="str">
        <f t="shared" si="41"/>
        <v>1997MaleAllEth21Hanging, strangulation and suffocation</v>
      </c>
      <c r="U359" s="360">
        <v>1997</v>
      </c>
      <c r="V359" s="360" t="s">
        <v>20</v>
      </c>
      <c r="W359" s="360" t="s">
        <v>27</v>
      </c>
      <c r="X359" s="360">
        <v>21</v>
      </c>
      <c r="Y359" s="360" t="s">
        <v>43</v>
      </c>
      <c r="Z359" s="360">
        <v>5</v>
      </c>
      <c r="AA359" s="360">
        <v>5</v>
      </c>
      <c r="AB359" s="360">
        <v>100</v>
      </c>
      <c r="AQ359" t="str">
        <f t="shared" si="40"/>
        <v>2011FemaleUrban19</v>
      </c>
      <c r="AR359">
        <v>2011</v>
      </c>
      <c r="AS359" t="s">
        <v>8</v>
      </c>
      <c r="AT359" t="s">
        <v>97</v>
      </c>
      <c r="AU359">
        <v>19</v>
      </c>
      <c r="AV359">
        <v>104</v>
      </c>
      <c r="AW359">
        <v>5.31937464634004</v>
      </c>
      <c r="AX359">
        <v>1</v>
      </c>
      <c r="BS359" t="str">
        <f t="shared" si="42"/>
        <v>MalePacific251</v>
      </c>
      <c r="BT359" t="s">
        <v>20</v>
      </c>
      <c r="BU359" t="s">
        <v>79</v>
      </c>
      <c r="BV359">
        <v>25</v>
      </c>
      <c r="BW359">
        <v>1</v>
      </c>
      <c r="BX359">
        <v>0</v>
      </c>
      <c r="BY359">
        <v>0</v>
      </c>
      <c r="CB359" t="str">
        <f t="shared" si="43"/>
        <v>MalePacific22Hanging, strangulation and suffocation</v>
      </c>
      <c r="CC359" t="s">
        <v>20</v>
      </c>
      <c r="CD359" t="s">
        <v>79</v>
      </c>
      <c r="CE359" t="s">
        <v>43</v>
      </c>
      <c r="CF359">
        <v>22</v>
      </c>
      <c r="CG359">
        <v>39</v>
      </c>
      <c r="CH359">
        <v>40</v>
      </c>
      <c r="CI359">
        <v>97.5</v>
      </c>
    </row>
    <row r="360" spans="1:87" x14ac:dyDescent="0.2">
      <c r="A360" t="str">
        <f t="shared" si="38"/>
        <v>1999MaleNon-Maori22</v>
      </c>
      <c r="B360">
        <v>1999</v>
      </c>
      <c r="C360" t="s">
        <v>20</v>
      </c>
      <c r="D360" t="s">
        <v>19</v>
      </c>
      <c r="E360">
        <v>22</v>
      </c>
      <c r="F360">
        <v>60</v>
      </c>
      <c r="G360">
        <v>27.653592662580099</v>
      </c>
      <c r="H360">
        <v>7</v>
      </c>
      <c r="J360" s="358" t="str">
        <f t="shared" si="39"/>
        <v>2012FemaleMaori192</v>
      </c>
      <c r="K360" s="359">
        <v>2012</v>
      </c>
      <c r="L360" t="s">
        <v>8</v>
      </c>
      <c r="M360" t="s">
        <v>18</v>
      </c>
      <c r="N360">
        <v>19</v>
      </c>
      <c r="O360">
        <v>2</v>
      </c>
      <c r="P360">
        <v>5</v>
      </c>
      <c r="Q360">
        <v>12.897268038626001</v>
      </c>
      <c r="R360">
        <v>11.3</v>
      </c>
      <c r="T360" s="358" t="str">
        <f t="shared" si="41"/>
        <v>1997MaleAllEth22Hanging, strangulation and suffocation</v>
      </c>
      <c r="U360" s="360">
        <v>1997</v>
      </c>
      <c r="V360" s="360" t="s">
        <v>20</v>
      </c>
      <c r="W360" s="360" t="s">
        <v>27</v>
      </c>
      <c r="X360" s="360">
        <v>22</v>
      </c>
      <c r="Y360" s="360" t="s">
        <v>43</v>
      </c>
      <c r="Z360" s="360">
        <v>54</v>
      </c>
      <c r="AA360" s="360">
        <v>113</v>
      </c>
      <c r="AB360" s="360">
        <v>47.8</v>
      </c>
      <c r="AQ360" t="str">
        <f t="shared" si="40"/>
        <v>2012FemaleRural19</v>
      </c>
      <c r="AR360">
        <v>2012</v>
      </c>
      <c r="AS360" t="s">
        <v>8</v>
      </c>
      <c r="AT360" t="s">
        <v>96</v>
      </c>
      <c r="AU360">
        <v>19</v>
      </c>
      <c r="AV360">
        <v>22</v>
      </c>
      <c r="AW360">
        <v>7.9779554412925799</v>
      </c>
      <c r="AX360">
        <v>3.3</v>
      </c>
      <c r="BS360" t="str">
        <f t="shared" si="42"/>
        <v>MalePacific252</v>
      </c>
      <c r="BT360" t="s">
        <v>20</v>
      </c>
      <c r="BU360" t="s">
        <v>79</v>
      </c>
      <c r="BV360">
        <v>25</v>
      </c>
      <c r="BW360">
        <v>2</v>
      </c>
      <c r="BX360">
        <v>0</v>
      </c>
      <c r="BY360">
        <v>0</v>
      </c>
      <c r="CB360" t="str">
        <f t="shared" si="43"/>
        <v>MalePacific23Hanging, strangulation and suffocation</v>
      </c>
      <c r="CC360" t="s">
        <v>20</v>
      </c>
      <c r="CD360" t="s">
        <v>79</v>
      </c>
      <c r="CE360" t="s">
        <v>43</v>
      </c>
      <c r="CF360">
        <v>23</v>
      </c>
      <c r="CG360">
        <v>24</v>
      </c>
      <c r="CH360">
        <v>29</v>
      </c>
      <c r="CI360">
        <v>82.8</v>
      </c>
    </row>
    <row r="361" spans="1:87" x14ac:dyDescent="0.2">
      <c r="A361" t="str">
        <f t="shared" si="38"/>
        <v>1999MaleNon-Maori23</v>
      </c>
      <c r="B361">
        <v>1999</v>
      </c>
      <c r="C361" t="s">
        <v>20</v>
      </c>
      <c r="D361" t="s">
        <v>19</v>
      </c>
      <c r="E361">
        <v>23</v>
      </c>
      <c r="F361">
        <v>146</v>
      </c>
      <c r="G361">
        <v>29.6537016350157</v>
      </c>
      <c r="H361">
        <v>4.8</v>
      </c>
      <c r="J361" s="358" t="str">
        <f t="shared" si="39"/>
        <v>2012FemaleMaori193</v>
      </c>
      <c r="K361" s="359">
        <v>2012</v>
      </c>
      <c r="L361" t="s">
        <v>8</v>
      </c>
      <c r="M361" t="s">
        <v>18</v>
      </c>
      <c r="N361">
        <v>19</v>
      </c>
      <c r="O361">
        <v>3</v>
      </c>
      <c r="P361">
        <v>2</v>
      </c>
      <c r="Q361">
        <v>3.3837843867594</v>
      </c>
      <c r="R361">
        <v>4.7</v>
      </c>
      <c r="T361" s="358" t="str">
        <f t="shared" si="41"/>
        <v>1997MaleAllEth23Hanging, strangulation and suffocation</v>
      </c>
      <c r="U361" s="360">
        <v>1997</v>
      </c>
      <c r="V361" s="360" t="s">
        <v>20</v>
      </c>
      <c r="W361" s="360" t="s">
        <v>27</v>
      </c>
      <c r="X361" s="360">
        <v>23</v>
      </c>
      <c r="Y361" s="360" t="s">
        <v>43</v>
      </c>
      <c r="Z361" s="360">
        <v>84</v>
      </c>
      <c r="AA361" s="360">
        <v>201</v>
      </c>
      <c r="AB361" s="360">
        <v>41.8</v>
      </c>
      <c r="AQ361" t="str">
        <f t="shared" si="40"/>
        <v>2012FemaleUrban19</v>
      </c>
      <c r="AR361">
        <v>2012</v>
      </c>
      <c r="AS361" t="s">
        <v>8</v>
      </c>
      <c r="AT361" t="s">
        <v>97</v>
      </c>
      <c r="AU361">
        <v>19</v>
      </c>
      <c r="AV361">
        <v>122</v>
      </c>
      <c r="AW361">
        <v>6.09130408691549</v>
      </c>
      <c r="AX361">
        <v>1.1000000000000001</v>
      </c>
      <c r="BS361" t="str">
        <f t="shared" si="42"/>
        <v>MalePacific253</v>
      </c>
      <c r="BT361" t="s">
        <v>20</v>
      </c>
      <c r="BU361" t="s">
        <v>79</v>
      </c>
      <c r="BV361">
        <v>25</v>
      </c>
      <c r="BW361">
        <v>3</v>
      </c>
      <c r="BX361">
        <v>1</v>
      </c>
      <c r="BY361">
        <v>27.291258220893699</v>
      </c>
      <c r="BZ361">
        <v>53.5</v>
      </c>
      <c r="CB361" t="str">
        <f t="shared" si="43"/>
        <v>MalePacific24Hanging, strangulation and suffocation</v>
      </c>
      <c r="CC361" t="s">
        <v>20</v>
      </c>
      <c r="CD361" t="s">
        <v>79</v>
      </c>
      <c r="CE361" t="s">
        <v>43</v>
      </c>
      <c r="CF361">
        <v>24</v>
      </c>
      <c r="CG361">
        <v>12</v>
      </c>
      <c r="CH361">
        <v>16</v>
      </c>
      <c r="CI361">
        <v>75</v>
      </c>
    </row>
    <row r="362" spans="1:87" x14ac:dyDescent="0.2">
      <c r="A362" t="str">
        <f t="shared" si="38"/>
        <v>1999MaleNon-Maori24</v>
      </c>
      <c r="B362">
        <v>1999</v>
      </c>
      <c r="C362" t="s">
        <v>20</v>
      </c>
      <c r="D362" t="s">
        <v>19</v>
      </c>
      <c r="E362">
        <v>24</v>
      </c>
      <c r="F362">
        <v>82</v>
      </c>
      <c r="G362">
        <v>22.2372881355932</v>
      </c>
      <c r="H362">
        <v>4.8</v>
      </c>
      <c r="J362" s="358" t="str">
        <f t="shared" si="39"/>
        <v>2012FemaleMaori194</v>
      </c>
      <c r="K362" s="359">
        <v>2012</v>
      </c>
      <c r="L362" t="s">
        <v>8</v>
      </c>
      <c r="M362" t="s">
        <v>18</v>
      </c>
      <c r="N362">
        <v>19</v>
      </c>
      <c r="O362">
        <v>4</v>
      </c>
      <c r="P362">
        <v>12</v>
      </c>
      <c r="Q362">
        <v>15.289355573899201</v>
      </c>
      <c r="R362">
        <v>8.6999999999999993</v>
      </c>
      <c r="T362" s="358" t="str">
        <f t="shared" si="41"/>
        <v>1997MaleAllEth24Hanging, strangulation and suffocation</v>
      </c>
      <c r="U362" s="360">
        <v>1997</v>
      </c>
      <c r="V362" s="360" t="s">
        <v>20</v>
      </c>
      <c r="W362" s="360" t="s">
        <v>27</v>
      </c>
      <c r="X362" s="360">
        <v>24</v>
      </c>
      <c r="Y362" s="360" t="s">
        <v>43</v>
      </c>
      <c r="Z362" s="360">
        <v>29</v>
      </c>
      <c r="AA362" s="360">
        <v>76</v>
      </c>
      <c r="AB362" s="360">
        <v>38.200000000000003</v>
      </c>
      <c r="AQ362" t="str">
        <f t="shared" si="40"/>
        <v>2013FemaleRural19</v>
      </c>
      <c r="AR362">
        <v>2013</v>
      </c>
      <c r="AS362" t="s">
        <v>8</v>
      </c>
      <c r="AT362" t="s">
        <v>96</v>
      </c>
      <c r="AU362">
        <v>19</v>
      </c>
      <c r="AV362">
        <v>24</v>
      </c>
      <c r="AW362">
        <v>8.7943398467877394</v>
      </c>
      <c r="AX362">
        <v>3.5</v>
      </c>
      <c r="BS362" t="str">
        <f t="shared" si="42"/>
        <v>MalePacific254</v>
      </c>
      <c r="BT362" t="s">
        <v>20</v>
      </c>
      <c r="BU362" t="s">
        <v>79</v>
      </c>
      <c r="BV362">
        <v>25</v>
      </c>
      <c r="BW362">
        <v>4</v>
      </c>
      <c r="BX362">
        <v>1</v>
      </c>
      <c r="BY362">
        <v>14.0318948579802</v>
      </c>
      <c r="BZ362">
        <v>27.5</v>
      </c>
      <c r="CB362" t="str">
        <f t="shared" si="43"/>
        <v>MalePacific25Hanging, strangulation and suffocation</v>
      </c>
      <c r="CC362" t="s">
        <v>20</v>
      </c>
      <c r="CD362" t="s">
        <v>79</v>
      </c>
      <c r="CE362" t="s">
        <v>43</v>
      </c>
      <c r="CF362">
        <v>25</v>
      </c>
      <c r="CG362">
        <v>1</v>
      </c>
      <c r="CH362">
        <v>2</v>
      </c>
      <c r="CI362">
        <v>50</v>
      </c>
    </row>
    <row r="363" spans="1:87" x14ac:dyDescent="0.2">
      <c r="A363" t="str">
        <f t="shared" si="38"/>
        <v>1999MaleNon-Maori25</v>
      </c>
      <c r="B363">
        <v>1999</v>
      </c>
      <c r="C363" t="s">
        <v>20</v>
      </c>
      <c r="D363" t="s">
        <v>19</v>
      </c>
      <c r="E363">
        <v>25</v>
      </c>
      <c r="F363">
        <v>36</v>
      </c>
      <c r="G363">
        <v>19.2688540384307</v>
      </c>
      <c r="H363">
        <v>6.3</v>
      </c>
      <c r="J363" s="358" t="str">
        <f t="shared" si="39"/>
        <v>2012FemaleMaori195</v>
      </c>
      <c r="K363" s="359">
        <v>2012</v>
      </c>
      <c r="L363" t="s">
        <v>8</v>
      </c>
      <c r="M363" t="s">
        <v>18</v>
      </c>
      <c r="N363">
        <v>19</v>
      </c>
      <c r="O363">
        <v>5</v>
      </c>
      <c r="P363">
        <v>17</v>
      </c>
      <c r="Q363">
        <v>11.057340319943799</v>
      </c>
      <c r="R363">
        <v>5.3</v>
      </c>
      <c r="T363" s="358" t="str">
        <f t="shared" si="41"/>
        <v>1997MaleAllEth25Hanging, strangulation and suffocation</v>
      </c>
      <c r="U363" s="360">
        <v>1997</v>
      </c>
      <c r="V363" s="360" t="s">
        <v>20</v>
      </c>
      <c r="W363" s="360" t="s">
        <v>27</v>
      </c>
      <c r="X363" s="360">
        <v>25</v>
      </c>
      <c r="Y363" s="360" t="s">
        <v>43</v>
      </c>
      <c r="Z363" s="360">
        <v>13</v>
      </c>
      <c r="AA363" s="360">
        <v>46</v>
      </c>
      <c r="AB363" s="360">
        <v>28.3</v>
      </c>
      <c r="AQ363" t="str">
        <f t="shared" si="40"/>
        <v>2013FemaleUrban19</v>
      </c>
      <c r="AR363">
        <v>2013</v>
      </c>
      <c r="AS363" t="s">
        <v>8</v>
      </c>
      <c r="AT363" t="s">
        <v>97</v>
      </c>
      <c r="AU363">
        <v>19</v>
      </c>
      <c r="AV363">
        <v>124</v>
      </c>
      <c r="AW363">
        <v>6.2559324705276298</v>
      </c>
      <c r="AX363">
        <v>1.1000000000000001</v>
      </c>
      <c r="BS363" t="str">
        <f t="shared" si="42"/>
        <v>MalePacific255</v>
      </c>
      <c r="BT363" t="s">
        <v>20</v>
      </c>
      <c r="BU363" t="s">
        <v>79</v>
      </c>
      <c r="BV363">
        <v>25</v>
      </c>
      <c r="BW363">
        <v>5</v>
      </c>
      <c r="BX363">
        <v>0</v>
      </c>
      <c r="BY363">
        <v>0</v>
      </c>
      <c r="CB363" t="str">
        <f t="shared" si="43"/>
        <v>MalePacific22Jumping from a high place</v>
      </c>
      <c r="CC363" t="s">
        <v>20</v>
      </c>
      <c r="CD363" t="s">
        <v>79</v>
      </c>
      <c r="CE363" t="s">
        <v>44</v>
      </c>
      <c r="CF363">
        <v>22</v>
      </c>
      <c r="CG363">
        <v>1</v>
      </c>
      <c r="CH363">
        <v>40</v>
      </c>
      <c r="CI363">
        <v>2.5</v>
      </c>
    </row>
    <row r="364" spans="1:87" x14ac:dyDescent="0.2">
      <c r="A364" t="str">
        <f t="shared" si="38"/>
        <v>2000AllSexAllEth21</v>
      </c>
      <c r="B364">
        <v>2000</v>
      </c>
      <c r="C364" t="s">
        <v>17</v>
      </c>
      <c r="D364" t="s">
        <v>27</v>
      </c>
      <c r="E364">
        <v>21</v>
      </c>
      <c r="F364">
        <v>4</v>
      </c>
      <c r="J364" s="358" t="str">
        <f t="shared" si="39"/>
        <v>2013FemaleMaori191</v>
      </c>
      <c r="K364" s="359">
        <v>2013</v>
      </c>
      <c r="L364" t="s">
        <v>8</v>
      </c>
      <c r="M364" t="s">
        <v>18</v>
      </c>
      <c r="N364">
        <v>19</v>
      </c>
      <c r="O364">
        <v>1</v>
      </c>
      <c r="P364">
        <v>0</v>
      </c>
      <c r="Q364">
        <v>0</v>
      </c>
      <c r="T364" s="358" t="str">
        <f t="shared" si="41"/>
        <v>1997MaleAllEth22Jumping from a high place</v>
      </c>
      <c r="U364" s="360">
        <v>1997</v>
      </c>
      <c r="V364" s="360" t="s">
        <v>20</v>
      </c>
      <c r="W364" s="360" t="s">
        <v>27</v>
      </c>
      <c r="X364" s="360">
        <v>22</v>
      </c>
      <c r="Y364" s="360" t="s">
        <v>44</v>
      </c>
      <c r="Z364" s="360">
        <v>2</v>
      </c>
      <c r="AA364" s="360">
        <v>113</v>
      </c>
      <c r="AB364" s="360">
        <v>1.8</v>
      </c>
      <c r="AQ364" t="str">
        <f t="shared" si="40"/>
        <v>2014FemaleRural19</v>
      </c>
      <c r="AR364">
        <v>2014</v>
      </c>
      <c r="AS364" t="s">
        <v>8</v>
      </c>
      <c r="AT364" t="s">
        <v>96</v>
      </c>
      <c r="AU364">
        <v>19</v>
      </c>
      <c r="AV364">
        <v>21</v>
      </c>
      <c r="AW364">
        <v>5.5406863993035502</v>
      </c>
      <c r="AX364">
        <v>2.4</v>
      </c>
      <c r="CB364" t="str">
        <f t="shared" si="43"/>
        <v>MalePacific23Jumping from a high place</v>
      </c>
      <c r="CC364" t="s">
        <v>20</v>
      </c>
      <c r="CD364" t="s">
        <v>79</v>
      </c>
      <c r="CE364" t="s">
        <v>44</v>
      </c>
      <c r="CF364">
        <v>23</v>
      </c>
      <c r="CG364">
        <v>1</v>
      </c>
      <c r="CH364">
        <v>29</v>
      </c>
      <c r="CI364">
        <v>3.4</v>
      </c>
    </row>
    <row r="365" spans="1:87" x14ac:dyDescent="0.2">
      <c r="A365" t="str">
        <f t="shared" si="38"/>
        <v>2000AllSexAllEth22</v>
      </c>
      <c r="B365">
        <v>2000</v>
      </c>
      <c r="C365" t="s">
        <v>17</v>
      </c>
      <c r="D365" t="s">
        <v>27</v>
      </c>
      <c r="E365">
        <v>22</v>
      </c>
      <c r="F365">
        <v>96</v>
      </c>
      <c r="G365">
        <v>18.1519087866583</v>
      </c>
      <c r="H365">
        <v>3.6</v>
      </c>
      <c r="J365" s="358" t="str">
        <f t="shared" si="39"/>
        <v>2013FemaleMaori192</v>
      </c>
      <c r="K365" s="359">
        <v>2013</v>
      </c>
      <c r="L365" t="s">
        <v>8</v>
      </c>
      <c r="M365" t="s">
        <v>18</v>
      </c>
      <c r="N365">
        <v>19</v>
      </c>
      <c r="O365">
        <v>2</v>
      </c>
      <c r="P365">
        <v>3</v>
      </c>
      <c r="Q365">
        <v>8.2685681370708295</v>
      </c>
      <c r="R365">
        <v>9.4</v>
      </c>
      <c r="T365" s="358" t="str">
        <f t="shared" si="41"/>
        <v>1997MaleAllEth23Jumping from a high place</v>
      </c>
      <c r="U365" s="360">
        <v>1997</v>
      </c>
      <c r="V365" s="360" t="s">
        <v>20</v>
      </c>
      <c r="W365" s="360" t="s">
        <v>27</v>
      </c>
      <c r="X365" s="360">
        <v>23</v>
      </c>
      <c r="Y365" s="360" t="s">
        <v>44</v>
      </c>
      <c r="Z365" s="360">
        <v>6</v>
      </c>
      <c r="AA365" s="360">
        <v>201</v>
      </c>
      <c r="AB365" s="360">
        <v>3</v>
      </c>
      <c r="AQ365" t="str">
        <f t="shared" si="40"/>
        <v>2014FemaleUrban19</v>
      </c>
      <c r="AR365">
        <v>2014</v>
      </c>
      <c r="AS365" t="s">
        <v>8</v>
      </c>
      <c r="AT365" t="s">
        <v>97</v>
      </c>
      <c r="AU365">
        <v>19</v>
      </c>
      <c r="AV365">
        <v>108</v>
      </c>
      <c r="AW365">
        <v>5.2699484796557003</v>
      </c>
      <c r="AX365">
        <v>1</v>
      </c>
      <c r="CB365" t="str">
        <f t="shared" si="43"/>
        <v>MalePacific24Jumping from a high place</v>
      </c>
      <c r="CC365" t="s">
        <v>20</v>
      </c>
      <c r="CD365" t="s">
        <v>79</v>
      </c>
      <c r="CE365" t="s">
        <v>44</v>
      </c>
      <c r="CF365">
        <v>24</v>
      </c>
      <c r="CG365">
        <v>3</v>
      </c>
      <c r="CH365">
        <v>16</v>
      </c>
      <c r="CI365">
        <v>18.8</v>
      </c>
    </row>
    <row r="366" spans="1:87" x14ac:dyDescent="0.2">
      <c r="A366" t="str">
        <f t="shared" si="38"/>
        <v>2000AllSexAllEth23</v>
      </c>
      <c r="B366">
        <v>2000</v>
      </c>
      <c r="C366" t="s">
        <v>17</v>
      </c>
      <c r="D366" t="s">
        <v>27</v>
      </c>
      <c r="E366">
        <v>23</v>
      </c>
      <c r="F366">
        <v>209</v>
      </c>
      <c r="G366">
        <v>17.950391644908599</v>
      </c>
      <c r="H366">
        <v>2.4</v>
      </c>
      <c r="J366" s="358" t="str">
        <f t="shared" si="39"/>
        <v>2013FemaleMaori193</v>
      </c>
      <c r="K366" s="359">
        <v>2013</v>
      </c>
      <c r="L366" t="s">
        <v>8</v>
      </c>
      <c r="M366" t="s">
        <v>18</v>
      </c>
      <c r="N366">
        <v>19</v>
      </c>
      <c r="O366">
        <v>3</v>
      </c>
      <c r="P366">
        <v>4</v>
      </c>
      <c r="Q366">
        <v>7.5300111097821398</v>
      </c>
      <c r="R366">
        <v>7.4</v>
      </c>
      <c r="T366" s="358" t="str">
        <f t="shared" si="41"/>
        <v>1997MaleAllEth24Jumping from a high place</v>
      </c>
      <c r="U366" s="360">
        <v>1997</v>
      </c>
      <c r="V366" s="360" t="s">
        <v>20</v>
      </c>
      <c r="W366" s="360" t="s">
        <v>27</v>
      </c>
      <c r="X366" s="360">
        <v>24</v>
      </c>
      <c r="Y366" s="360" t="s">
        <v>44</v>
      </c>
      <c r="Z366" s="360">
        <v>1</v>
      </c>
      <c r="AA366" s="360">
        <v>76</v>
      </c>
      <c r="AB366" s="360">
        <v>1.3</v>
      </c>
      <c r="AQ366" t="str">
        <f t="shared" si="40"/>
        <v>2015FemaleRural19</v>
      </c>
      <c r="AR366">
        <v>2015</v>
      </c>
      <c r="AS366" t="s">
        <v>8</v>
      </c>
      <c r="AT366" t="s">
        <v>96</v>
      </c>
      <c r="AU366">
        <v>19</v>
      </c>
      <c r="AV366">
        <v>24</v>
      </c>
      <c r="AW366">
        <v>7.3548338217857703</v>
      </c>
      <c r="AX366">
        <v>2.9</v>
      </c>
      <c r="CB366" t="str">
        <f t="shared" si="43"/>
        <v>MalePacific24Other</v>
      </c>
      <c r="CC366" t="s">
        <v>20</v>
      </c>
      <c r="CD366" t="s">
        <v>79</v>
      </c>
      <c r="CE366" t="s">
        <v>45</v>
      </c>
      <c r="CF366">
        <v>24</v>
      </c>
      <c r="CG366">
        <v>1</v>
      </c>
      <c r="CH366">
        <v>16</v>
      </c>
      <c r="CI366">
        <v>6.2</v>
      </c>
    </row>
    <row r="367" spans="1:87" x14ac:dyDescent="0.2">
      <c r="A367" t="str">
        <f t="shared" si="38"/>
        <v>2000AllSexAllEth24</v>
      </c>
      <c r="B367">
        <v>2000</v>
      </c>
      <c r="C367" t="s">
        <v>17</v>
      </c>
      <c r="D367" t="s">
        <v>27</v>
      </c>
      <c r="E367">
        <v>24</v>
      </c>
      <c r="F367">
        <v>103</v>
      </c>
      <c r="G367">
        <v>12.338580224729901</v>
      </c>
      <c r="H367">
        <v>2.4</v>
      </c>
      <c r="J367" s="358" t="str">
        <f t="shared" si="39"/>
        <v>2013FemaleMaori194</v>
      </c>
      <c r="K367" s="359">
        <v>2013</v>
      </c>
      <c r="L367" t="s">
        <v>8</v>
      </c>
      <c r="M367" t="s">
        <v>18</v>
      </c>
      <c r="N367">
        <v>19</v>
      </c>
      <c r="O367">
        <v>4</v>
      </c>
      <c r="P367">
        <v>11</v>
      </c>
      <c r="Q367">
        <v>13.0402113369096</v>
      </c>
      <c r="R367">
        <v>7.7</v>
      </c>
      <c r="T367" s="358" t="str">
        <f t="shared" si="41"/>
        <v>1997MaleAllEth22Other</v>
      </c>
      <c r="U367" s="360">
        <v>1997</v>
      </c>
      <c r="V367" s="360" t="s">
        <v>20</v>
      </c>
      <c r="W367" s="360" t="s">
        <v>27</v>
      </c>
      <c r="X367" s="360">
        <v>22</v>
      </c>
      <c r="Y367" s="360" t="s">
        <v>45</v>
      </c>
      <c r="Z367" s="360">
        <v>3</v>
      </c>
      <c r="AA367" s="360">
        <v>113</v>
      </c>
      <c r="AB367" s="360">
        <v>2.7</v>
      </c>
      <c r="AQ367" t="str">
        <f t="shared" si="40"/>
        <v>2015FemaleUrban19</v>
      </c>
      <c r="AR367">
        <v>2015</v>
      </c>
      <c r="AS367" t="s">
        <v>8</v>
      </c>
      <c r="AT367" t="s">
        <v>97</v>
      </c>
      <c r="AU367">
        <v>19</v>
      </c>
      <c r="AV367">
        <v>118</v>
      </c>
      <c r="AW367">
        <v>5.8032949481744804</v>
      </c>
      <c r="AX367">
        <v>1</v>
      </c>
      <c r="CB367" t="str">
        <f t="shared" si="43"/>
        <v>MalePacific23Poisoning by gases and vapours</v>
      </c>
      <c r="CC367" t="s">
        <v>20</v>
      </c>
      <c r="CD367" t="s">
        <v>79</v>
      </c>
      <c r="CE367" t="s">
        <v>46</v>
      </c>
      <c r="CF367">
        <v>23</v>
      </c>
      <c r="CG367">
        <v>1</v>
      </c>
      <c r="CH367">
        <v>29</v>
      </c>
      <c r="CI367">
        <v>3.4</v>
      </c>
    </row>
    <row r="368" spans="1:87" x14ac:dyDescent="0.2">
      <c r="A368" t="str">
        <f t="shared" si="38"/>
        <v>2000AllSexAllEth25</v>
      </c>
      <c r="B368">
        <v>2000</v>
      </c>
      <c r="C368" t="s">
        <v>17</v>
      </c>
      <c r="D368" t="s">
        <v>27</v>
      </c>
      <c r="E368">
        <v>25</v>
      </c>
      <c r="F368">
        <v>47</v>
      </c>
      <c r="G368">
        <v>10.364979600838</v>
      </c>
      <c r="H368">
        <v>3</v>
      </c>
      <c r="J368" s="358" t="str">
        <f t="shared" si="39"/>
        <v>2013FemaleMaori195</v>
      </c>
      <c r="K368" s="359">
        <v>2013</v>
      </c>
      <c r="L368" t="s">
        <v>8</v>
      </c>
      <c r="M368" t="s">
        <v>18</v>
      </c>
      <c r="N368">
        <v>19</v>
      </c>
      <c r="O368">
        <v>5</v>
      </c>
      <c r="P368">
        <v>21</v>
      </c>
      <c r="Q368">
        <v>14.3250662084971</v>
      </c>
      <c r="R368">
        <v>6.1</v>
      </c>
      <c r="T368" s="358" t="str">
        <f t="shared" si="41"/>
        <v>1997MaleAllEth23Other</v>
      </c>
      <c r="U368" s="360">
        <v>1997</v>
      </c>
      <c r="V368" s="360" t="s">
        <v>20</v>
      </c>
      <c r="W368" s="360" t="s">
        <v>27</v>
      </c>
      <c r="X368" s="360">
        <v>23</v>
      </c>
      <c r="Y368" s="360" t="s">
        <v>45</v>
      </c>
      <c r="Z368" s="360">
        <v>6</v>
      </c>
      <c r="AA368" s="360">
        <v>201</v>
      </c>
      <c r="AB368" s="360">
        <v>3</v>
      </c>
      <c r="AQ368" t="str">
        <f t="shared" si="40"/>
        <v>2003MaleRural19</v>
      </c>
      <c r="AR368">
        <v>2003</v>
      </c>
      <c r="AS368" t="s">
        <v>20</v>
      </c>
      <c r="AT368" t="s">
        <v>96</v>
      </c>
      <c r="AU368">
        <v>19</v>
      </c>
      <c r="AV368">
        <v>45</v>
      </c>
      <c r="AW368">
        <v>17.265089059187499</v>
      </c>
      <c r="AX368">
        <v>5</v>
      </c>
      <c r="CB368" t="str">
        <f t="shared" si="43"/>
        <v>MalePacific23Poisoning by solids and liquids</v>
      </c>
      <c r="CC368" t="s">
        <v>20</v>
      </c>
      <c r="CD368" t="s">
        <v>79</v>
      </c>
      <c r="CE368" t="s">
        <v>47</v>
      </c>
      <c r="CF368">
        <v>23</v>
      </c>
      <c r="CG368">
        <v>2</v>
      </c>
      <c r="CH368">
        <v>29</v>
      </c>
      <c r="CI368">
        <v>6.9</v>
      </c>
    </row>
    <row r="369" spans="1:87" x14ac:dyDescent="0.2">
      <c r="A369" t="str">
        <f t="shared" si="38"/>
        <v>2000AllSexMaori21</v>
      </c>
      <c r="B369">
        <v>2000</v>
      </c>
      <c r="C369" t="s">
        <v>17</v>
      </c>
      <c r="D369" t="s">
        <v>18</v>
      </c>
      <c r="E369">
        <v>21</v>
      </c>
      <c r="F369">
        <v>1</v>
      </c>
      <c r="J369" s="358" t="str">
        <f t="shared" si="39"/>
        <v>2014FemaleMaori191</v>
      </c>
      <c r="K369" s="359">
        <v>2014</v>
      </c>
      <c r="L369" t="s">
        <v>8</v>
      </c>
      <c r="M369" t="s">
        <v>18</v>
      </c>
      <c r="N369">
        <v>19</v>
      </c>
      <c r="O369">
        <v>1</v>
      </c>
      <c r="P369">
        <v>3</v>
      </c>
      <c r="Q369">
        <v>12.093587349405601</v>
      </c>
      <c r="R369">
        <v>13.7</v>
      </c>
      <c r="T369" s="358" t="str">
        <f t="shared" si="41"/>
        <v>1997MaleAllEth24Other</v>
      </c>
      <c r="U369" s="360">
        <v>1997</v>
      </c>
      <c r="V369" s="360" t="s">
        <v>20</v>
      </c>
      <c r="W369" s="360" t="s">
        <v>27</v>
      </c>
      <c r="X369" s="360">
        <v>24</v>
      </c>
      <c r="Y369" s="360" t="s">
        <v>45</v>
      </c>
      <c r="Z369" s="360">
        <v>2</v>
      </c>
      <c r="AA369" s="360">
        <v>76</v>
      </c>
      <c r="AB369" s="360">
        <v>2.6</v>
      </c>
      <c r="AQ369" t="str">
        <f t="shared" si="40"/>
        <v>2003MaleUrban19</v>
      </c>
      <c r="AR369">
        <v>2003</v>
      </c>
      <c r="AS369" t="s">
        <v>20</v>
      </c>
      <c r="AT369" t="s">
        <v>97</v>
      </c>
      <c r="AU369">
        <v>19</v>
      </c>
      <c r="AV369">
        <v>298</v>
      </c>
      <c r="AW369">
        <v>17.0071204805039</v>
      </c>
      <c r="AX369">
        <v>1.9</v>
      </c>
      <c r="CB369" t="str">
        <f t="shared" si="43"/>
        <v>MalePacific25Poisoning by solids and liquids</v>
      </c>
      <c r="CC369" t="s">
        <v>20</v>
      </c>
      <c r="CD369" t="s">
        <v>79</v>
      </c>
      <c r="CE369" t="s">
        <v>47</v>
      </c>
      <c r="CF369">
        <v>25</v>
      </c>
      <c r="CG369">
        <v>1</v>
      </c>
      <c r="CH369">
        <v>2</v>
      </c>
      <c r="CI369">
        <v>50</v>
      </c>
    </row>
    <row r="370" spans="1:87" x14ac:dyDescent="0.2">
      <c r="A370" t="str">
        <f t="shared" si="38"/>
        <v>2000AllSexMaori22</v>
      </c>
      <c r="B370">
        <v>2000</v>
      </c>
      <c r="C370" t="s">
        <v>17</v>
      </c>
      <c r="D370" t="s">
        <v>18</v>
      </c>
      <c r="E370">
        <v>22</v>
      </c>
      <c r="F370">
        <v>28</v>
      </c>
      <c r="G370">
        <v>27.378507871320998</v>
      </c>
      <c r="H370">
        <v>10.1</v>
      </c>
      <c r="J370" s="358" t="str">
        <f t="shared" si="39"/>
        <v>2014FemaleMaori192</v>
      </c>
      <c r="K370" s="359">
        <v>2014</v>
      </c>
      <c r="L370" t="s">
        <v>8</v>
      </c>
      <c r="M370" t="s">
        <v>18</v>
      </c>
      <c r="N370">
        <v>19</v>
      </c>
      <c r="O370">
        <v>2</v>
      </c>
      <c r="P370">
        <v>0</v>
      </c>
      <c r="Q370">
        <v>0</v>
      </c>
      <c r="T370" s="358" t="str">
        <f t="shared" si="41"/>
        <v>1997MaleAllEth25Other</v>
      </c>
      <c r="U370" s="360">
        <v>1997</v>
      </c>
      <c r="V370" s="360" t="s">
        <v>20</v>
      </c>
      <c r="W370" s="360" t="s">
        <v>27</v>
      </c>
      <c r="X370" s="360">
        <v>25</v>
      </c>
      <c r="Y370" s="360" t="s">
        <v>45</v>
      </c>
      <c r="Z370" s="360">
        <v>2</v>
      </c>
      <c r="AA370" s="360">
        <v>46</v>
      </c>
      <c r="AB370" s="360">
        <v>4.3</v>
      </c>
      <c r="AQ370" t="str">
        <f t="shared" si="40"/>
        <v>2004MaleRural19</v>
      </c>
      <c r="AR370">
        <v>2004</v>
      </c>
      <c r="AS370" t="s">
        <v>20</v>
      </c>
      <c r="AT370" t="s">
        <v>96</v>
      </c>
      <c r="AU370">
        <v>19</v>
      </c>
      <c r="AV370">
        <v>58</v>
      </c>
      <c r="AW370">
        <v>18.7861177161938</v>
      </c>
      <c r="AX370">
        <v>4.8</v>
      </c>
      <c r="CB370" t="str">
        <f t="shared" si="43"/>
        <v>MalePacific23Submersion (drowning)</v>
      </c>
      <c r="CC370" t="s">
        <v>20</v>
      </c>
      <c r="CD370" t="s">
        <v>79</v>
      </c>
      <c r="CE370" t="s">
        <v>49</v>
      </c>
      <c r="CF370">
        <v>23</v>
      </c>
      <c r="CG370">
        <v>1</v>
      </c>
      <c r="CH370">
        <v>29</v>
      </c>
      <c r="CI370">
        <v>3.4</v>
      </c>
    </row>
    <row r="371" spans="1:87" x14ac:dyDescent="0.2">
      <c r="A371" t="str">
        <f t="shared" si="38"/>
        <v>2000AllSexMaori23</v>
      </c>
      <c r="B371">
        <v>2000</v>
      </c>
      <c r="C371" t="s">
        <v>17</v>
      </c>
      <c r="D371" t="s">
        <v>18</v>
      </c>
      <c r="E371">
        <v>23</v>
      </c>
      <c r="F371">
        <v>40</v>
      </c>
      <c r="G371">
        <v>24.150214333152199</v>
      </c>
      <c r="H371">
        <v>7.5</v>
      </c>
      <c r="J371" s="358" t="str">
        <f t="shared" si="39"/>
        <v>2014FemaleMaori193</v>
      </c>
      <c r="K371" s="359">
        <v>2014</v>
      </c>
      <c r="L371" t="s">
        <v>8</v>
      </c>
      <c r="M371" t="s">
        <v>18</v>
      </c>
      <c r="N371">
        <v>19</v>
      </c>
      <c r="O371">
        <v>3</v>
      </c>
      <c r="P371">
        <v>3</v>
      </c>
      <c r="Q371">
        <v>5.5758234444948398</v>
      </c>
      <c r="R371">
        <v>6.3</v>
      </c>
      <c r="T371" s="358" t="str">
        <f t="shared" si="41"/>
        <v>1997MaleAllEth22Poisoning by gases and vapours</v>
      </c>
      <c r="U371" s="360">
        <v>1997</v>
      </c>
      <c r="V371" s="360" t="s">
        <v>20</v>
      </c>
      <c r="W371" s="360" t="s">
        <v>27</v>
      </c>
      <c r="X371" s="360">
        <v>22</v>
      </c>
      <c r="Y371" s="360" t="s">
        <v>46</v>
      </c>
      <c r="Z371" s="360">
        <v>35</v>
      </c>
      <c r="AA371" s="360">
        <v>113</v>
      </c>
      <c r="AB371" s="360">
        <v>31</v>
      </c>
      <c r="AQ371" t="str">
        <f t="shared" si="40"/>
        <v>2004MaleUrban19</v>
      </c>
      <c r="AR371">
        <v>2004</v>
      </c>
      <c r="AS371" t="s">
        <v>20</v>
      </c>
      <c r="AT371" t="s">
        <v>97</v>
      </c>
      <c r="AU371">
        <v>19</v>
      </c>
      <c r="AV371">
        <v>296</v>
      </c>
      <c r="AW371">
        <v>16.803309497238299</v>
      </c>
      <c r="AX371">
        <v>1.9</v>
      </c>
      <c r="CB371" t="str">
        <f t="shared" si="43"/>
        <v>AllSexAllEth19Firearms and explosives</v>
      </c>
      <c r="CC371" t="s">
        <v>17</v>
      </c>
      <c r="CD371" t="s">
        <v>27</v>
      </c>
      <c r="CE371" t="s">
        <v>42</v>
      </c>
      <c r="CF371">
        <v>19</v>
      </c>
      <c r="CG371">
        <v>213</v>
      </c>
      <c r="CH371">
        <v>2592</v>
      </c>
      <c r="CI371">
        <v>8.1999999999999993</v>
      </c>
    </row>
    <row r="372" spans="1:87" x14ac:dyDescent="0.2">
      <c r="A372" t="str">
        <f t="shared" si="38"/>
        <v>2000AllSexMaori24</v>
      </c>
      <c r="B372">
        <v>2000</v>
      </c>
      <c r="C372" t="s">
        <v>17</v>
      </c>
      <c r="D372" t="s">
        <v>18</v>
      </c>
      <c r="E372">
        <v>24</v>
      </c>
      <c r="F372">
        <v>10</v>
      </c>
      <c r="G372">
        <v>13.4156157767642</v>
      </c>
      <c r="H372">
        <v>8.3000000000000007</v>
      </c>
      <c r="J372" s="358" t="str">
        <f t="shared" si="39"/>
        <v>2014FemaleMaori194</v>
      </c>
      <c r="K372" s="359">
        <v>2014</v>
      </c>
      <c r="L372" t="s">
        <v>8</v>
      </c>
      <c r="M372" t="s">
        <v>18</v>
      </c>
      <c r="N372">
        <v>19</v>
      </c>
      <c r="O372">
        <v>4</v>
      </c>
      <c r="P372">
        <v>4</v>
      </c>
      <c r="Q372">
        <v>5.2950099910323196</v>
      </c>
      <c r="R372">
        <v>5.2</v>
      </c>
      <c r="T372" s="358" t="str">
        <f t="shared" si="41"/>
        <v>1997MaleAllEth23Poisoning by gases and vapours</v>
      </c>
      <c r="U372" s="360">
        <v>1997</v>
      </c>
      <c r="V372" s="360" t="s">
        <v>20</v>
      </c>
      <c r="W372" s="360" t="s">
        <v>27</v>
      </c>
      <c r="X372" s="360">
        <v>23</v>
      </c>
      <c r="Y372" s="360" t="s">
        <v>46</v>
      </c>
      <c r="Z372" s="360">
        <v>64</v>
      </c>
      <c r="AA372" s="360">
        <v>201</v>
      </c>
      <c r="AB372" s="360">
        <v>31.8</v>
      </c>
      <c r="AQ372" t="str">
        <f t="shared" si="40"/>
        <v>2005MaleRural19</v>
      </c>
      <c r="AR372">
        <v>2005</v>
      </c>
      <c r="AS372" t="s">
        <v>20</v>
      </c>
      <c r="AT372" t="s">
        <v>96</v>
      </c>
      <c r="AU372">
        <v>19</v>
      </c>
      <c r="AV372">
        <v>64</v>
      </c>
      <c r="AW372">
        <v>23.834037279183299</v>
      </c>
      <c r="AX372">
        <v>5.8</v>
      </c>
      <c r="CB372" t="str">
        <f t="shared" si="43"/>
        <v>AllSexAllEth19Hanging, strangulation and suffocation</v>
      </c>
      <c r="CC372" t="s">
        <v>17</v>
      </c>
      <c r="CD372" t="s">
        <v>27</v>
      </c>
      <c r="CE372" t="s">
        <v>43</v>
      </c>
      <c r="CF372">
        <v>19</v>
      </c>
      <c r="CG372">
        <v>1577</v>
      </c>
      <c r="CH372">
        <v>2592</v>
      </c>
      <c r="CI372">
        <v>60.8</v>
      </c>
    </row>
    <row r="373" spans="1:87" x14ac:dyDescent="0.2">
      <c r="A373" t="str">
        <f t="shared" si="38"/>
        <v>2000AllSexMaori25</v>
      </c>
      <c r="B373">
        <v>2000</v>
      </c>
      <c r="C373" t="s">
        <v>17</v>
      </c>
      <c r="D373" t="s">
        <v>18</v>
      </c>
      <c r="E373">
        <v>25</v>
      </c>
      <c r="F373">
        <v>1</v>
      </c>
      <c r="G373">
        <v>5.3276505061268002</v>
      </c>
      <c r="H373">
        <v>10.4</v>
      </c>
      <c r="J373" s="358" t="str">
        <f t="shared" si="39"/>
        <v>2014FemaleMaori195</v>
      </c>
      <c r="K373" s="359">
        <v>2014</v>
      </c>
      <c r="L373" t="s">
        <v>8</v>
      </c>
      <c r="M373" t="s">
        <v>18</v>
      </c>
      <c r="N373">
        <v>19</v>
      </c>
      <c r="O373">
        <v>5</v>
      </c>
      <c r="P373">
        <v>13</v>
      </c>
      <c r="Q373">
        <v>9.0378168263329002</v>
      </c>
      <c r="R373">
        <v>4.9000000000000004</v>
      </c>
      <c r="T373" s="358" t="str">
        <f t="shared" si="41"/>
        <v>1997MaleAllEth24Poisoning by gases and vapours</v>
      </c>
      <c r="U373" s="360">
        <v>1997</v>
      </c>
      <c r="V373" s="360" t="s">
        <v>20</v>
      </c>
      <c r="W373" s="360" t="s">
        <v>27</v>
      </c>
      <c r="X373" s="360">
        <v>24</v>
      </c>
      <c r="Y373" s="360" t="s">
        <v>46</v>
      </c>
      <c r="Z373" s="360">
        <v>19</v>
      </c>
      <c r="AA373" s="360">
        <v>76</v>
      </c>
      <c r="AB373" s="360">
        <v>25</v>
      </c>
      <c r="AQ373" t="str">
        <f t="shared" si="40"/>
        <v>2005MaleUrban19</v>
      </c>
      <c r="AR373">
        <v>2005</v>
      </c>
      <c r="AS373" t="s">
        <v>20</v>
      </c>
      <c r="AT373" t="s">
        <v>97</v>
      </c>
      <c r="AU373">
        <v>19</v>
      </c>
      <c r="AV373">
        <v>312</v>
      </c>
      <c r="AW373">
        <v>17.728483527615101</v>
      </c>
      <c r="AX373">
        <v>2</v>
      </c>
      <c r="CB373" t="str">
        <f t="shared" si="43"/>
        <v>AllSexAllEth19Jumping from a high place</v>
      </c>
      <c r="CC373" t="s">
        <v>17</v>
      </c>
      <c r="CD373" t="s">
        <v>27</v>
      </c>
      <c r="CE373" t="s">
        <v>44</v>
      </c>
      <c r="CF373">
        <v>19</v>
      </c>
      <c r="CG373">
        <v>78</v>
      </c>
      <c r="CH373">
        <v>2592</v>
      </c>
      <c r="CI373">
        <v>3</v>
      </c>
    </row>
    <row r="374" spans="1:87" x14ac:dyDescent="0.2">
      <c r="A374" t="str">
        <f t="shared" si="38"/>
        <v>2000AllSexNon-Maori21</v>
      </c>
      <c r="B374">
        <v>2000</v>
      </c>
      <c r="C374" t="s">
        <v>17</v>
      </c>
      <c r="D374" t="s">
        <v>19</v>
      </c>
      <c r="E374">
        <v>21</v>
      </c>
      <c r="F374">
        <v>3</v>
      </c>
      <c r="J374" s="358" t="str">
        <f t="shared" si="39"/>
        <v>2015FemaleMaori191</v>
      </c>
      <c r="K374" s="359">
        <v>2015</v>
      </c>
      <c r="L374" t="s">
        <v>8</v>
      </c>
      <c r="M374" t="s">
        <v>18</v>
      </c>
      <c r="N374">
        <v>19</v>
      </c>
      <c r="O374">
        <v>1</v>
      </c>
      <c r="P374">
        <v>2</v>
      </c>
      <c r="Q374">
        <v>6.2701219219514899</v>
      </c>
      <c r="R374">
        <v>8.6999999999999993</v>
      </c>
      <c r="T374" s="358" t="str">
        <f t="shared" si="41"/>
        <v>1997MaleAllEth25Poisoning by gases and vapours</v>
      </c>
      <c r="U374" s="360">
        <v>1997</v>
      </c>
      <c r="V374" s="360" t="s">
        <v>20</v>
      </c>
      <c r="W374" s="360" t="s">
        <v>27</v>
      </c>
      <c r="X374" s="360">
        <v>25</v>
      </c>
      <c r="Y374" s="360" t="s">
        <v>46</v>
      </c>
      <c r="Z374" s="360">
        <v>16</v>
      </c>
      <c r="AA374" s="360">
        <v>46</v>
      </c>
      <c r="AB374" s="360">
        <v>34.799999999999997</v>
      </c>
      <c r="AQ374" t="str">
        <f t="shared" si="40"/>
        <v>2006MaleRural19</v>
      </c>
      <c r="AR374">
        <v>2006</v>
      </c>
      <c r="AS374" t="s">
        <v>20</v>
      </c>
      <c r="AT374" t="s">
        <v>96</v>
      </c>
      <c r="AU374">
        <v>19</v>
      </c>
      <c r="AV374">
        <v>71</v>
      </c>
      <c r="AW374">
        <v>26.870836571005299</v>
      </c>
      <c r="AX374">
        <v>6.3</v>
      </c>
      <c r="CB374" t="str">
        <f t="shared" si="43"/>
        <v>AllSexAllEth19Other</v>
      </c>
      <c r="CC374" t="s">
        <v>17</v>
      </c>
      <c r="CD374" t="s">
        <v>27</v>
      </c>
      <c r="CE374" t="s">
        <v>45</v>
      </c>
      <c r="CF374">
        <v>19</v>
      </c>
      <c r="CG374">
        <v>96</v>
      </c>
      <c r="CH374">
        <v>2592</v>
      </c>
      <c r="CI374">
        <v>3.7</v>
      </c>
    </row>
    <row r="375" spans="1:87" x14ac:dyDescent="0.2">
      <c r="A375" t="str">
        <f t="shared" si="38"/>
        <v>2000AllSexNon-Maori22</v>
      </c>
      <c r="B375">
        <v>2000</v>
      </c>
      <c r="C375" t="s">
        <v>17</v>
      </c>
      <c r="D375" t="s">
        <v>19</v>
      </c>
      <c r="E375">
        <v>22</v>
      </c>
      <c r="F375">
        <v>68</v>
      </c>
      <c r="G375">
        <v>15.9399906235349</v>
      </c>
      <c r="H375">
        <v>3.8</v>
      </c>
      <c r="J375" s="358" t="str">
        <f t="shared" si="39"/>
        <v>2015FemaleMaori192</v>
      </c>
      <c r="K375" s="359">
        <v>2015</v>
      </c>
      <c r="L375" t="s">
        <v>8</v>
      </c>
      <c r="M375" t="s">
        <v>18</v>
      </c>
      <c r="N375">
        <v>19</v>
      </c>
      <c r="O375">
        <v>2</v>
      </c>
      <c r="P375">
        <v>5</v>
      </c>
      <c r="Q375">
        <v>12.4456466185735</v>
      </c>
      <c r="R375">
        <v>10.9</v>
      </c>
      <c r="T375" s="358" t="str">
        <f t="shared" si="41"/>
        <v>1997MaleAllEth22Poisoning by solids and liquids</v>
      </c>
      <c r="U375" s="360">
        <v>1997</v>
      </c>
      <c r="V375" s="360" t="s">
        <v>20</v>
      </c>
      <c r="W375" s="360" t="s">
        <v>27</v>
      </c>
      <c r="X375" s="360">
        <v>22</v>
      </c>
      <c r="Y375" s="360" t="s">
        <v>47</v>
      </c>
      <c r="Z375" s="360">
        <v>6</v>
      </c>
      <c r="AA375" s="360">
        <v>113</v>
      </c>
      <c r="AB375" s="360">
        <v>5.3</v>
      </c>
      <c r="AQ375" t="str">
        <f t="shared" si="40"/>
        <v>2006MaleUrban19</v>
      </c>
      <c r="AR375">
        <v>2006</v>
      </c>
      <c r="AS375" t="s">
        <v>20</v>
      </c>
      <c r="AT375" t="s">
        <v>97</v>
      </c>
      <c r="AU375">
        <v>19</v>
      </c>
      <c r="AV375">
        <v>311</v>
      </c>
      <c r="AW375">
        <v>17.2562238642364</v>
      </c>
      <c r="AX375">
        <v>1.9</v>
      </c>
      <c r="CB375" t="str">
        <f t="shared" si="43"/>
        <v>AllSexAllEth19Poisoning by gases and vapours</v>
      </c>
      <c r="CC375" t="s">
        <v>17</v>
      </c>
      <c r="CD375" t="s">
        <v>27</v>
      </c>
      <c r="CE375" t="s">
        <v>46</v>
      </c>
      <c r="CF375">
        <v>19</v>
      </c>
      <c r="CG375">
        <v>223</v>
      </c>
      <c r="CH375">
        <v>2592</v>
      </c>
      <c r="CI375">
        <v>8.6</v>
      </c>
    </row>
    <row r="376" spans="1:87" x14ac:dyDescent="0.2">
      <c r="A376" t="str">
        <f t="shared" si="38"/>
        <v>2000AllSexNon-Maori23</v>
      </c>
      <c r="B376">
        <v>2000</v>
      </c>
      <c r="C376" t="s">
        <v>17</v>
      </c>
      <c r="D376" t="s">
        <v>19</v>
      </c>
      <c r="E376">
        <v>23</v>
      </c>
      <c r="F376">
        <v>169</v>
      </c>
      <c r="G376">
        <v>16.9221680401326</v>
      </c>
      <c r="H376">
        <v>2.6</v>
      </c>
      <c r="J376" s="358" t="str">
        <f t="shared" si="39"/>
        <v>2015FemaleMaori193</v>
      </c>
      <c r="K376" s="359">
        <v>2015</v>
      </c>
      <c r="L376" t="s">
        <v>8</v>
      </c>
      <c r="M376" t="s">
        <v>18</v>
      </c>
      <c r="N376">
        <v>19</v>
      </c>
      <c r="O376">
        <v>3</v>
      </c>
      <c r="P376">
        <v>4</v>
      </c>
      <c r="Q376">
        <v>7.4161294982403403</v>
      </c>
      <c r="R376">
        <v>7.3</v>
      </c>
      <c r="T376" s="358" t="str">
        <f t="shared" si="41"/>
        <v>1997MaleAllEth23Poisoning by solids and liquids</v>
      </c>
      <c r="U376" s="360">
        <v>1997</v>
      </c>
      <c r="V376" s="360" t="s">
        <v>20</v>
      </c>
      <c r="W376" s="360" t="s">
        <v>27</v>
      </c>
      <c r="X376" s="360">
        <v>23</v>
      </c>
      <c r="Y376" s="360" t="s">
        <v>47</v>
      </c>
      <c r="Z376" s="360">
        <v>12</v>
      </c>
      <c r="AA376" s="360">
        <v>201</v>
      </c>
      <c r="AB376" s="360">
        <v>6</v>
      </c>
      <c r="AQ376" t="str">
        <f t="shared" si="40"/>
        <v>2007MaleRural19</v>
      </c>
      <c r="AR376">
        <v>2007</v>
      </c>
      <c r="AS376" t="s">
        <v>20</v>
      </c>
      <c r="AT376" t="s">
        <v>96</v>
      </c>
      <c r="AU376">
        <v>19</v>
      </c>
      <c r="AV376">
        <v>63</v>
      </c>
      <c r="AW376">
        <v>22.669213241315301</v>
      </c>
      <c r="AX376">
        <v>5.6</v>
      </c>
      <c r="CB376" t="str">
        <f t="shared" si="43"/>
        <v>AllSexAllEth19Poisoning by solids and liquids</v>
      </c>
      <c r="CC376" t="s">
        <v>17</v>
      </c>
      <c r="CD376" t="s">
        <v>27</v>
      </c>
      <c r="CE376" t="s">
        <v>47</v>
      </c>
      <c r="CF376">
        <v>19</v>
      </c>
      <c r="CG376">
        <v>302</v>
      </c>
      <c r="CH376">
        <v>2592</v>
      </c>
      <c r="CI376">
        <v>11.7</v>
      </c>
    </row>
    <row r="377" spans="1:87" x14ac:dyDescent="0.2">
      <c r="A377" t="str">
        <f t="shared" si="38"/>
        <v>2000AllSexNon-Maori24</v>
      </c>
      <c r="B377">
        <v>2000</v>
      </c>
      <c r="C377" t="s">
        <v>17</v>
      </c>
      <c r="D377" t="s">
        <v>19</v>
      </c>
      <c r="E377">
        <v>24</v>
      </c>
      <c r="F377">
        <v>93</v>
      </c>
      <c r="G377">
        <v>12.2329790592444</v>
      </c>
      <c r="H377">
        <v>2.5</v>
      </c>
      <c r="J377" s="358" t="str">
        <f t="shared" si="39"/>
        <v>2015FemaleMaori194</v>
      </c>
      <c r="K377" s="359">
        <v>2015</v>
      </c>
      <c r="L377" t="s">
        <v>8</v>
      </c>
      <c r="M377" t="s">
        <v>18</v>
      </c>
      <c r="N377">
        <v>19</v>
      </c>
      <c r="O377">
        <v>4</v>
      </c>
      <c r="P377">
        <v>10</v>
      </c>
      <c r="Q377">
        <v>10.759186857971001</v>
      </c>
      <c r="R377">
        <v>6.7</v>
      </c>
      <c r="T377" s="358" t="str">
        <f t="shared" si="41"/>
        <v>1997MaleAllEth24Poisoning by solids and liquids</v>
      </c>
      <c r="U377" s="360">
        <v>1997</v>
      </c>
      <c r="V377" s="360" t="s">
        <v>20</v>
      </c>
      <c r="W377" s="360" t="s">
        <v>27</v>
      </c>
      <c r="X377" s="360">
        <v>24</v>
      </c>
      <c r="Y377" s="360" t="s">
        <v>47</v>
      </c>
      <c r="Z377" s="360">
        <v>4</v>
      </c>
      <c r="AA377" s="360">
        <v>76</v>
      </c>
      <c r="AB377" s="360">
        <v>5.3</v>
      </c>
      <c r="AQ377" t="str">
        <f t="shared" si="40"/>
        <v>2007MaleUrban19</v>
      </c>
      <c r="AR377">
        <v>2007</v>
      </c>
      <c r="AS377" t="s">
        <v>20</v>
      </c>
      <c r="AT377" t="s">
        <v>97</v>
      </c>
      <c r="AU377">
        <v>19</v>
      </c>
      <c r="AV377">
        <v>315</v>
      </c>
      <c r="AW377">
        <v>17.326727470575801</v>
      </c>
      <c r="AX377">
        <v>1.9</v>
      </c>
      <c r="CB377" t="str">
        <f t="shared" si="43"/>
        <v>AllSexAllEth19Sharp object</v>
      </c>
      <c r="CC377" t="s">
        <v>17</v>
      </c>
      <c r="CD377" t="s">
        <v>27</v>
      </c>
      <c r="CE377" t="s">
        <v>48</v>
      </c>
      <c r="CF377">
        <v>19</v>
      </c>
      <c r="CG377">
        <v>48</v>
      </c>
      <c r="CH377">
        <v>2592</v>
      </c>
      <c r="CI377">
        <v>1.9</v>
      </c>
    </row>
    <row r="378" spans="1:87" x14ac:dyDescent="0.2">
      <c r="A378" t="str">
        <f t="shared" si="38"/>
        <v>2000AllSexNon-Maori25</v>
      </c>
      <c r="B378">
        <v>2000</v>
      </c>
      <c r="C378" t="s">
        <v>17</v>
      </c>
      <c r="D378" t="s">
        <v>19</v>
      </c>
      <c r="E378">
        <v>25</v>
      </c>
      <c r="F378">
        <v>46</v>
      </c>
      <c r="G378">
        <v>10.582497469402799</v>
      </c>
      <c r="H378">
        <v>3.1</v>
      </c>
      <c r="J378" s="358" t="str">
        <f t="shared" si="39"/>
        <v>2015FemaleMaori195</v>
      </c>
      <c r="K378" s="359">
        <v>2015</v>
      </c>
      <c r="L378" t="s">
        <v>8</v>
      </c>
      <c r="M378" t="s">
        <v>18</v>
      </c>
      <c r="N378">
        <v>19</v>
      </c>
      <c r="O378">
        <v>5</v>
      </c>
      <c r="P378">
        <v>20</v>
      </c>
      <c r="Q378">
        <v>13.683339328022299</v>
      </c>
      <c r="R378">
        <v>6</v>
      </c>
      <c r="T378" s="358" t="str">
        <f t="shared" si="41"/>
        <v>1997MaleAllEth25Poisoning by solids and liquids</v>
      </c>
      <c r="U378" s="360">
        <v>1997</v>
      </c>
      <c r="V378" s="360" t="s">
        <v>20</v>
      </c>
      <c r="W378" s="360" t="s">
        <v>27</v>
      </c>
      <c r="X378" s="360">
        <v>25</v>
      </c>
      <c r="Y378" s="360" t="s">
        <v>47</v>
      </c>
      <c r="Z378" s="360">
        <v>4</v>
      </c>
      <c r="AA378" s="360">
        <v>46</v>
      </c>
      <c r="AB378" s="360">
        <v>8.6999999999999993</v>
      </c>
      <c r="AQ378" t="str">
        <f t="shared" si="40"/>
        <v>2008MaleRural19</v>
      </c>
      <c r="AR378">
        <v>2008</v>
      </c>
      <c r="AS378" t="s">
        <v>20</v>
      </c>
      <c r="AT378" t="s">
        <v>96</v>
      </c>
      <c r="AU378">
        <v>19</v>
      </c>
      <c r="AV378">
        <v>73</v>
      </c>
      <c r="AW378">
        <v>26.472899772027301</v>
      </c>
      <c r="AX378">
        <v>6.1</v>
      </c>
      <c r="CB378" t="str">
        <f t="shared" si="43"/>
        <v>AllSexAllEth19Submersion (drowning)</v>
      </c>
      <c r="CC378" t="s">
        <v>17</v>
      </c>
      <c r="CD378" t="s">
        <v>27</v>
      </c>
      <c r="CE378" t="s">
        <v>49</v>
      </c>
      <c r="CF378">
        <v>19</v>
      </c>
      <c r="CG378">
        <v>55</v>
      </c>
      <c r="CH378">
        <v>2592</v>
      </c>
      <c r="CI378">
        <v>2.1</v>
      </c>
    </row>
    <row r="379" spans="1:87" x14ac:dyDescent="0.2">
      <c r="A379" t="str">
        <f t="shared" si="38"/>
        <v>2000FemaleAllEth21</v>
      </c>
      <c r="B379">
        <v>2000</v>
      </c>
      <c r="C379" t="s">
        <v>8</v>
      </c>
      <c r="D379" t="s">
        <v>27</v>
      </c>
      <c r="E379">
        <v>21</v>
      </c>
      <c r="F379">
        <v>1</v>
      </c>
      <c r="J379" s="358" t="str">
        <f t="shared" si="39"/>
        <v>2001FemaleNon-Maori191</v>
      </c>
      <c r="K379" s="359">
        <v>2001</v>
      </c>
      <c r="L379" t="s">
        <v>8</v>
      </c>
      <c r="M379" t="s">
        <v>19</v>
      </c>
      <c r="N379">
        <v>19</v>
      </c>
      <c r="O379">
        <v>1</v>
      </c>
      <c r="P379">
        <v>15</v>
      </c>
      <c r="Q379">
        <v>4.94310556999437</v>
      </c>
      <c r="R379">
        <v>2.5</v>
      </c>
      <c r="T379" s="358" t="str">
        <f t="shared" si="41"/>
        <v>1997MaleAllEth23Sharp object</v>
      </c>
      <c r="U379" s="360">
        <v>1997</v>
      </c>
      <c r="V379" s="360" t="s">
        <v>20</v>
      </c>
      <c r="W379" s="360" t="s">
        <v>27</v>
      </c>
      <c r="X379" s="360">
        <v>23</v>
      </c>
      <c r="Y379" s="360" t="s">
        <v>48</v>
      </c>
      <c r="Z379" s="360">
        <v>4</v>
      </c>
      <c r="AA379" s="360">
        <v>201</v>
      </c>
      <c r="AB379" s="360">
        <v>2</v>
      </c>
      <c r="AQ379" t="str">
        <f t="shared" si="40"/>
        <v>2008MaleUrban19</v>
      </c>
      <c r="AR379">
        <v>2008</v>
      </c>
      <c r="AS379" t="s">
        <v>20</v>
      </c>
      <c r="AT379" t="s">
        <v>97</v>
      </c>
      <c r="AU379">
        <v>19</v>
      </c>
      <c r="AV379">
        <v>301</v>
      </c>
      <c r="AW379">
        <v>16.357413650779002</v>
      </c>
      <c r="AX379">
        <v>1.8</v>
      </c>
      <c r="CB379" t="str">
        <f t="shared" si="43"/>
        <v>AllSexAsian19Firearms and explosives</v>
      </c>
      <c r="CC379" t="s">
        <v>17</v>
      </c>
      <c r="CD379" t="s">
        <v>78</v>
      </c>
      <c r="CE379" t="s">
        <v>42</v>
      </c>
      <c r="CF379">
        <v>19</v>
      </c>
      <c r="CG379">
        <v>1</v>
      </c>
      <c r="CH379">
        <v>126</v>
      </c>
      <c r="CI379">
        <v>0.8</v>
      </c>
    </row>
    <row r="380" spans="1:87" x14ac:dyDescent="0.2">
      <c r="A380" t="str">
        <f t="shared" si="38"/>
        <v>2000FemaleAllEth22</v>
      </c>
      <c r="B380">
        <v>2000</v>
      </c>
      <c r="C380" t="s">
        <v>8</v>
      </c>
      <c r="D380" t="s">
        <v>27</v>
      </c>
      <c r="E380">
        <v>22</v>
      </c>
      <c r="F380">
        <v>15</v>
      </c>
      <c r="G380">
        <v>5.7297834141869401</v>
      </c>
      <c r="H380">
        <v>2.9</v>
      </c>
      <c r="J380" s="358" t="str">
        <f t="shared" si="39"/>
        <v>2001FemaleNon-Maori192</v>
      </c>
      <c r="K380" s="359">
        <v>2001</v>
      </c>
      <c r="L380" t="s">
        <v>8</v>
      </c>
      <c r="M380" t="s">
        <v>19</v>
      </c>
      <c r="N380">
        <v>19</v>
      </c>
      <c r="O380">
        <v>2</v>
      </c>
      <c r="P380">
        <v>16</v>
      </c>
      <c r="Q380">
        <v>4.1682896987340996</v>
      </c>
      <c r="R380">
        <v>2</v>
      </c>
      <c r="T380" s="358" t="str">
        <f t="shared" si="41"/>
        <v>1997MaleAllEth24Sharp object</v>
      </c>
      <c r="U380" s="360">
        <v>1997</v>
      </c>
      <c r="V380" s="360" t="s">
        <v>20</v>
      </c>
      <c r="W380" s="360" t="s">
        <v>27</v>
      </c>
      <c r="X380" s="360">
        <v>24</v>
      </c>
      <c r="Y380" s="360" t="s">
        <v>48</v>
      </c>
      <c r="Z380" s="360">
        <v>4</v>
      </c>
      <c r="AA380" s="360">
        <v>76</v>
      </c>
      <c r="AB380" s="360">
        <v>5.3</v>
      </c>
      <c r="AQ380" t="str">
        <f t="shared" si="40"/>
        <v>2009MaleRural19</v>
      </c>
      <c r="AR380">
        <v>2009</v>
      </c>
      <c r="AS380" t="s">
        <v>20</v>
      </c>
      <c r="AT380" t="s">
        <v>96</v>
      </c>
      <c r="AU380">
        <v>19</v>
      </c>
      <c r="AV380">
        <v>63</v>
      </c>
      <c r="AW380">
        <v>21.088183746651701</v>
      </c>
      <c r="AX380">
        <v>5.2</v>
      </c>
      <c r="CB380" t="str">
        <f t="shared" si="43"/>
        <v>AllSexAsian19Hanging, strangulation and suffocation</v>
      </c>
      <c r="CC380" t="s">
        <v>17</v>
      </c>
      <c r="CD380" t="s">
        <v>78</v>
      </c>
      <c r="CE380" t="s">
        <v>43</v>
      </c>
      <c r="CF380">
        <v>19</v>
      </c>
      <c r="CG380">
        <v>83</v>
      </c>
      <c r="CH380">
        <v>126</v>
      </c>
      <c r="CI380">
        <v>65.900000000000006</v>
      </c>
    </row>
    <row r="381" spans="1:87" x14ac:dyDescent="0.2">
      <c r="A381" t="str">
        <f t="shared" si="38"/>
        <v>2000FemaleAllEth23</v>
      </c>
      <c r="B381">
        <v>2000</v>
      </c>
      <c r="C381" t="s">
        <v>8</v>
      </c>
      <c r="D381" t="s">
        <v>27</v>
      </c>
      <c r="E381">
        <v>23</v>
      </c>
      <c r="F381">
        <v>38</v>
      </c>
      <c r="G381">
        <v>6.3395672411204398</v>
      </c>
      <c r="H381">
        <v>2</v>
      </c>
      <c r="J381" s="358" t="str">
        <f t="shared" si="39"/>
        <v>2001FemaleNon-Maori193</v>
      </c>
      <c r="K381" s="359">
        <v>2001</v>
      </c>
      <c r="L381" t="s">
        <v>8</v>
      </c>
      <c r="M381" t="s">
        <v>19</v>
      </c>
      <c r="N381">
        <v>19</v>
      </c>
      <c r="O381">
        <v>3</v>
      </c>
      <c r="P381">
        <v>24</v>
      </c>
      <c r="Q381">
        <v>6.1135817272892998</v>
      </c>
      <c r="R381">
        <v>2.4</v>
      </c>
      <c r="T381" s="358" t="str">
        <f t="shared" si="41"/>
        <v>1997MaleAllEth25Sharp object</v>
      </c>
      <c r="U381" s="360">
        <v>1997</v>
      </c>
      <c r="V381" s="360" t="s">
        <v>20</v>
      </c>
      <c r="W381" s="360" t="s">
        <v>27</v>
      </c>
      <c r="X381" s="360">
        <v>25</v>
      </c>
      <c r="Y381" s="360" t="s">
        <v>48</v>
      </c>
      <c r="Z381" s="360">
        <v>3</v>
      </c>
      <c r="AA381" s="360">
        <v>46</v>
      </c>
      <c r="AB381" s="360">
        <v>6.5</v>
      </c>
      <c r="AQ381" t="str">
        <f t="shared" si="40"/>
        <v>2009MaleUrban19</v>
      </c>
      <c r="AR381">
        <v>2009</v>
      </c>
      <c r="AS381" t="s">
        <v>20</v>
      </c>
      <c r="AT381" t="s">
        <v>97</v>
      </c>
      <c r="AU381">
        <v>19</v>
      </c>
      <c r="AV381">
        <v>329</v>
      </c>
      <c r="AW381">
        <v>17.784069062315101</v>
      </c>
      <c r="AX381">
        <v>1.9</v>
      </c>
      <c r="CB381" t="str">
        <f t="shared" si="43"/>
        <v>AllSexAsian19Jumping from a high place</v>
      </c>
      <c r="CC381" t="s">
        <v>17</v>
      </c>
      <c r="CD381" t="s">
        <v>78</v>
      </c>
      <c r="CE381" t="s">
        <v>44</v>
      </c>
      <c r="CF381">
        <v>19</v>
      </c>
      <c r="CG381">
        <v>15</v>
      </c>
      <c r="CH381">
        <v>126</v>
      </c>
      <c r="CI381">
        <v>11.9</v>
      </c>
    </row>
    <row r="382" spans="1:87" x14ac:dyDescent="0.2">
      <c r="A382" t="str">
        <f t="shared" si="38"/>
        <v>2000FemaleAllEth24</v>
      </c>
      <c r="B382">
        <v>2000</v>
      </c>
      <c r="C382" t="s">
        <v>8</v>
      </c>
      <c r="D382" t="s">
        <v>27</v>
      </c>
      <c r="E382">
        <v>24</v>
      </c>
      <c r="F382">
        <v>23</v>
      </c>
      <c r="G382">
        <v>5.4634424438215596</v>
      </c>
      <c r="H382">
        <v>2.2000000000000002</v>
      </c>
      <c r="J382" s="358" t="str">
        <f t="shared" si="39"/>
        <v>2001FemaleNon-Maori194</v>
      </c>
      <c r="K382" s="359">
        <v>2001</v>
      </c>
      <c r="L382" t="s">
        <v>8</v>
      </c>
      <c r="M382" t="s">
        <v>19</v>
      </c>
      <c r="N382">
        <v>19</v>
      </c>
      <c r="O382">
        <v>4</v>
      </c>
      <c r="P382">
        <v>19</v>
      </c>
      <c r="Q382">
        <v>4.64975099242029</v>
      </c>
      <c r="R382">
        <v>2.1</v>
      </c>
      <c r="T382" s="358" t="str">
        <f t="shared" si="41"/>
        <v>1997MaleAllEth22Submersion (drowning)</v>
      </c>
      <c r="U382" s="360">
        <v>1997</v>
      </c>
      <c r="V382" s="360" t="s">
        <v>20</v>
      </c>
      <c r="W382" s="360" t="s">
        <v>27</v>
      </c>
      <c r="X382" s="360">
        <v>22</v>
      </c>
      <c r="Y382" s="360" t="s">
        <v>49</v>
      </c>
      <c r="Z382" s="360">
        <v>1</v>
      </c>
      <c r="AA382" s="360">
        <v>113</v>
      </c>
      <c r="AB382" s="360">
        <v>0.9</v>
      </c>
      <c r="AQ382" t="str">
        <f t="shared" si="40"/>
        <v>2010MaleRural19</v>
      </c>
      <c r="AR382">
        <v>2010</v>
      </c>
      <c r="AS382" t="s">
        <v>20</v>
      </c>
      <c r="AT382" t="s">
        <v>96</v>
      </c>
      <c r="AU382">
        <v>19</v>
      </c>
      <c r="AV382">
        <v>80</v>
      </c>
      <c r="AW382">
        <v>26.602020536097399</v>
      </c>
      <c r="AX382">
        <v>5.8</v>
      </c>
      <c r="CB382" t="str">
        <f t="shared" si="43"/>
        <v>AllSexAsian19Other</v>
      </c>
      <c r="CC382" t="s">
        <v>17</v>
      </c>
      <c r="CD382" t="s">
        <v>78</v>
      </c>
      <c r="CE382" t="s">
        <v>45</v>
      </c>
      <c r="CF382">
        <v>19</v>
      </c>
      <c r="CG382">
        <v>5</v>
      </c>
      <c r="CH382">
        <v>126</v>
      </c>
      <c r="CI382">
        <v>4</v>
      </c>
    </row>
    <row r="383" spans="1:87" x14ac:dyDescent="0.2">
      <c r="A383" t="str">
        <f t="shared" si="38"/>
        <v>2000FemaleAllEth25</v>
      </c>
      <c r="B383">
        <v>2000</v>
      </c>
      <c r="C383" t="s">
        <v>8</v>
      </c>
      <c r="D383" t="s">
        <v>27</v>
      </c>
      <c r="E383">
        <v>25</v>
      </c>
      <c r="F383">
        <v>6</v>
      </c>
      <c r="G383">
        <v>2.3488881929220198</v>
      </c>
      <c r="H383">
        <v>1.9</v>
      </c>
      <c r="J383" s="358" t="str">
        <f t="shared" si="39"/>
        <v>2001FemaleNon-Maori195</v>
      </c>
      <c r="K383" s="359">
        <v>2001</v>
      </c>
      <c r="L383" t="s">
        <v>8</v>
      </c>
      <c r="M383" t="s">
        <v>19</v>
      </c>
      <c r="N383">
        <v>19</v>
      </c>
      <c r="O383">
        <v>5</v>
      </c>
      <c r="P383">
        <v>18</v>
      </c>
      <c r="Q383">
        <v>6.4502107923440297</v>
      </c>
      <c r="R383">
        <v>3</v>
      </c>
      <c r="T383" s="358" t="str">
        <f t="shared" si="41"/>
        <v>1997MaleAllEth23Submersion (drowning)</v>
      </c>
      <c r="U383" s="360">
        <v>1997</v>
      </c>
      <c r="V383" s="360" t="s">
        <v>20</v>
      </c>
      <c r="W383" s="360" t="s">
        <v>27</v>
      </c>
      <c r="X383" s="360">
        <v>23</v>
      </c>
      <c r="Y383" s="360" t="s">
        <v>49</v>
      </c>
      <c r="Z383" s="360">
        <v>4</v>
      </c>
      <c r="AA383" s="360">
        <v>201</v>
      </c>
      <c r="AB383" s="360">
        <v>2</v>
      </c>
      <c r="AQ383" t="str">
        <f t="shared" si="40"/>
        <v>2010MaleUrban19</v>
      </c>
      <c r="AR383">
        <v>2010</v>
      </c>
      <c r="AS383" t="s">
        <v>20</v>
      </c>
      <c r="AT383" t="s">
        <v>97</v>
      </c>
      <c r="AU383">
        <v>19</v>
      </c>
      <c r="AV383">
        <v>301</v>
      </c>
      <c r="AW383">
        <v>16.018934411449798</v>
      </c>
      <c r="AX383">
        <v>1.8</v>
      </c>
      <c r="CB383" t="str">
        <f t="shared" si="43"/>
        <v>AllSexAsian19Poisoning by gases and vapours</v>
      </c>
      <c r="CC383" t="s">
        <v>17</v>
      </c>
      <c r="CD383" t="s">
        <v>78</v>
      </c>
      <c r="CE383" t="s">
        <v>46</v>
      </c>
      <c r="CF383">
        <v>19</v>
      </c>
      <c r="CG383">
        <v>6</v>
      </c>
      <c r="CH383">
        <v>126</v>
      </c>
      <c r="CI383">
        <v>4.8</v>
      </c>
    </row>
    <row r="384" spans="1:87" x14ac:dyDescent="0.2">
      <c r="A384" t="str">
        <f t="shared" si="38"/>
        <v>2000FemaleMaori21</v>
      </c>
      <c r="B384">
        <v>2000</v>
      </c>
      <c r="C384" t="s">
        <v>8</v>
      </c>
      <c r="D384" t="s">
        <v>18</v>
      </c>
      <c r="E384">
        <v>21</v>
      </c>
      <c r="F384">
        <v>0</v>
      </c>
      <c r="J384" s="358" t="str">
        <f t="shared" si="39"/>
        <v>2002FemaleNon-Maori191</v>
      </c>
      <c r="K384" s="359">
        <v>2002</v>
      </c>
      <c r="L384" t="s">
        <v>8</v>
      </c>
      <c r="M384" t="s">
        <v>19</v>
      </c>
      <c r="N384">
        <v>19</v>
      </c>
      <c r="O384">
        <v>1</v>
      </c>
      <c r="P384">
        <v>16</v>
      </c>
      <c r="Q384">
        <v>4.0708199841942303</v>
      </c>
      <c r="R384">
        <v>2</v>
      </c>
      <c r="T384" s="358" t="str">
        <f t="shared" si="41"/>
        <v>1997MaleAllEth24Submersion (drowning)</v>
      </c>
      <c r="U384" s="360">
        <v>1997</v>
      </c>
      <c r="V384" s="360" t="s">
        <v>20</v>
      </c>
      <c r="W384" s="360" t="s">
        <v>27</v>
      </c>
      <c r="X384" s="360">
        <v>24</v>
      </c>
      <c r="Y384" s="360" t="s">
        <v>49</v>
      </c>
      <c r="Z384" s="360">
        <v>3</v>
      </c>
      <c r="AA384" s="360">
        <v>76</v>
      </c>
      <c r="AB384" s="360">
        <v>3.9</v>
      </c>
      <c r="AQ384" t="str">
        <f t="shared" si="40"/>
        <v>2011MaleRural19</v>
      </c>
      <c r="AR384">
        <v>2011</v>
      </c>
      <c r="AS384" t="s">
        <v>20</v>
      </c>
      <c r="AT384" t="s">
        <v>96</v>
      </c>
      <c r="AU384">
        <v>19</v>
      </c>
      <c r="AV384">
        <v>67</v>
      </c>
      <c r="AW384">
        <v>22.2250104700599</v>
      </c>
      <c r="AX384">
        <v>5.3</v>
      </c>
      <c r="CB384" t="str">
        <f t="shared" si="43"/>
        <v>AllSexAsian19Poisoning by solids and liquids</v>
      </c>
      <c r="CC384" t="s">
        <v>17</v>
      </c>
      <c r="CD384" t="s">
        <v>78</v>
      </c>
      <c r="CE384" t="s">
        <v>47</v>
      </c>
      <c r="CF384">
        <v>19</v>
      </c>
      <c r="CG384">
        <v>10</v>
      </c>
      <c r="CH384">
        <v>126</v>
      </c>
      <c r="CI384">
        <v>7.9</v>
      </c>
    </row>
    <row r="385" spans="1:87" x14ac:dyDescent="0.2">
      <c r="A385" t="str">
        <f t="shared" si="38"/>
        <v>2000FemaleMaori22</v>
      </c>
      <c r="B385">
        <v>2000</v>
      </c>
      <c r="C385" t="s">
        <v>8</v>
      </c>
      <c r="D385" t="s">
        <v>18</v>
      </c>
      <c r="E385">
        <v>22</v>
      </c>
      <c r="F385">
        <v>4</v>
      </c>
      <c r="G385">
        <v>7.7489345215032897</v>
      </c>
      <c r="H385">
        <v>7.6</v>
      </c>
      <c r="J385" s="358" t="str">
        <f t="shared" si="39"/>
        <v>2002FemaleNon-Maori192</v>
      </c>
      <c r="K385" s="359">
        <v>2002</v>
      </c>
      <c r="L385" t="s">
        <v>8</v>
      </c>
      <c r="M385" t="s">
        <v>19</v>
      </c>
      <c r="N385">
        <v>19</v>
      </c>
      <c r="O385">
        <v>2</v>
      </c>
      <c r="P385">
        <v>13</v>
      </c>
      <c r="Q385">
        <v>3.4286605918145399</v>
      </c>
      <c r="R385">
        <v>1.9</v>
      </c>
      <c r="T385" s="358" t="str">
        <f t="shared" si="41"/>
        <v>1997MaleAllEth25Submersion (drowning)</v>
      </c>
      <c r="U385" s="360">
        <v>1997</v>
      </c>
      <c r="V385" s="360" t="s">
        <v>20</v>
      </c>
      <c r="W385" s="360" t="s">
        <v>27</v>
      </c>
      <c r="X385" s="360">
        <v>25</v>
      </c>
      <c r="Y385" s="360" t="s">
        <v>49</v>
      </c>
      <c r="Z385" s="360">
        <v>3</v>
      </c>
      <c r="AA385" s="360">
        <v>46</v>
      </c>
      <c r="AB385" s="360">
        <v>6.5</v>
      </c>
      <c r="AQ385" t="str">
        <f t="shared" si="40"/>
        <v>2011MaleUrban19</v>
      </c>
      <c r="AR385">
        <v>2011</v>
      </c>
      <c r="AS385" t="s">
        <v>20</v>
      </c>
      <c r="AT385" t="s">
        <v>97</v>
      </c>
      <c r="AU385">
        <v>19</v>
      </c>
      <c r="AV385">
        <v>309</v>
      </c>
      <c r="AW385">
        <v>16.642211286059698</v>
      </c>
      <c r="AX385">
        <v>1.9</v>
      </c>
      <c r="CB385" t="str">
        <f t="shared" si="43"/>
        <v>AllSexAsian19Sharp object</v>
      </c>
      <c r="CC385" t="s">
        <v>17</v>
      </c>
      <c r="CD385" t="s">
        <v>78</v>
      </c>
      <c r="CE385" t="s">
        <v>48</v>
      </c>
      <c r="CF385">
        <v>19</v>
      </c>
      <c r="CG385">
        <v>2</v>
      </c>
      <c r="CH385">
        <v>126</v>
      </c>
      <c r="CI385">
        <v>1.6</v>
      </c>
    </row>
    <row r="386" spans="1:87" x14ac:dyDescent="0.2">
      <c r="A386" t="str">
        <f t="shared" si="38"/>
        <v>2000FemaleMaori23</v>
      </c>
      <c r="B386">
        <v>2000</v>
      </c>
      <c r="C386" t="s">
        <v>8</v>
      </c>
      <c r="D386" t="s">
        <v>18</v>
      </c>
      <c r="E386">
        <v>23</v>
      </c>
      <c r="F386">
        <v>5</v>
      </c>
      <c r="G386">
        <v>5.7451453521774098</v>
      </c>
      <c r="H386">
        <v>5</v>
      </c>
      <c r="J386" s="358" t="str">
        <f t="shared" si="39"/>
        <v>2002FemaleNon-Maori193</v>
      </c>
      <c r="K386" s="359">
        <v>2002</v>
      </c>
      <c r="L386" t="s">
        <v>8</v>
      </c>
      <c r="M386" t="s">
        <v>19</v>
      </c>
      <c r="N386">
        <v>19</v>
      </c>
      <c r="O386">
        <v>3</v>
      </c>
      <c r="P386">
        <v>17</v>
      </c>
      <c r="Q386">
        <v>5.2766018804986796</v>
      </c>
      <c r="R386">
        <v>2.5</v>
      </c>
      <c r="T386" s="358" t="str">
        <f t="shared" si="41"/>
        <v>1997MaleMaori22Firearms and explosives</v>
      </c>
      <c r="U386" s="360">
        <v>1997</v>
      </c>
      <c r="V386" s="360" t="s">
        <v>20</v>
      </c>
      <c r="W386" s="360" t="s">
        <v>18</v>
      </c>
      <c r="X386" s="360">
        <v>22</v>
      </c>
      <c r="Y386" s="360" t="s">
        <v>42</v>
      </c>
      <c r="Z386" s="360">
        <v>1</v>
      </c>
      <c r="AA386" s="360">
        <v>29</v>
      </c>
      <c r="AB386" s="360">
        <v>3.4</v>
      </c>
      <c r="AQ386" t="str">
        <f t="shared" si="40"/>
        <v>2012MaleRural19</v>
      </c>
      <c r="AR386">
        <v>2012</v>
      </c>
      <c r="AS386" t="s">
        <v>20</v>
      </c>
      <c r="AT386" t="s">
        <v>96</v>
      </c>
      <c r="AU386">
        <v>19</v>
      </c>
      <c r="AV386">
        <v>63</v>
      </c>
      <c r="AW386">
        <v>19.651402276074499</v>
      </c>
      <c r="AX386">
        <v>4.9000000000000004</v>
      </c>
      <c r="CB386" t="str">
        <f t="shared" si="43"/>
        <v>AllSexAsian19Submersion (drowning)</v>
      </c>
      <c r="CC386" t="s">
        <v>17</v>
      </c>
      <c r="CD386" t="s">
        <v>78</v>
      </c>
      <c r="CE386" t="s">
        <v>49</v>
      </c>
      <c r="CF386">
        <v>19</v>
      </c>
      <c r="CG386">
        <v>4</v>
      </c>
      <c r="CH386">
        <v>126</v>
      </c>
      <c r="CI386">
        <v>3.2</v>
      </c>
    </row>
    <row r="387" spans="1:87" x14ac:dyDescent="0.2">
      <c r="A387" t="str">
        <f t="shared" si="38"/>
        <v>2000FemaleMaori24</v>
      </c>
      <c r="B387">
        <v>2000</v>
      </c>
      <c r="C387" t="s">
        <v>8</v>
      </c>
      <c r="D387" t="s">
        <v>18</v>
      </c>
      <c r="E387">
        <v>24</v>
      </c>
      <c r="F387">
        <v>2</v>
      </c>
      <c r="G387">
        <v>5.2273915316257202</v>
      </c>
      <c r="H387">
        <v>7.2</v>
      </c>
      <c r="J387" s="358" t="str">
        <f t="shared" si="39"/>
        <v>2002FemaleNon-Maori194</v>
      </c>
      <c r="K387" s="359">
        <v>2002</v>
      </c>
      <c r="L387" t="s">
        <v>8</v>
      </c>
      <c r="M387" t="s">
        <v>19</v>
      </c>
      <c r="N387">
        <v>19</v>
      </c>
      <c r="O387">
        <v>4</v>
      </c>
      <c r="P387">
        <v>22</v>
      </c>
      <c r="Q387">
        <v>6.3008004343910704</v>
      </c>
      <c r="R387">
        <v>2.6</v>
      </c>
      <c r="T387" s="358" t="str">
        <f t="shared" si="41"/>
        <v>1997MaleMaori23Firearms and explosives</v>
      </c>
      <c r="U387" s="360">
        <v>1997</v>
      </c>
      <c r="V387" s="360" t="s">
        <v>20</v>
      </c>
      <c r="W387" s="360" t="s">
        <v>18</v>
      </c>
      <c r="X387" s="360">
        <v>23</v>
      </c>
      <c r="Y387" s="360" t="s">
        <v>42</v>
      </c>
      <c r="Z387" s="360">
        <v>5</v>
      </c>
      <c r="AA387" s="360">
        <v>41</v>
      </c>
      <c r="AB387" s="360">
        <v>12.2</v>
      </c>
      <c r="AQ387" t="str">
        <f t="shared" si="40"/>
        <v>2012MaleUrban19</v>
      </c>
      <c r="AR387">
        <v>2012</v>
      </c>
      <c r="AS387" t="s">
        <v>20</v>
      </c>
      <c r="AT387" t="s">
        <v>97</v>
      </c>
      <c r="AU387">
        <v>19</v>
      </c>
      <c r="AV387">
        <v>340</v>
      </c>
      <c r="AW387">
        <v>18.321223631494401</v>
      </c>
      <c r="AX387">
        <v>1.9</v>
      </c>
      <c r="CB387" t="str">
        <f t="shared" si="43"/>
        <v>AllSexMaori19Firearms and explosives</v>
      </c>
      <c r="CC387" t="s">
        <v>17</v>
      </c>
      <c r="CD387" t="s">
        <v>18</v>
      </c>
      <c r="CE387" t="s">
        <v>42</v>
      </c>
      <c r="CF387">
        <v>19</v>
      </c>
      <c r="CG387">
        <v>11</v>
      </c>
      <c r="CH387">
        <v>547</v>
      </c>
      <c r="CI387">
        <v>2</v>
      </c>
    </row>
    <row r="388" spans="1:87" x14ac:dyDescent="0.2">
      <c r="A388" t="str">
        <f t="shared" ref="A388:A451" si="44">B388&amp;C388&amp;D388&amp;E388</f>
        <v>2000FemaleMaori25</v>
      </c>
      <c r="B388">
        <v>2000</v>
      </c>
      <c r="C388" t="s">
        <v>8</v>
      </c>
      <c r="D388" t="s">
        <v>18</v>
      </c>
      <c r="E388">
        <v>25</v>
      </c>
      <c r="F388">
        <v>0</v>
      </c>
      <c r="G388">
        <v>0</v>
      </c>
      <c r="J388" s="358" t="str">
        <f t="shared" ref="J388:J451" si="45">K388&amp;L388&amp;M388&amp;N388&amp;O388</f>
        <v>2002FemaleNon-Maori195</v>
      </c>
      <c r="K388" s="359">
        <v>2002</v>
      </c>
      <c r="L388" t="s">
        <v>8</v>
      </c>
      <c r="M388" t="s">
        <v>19</v>
      </c>
      <c r="N388">
        <v>19</v>
      </c>
      <c r="O388">
        <v>5</v>
      </c>
      <c r="P388">
        <v>19</v>
      </c>
      <c r="Q388">
        <v>6.65513494619724</v>
      </c>
      <c r="R388">
        <v>3</v>
      </c>
      <c r="T388" s="358" t="str">
        <f t="shared" si="41"/>
        <v>1997MaleMaori24Firearms and explosives</v>
      </c>
      <c r="U388" s="360">
        <v>1997</v>
      </c>
      <c r="V388" s="360" t="s">
        <v>20</v>
      </c>
      <c r="W388" s="360" t="s">
        <v>18</v>
      </c>
      <c r="X388" s="360">
        <v>24</v>
      </c>
      <c r="Y388" s="360" t="s">
        <v>42</v>
      </c>
      <c r="Z388" s="360">
        <v>1</v>
      </c>
      <c r="AA388" s="360">
        <v>7</v>
      </c>
      <c r="AB388" s="360">
        <v>14.3</v>
      </c>
      <c r="AQ388" t="str">
        <f t="shared" ref="AQ388:AQ393" si="46">AR388&amp;AS388&amp;AT388&amp;AU388</f>
        <v>2013MaleRural19</v>
      </c>
      <c r="AR388">
        <v>2013</v>
      </c>
      <c r="AS388" t="s">
        <v>20</v>
      </c>
      <c r="AT388" t="s">
        <v>96</v>
      </c>
      <c r="AU388">
        <v>19</v>
      </c>
      <c r="AV388">
        <v>55</v>
      </c>
      <c r="AW388">
        <v>16.7790221650707</v>
      </c>
      <c r="AX388">
        <v>4.4000000000000004</v>
      </c>
      <c r="CB388" t="str">
        <f t="shared" si="43"/>
        <v>AllSexMaori19Hanging, strangulation and suffocation</v>
      </c>
      <c r="CC388" t="s">
        <v>17</v>
      </c>
      <c r="CD388" t="s">
        <v>18</v>
      </c>
      <c r="CE388" t="s">
        <v>43</v>
      </c>
      <c r="CF388">
        <v>19</v>
      </c>
      <c r="CG388">
        <v>470</v>
      </c>
      <c r="CH388">
        <v>547</v>
      </c>
      <c r="CI388">
        <v>85.9</v>
      </c>
    </row>
    <row r="389" spans="1:87" x14ac:dyDescent="0.2">
      <c r="A389" t="str">
        <f t="shared" si="44"/>
        <v>2000FemaleNon-Maori21</v>
      </c>
      <c r="B389">
        <v>2000</v>
      </c>
      <c r="C389" t="s">
        <v>8</v>
      </c>
      <c r="D389" t="s">
        <v>19</v>
      </c>
      <c r="E389">
        <v>21</v>
      </c>
      <c r="F389">
        <v>1</v>
      </c>
      <c r="J389" s="358" t="str">
        <f t="shared" si="45"/>
        <v>2003FemaleNon-Maori191</v>
      </c>
      <c r="K389" s="359">
        <v>2003</v>
      </c>
      <c r="L389" t="s">
        <v>8</v>
      </c>
      <c r="M389" t="s">
        <v>19</v>
      </c>
      <c r="N389">
        <v>19</v>
      </c>
      <c r="O389">
        <v>1</v>
      </c>
      <c r="P389">
        <v>14</v>
      </c>
      <c r="Q389">
        <v>3.8051110431040298</v>
      </c>
      <c r="R389">
        <v>2</v>
      </c>
      <c r="T389" s="358" t="str">
        <f t="shared" ref="T389:T452" si="47">U389&amp;V389&amp;W389&amp;X389&amp;Y389</f>
        <v>1997MaleMaori21Hanging, strangulation and suffocation</v>
      </c>
      <c r="U389" s="360">
        <v>1997</v>
      </c>
      <c r="V389" s="360" t="s">
        <v>20</v>
      </c>
      <c r="W389" s="360" t="s">
        <v>18</v>
      </c>
      <c r="X389" s="360">
        <v>21</v>
      </c>
      <c r="Y389" s="360" t="s">
        <v>43</v>
      </c>
      <c r="Z389" s="360">
        <v>3</v>
      </c>
      <c r="AA389" s="360">
        <v>3</v>
      </c>
      <c r="AB389" s="360">
        <v>100</v>
      </c>
      <c r="AQ389" t="str">
        <f t="shared" si="46"/>
        <v>2013MaleUrban19</v>
      </c>
      <c r="AR389">
        <v>2013</v>
      </c>
      <c r="AS389" t="s">
        <v>20</v>
      </c>
      <c r="AT389" t="s">
        <v>97</v>
      </c>
      <c r="AU389">
        <v>19</v>
      </c>
      <c r="AV389">
        <v>310</v>
      </c>
      <c r="AW389">
        <v>15.803822535594</v>
      </c>
      <c r="AX389">
        <v>1.8</v>
      </c>
      <c r="CB389" t="str">
        <f t="shared" ref="CB389:CB452" si="48">CC389&amp;CD389&amp;CF389&amp;CE389</f>
        <v>AllSexMaori19Jumping from a high place</v>
      </c>
      <c r="CC389" t="s">
        <v>17</v>
      </c>
      <c r="CD389" t="s">
        <v>18</v>
      </c>
      <c r="CE389" t="s">
        <v>44</v>
      </c>
      <c r="CF389">
        <v>19</v>
      </c>
      <c r="CG389">
        <v>6</v>
      </c>
      <c r="CH389">
        <v>547</v>
      </c>
      <c r="CI389">
        <v>1.1000000000000001</v>
      </c>
    </row>
    <row r="390" spans="1:87" x14ac:dyDescent="0.2">
      <c r="A390" t="str">
        <f t="shared" si="44"/>
        <v>2000FemaleNon-Maori22</v>
      </c>
      <c r="B390">
        <v>2000</v>
      </c>
      <c r="C390" t="s">
        <v>8</v>
      </c>
      <c r="D390" t="s">
        <v>19</v>
      </c>
      <c r="E390">
        <v>22</v>
      </c>
      <c r="F390">
        <v>11</v>
      </c>
      <c r="G390">
        <v>5.2338583051815197</v>
      </c>
      <c r="H390">
        <v>3.1</v>
      </c>
      <c r="J390" s="358" t="str">
        <f t="shared" si="45"/>
        <v>2003FemaleNon-Maori192</v>
      </c>
      <c r="K390" s="359">
        <v>2003</v>
      </c>
      <c r="L390" t="s">
        <v>8</v>
      </c>
      <c r="M390" t="s">
        <v>19</v>
      </c>
      <c r="N390">
        <v>19</v>
      </c>
      <c r="O390">
        <v>2</v>
      </c>
      <c r="P390">
        <v>15</v>
      </c>
      <c r="Q390">
        <v>3.5166634166388202</v>
      </c>
      <c r="R390">
        <v>1.8</v>
      </c>
      <c r="T390" s="358" t="str">
        <f t="shared" si="47"/>
        <v>1997MaleMaori22Hanging, strangulation and suffocation</v>
      </c>
      <c r="U390" s="360">
        <v>1997</v>
      </c>
      <c r="V390" s="360" t="s">
        <v>20</v>
      </c>
      <c r="W390" s="360" t="s">
        <v>18</v>
      </c>
      <c r="X390" s="360">
        <v>22</v>
      </c>
      <c r="Y390" s="360" t="s">
        <v>43</v>
      </c>
      <c r="Z390" s="360">
        <v>21</v>
      </c>
      <c r="AA390" s="360">
        <v>29</v>
      </c>
      <c r="AB390" s="360">
        <v>72.400000000000006</v>
      </c>
      <c r="AQ390" t="str">
        <f t="shared" si="46"/>
        <v>2014MaleRural19</v>
      </c>
      <c r="AR390">
        <v>2014</v>
      </c>
      <c r="AS390" t="s">
        <v>20</v>
      </c>
      <c r="AT390" t="s">
        <v>96</v>
      </c>
      <c r="AU390">
        <v>19</v>
      </c>
      <c r="AV390">
        <v>49</v>
      </c>
      <c r="AW390">
        <v>15.5568380484409</v>
      </c>
      <c r="AX390">
        <v>4.4000000000000004</v>
      </c>
      <c r="CB390" t="str">
        <f t="shared" si="48"/>
        <v>AllSexMaori19Other</v>
      </c>
      <c r="CC390" t="s">
        <v>17</v>
      </c>
      <c r="CD390" t="s">
        <v>18</v>
      </c>
      <c r="CE390" t="s">
        <v>45</v>
      </c>
      <c r="CF390">
        <v>19</v>
      </c>
      <c r="CG390">
        <v>16</v>
      </c>
      <c r="CH390">
        <v>547</v>
      </c>
      <c r="CI390">
        <v>2.9</v>
      </c>
    </row>
    <row r="391" spans="1:87" x14ac:dyDescent="0.2">
      <c r="A391" t="str">
        <f t="shared" si="44"/>
        <v>2000FemaleNon-Maori23</v>
      </c>
      <c r="B391">
        <v>2000</v>
      </c>
      <c r="C391" t="s">
        <v>8</v>
      </c>
      <c r="D391" t="s">
        <v>19</v>
      </c>
      <c r="E391">
        <v>23</v>
      </c>
      <c r="F391">
        <v>33</v>
      </c>
      <c r="G391">
        <v>6.4405324173464997</v>
      </c>
      <c r="H391">
        <v>2.2000000000000002</v>
      </c>
      <c r="J391" s="358" t="str">
        <f t="shared" si="45"/>
        <v>2003FemaleNon-Maori193</v>
      </c>
      <c r="K391" s="359">
        <v>2003</v>
      </c>
      <c r="L391" t="s">
        <v>8</v>
      </c>
      <c r="M391" t="s">
        <v>19</v>
      </c>
      <c r="N391">
        <v>19</v>
      </c>
      <c r="O391">
        <v>3</v>
      </c>
      <c r="P391">
        <v>32</v>
      </c>
      <c r="Q391">
        <v>8.4054889747979296</v>
      </c>
      <c r="R391">
        <v>2.9</v>
      </c>
      <c r="T391" s="358" t="str">
        <f t="shared" si="47"/>
        <v>1997MaleMaori23Hanging, strangulation and suffocation</v>
      </c>
      <c r="U391" s="360">
        <v>1997</v>
      </c>
      <c r="V391" s="360" t="s">
        <v>20</v>
      </c>
      <c r="W391" s="360" t="s">
        <v>18</v>
      </c>
      <c r="X391" s="360">
        <v>23</v>
      </c>
      <c r="Y391" s="360" t="s">
        <v>43</v>
      </c>
      <c r="Z391" s="360">
        <v>28</v>
      </c>
      <c r="AA391" s="360">
        <v>41</v>
      </c>
      <c r="AB391" s="360">
        <v>68.3</v>
      </c>
      <c r="AQ391" t="str">
        <f t="shared" si="46"/>
        <v>2014MaleUrban19</v>
      </c>
      <c r="AR391">
        <v>2014</v>
      </c>
      <c r="AS391" t="s">
        <v>20</v>
      </c>
      <c r="AT391" t="s">
        <v>97</v>
      </c>
      <c r="AU391">
        <v>19</v>
      </c>
      <c r="AV391">
        <v>325</v>
      </c>
      <c r="AW391">
        <v>16.446662424916799</v>
      </c>
      <c r="AX391">
        <v>1.8</v>
      </c>
      <c r="CB391" t="str">
        <f t="shared" si="48"/>
        <v>AllSexMaori19Poisoning by gases and vapours</v>
      </c>
      <c r="CC391" t="s">
        <v>17</v>
      </c>
      <c r="CD391" t="s">
        <v>18</v>
      </c>
      <c r="CE391" t="s">
        <v>46</v>
      </c>
      <c r="CF391">
        <v>19</v>
      </c>
      <c r="CG391">
        <v>18</v>
      </c>
      <c r="CH391">
        <v>547</v>
      </c>
      <c r="CI391">
        <v>3.3</v>
      </c>
    </row>
    <row r="392" spans="1:87" x14ac:dyDescent="0.2">
      <c r="A392" t="str">
        <f t="shared" si="44"/>
        <v>2000FemaleNon-Maori24</v>
      </c>
      <c r="B392">
        <v>2000</v>
      </c>
      <c r="C392" t="s">
        <v>8</v>
      </c>
      <c r="D392" t="s">
        <v>19</v>
      </c>
      <c r="E392">
        <v>24</v>
      </c>
      <c r="F392">
        <v>21</v>
      </c>
      <c r="G392">
        <v>5.48704013377926</v>
      </c>
      <c r="H392">
        <v>2.2999999999999998</v>
      </c>
      <c r="J392" s="358" t="str">
        <f t="shared" si="45"/>
        <v>2003FemaleNon-Maori194</v>
      </c>
      <c r="K392" s="359">
        <v>2003</v>
      </c>
      <c r="L392" t="s">
        <v>8</v>
      </c>
      <c r="M392" t="s">
        <v>19</v>
      </c>
      <c r="N392">
        <v>19</v>
      </c>
      <c r="O392">
        <v>4</v>
      </c>
      <c r="P392">
        <v>22</v>
      </c>
      <c r="Q392">
        <v>5.5752951300835303</v>
      </c>
      <c r="R392">
        <v>2.2999999999999998</v>
      </c>
      <c r="T392" s="358" t="str">
        <f t="shared" si="47"/>
        <v>1997MaleMaori24Hanging, strangulation and suffocation</v>
      </c>
      <c r="U392" s="360">
        <v>1997</v>
      </c>
      <c r="V392" s="360" t="s">
        <v>20</v>
      </c>
      <c r="W392" s="360" t="s">
        <v>18</v>
      </c>
      <c r="X392" s="360">
        <v>24</v>
      </c>
      <c r="Y392" s="360" t="s">
        <v>43</v>
      </c>
      <c r="Z392" s="360">
        <v>4</v>
      </c>
      <c r="AA392" s="360">
        <v>7</v>
      </c>
      <c r="AB392" s="360">
        <v>57.1</v>
      </c>
      <c r="AQ392" t="str">
        <f t="shared" si="46"/>
        <v>2015MaleRural19</v>
      </c>
      <c r="AR392">
        <v>2015</v>
      </c>
      <c r="AS392" t="s">
        <v>20</v>
      </c>
      <c r="AT392" t="s">
        <v>96</v>
      </c>
      <c r="AU392">
        <v>19</v>
      </c>
      <c r="AV392">
        <v>65</v>
      </c>
      <c r="AW392">
        <v>19.339055884921901</v>
      </c>
      <c r="AX392">
        <v>4.7</v>
      </c>
      <c r="CB392" t="str">
        <f t="shared" si="48"/>
        <v>AllSexMaori19Poisoning by solids and liquids</v>
      </c>
      <c r="CC392" t="s">
        <v>17</v>
      </c>
      <c r="CD392" t="s">
        <v>18</v>
      </c>
      <c r="CE392" t="s">
        <v>47</v>
      </c>
      <c r="CF392">
        <v>19</v>
      </c>
      <c r="CG392">
        <v>19</v>
      </c>
      <c r="CH392">
        <v>547</v>
      </c>
      <c r="CI392">
        <v>3.5</v>
      </c>
    </row>
    <row r="393" spans="1:87" x14ac:dyDescent="0.2">
      <c r="A393" t="str">
        <f t="shared" si="44"/>
        <v>2000FemaleNon-Maori25</v>
      </c>
      <c r="B393">
        <v>2000</v>
      </c>
      <c r="C393" t="s">
        <v>8</v>
      </c>
      <c r="D393" t="s">
        <v>19</v>
      </c>
      <c r="E393">
        <v>25</v>
      </c>
      <c r="F393">
        <v>6</v>
      </c>
      <c r="G393">
        <v>2.4475809741372299</v>
      </c>
      <c r="H393">
        <v>2</v>
      </c>
      <c r="J393" s="358" t="str">
        <f t="shared" si="45"/>
        <v>2003FemaleNon-Maori195</v>
      </c>
      <c r="K393" s="359">
        <v>2003</v>
      </c>
      <c r="L393" t="s">
        <v>8</v>
      </c>
      <c r="M393" t="s">
        <v>19</v>
      </c>
      <c r="N393">
        <v>19</v>
      </c>
      <c r="O393">
        <v>5</v>
      </c>
      <c r="P393">
        <v>28</v>
      </c>
      <c r="Q393">
        <v>9.67590691415832</v>
      </c>
      <c r="R393">
        <v>3.6</v>
      </c>
      <c r="T393" s="358" t="str">
        <f t="shared" si="47"/>
        <v>1997MaleMaori22Other</v>
      </c>
      <c r="U393" s="360">
        <v>1997</v>
      </c>
      <c r="V393" s="360" t="s">
        <v>20</v>
      </c>
      <c r="W393" s="360" t="s">
        <v>18</v>
      </c>
      <c r="X393" s="360">
        <v>22</v>
      </c>
      <c r="Y393" s="360" t="s">
        <v>45</v>
      </c>
      <c r="Z393" s="360">
        <v>1</v>
      </c>
      <c r="AA393" s="360">
        <v>29</v>
      </c>
      <c r="AB393" s="360">
        <v>3.4</v>
      </c>
      <c r="AQ393" t="str">
        <f t="shared" si="46"/>
        <v>2015MaleUrban19</v>
      </c>
      <c r="AR393">
        <v>2015</v>
      </c>
      <c r="AS393" t="s">
        <v>20</v>
      </c>
      <c r="AT393" t="s">
        <v>97</v>
      </c>
      <c r="AU393">
        <v>19</v>
      </c>
      <c r="AV393">
        <v>317</v>
      </c>
      <c r="AW393">
        <v>15.8729723584044</v>
      </c>
      <c r="AX393">
        <v>1.7</v>
      </c>
      <c r="CB393" t="str">
        <f t="shared" si="48"/>
        <v>AllSexMaori19Sharp object</v>
      </c>
      <c r="CC393" t="s">
        <v>17</v>
      </c>
      <c r="CD393" t="s">
        <v>18</v>
      </c>
      <c r="CE393" t="s">
        <v>48</v>
      </c>
      <c r="CF393">
        <v>19</v>
      </c>
      <c r="CG393">
        <v>4</v>
      </c>
      <c r="CH393">
        <v>547</v>
      </c>
      <c r="CI393">
        <v>0.7</v>
      </c>
    </row>
    <row r="394" spans="1:87" x14ac:dyDescent="0.2">
      <c r="A394" t="str">
        <f t="shared" si="44"/>
        <v>2000MaleAllEth21</v>
      </c>
      <c r="B394">
        <v>2000</v>
      </c>
      <c r="C394" t="s">
        <v>20</v>
      </c>
      <c r="D394" t="s">
        <v>27</v>
      </c>
      <c r="E394">
        <v>21</v>
      </c>
      <c r="F394">
        <v>3</v>
      </c>
      <c r="J394" s="358" t="str">
        <f t="shared" si="45"/>
        <v>2004FemaleNon-Maori191</v>
      </c>
      <c r="K394" s="359">
        <v>2004</v>
      </c>
      <c r="L394" t="s">
        <v>8</v>
      </c>
      <c r="M394" t="s">
        <v>19</v>
      </c>
      <c r="N394">
        <v>19</v>
      </c>
      <c r="O394">
        <v>1</v>
      </c>
      <c r="P394">
        <v>4</v>
      </c>
      <c r="Q394">
        <v>1.2496351640769801</v>
      </c>
      <c r="R394">
        <v>1.2</v>
      </c>
      <c r="T394" s="358" t="str">
        <f t="shared" si="47"/>
        <v>1997MaleMaori23Other</v>
      </c>
      <c r="U394" s="360">
        <v>1997</v>
      </c>
      <c r="V394" s="360" t="s">
        <v>20</v>
      </c>
      <c r="W394" s="360" t="s">
        <v>18</v>
      </c>
      <c r="X394" s="360">
        <v>23</v>
      </c>
      <c r="Y394" s="360" t="s">
        <v>45</v>
      </c>
      <c r="Z394" s="360">
        <v>2</v>
      </c>
      <c r="AA394" s="360">
        <v>41</v>
      </c>
      <c r="AB394" s="360">
        <v>4.9000000000000004</v>
      </c>
      <c r="CB394" t="str">
        <f t="shared" si="48"/>
        <v>AllSexMaori19Submersion (drowning)</v>
      </c>
      <c r="CC394" t="s">
        <v>17</v>
      </c>
      <c r="CD394" t="s">
        <v>18</v>
      </c>
      <c r="CE394" t="s">
        <v>49</v>
      </c>
      <c r="CF394">
        <v>19</v>
      </c>
      <c r="CG394">
        <v>3</v>
      </c>
      <c r="CH394">
        <v>547</v>
      </c>
      <c r="CI394">
        <v>0.5</v>
      </c>
    </row>
    <row r="395" spans="1:87" x14ac:dyDescent="0.2">
      <c r="A395" t="str">
        <f t="shared" si="44"/>
        <v>2000MaleAllEth22</v>
      </c>
      <c r="B395">
        <v>2000</v>
      </c>
      <c r="C395" t="s">
        <v>20</v>
      </c>
      <c r="D395" t="s">
        <v>27</v>
      </c>
      <c r="E395">
        <v>22</v>
      </c>
      <c r="F395">
        <v>81</v>
      </c>
      <c r="G395">
        <v>30.326856115916001</v>
      </c>
      <c r="H395">
        <v>6.6</v>
      </c>
      <c r="J395" s="358" t="str">
        <f t="shared" si="45"/>
        <v>2004FemaleNon-Maori192</v>
      </c>
      <c r="K395" s="359">
        <v>2004</v>
      </c>
      <c r="L395" t="s">
        <v>8</v>
      </c>
      <c r="M395" t="s">
        <v>19</v>
      </c>
      <c r="N395">
        <v>19</v>
      </c>
      <c r="O395">
        <v>2</v>
      </c>
      <c r="P395">
        <v>14</v>
      </c>
      <c r="Q395">
        <v>3.4287094758877701</v>
      </c>
      <c r="R395">
        <v>1.8</v>
      </c>
      <c r="T395" s="358" t="str">
        <f t="shared" si="47"/>
        <v>1997MaleMaori24Other</v>
      </c>
      <c r="U395" s="360">
        <v>1997</v>
      </c>
      <c r="V395" s="360" t="s">
        <v>20</v>
      </c>
      <c r="W395" s="360" t="s">
        <v>18</v>
      </c>
      <c r="X395" s="360">
        <v>24</v>
      </c>
      <c r="Y395" s="360" t="s">
        <v>45</v>
      </c>
      <c r="Z395" s="360">
        <v>1</v>
      </c>
      <c r="AA395" s="360">
        <v>7</v>
      </c>
      <c r="AB395" s="360">
        <v>14.3</v>
      </c>
      <c r="CB395" t="str">
        <f t="shared" si="48"/>
        <v>AllSexOther19Firearms and explosives</v>
      </c>
      <c r="CC395" t="s">
        <v>17</v>
      </c>
      <c r="CD395" t="s">
        <v>45</v>
      </c>
      <c r="CE395" t="s">
        <v>42</v>
      </c>
      <c r="CF395">
        <v>19</v>
      </c>
      <c r="CG395">
        <v>201</v>
      </c>
      <c r="CH395">
        <v>1795</v>
      </c>
      <c r="CI395">
        <v>11.2</v>
      </c>
    </row>
    <row r="396" spans="1:87" x14ac:dyDescent="0.2">
      <c r="A396" t="str">
        <f t="shared" si="44"/>
        <v>2000MaleAllEth23</v>
      </c>
      <c r="B396">
        <v>2000</v>
      </c>
      <c r="C396" t="s">
        <v>20</v>
      </c>
      <c r="D396" t="s">
        <v>27</v>
      </c>
      <c r="E396">
        <v>23</v>
      </c>
      <c r="F396">
        <v>171</v>
      </c>
      <c r="G396">
        <v>30.2703085447239</v>
      </c>
      <c r="H396">
        <v>4.5</v>
      </c>
      <c r="J396" s="358" t="str">
        <f t="shared" si="45"/>
        <v>2004FemaleNon-Maori193</v>
      </c>
      <c r="K396" s="359">
        <v>2004</v>
      </c>
      <c r="L396" t="s">
        <v>8</v>
      </c>
      <c r="M396" t="s">
        <v>19</v>
      </c>
      <c r="N396">
        <v>19</v>
      </c>
      <c r="O396">
        <v>3</v>
      </c>
      <c r="P396">
        <v>22</v>
      </c>
      <c r="Q396">
        <v>5.4132412792646596</v>
      </c>
      <c r="R396">
        <v>2.2999999999999998</v>
      </c>
      <c r="T396" s="358" t="str">
        <f t="shared" si="47"/>
        <v>1997MaleMaori22Poisoning by gases and vapours</v>
      </c>
      <c r="U396" s="360">
        <v>1997</v>
      </c>
      <c r="V396" s="360" t="s">
        <v>20</v>
      </c>
      <c r="W396" s="360" t="s">
        <v>18</v>
      </c>
      <c r="X396" s="360">
        <v>22</v>
      </c>
      <c r="Y396" s="360" t="s">
        <v>46</v>
      </c>
      <c r="Z396" s="360">
        <v>3</v>
      </c>
      <c r="AA396" s="360">
        <v>29</v>
      </c>
      <c r="AB396" s="360">
        <v>10.3</v>
      </c>
      <c r="CB396" t="str">
        <f t="shared" si="48"/>
        <v>AllSexOther19Hanging, strangulation and suffocation</v>
      </c>
      <c r="CC396" t="s">
        <v>17</v>
      </c>
      <c r="CD396" t="s">
        <v>45</v>
      </c>
      <c r="CE396" t="s">
        <v>43</v>
      </c>
      <c r="CF396">
        <v>19</v>
      </c>
      <c r="CG396">
        <v>918</v>
      </c>
      <c r="CH396">
        <v>1795</v>
      </c>
      <c r="CI396">
        <v>51.1</v>
      </c>
    </row>
    <row r="397" spans="1:87" x14ac:dyDescent="0.2">
      <c r="A397" t="str">
        <f t="shared" si="44"/>
        <v>2000MaleAllEth24</v>
      </c>
      <c r="B397">
        <v>2000</v>
      </c>
      <c r="C397" t="s">
        <v>20</v>
      </c>
      <c r="D397" t="s">
        <v>27</v>
      </c>
      <c r="E397">
        <v>24</v>
      </c>
      <c r="F397">
        <v>80</v>
      </c>
      <c r="G397">
        <v>19.333011116481401</v>
      </c>
      <c r="H397">
        <v>4.2</v>
      </c>
      <c r="J397" s="358" t="str">
        <f t="shared" si="45"/>
        <v>2004FemaleNon-Maori194</v>
      </c>
      <c r="K397" s="359">
        <v>2004</v>
      </c>
      <c r="L397" t="s">
        <v>8</v>
      </c>
      <c r="M397" t="s">
        <v>19</v>
      </c>
      <c r="N397">
        <v>19</v>
      </c>
      <c r="O397">
        <v>4</v>
      </c>
      <c r="P397">
        <v>20</v>
      </c>
      <c r="Q397">
        <v>5.7361497678795397</v>
      </c>
      <c r="R397">
        <v>2.5</v>
      </c>
      <c r="T397" s="358" t="str">
        <f t="shared" si="47"/>
        <v>1997MaleMaori23Poisoning by gases and vapours</v>
      </c>
      <c r="U397" s="360">
        <v>1997</v>
      </c>
      <c r="V397" s="360" t="s">
        <v>20</v>
      </c>
      <c r="W397" s="360" t="s">
        <v>18</v>
      </c>
      <c r="X397" s="360">
        <v>23</v>
      </c>
      <c r="Y397" s="360" t="s">
        <v>46</v>
      </c>
      <c r="Z397" s="360">
        <v>2</v>
      </c>
      <c r="AA397" s="360">
        <v>41</v>
      </c>
      <c r="AB397" s="360">
        <v>4.9000000000000004</v>
      </c>
      <c r="CB397" t="str">
        <f t="shared" si="48"/>
        <v>AllSexOther19Jumping from a high place</v>
      </c>
      <c r="CC397" t="s">
        <v>17</v>
      </c>
      <c r="CD397" t="s">
        <v>45</v>
      </c>
      <c r="CE397" t="s">
        <v>44</v>
      </c>
      <c r="CF397">
        <v>19</v>
      </c>
      <c r="CG397">
        <v>52</v>
      </c>
      <c r="CH397">
        <v>1795</v>
      </c>
      <c r="CI397">
        <v>2.9</v>
      </c>
    </row>
    <row r="398" spans="1:87" x14ac:dyDescent="0.2">
      <c r="A398" t="str">
        <f t="shared" si="44"/>
        <v>2000MaleAllEth25</v>
      </c>
      <c r="B398">
        <v>2000</v>
      </c>
      <c r="C398" t="s">
        <v>20</v>
      </c>
      <c r="D398" t="s">
        <v>27</v>
      </c>
      <c r="E398">
        <v>25</v>
      </c>
      <c r="F398">
        <v>41</v>
      </c>
      <c r="G398">
        <v>20.708116571544</v>
      </c>
      <c r="H398">
        <v>6.3</v>
      </c>
      <c r="J398" s="358" t="str">
        <f t="shared" si="45"/>
        <v>2004FemaleNon-Maori195</v>
      </c>
      <c r="K398" s="359">
        <v>2004</v>
      </c>
      <c r="L398" t="s">
        <v>8</v>
      </c>
      <c r="M398" t="s">
        <v>19</v>
      </c>
      <c r="N398">
        <v>19</v>
      </c>
      <c r="O398">
        <v>5</v>
      </c>
      <c r="P398">
        <v>19</v>
      </c>
      <c r="Q398">
        <v>6.6754645358141698</v>
      </c>
      <c r="R398">
        <v>3</v>
      </c>
      <c r="T398" s="358" t="str">
        <f t="shared" si="47"/>
        <v>1997MaleMaori22Poisoning by solids and liquids</v>
      </c>
      <c r="U398" s="360">
        <v>1997</v>
      </c>
      <c r="V398" s="360" t="s">
        <v>20</v>
      </c>
      <c r="W398" s="360" t="s">
        <v>18</v>
      </c>
      <c r="X398" s="360">
        <v>22</v>
      </c>
      <c r="Y398" s="360" t="s">
        <v>47</v>
      </c>
      <c r="Z398" s="360">
        <v>3</v>
      </c>
      <c r="AA398" s="360">
        <v>29</v>
      </c>
      <c r="AB398" s="360">
        <v>10.3</v>
      </c>
      <c r="CB398" t="str">
        <f t="shared" si="48"/>
        <v>AllSexOther19Other</v>
      </c>
      <c r="CC398" t="s">
        <v>17</v>
      </c>
      <c r="CD398" t="s">
        <v>45</v>
      </c>
      <c r="CE398" t="s">
        <v>45</v>
      </c>
      <c r="CF398">
        <v>19</v>
      </c>
      <c r="CG398">
        <v>72</v>
      </c>
      <c r="CH398">
        <v>1795</v>
      </c>
      <c r="CI398">
        <v>4</v>
      </c>
    </row>
    <row r="399" spans="1:87" x14ac:dyDescent="0.2">
      <c r="A399" t="str">
        <f t="shared" si="44"/>
        <v>2000MaleMaori21</v>
      </c>
      <c r="B399">
        <v>2000</v>
      </c>
      <c r="C399" t="s">
        <v>20</v>
      </c>
      <c r="D399" t="s">
        <v>18</v>
      </c>
      <c r="E399">
        <v>21</v>
      </c>
      <c r="F399">
        <v>1</v>
      </c>
      <c r="J399" s="358" t="str">
        <f t="shared" si="45"/>
        <v>2005FemaleNon-Maori191</v>
      </c>
      <c r="K399" s="359">
        <v>2005</v>
      </c>
      <c r="L399" t="s">
        <v>8</v>
      </c>
      <c r="M399" t="s">
        <v>19</v>
      </c>
      <c r="N399">
        <v>19</v>
      </c>
      <c r="O399">
        <v>1</v>
      </c>
      <c r="P399">
        <v>21</v>
      </c>
      <c r="Q399">
        <v>4.5981465940762796</v>
      </c>
      <c r="R399">
        <v>2</v>
      </c>
      <c r="T399" s="358" t="str">
        <f t="shared" si="47"/>
        <v>1997MaleMaori23Poisoning by solids and liquids</v>
      </c>
      <c r="U399" s="360">
        <v>1997</v>
      </c>
      <c r="V399" s="360" t="s">
        <v>20</v>
      </c>
      <c r="W399" s="360" t="s">
        <v>18</v>
      </c>
      <c r="X399" s="360">
        <v>23</v>
      </c>
      <c r="Y399" s="360" t="s">
        <v>47</v>
      </c>
      <c r="Z399" s="360">
        <v>3</v>
      </c>
      <c r="AA399" s="360">
        <v>41</v>
      </c>
      <c r="AB399" s="360">
        <v>7.3</v>
      </c>
      <c r="CB399" t="str">
        <f t="shared" si="48"/>
        <v>AllSexOther19Poisoning by gases and vapours</v>
      </c>
      <c r="CC399" t="s">
        <v>17</v>
      </c>
      <c r="CD399" t="s">
        <v>45</v>
      </c>
      <c r="CE399" t="s">
        <v>46</v>
      </c>
      <c r="CF399">
        <v>19</v>
      </c>
      <c r="CG399">
        <v>198</v>
      </c>
      <c r="CH399">
        <v>1795</v>
      </c>
      <c r="CI399">
        <v>11</v>
      </c>
    </row>
    <row r="400" spans="1:87" x14ac:dyDescent="0.2">
      <c r="A400" t="str">
        <f t="shared" si="44"/>
        <v>2000MaleMaori22</v>
      </c>
      <c r="B400">
        <v>2000</v>
      </c>
      <c r="C400" t="s">
        <v>20</v>
      </c>
      <c r="D400" t="s">
        <v>18</v>
      </c>
      <c r="E400">
        <v>22</v>
      </c>
      <c r="F400">
        <v>24</v>
      </c>
      <c r="G400">
        <v>47.374654559810502</v>
      </c>
      <c r="H400">
        <v>19</v>
      </c>
      <c r="J400" s="358" t="str">
        <f t="shared" si="45"/>
        <v>2005FemaleNon-Maori192</v>
      </c>
      <c r="K400" s="359">
        <v>2005</v>
      </c>
      <c r="L400" t="s">
        <v>8</v>
      </c>
      <c r="M400" t="s">
        <v>19</v>
      </c>
      <c r="N400">
        <v>19</v>
      </c>
      <c r="O400">
        <v>2</v>
      </c>
      <c r="P400">
        <v>13</v>
      </c>
      <c r="Q400">
        <v>3.3272790626622402</v>
      </c>
      <c r="R400">
        <v>1.8</v>
      </c>
      <c r="T400" s="358" t="str">
        <f t="shared" si="47"/>
        <v>1997MaleMaori24Sharp object</v>
      </c>
      <c r="U400" s="360">
        <v>1997</v>
      </c>
      <c r="V400" s="360" t="s">
        <v>20</v>
      </c>
      <c r="W400" s="360" t="s">
        <v>18</v>
      </c>
      <c r="X400" s="360">
        <v>24</v>
      </c>
      <c r="Y400" s="360" t="s">
        <v>48</v>
      </c>
      <c r="Z400" s="360">
        <v>1</v>
      </c>
      <c r="AA400" s="360">
        <v>7</v>
      </c>
      <c r="AB400" s="360">
        <v>14.3</v>
      </c>
      <c r="CB400" t="str">
        <f t="shared" si="48"/>
        <v>AllSexOther19Poisoning by solids and liquids</v>
      </c>
      <c r="CC400" t="s">
        <v>17</v>
      </c>
      <c r="CD400" t="s">
        <v>45</v>
      </c>
      <c r="CE400" t="s">
        <v>47</v>
      </c>
      <c r="CF400">
        <v>19</v>
      </c>
      <c r="CG400">
        <v>266</v>
      </c>
      <c r="CH400">
        <v>1795</v>
      </c>
      <c r="CI400">
        <v>14.8</v>
      </c>
    </row>
    <row r="401" spans="1:87" x14ac:dyDescent="0.2">
      <c r="A401" t="str">
        <f t="shared" si="44"/>
        <v>2000MaleMaori23</v>
      </c>
      <c r="B401">
        <v>2000</v>
      </c>
      <c r="C401" t="s">
        <v>20</v>
      </c>
      <c r="D401" t="s">
        <v>18</v>
      </c>
      <c r="E401">
        <v>23</v>
      </c>
      <c r="F401">
        <v>35</v>
      </c>
      <c r="G401">
        <v>44.523597506678499</v>
      </c>
      <c r="H401">
        <v>14.8</v>
      </c>
      <c r="J401" s="358" t="str">
        <f t="shared" si="45"/>
        <v>2005FemaleNon-Maori193</v>
      </c>
      <c r="K401" s="359">
        <v>2005</v>
      </c>
      <c r="L401" t="s">
        <v>8</v>
      </c>
      <c r="M401" t="s">
        <v>19</v>
      </c>
      <c r="N401">
        <v>19</v>
      </c>
      <c r="O401">
        <v>3</v>
      </c>
      <c r="P401">
        <v>18</v>
      </c>
      <c r="Q401">
        <v>3.65225380088925</v>
      </c>
      <c r="R401">
        <v>1.7</v>
      </c>
      <c r="T401" s="358" t="str">
        <f t="shared" si="47"/>
        <v>1997MaleMaori23Submersion (drowning)</v>
      </c>
      <c r="U401" s="360">
        <v>1997</v>
      </c>
      <c r="V401" s="360" t="s">
        <v>20</v>
      </c>
      <c r="W401" s="360" t="s">
        <v>18</v>
      </c>
      <c r="X401" s="360">
        <v>23</v>
      </c>
      <c r="Y401" s="360" t="s">
        <v>49</v>
      </c>
      <c r="Z401" s="360">
        <v>1</v>
      </c>
      <c r="AA401" s="360">
        <v>41</v>
      </c>
      <c r="AB401" s="360">
        <v>2.4</v>
      </c>
      <c r="CB401" t="str">
        <f t="shared" si="48"/>
        <v>AllSexOther19Sharp object</v>
      </c>
      <c r="CC401" t="s">
        <v>17</v>
      </c>
      <c r="CD401" t="s">
        <v>45</v>
      </c>
      <c r="CE401" t="s">
        <v>48</v>
      </c>
      <c r="CF401">
        <v>19</v>
      </c>
      <c r="CG401">
        <v>41</v>
      </c>
      <c r="CH401">
        <v>1795</v>
      </c>
      <c r="CI401">
        <v>2.2999999999999998</v>
      </c>
    </row>
    <row r="402" spans="1:87" x14ac:dyDescent="0.2">
      <c r="A402" t="str">
        <f t="shared" si="44"/>
        <v>2000MaleMaori24</v>
      </c>
      <c r="B402">
        <v>2000</v>
      </c>
      <c r="C402" t="s">
        <v>20</v>
      </c>
      <c r="D402" t="s">
        <v>18</v>
      </c>
      <c r="E402">
        <v>24</v>
      </c>
      <c r="F402">
        <v>8</v>
      </c>
      <c r="G402">
        <v>22.0507166482911</v>
      </c>
      <c r="H402">
        <v>15.3</v>
      </c>
      <c r="J402" s="358" t="str">
        <f t="shared" si="45"/>
        <v>2005FemaleNon-Maori194</v>
      </c>
      <c r="K402" s="359">
        <v>2005</v>
      </c>
      <c r="L402" t="s">
        <v>8</v>
      </c>
      <c r="M402" t="s">
        <v>19</v>
      </c>
      <c r="N402">
        <v>19</v>
      </c>
      <c r="O402">
        <v>4</v>
      </c>
      <c r="P402">
        <v>31</v>
      </c>
      <c r="Q402">
        <v>8.5161652130760306</v>
      </c>
      <c r="R402">
        <v>3</v>
      </c>
      <c r="T402" s="358" t="str">
        <f t="shared" si="47"/>
        <v>1997MaleNon-Maori22Firearms and explosives</v>
      </c>
      <c r="U402" s="360">
        <v>1997</v>
      </c>
      <c r="V402" s="360" t="s">
        <v>20</v>
      </c>
      <c r="W402" s="360" t="s">
        <v>19</v>
      </c>
      <c r="X402" s="360">
        <v>22</v>
      </c>
      <c r="Y402" s="360" t="s">
        <v>42</v>
      </c>
      <c r="Z402" s="360">
        <v>11</v>
      </c>
      <c r="AA402" s="360">
        <v>84</v>
      </c>
      <c r="AB402" s="360">
        <v>13.1</v>
      </c>
      <c r="CB402" t="str">
        <f t="shared" si="48"/>
        <v>AllSexOther19Submersion (drowning)</v>
      </c>
      <c r="CC402" t="s">
        <v>17</v>
      </c>
      <c r="CD402" t="s">
        <v>45</v>
      </c>
      <c r="CE402" t="s">
        <v>49</v>
      </c>
      <c r="CF402">
        <v>19</v>
      </c>
      <c r="CG402">
        <v>47</v>
      </c>
      <c r="CH402">
        <v>1795</v>
      </c>
      <c r="CI402">
        <v>2.6</v>
      </c>
    </row>
    <row r="403" spans="1:87" x14ac:dyDescent="0.2">
      <c r="A403" t="str">
        <f t="shared" si="44"/>
        <v>2000MaleMaori25</v>
      </c>
      <c r="B403">
        <v>2000</v>
      </c>
      <c r="C403" t="s">
        <v>20</v>
      </c>
      <c r="D403" t="s">
        <v>18</v>
      </c>
      <c r="E403">
        <v>25</v>
      </c>
      <c r="F403">
        <v>1</v>
      </c>
      <c r="G403">
        <v>11.7785630153121</v>
      </c>
      <c r="H403">
        <v>23.1</v>
      </c>
      <c r="J403" s="358" t="str">
        <f t="shared" si="45"/>
        <v>2005FemaleNon-Maori195</v>
      </c>
      <c r="K403" s="359">
        <v>2005</v>
      </c>
      <c r="L403" t="s">
        <v>8</v>
      </c>
      <c r="M403" t="s">
        <v>19</v>
      </c>
      <c r="N403">
        <v>19</v>
      </c>
      <c r="O403">
        <v>5</v>
      </c>
      <c r="P403">
        <v>17</v>
      </c>
      <c r="Q403">
        <v>6.0565843462580098</v>
      </c>
      <c r="R403">
        <v>2.9</v>
      </c>
      <c r="T403" s="358" t="str">
        <f t="shared" si="47"/>
        <v>1997MaleNon-Maori23Firearms and explosives</v>
      </c>
      <c r="U403" s="360">
        <v>1997</v>
      </c>
      <c r="V403" s="360" t="s">
        <v>20</v>
      </c>
      <c r="W403" s="360" t="s">
        <v>19</v>
      </c>
      <c r="X403" s="360">
        <v>23</v>
      </c>
      <c r="Y403" s="360" t="s">
        <v>42</v>
      </c>
      <c r="Z403" s="360">
        <v>16</v>
      </c>
      <c r="AA403" s="360">
        <v>160</v>
      </c>
      <c r="AB403" s="360">
        <v>10</v>
      </c>
      <c r="CB403" t="str">
        <f t="shared" si="48"/>
        <v>AllSexPacific19Hanging, strangulation and suffocation</v>
      </c>
      <c r="CC403" t="s">
        <v>17</v>
      </c>
      <c r="CD403" t="s">
        <v>79</v>
      </c>
      <c r="CE403" t="s">
        <v>43</v>
      </c>
      <c r="CF403">
        <v>19</v>
      </c>
      <c r="CG403">
        <v>106</v>
      </c>
      <c r="CH403">
        <v>124</v>
      </c>
      <c r="CI403">
        <v>85.5</v>
      </c>
    </row>
    <row r="404" spans="1:87" x14ac:dyDescent="0.2">
      <c r="A404" t="str">
        <f t="shared" si="44"/>
        <v>2000MaleNon-Maori21</v>
      </c>
      <c r="B404">
        <v>2000</v>
      </c>
      <c r="C404" t="s">
        <v>20</v>
      </c>
      <c r="D404" t="s">
        <v>19</v>
      </c>
      <c r="E404">
        <v>21</v>
      </c>
      <c r="F404">
        <v>2</v>
      </c>
      <c r="J404" s="358" t="str">
        <f t="shared" si="45"/>
        <v>2006FemaleNon-Maori191</v>
      </c>
      <c r="K404" s="359">
        <v>2006</v>
      </c>
      <c r="L404" t="s">
        <v>8</v>
      </c>
      <c r="M404" t="s">
        <v>19</v>
      </c>
      <c r="N404">
        <v>19</v>
      </c>
      <c r="O404">
        <v>1</v>
      </c>
      <c r="P404">
        <v>16</v>
      </c>
      <c r="Q404">
        <v>3.5341288362421701</v>
      </c>
      <c r="R404">
        <v>1.7</v>
      </c>
      <c r="T404" s="358" t="str">
        <f t="shared" si="47"/>
        <v>1997MaleNon-Maori24Firearms and explosives</v>
      </c>
      <c r="U404" s="360">
        <v>1997</v>
      </c>
      <c r="V404" s="360" t="s">
        <v>20</v>
      </c>
      <c r="W404" s="360" t="s">
        <v>19</v>
      </c>
      <c r="X404" s="360">
        <v>24</v>
      </c>
      <c r="Y404" s="360" t="s">
        <v>42</v>
      </c>
      <c r="Z404" s="360">
        <v>13</v>
      </c>
      <c r="AA404" s="360">
        <v>69</v>
      </c>
      <c r="AB404" s="360">
        <v>18.8</v>
      </c>
      <c r="CB404" t="str">
        <f t="shared" si="48"/>
        <v>AllSexPacific19Jumping from a high place</v>
      </c>
      <c r="CC404" t="s">
        <v>17</v>
      </c>
      <c r="CD404" t="s">
        <v>79</v>
      </c>
      <c r="CE404" t="s">
        <v>44</v>
      </c>
      <c r="CF404">
        <v>19</v>
      </c>
      <c r="CG404">
        <v>5</v>
      </c>
      <c r="CH404">
        <v>124</v>
      </c>
      <c r="CI404">
        <v>4</v>
      </c>
    </row>
    <row r="405" spans="1:87" x14ac:dyDescent="0.2">
      <c r="A405" t="str">
        <f t="shared" si="44"/>
        <v>2000MaleNon-Maori22</v>
      </c>
      <c r="B405">
        <v>2000</v>
      </c>
      <c r="C405" t="s">
        <v>20</v>
      </c>
      <c r="D405" t="s">
        <v>19</v>
      </c>
      <c r="E405">
        <v>22</v>
      </c>
      <c r="F405">
        <v>57</v>
      </c>
      <c r="G405">
        <v>26.336459825347699</v>
      </c>
      <c r="H405">
        <v>6.8</v>
      </c>
      <c r="J405" s="358" t="str">
        <f t="shared" si="45"/>
        <v>2006FemaleNon-Maori192</v>
      </c>
      <c r="K405" s="359">
        <v>2006</v>
      </c>
      <c r="L405" t="s">
        <v>8</v>
      </c>
      <c r="M405" t="s">
        <v>19</v>
      </c>
      <c r="N405">
        <v>19</v>
      </c>
      <c r="O405">
        <v>2</v>
      </c>
      <c r="P405">
        <v>23</v>
      </c>
      <c r="Q405">
        <v>5.3660682470283598</v>
      </c>
      <c r="R405">
        <v>2.2000000000000002</v>
      </c>
      <c r="T405" s="358" t="str">
        <f t="shared" si="47"/>
        <v>1997MaleNon-Maori25Firearms and explosives</v>
      </c>
      <c r="U405" s="360">
        <v>1997</v>
      </c>
      <c r="V405" s="360" t="s">
        <v>20</v>
      </c>
      <c r="W405" s="360" t="s">
        <v>19</v>
      </c>
      <c r="X405" s="360">
        <v>25</v>
      </c>
      <c r="Y405" s="360" t="s">
        <v>42</v>
      </c>
      <c r="Z405" s="360">
        <v>5</v>
      </c>
      <c r="AA405" s="360">
        <v>46</v>
      </c>
      <c r="AB405" s="360">
        <v>10.9</v>
      </c>
      <c r="CB405" t="str">
        <f t="shared" si="48"/>
        <v>AllSexPacific19Other</v>
      </c>
      <c r="CC405" t="s">
        <v>17</v>
      </c>
      <c r="CD405" t="s">
        <v>79</v>
      </c>
      <c r="CE405" t="s">
        <v>45</v>
      </c>
      <c r="CF405">
        <v>19</v>
      </c>
      <c r="CG405">
        <v>3</v>
      </c>
      <c r="CH405">
        <v>124</v>
      </c>
      <c r="CI405">
        <v>2.4</v>
      </c>
    </row>
    <row r="406" spans="1:87" x14ac:dyDescent="0.2">
      <c r="A406" t="str">
        <f t="shared" si="44"/>
        <v>2000MaleNon-Maori23</v>
      </c>
      <c r="B406">
        <v>2000</v>
      </c>
      <c r="C406" t="s">
        <v>20</v>
      </c>
      <c r="D406" t="s">
        <v>19</v>
      </c>
      <c r="E406">
        <v>23</v>
      </c>
      <c r="F406">
        <v>136</v>
      </c>
      <c r="G406">
        <v>27.966275961340699</v>
      </c>
      <c r="H406">
        <v>4.7</v>
      </c>
      <c r="J406" s="358" t="str">
        <f t="shared" si="45"/>
        <v>2006FemaleNon-Maori193</v>
      </c>
      <c r="K406" s="359">
        <v>2006</v>
      </c>
      <c r="L406" t="s">
        <v>8</v>
      </c>
      <c r="M406" t="s">
        <v>19</v>
      </c>
      <c r="N406">
        <v>19</v>
      </c>
      <c r="O406">
        <v>3</v>
      </c>
      <c r="P406">
        <v>19</v>
      </c>
      <c r="Q406">
        <v>4.62134813128056</v>
      </c>
      <c r="R406">
        <v>2.1</v>
      </c>
      <c r="T406" s="358" t="str">
        <f t="shared" si="47"/>
        <v>1997MaleNon-Maori21Hanging, strangulation and suffocation</v>
      </c>
      <c r="U406" s="360">
        <v>1997</v>
      </c>
      <c r="V406" s="360" t="s">
        <v>20</v>
      </c>
      <c r="W406" s="360" t="s">
        <v>19</v>
      </c>
      <c r="X406" s="360">
        <v>21</v>
      </c>
      <c r="Y406" s="360" t="s">
        <v>43</v>
      </c>
      <c r="Z406" s="360">
        <v>2</v>
      </c>
      <c r="AA406" s="360">
        <v>2</v>
      </c>
      <c r="AB406" s="360">
        <v>100</v>
      </c>
      <c r="CB406" t="str">
        <f t="shared" si="48"/>
        <v>AllSexPacific19Poisoning by gases and vapours</v>
      </c>
      <c r="CC406" t="s">
        <v>17</v>
      </c>
      <c r="CD406" t="s">
        <v>79</v>
      </c>
      <c r="CE406" t="s">
        <v>46</v>
      </c>
      <c r="CF406">
        <v>19</v>
      </c>
      <c r="CG406">
        <v>1</v>
      </c>
      <c r="CH406">
        <v>124</v>
      </c>
      <c r="CI406">
        <v>0.8</v>
      </c>
    </row>
    <row r="407" spans="1:87" x14ac:dyDescent="0.2">
      <c r="A407" t="str">
        <f t="shared" si="44"/>
        <v>2000MaleNon-Maori24</v>
      </c>
      <c r="B407">
        <v>2000</v>
      </c>
      <c r="C407" t="s">
        <v>20</v>
      </c>
      <c r="D407" t="s">
        <v>19</v>
      </c>
      <c r="E407">
        <v>24</v>
      </c>
      <c r="F407">
        <v>72</v>
      </c>
      <c r="G407">
        <v>19.071837253655399</v>
      </c>
      <c r="H407">
        <v>4.4000000000000004</v>
      </c>
      <c r="J407" s="358" t="str">
        <f t="shared" si="45"/>
        <v>2006FemaleNon-Maori194</v>
      </c>
      <c r="K407" s="359">
        <v>2006</v>
      </c>
      <c r="L407" t="s">
        <v>8</v>
      </c>
      <c r="M407" t="s">
        <v>19</v>
      </c>
      <c r="N407">
        <v>19</v>
      </c>
      <c r="O407">
        <v>4</v>
      </c>
      <c r="P407">
        <v>18</v>
      </c>
      <c r="Q407">
        <v>4.5480475481478599</v>
      </c>
      <c r="R407">
        <v>2.1</v>
      </c>
      <c r="T407" s="358" t="str">
        <f t="shared" si="47"/>
        <v>1997MaleNon-Maori22Hanging, strangulation and suffocation</v>
      </c>
      <c r="U407" s="360">
        <v>1997</v>
      </c>
      <c r="V407" s="360" t="s">
        <v>20</v>
      </c>
      <c r="W407" s="360" t="s">
        <v>19</v>
      </c>
      <c r="X407" s="360">
        <v>22</v>
      </c>
      <c r="Y407" s="360" t="s">
        <v>43</v>
      </c>
      <c r="Z407" s="360">
        <v>33</v>
      </c>
      <c r="AA407" s="360">
        <v>84</v>
      </c>
      <c r="AB407" s="360">
        <v>39.299999999999997</v>
      </c>
      <c r="CB407" t="str">
        <f t="shared" si="48"/>
        <v>AllSexPacific19Poisoning by solids and liquids</v>
      </c>
      <c r="CC407" t="s">
        <v>17</v>
      </c>
      <c r="CD407" t="s">
        <v>79</v>
      </c>
      <c r="CE407" t="s">
        <v>47</v>
      </c>
      <c r="CF407">
        <v>19</v>
      </c>
      <c r="CG407">
        <v>7</v>
      </c>
      <c r="CH407">
        <v>124</v>
      </c>
      <c r="CI407">
        <v>5.6</v>
      </c>
    </row>
    <row r="408" spans="1:87" x14ac:dyDescent="0.2">
      <c r="A408" t="str">
        <f t="shared" si="44"/>
        <v>2000MaleNon-Maori25</v>
      </c>
      <c r="B408">
        <v>2000</v>
      </c>
      <c r="C408" t="s">
        <v>20</v>
      </c>
      <c r="D408" t="s">
        <v>19</v>
      </c>
      <c r="E408">
        <v>25</v>
      </c>
      <c r="F408">
        <v>40</v>
      </c>
      <c r="G408">
        <v>21.108179419525101</v>
      </c>
      <c r="H408">
        <v>6.5</v>
      </c>
      <c r="J408" s="358" t="str">
        <f t="shared" si="45"/>
        <v>2006FemaleNon-Maori195</v>
      </c>
      <c r="K408" s="359">
        <v>2006</v>
      </c>
      <c r="L408" t="s">
        <v>8</v>
      </c>
      <c r="M408" t="s">
        <v>19</v>
      </c>
      <c r="N408">
        <v>19</v>
      </c>
      <c r="O408">
        <v>5</v>
      </c>
      <c r="P408">
        <v>19</v>
      </c>
      <c r="Q408">
        <v>6.5517228204333202</v>
      </c>
      <c r="R408">
        <v>2.9</v>
      </c>
      <c r="T408" s="358" t="str">
        <f t="shared" si="47"/>
        <v>1997MaleNon-Maori23Hanging, strangulation and suffocation</v>
      </c>
      <c r="U408" s="360">
        <v>1997</v>
      </c>
      <c r="V408" s="360" t="s">
        <v>20</v>
      </c>
      <c r="W408" s="360" t="s">
        <v>19</v>
      </c>
      <c r="X408" s="360">
        <v>23</v>
      </c>
      <c r="Y408" s="360" t="s">
        <v>43</v>
      </c>
      <c r="Z408" s="360">
        <v>56</v>
      </c>
      <c r="AA408" s="360">
        <v>160</v>
      </c>
      <c r="AB408" s="360">
        <v>35</v>
      </c>
      <c r="CB408" t="str">
        <f t="shared" si="48"/>
        <v>AllSexPacific19Sharp object</v>
      </c>
      <c r="CC408" t="s">
        <v>17</v>
      </c>
      <c r="CD408" t="s">
        <v>79</v>
      </c>
      <c r="CE408" t="s">
        <v>48</v>
      </c>
      <c r="CF408">
        <v>19</v>
      </c>
      <c r="CG408">
        <v>1</v>
      </c>
      <c r="CH408">
        <v>124</v>
      </c>
      <c r="CI408">
        <v>0.8</v>
      </c>
    </row>
    <row r="409" spans="1:87" x14ac:dyDescent="0.2">
      <c r="A409" t="str">
        <f t="shared" si="44"/>
        <v>2001AllSexAllEth21</v>
      </c>
      <c r="B409">
        <v>2001</v>
      </c>
      <c r="C409" t="s">
        <v>17</v>
      </c>
      <c r="D409" t="s">
        <v>27</v>
      </c>
      <c r="E409">
        <v>21</v>
      </c>
      <c r="F409">
        <v>3</v>
      </c>
      <c r="J409" s="358" t="str">
        <f t="shared" si="45"/>
        <v>2007FemaleNon-Maori191</v>
      </c>
      <c r="K409" s="359">
        <v>2007</v>
      </c>
      <c r="L409" t="s">
        <v>8</v>
      </c>
      <c r="M409" t="s">
        <v>19</v>
      </c>
      <c r="N409">
        <v>19</v>
      </c>
      <c r="O409">
        <v>1</v>
      </c>
      <c r="P409">
        <v>17</v>
      </c>
      <c r="Q409">
        <v>3.3602918208130999</v>
      </c>
      <c r="R409">
        <v>1.6</v>
      </c>
      <c r="T409" s="358" t="str">
        <f t="shared" si="47"/>
        <v>1997MaleNon-Maori24Hanging, strangulation and suffocation</v>
      </c>
      <c r="U409" s="360">
        <v>1997</v>
      </c>
      <c r="V409" s="360" t="s">
        <v>20</v>
      </c>
      <c r="W409" s="360" t="s">
        <v>19</v>
      </c>
      <c r="X409" s="360">
        <v>24</v>
      </c>
      <c r="Y409" s="360" t="s">
        <v>43</v>
      </c>
      <c r="Z409" s="360">
        <v>25</v>
      </c>
      <c r="AA409" s="360">
        <v>69</v>
      </c>
      <c r="AB409" s="360">
        <v>36.200000000000003</v>
      </c>
      <c r="CB409" t="str">
        <f t="shared" si="48"/>
        <v>AllSexPacific19Submersion (drowning)</v>
      </c>
      <c r="CC409" t="s">
        <v>17</v>
      </c>
      <c r="CD409" t="s">
        <v>79</v>
      </c>
      <c r="CE409" t="s">
        <v>49</v>
      </c>
      <c r="CF409">
        <v>19</v>
      </c>
      <c r="CG409">
        <v>1</v>
      </c>
      <c r="CH409">
        <v>124</v>
      </c>
      <c r="CI409">
        <v>0.8</v>
      </c>
    </row>
    <row r="410" spans="1:87" x14ac:dyDescent="0.2">
      <c r="A410" t="str">
        <f t="shared" si="44"/>
        <v>2001AllSexAllEth22</v>
      </c>
      <c r="B410">
        <v>2001</v>
      </c>
      <c r="C410" t="s">
        <v>17</v>
      </c>
      <c r="D410" t="s">
        <v>27</v>
      </c>
      <c r="E410">
        <v>22</v>
      </c>
      <c r="F410">
        <v>110</v>
      </c>
      <c r="G410">
        <v>20.573822616242101</v>
      </c>
      <c r="H410">
        <v>3.8</v>
      </c>
      <c r="J410" s="358" t="str">
        <f t="shared" si="45"/>
        <v>2007FemaleNon-Maori192</v>
      </c>
      <c r="K410" s="359">
        <v>2007</v>
      </c>
      <c r="L410" t="s">
        <v>8</v>
      </c>
      <c r="M410" t="s">
        <v>19</v>
      </c>
      <c r="N410">
        <v>19</v>
      </c>
      <c r="O410">
        <v>2</v>
      </c>
      <c r="P410">
        <v>19</v>
      </c>
      <c r="Q410">
        <v>4.17257081214753</v>
      </c>
      <c r="R410">
        <v>1.9</v>
      </c>
      <c r="T410" s="358" t="str">
        <f t="shared" si="47"/>
        <v>1997MaleNon-Maori25Hanging, strangulation and suffocation</v>
      </c>
      <c r="U410" s="360">
        <v>1997</v>
      </c>
      <c r="V410" s="360" t="s">
        <v>20</v>
      </c>
      <c r="W410" s="360" t="s">
        <v>19</v>
      </c>
      <c r="X410" s="360">
        <v>25</v>
      </c>
      <c r="Y410" s="360" t="s">
        <v>43</v>
      </c>
      <c r="Z410" s="360">
        <v>13</v>
      </c>
      <c r="AA410" s="360">
        <v>46</v>
      </c>
      <c r="AB410" s="360">
        <v>28.3</v>
      </c>
      <c r="CB410" t="str">
        <f t="shared" si="48"/>
        <v>FemaleAllEth19Firearms and explosives</v>
      </c>
      <c r="CC410" t="s">
        <v>8</v>
      </c>
      <c r="CD410" t="s">
        <v>27</v>
      </c>
      <c r="CE410" t="s">
        <v>42</v>
      </c>
      <c r="CF410">
        <v>19</v>
      </c>
      <c r="CG410">
        <v>12</v>
      </c>
      <c r="CH410">
        <v>682</v>
      </c>
      <c r="CI410">
        <v>1.8</v>
      </c>
    </row>
    <row r="411" spans="1:87" x14ac:dyDescent="0.2">
      <c r="A411" t="str">
        <f t="shared" si="44"/>
        <v>2001AllSexAllEth23</v>
      </c>
      <c r="B411">
        <v>2001</v>
      </c>
      <c r="C411" t="s">
        <v>17</v>
      </c>
      <c r="D411" t="s">
        <v>27</v>
      </c>
      <c r="E411">
        <v>23</v>
      </c>
      <c r="F411">
        <v>239</v>
      </c>
      <c r="G411">
        <v>20.687267376438999</v>
      </c>
      <c r="H411">
        <v>2.6</v>
      </c>
      <c r="J411" s="358" t="str">
        <f t="shared" si="45"/>
        <v>2007FemaleNon-Maori193</v>
      </c>
      <c r="K411" s="359">
        <v>2007</v>
      </c>
      <c r="L411" t="s">
        <v>8</v>
      </c>
      <c r="M411" t="s">
        <v>19</v>
      </c>
      <c r="N411">
        <v>19</v>
      </c>
      <c r="O411">
        <v>3</v>
      </c>
      <c r="P411">
        <v>19</v>
      </c>
      <c r="Q411">
        <v>4.6589824184575104</v>
      </c>
      <c r="R411">
        <v>2.1</v>
      </c>
      <c r="T411" s="358" t="str">
        <f t="shared" si="47"/>
        <v>1997MaleNon-Maori22Jumping from a high place</v>
      </c>
      <c r="U411" s="360">
        <v>1997</v>
      </c>
      <c r="V411" s="360" t="s">
        <v>20</v>
      </c>
      <c r="W411" s="360" t="s">
        <v>19</v>
      </c>
      <c r="X411" s="360">
        <v>22</v>
      </c>
      <c r="Y411" s="360" t="s">
        <v>44</v>
      </c>
      <c r="Z411" s="360">
        <v>2</v>
      </c>
      <c r="AA411" s="360">
        <v>84</v>
      </c>
      <c r="AB411" s="360">
        <v>2.4</v>
      </c>
      <c r="CB411" t="str">
        <f t="shared" si="48"/>
        <v>FemaleAllEth19Hanging, strangulation and suffocation</v>
      </c>
      <c r="CC411" t="s">
        <v>8</v>
      </c>
      <c r="CD411" t="s">
        <v>27</v>
      </c>
      <c r="CE411" t="s">
        <v>43</v>
      </c>
      <c r="CF411">
        <v>19</v>
      </c>
      <c r="CG411">
        <v>392</v>
      </c>
      <c r="CH411">
        <v>682</v>
      </c>
      <c r="CI411">
        <v>57.5</v>
      </c>
    </row>
    <row r="412" spans="1:87" x14ac:dyDescent="0.2">
      <c r="A412" t="str">
        <f t="shared" si="44"/>
        <v>2001AllSexAllEth24</v>
      </c>
      <c r="B412">
        <v>2001</v>
      </c>
      <c r="C412" t="s">
        <v>17</v>
      </c>
      <c r="D412" t="s">
        <v>27</v>
      </c>
      <c r="E412">
        <v>24</v>
      </c>
      <c r="F412">
        <v>92</v>
      </c>
      <c r="G412">
        <v>10.7217359889053</v>
      </c>
      <c r="H412">
        <v>2.2000000000000002</v>
      </c>
      <c r="J412" s="358" t="str">
        <f t="shared" si="45"/>
        <v>2007FemaleNon-Maori194</v>
      </c>
      <c r="K412" s="359">
        <v>2007</v>
      </c>
      <c r="L412" t="s">
        <v>8</v>
      </c>
      <c r="M412" t="s">
        <v>19</v>
      </c>
      <c r="N412">
        <v>19</v>
      </c>
      <c r="O412">
        <v>4</v>
      </c>
      <c r="P412">
        <v>18</v>
      </c>
      <c r="Q412">
        <v>4.9670452196428103</v>
      </c>
      <c r="R412">
        <v>2.2999999999999998</v>
      </c>
      <c r="T412" s="358" t="str">
        <f t="shared" si="47"/>
        <v>1997MaleNon-Maori23Jumping from a high place</v>
      </c>
      <c r="U412" s="360">
        <v>1997</v>
      </c>
      <c r="V412" s="360" t="s">
        <v>20</v>
      </c>
      <c r="W412" s="360" t="s">
        <v>19</v>
      </c>
      <c r="X412" s="360">
        <v>23</v>
      </c>
      <c r="Y412" s="360" t="s">
        <v>44</v>
      </c>
      <c r="Z412" s="360">
        <v>6</v>
      </c>
      <c r="AA412" s="360">
        <v>160</v>
      </c>
      <c r="AB412" s="360">
        <v>3.8</v>
      </c>
      <c r="CB412" t="str">
        <f t="shared" si="48"/>
        <v>FemaleAllEth19Jumping from a high place</v>
      </c>
      <c r="CC412" t="s">
        <v>8</v>
      </c>
      <c r="CD412" t="s">
        <v>27</v>
      </c>
      <c r="CE412" t="s">
        <v>44</v>
      </c>
      <c r="CF412">
        <v>19</v>
      </c>
      <c r="CG412">
        <v>23</v>
      </c>
      <c r="CH412">
        <v>682</v>
      </c>
      <c r="CI412">
        <v>3.4</v>
      </c>
    </row>
    <row r="413" spans="1:87" x14ac:dyDescent="0.2">
      <c r="A413" t="str">
        <f t="shared" si="44"/>
        <v>2001AllSexAllEth25</v>
      </c>
      <c r="B413">
        <v>2001</v>
      </c>
      <c r="C413" t="s">
        <v>17</v>
      </c>
      <c r="D413" t="s">
        <v>27</v>
      </c>
      <c r="E413">
        <v>25</v>
      </c>
      <c r="F413">
        <v>64</v>
      </c>
      <c r="G413">
        <v>13.900653765122399</v>
      </c>
      <c r="H413">
        <v>3.4</v>
      </c>
      <c r="J413" s="358" t="str">
        <f t="shared" si="45"/>
        <v>2007FemaleNon-Maori195</v>
      </c>
      <c r="K413" s="359">
        <v>2007</v>
      </c>
      <c r="L413" t="s">
        <v>8</v>
      </c>
      <c r="M413" t="s">
        <v>19</v>
      </c>
      <c r="N413">
        <v>19</v>
      </c>
      <c r="O413">
        <v>5</v>
      </c>
      <c r="P413">
        <v>19</v>
      </c>
      <c r="Q413">
        <v>5.9335146884031698</v>
      </c>
      <c r="R413">
        <v>2.7</v>
      </c>
      <c r="T413" s="358" t="str">
        <f t="shared" si="47"/>
        <v>1997MaleNon-Maori24Jumping from a high place</v>
      </c>
      <c r="U413" s="360">
        <v>1997</v>
      </c>
      <c r="V413" s="360" t="s">
        <v>20</v>
      </c>
      <c r="W413" s="360" t="s">
        <v>19</v>
      </c>
      <c r="X413" s="360">
        <v>24</v>
      </c>
      <c r="Y413" s="360" t="s">
        <v>44</v>
      </c>
      <c r="Z413" s="360">
        <v>1</v>
      </c>
      <c r="AA413" s="360">
        <v>69</v>
      </c>
      <c r="AB413" s="360">
        <v>1.4</v>
      </c>
      <c r="CB413" t="str">
        <f t="shared" si="48"/>
        <v>FemaleAllEth19Other</v>
      </c>
      <c r="CC413" t="s">
        <v>8</v>
      </c>
      <c r="CD413" t="s">
        <v>27</v>
      </c>
      <c r="CE413" t="s">
        <v>45</v>
      </c>
      <c r="CF413">
        <v>19</v>
      </c>
      <c r="CG413">
        <v>26</v>
      </c>
      <c r="CH413">
        <v>682</v>
      </c>
      <c r="CI413">
        <v>3.8</v>
      </c>
    </row>
    <row r="414" spans="1:87" x14ac:dyDescent="0.2">
      <c r="A414" t="str">
        <f t="shared" si="44"/>
        <v>2001AllSexMaori21</v>
      </c>
      <c r="B414">
        <v>2001</v>
      </c>
      <c r="C414" t="s">
        <v>17</v>
      </c>
      <c r="D414" t="s">
        <v>18</v>
      </c>
      <c r="E414">
        <v>21</v>
      </c>
      <c r="F414">
        <v>1</v>
      </c>
      <c r="J414" s="358" t="str">
        <f t="shared" si="45"/>
        <v>2008FemaleNon-Maori191</v>
      </c>
      <c r="K414" s="359">
        <v>2008</v>
      </c>
      <c r="L414" t="s">
        <v>8</v>
      </c>
      <c r="M414" t="s">
        <v>19</v>
      </c>
      <c r="N414">
        <v>19</v>
      </c>
      <c r="O414">
        <v>1</v>
      </c>
      <c r="P414">
        <v>20</v>
      </c>
      <c r="Q414">
        <v>4.9014093985756899</v>
      </c>
      <c r="R414">
        <v>2.1</v>
      </c>
      <c r="T414" s="358" t="str">
        <f t="shared" si="47"/>
        <v>1997MaleNon-Maori22Other</v>
      </c>
      <c r="U414" s="360">
        <v>1997</v>
      </c>
      <c r="V414" s="360" t="s">
        <v>20</v>
      </c>
      <c r="W414" s="360" t="s">
        <v>19</v>
      </c>
      <c r="X414" s="360">
        <v>22</v>
      </c>
      <c r="Y414" s="360" t="s">
        <v>45</v>
      </c>
      <c r="Z414" s="360">
        <v>2</v>
      </c>
      <c r="AA414" s="360">
        <v>84</v>
      </c>
      <c r="AB414" s="360">
        <v>2.4</v>
      </c>
      <c r="CB414" t="str">
        <f t="shared" si="48"/>
        <v>FemaleAllEth19Poisoning by gases and vapours</v>
      </c>
      <c r="CC414" t="s">
        <v>8</v>
      </c>
      <c r="CD414" t="s">
        <v>27</v>
      </c>
      <c r="CE414" t="s">
        <v>46</v>
      </c>
      <c r="CF414">
        <v>19</v>
      </c>
      <c r="CG414">
        <v>34</v>
      </c>
      <c r="CH414">
        <v>682</v>
      </c>
      <c r="CI414">
        <v>5</v>
      </c>
    </row>
    <row r="415" spans="1:87" x14ac:dyDescent="0.2">
      <c r="A415" t="str">
        <f t="shared" si="44"/>
        <v>2001AllSexMaori22</v>
      </c>
      <c r="B415">
        <v>2001</v>
      </c>
      <c r="C415" t="s">
        <v>17</v>
      </c>
      <c r="D415" t="s">
        <v>18</v>
      </c>
      <c r="E415">
        <v>22</v>
      </c>
      <c r="F415">
        <v>29</v>
      </c>
      <c r="G415">
        <v>28.016616752004602</v>
      </c>
      <c r="H415">
        <v>10.199999999999999</v>
      </c>
      <c r="J415" s="358" t="str">
        <f t="shared" si="45"/>
        <v>2008FemaleNon-Maori192</v>
      </c>
      <c r="K415" s="359">
        <v>2008</v>
      </c>
      <c r="L415" t="s">
        <v>8</v>
      </c>
      <c r="M415" t="s">
        <v>19</v>
      </c>
      <c r="N415">
        <v>19</v>
      </c>
      <c r="O415">
        <v>2</v>
      </c>
      <c r="P415">
        <v>21</v>
      </c>
      <c r="Q415">
        <v>4.4358509309383702</v>
      </c>
      <c r="R415">
        <v>1.9</v>
      </c>
      <c r="T415" s="358" t="str">
        <f t="shared" si="47"/>
        <v>1997MaleNon-Maori23Other</v>
      </c>
      <c r="U415" s="360">
        <v>1997</v>
      </c>
      <c r="V415" s="360" t="s">
        <v>20</v>
      </c>
      <c r="W415" s="360" t="s">
        <v>19</v>
      </c>
      <c r="X415" s="360">
        <v>23</v>
      </c>
      <c r="Y415" s="360" t="s">
        <v>45</v>
      </c>
      <c r="Z415" s="360">
        <v>4</v>
      </c>
      <c r="AA415" s="360">
        <v>160</v>
      </c>
      <c r="AB415" s="360">
        <v>2.5</v>
      </c>
      <c r="CB415" t="str">
        <f t="shared" si="48"/>
        <v>FemaleAllEth19Poisoning by solids and liquids</v>
      </c>
      <c r="CC415" t="s">
        <v>8</v>
      </c>
      <c r="CD415" t="s">
        <v>27</v>
      </c>
      <c r="CE415" t="s">
        <v>47</v>
      </c>
      <c r="CF415">
        <v>19</v>
      </c>
      <c r="CG415">
        <v>165</v>
      </c>
      <c r="CH415">
        <v>682</v>
      </c>
      <c r="CI415">
        <v>24.2</v>
      </c>
    </row>
    <row r="416" spans="1:87" x14ac:dyDescent="0.2">
      <c r="A416" t="str">
        <f t="shared" si="44"/>
        <v>2001AllSexMaori23</v>
      </c>
      <c r="B416">
        <v>2001</v>
      </c>
      <c r="C416" t="s">
        <v>17</v>
      </c>
      <c r="D416" t="s">
        <v>18</v>
      </c>
      <c r="E416">
        <v>23</v>
      </c>
      <c r="F416">
        <v>42</v>
      </c>
      <c r="G416">
        <v>24.9346948468297</v>
      </c>
      <c r="H416">
        <v>7.5</v>
      </c>
      <c r="J416" s="358" t="str">
        <f t="shared" si="45"/>
        <v>2008FemaleNon-Maori193</v>
      </c>
      <c r="K416" s="359">
        <v>2008</v>
      </c>
      <c r="L416" t="s">
        <v>8</v>
      </c>
      <c r="M416" t="s">
        <v>19</v>
      </c>
      <c r="N416">
        <v>19</v>
      </c>
      <c r="O416">
        <v>3</v>
      </c>
      <c r="P416">
        <v>27</v>
      </c>
      <c r="Q416">
        <v>6.7466888766152602</v>
      </c>
      <c r="R416">
        <v>2.5</v>
      </c>
      <c r="T416" s="358" t="str">
        <f t="shared" si="47"/>
        <v>1997MaleNon-Maori24Other</v>
      </c>
      <c r="U416" s="360">
        <v>1997</v>
      </c>
      <c r="V416" s="360" t="s">
        <v>20</v>
      </c>
      <c r="W416" s="360" t="s">
        <v>19</v>
      </c>
      <c r="X416" s="360">
        <v>24</v>
      </c>
      <c r="Y416" s="360" t="s">
        <v>45</v>
      </c>
      <c r="Z416" s="360">
        <v>1</v>
      </c>
      <c r="AA416" s="360">
        <v>69</v>
      </c>
      <c r="AB416" s="360">
        <v>1.4</v>
      </c>
      <c r="CB416" t="str">
        <f t="shared" si="48"/>
        <v>FemaleAllEth19Sharp object</v>
      </c>
      <c r="CC416" t="s">
        <v>8</v>
      </c>
      <c r="CD416" t="s">
        <v>27</v>
      </c>
      <c r="CE416" t="s">
        <v>48</v>
      </c>
      <c r="CF416">
        <v>19</v>
      </c>
      <c r="CG416">
        <v>8</v>
      </c>
      <c r="CH416">
        <v>682</v>
      </c>
      <c r="CI416">
        <v>1.2</v>
      </c>
    </row>
    <row r="417" spans="1:87" x14ac:dyDescent="0.2">
      <c r="A417" t="str">
        <f t="shared" si="44"/>
        <v>2001AllSexMaori24</v>
      </c>
      <c r="B417">
        <v>2001</v>
      </c>
      <c r="C417" t="s">
        <v>17</v>
      </c>
      <c r="D417" t="s">
        <v>18</v>
      </c>
      <c r="E417">
        <v>24</v>
      </c>
      <c r="F417">
        <v>5</v>
      </c>
      <c r="G417">
        <v>6.4094346878605304</v>
      </c>
      <c r="H417">
        <v>5.6</v>
      </c>
      <c r="J417" s="358" t="str">
        <f t="shared" si="45"/>
        <v>2008FemaleNon-Maori194</v>
      </c>
      <c r="K417" s="359">
        <v>2008</v>
      </c>
      <c r="L417" t="s">
        <v>8</v>
      </c>
      <c r="M417" t="s">
        <v>19</v>
      </c>
      <c r="N417">
        <v>19</v>
      </c>
      <c r="O417">
        <v>4</v>
      </c>
      <c r="P417">
        <v>16</v>
      </c>
      <c r="Q417">
        <v>3.9684161644724001</v>
      </c>
      <c r="R417">
        <v>1.9</v>
      </c>
      <c r="T417" s="358" t="str">
        <f t="shared" si="47"/>
        <v>1997MaleNon-Maori25Other</v>
      </c>
      <c r="U417" s="360">
        <v>1997</v>
      </c>
      <c r="V417" s="360" t="s">
        <v>20</v>
      </c>
      <c r="W417" s="360" t="s">
        <v>19</v>
      </c>
      <c r="X417" s="360">
        <v>25</v>
      </c>
      <c r="Y417" s="360" t="s">
        <v>45</v>
      </c>
      <c r="Z417" s="360">
        <v>2</v>
      </c>
      <c r="AA417" s="360">
        <v>46</v>
      </c>
      <c r="AB417" s="360">
        <v>4.3</v>
      </c>
      <c r="CB417" t="str">
        <f t="shared" si="48"/>
        <v>FemaleAllEth19Submersion (drowning)</v>
      </c>
      <c r="CC417" t="s">
        <v>8</v>
      </c>
      <c r="CD417" t="s">
        <v>27</v>
      </c>
      <c r="CE417" t="s">
        <v>49</v>
      </c>
      <c r="CF417">
        <v>19</v>
      </c>
      <c r="CG417">
        <v>22</v>
      </c>
      <c r="CH417">
        <v>682</v>
      </c>
      <c r="CI417">
        <v>3.2</v>
      </c>
    </row>
    <row r="418" spans="1:87" x14ac:dyDescent="0.2">
      <c r="A418" t="str">
        <f t="shared" si="44"/>
        <v>2001AllSexMaori25</v>
      </c>
      <c r="B418">
        <v>2001</v>
      </c>
      <c r="C418" t="s">
        <v>17</v>
      </c>
      <c r="D418" t="s">
        <v>18</v>
      </c>
      <c r="E418">
        <v>25</v>
      </c>
      <c r="F418">
        <v>2</v>
      </c>
      <c r="G418">
        <v>10.111223458038401</v>
      </c>
      <c r="H418">
        <v>14</v>
      </c>
      <c r="J418" s="358" t="str">
        <f t="shared" si="45"/>
        <v>2008FemaleNon-Maori195</v>
      </c>
      <c r="K418" s="359">
        <v>2008</v>
      </c>
      <c r="L418" t="s">
        <v>8</v>
      </c>
      <c r="M418" t="s">
        <v>19</v>
      </c>
      <c r="N418">
        <v>19</v>
      </c>
      <c r="O418">
        <v>5</v>
      </c>
      <c r="P418">
        <v>16</v>
      </c>
      <c r="Q418">
        <v>5.3161410639084696</v>
      </c>
      <c r="R418">
        <v>2.6</v>
      </c>
      <c r="T418" s="358" t="str">
        <f t="shared" si="47"/>
        <v>1997MaleNon-Maori22Poisoning by gases and vapours</v>
      </c>
      <c r="U418" s="360">
        <v>1997</v>
      </c>
      <c r="V418" s="360" t="s">
        <v>20</v>
      </c>
      <c r="W418" s="360" t="s">
        <v>19</v>
      </c>
      <c r="X418" s="360">
        <v>22</v>
      </c>
      <c r="Y418" s="360" t="s">
        <v>46</v>
      </c>
      <c r="Z418" s="360">
        <v>32</v>
      </c>
      <c r="AA418" s="360">
        <v>84</v>
      </c>
      <c r="AB418" s="360">
        <v>38.1</v>
      </c>
      <c r="CB418" t="str">
        <f t="shared" si="48"/>
        <v>FemaleAsian19Hanging, strangulation and suffocation</v>
      </c>
      <c r="CC418" t="s">
        <v>8</v>
      </c>
      <c r="CD418" t="s">
        <v>78</v>
      </c>
      <c r="CE418" t="s">
        <v>43</v>
      </c>
      <c r="CF418">
        <v>19</v>
      </c>
      <c r="CG418">
        <v>25</v>
      </c>
      <c r="CH418">
        <v>42</v>
      </c>
      <c r="CI418">
        <v>59.5</v>
      </c>
    </row>
    <row r="419" spans="1:87" x14ac:dyDescent="0.2">
      <c r="A419" t="str">
        <f t="shared" si="44"/>
        <v>2001AllSexNon-Maori21</v>
      </c>
      <c r="B419">
        <v>2001</v>
      </c>
      <c r="C419" t="s">
        <v>17</v>
      </c>
      <c r="D419" t="s">
        <v>19</v>
      </c>
      <c r="E419">
        <v>21</v>
      </c>
      <c r="F419">
        <v>2</v>
      </c>
      <c r="J419" s="358" t="str">
        <f t="shared" si="45"/>
        <v>2009FemaleNon-Maori191</v>
      </c>
      <c r="K419" s="359">
        <v>2009</v>
      </c>
      <c r="L419" t="s">
        <v>8</v>
      </c>
      <c r="M419" t="s">
        <v>19</v>
      </c>
      <c r="N419">
        <v>19</v>
      </c>
      <c r="O419">
        <v>1</v>
      </c>
      <c r="P419">
        <v>12</v>
      </c>
      <c r="Q419">
        <v>2.5118086470579</v>
      </c>
      <c r="R419">
        <v>1.4</v>
      </c>
      <c r="T419" s="358" t="str">
        <f t="shared" si="47"/>
        <v>1997MaleNon-Maori23Poisoning by gases and vapours</v>
      </c>
      <c r="U419" s="360">
        <v>1997</v>
      </c>
      <c r="V419" s="360" t="s">
        <v>20</v>
      </c>
      <c r="W419" s="360" t="s">
        <v>19</v>
      </c>
      <c r="X419" s="360">
        <v>23</v>
      </c>
      <c r="Y419" s="360" t="s">
        <v>46</v>
      </c>
      <c r="Z419" s="360">
        <v>62</v>
      </c>
      <c r="AA419" s="360">
        <v>160</v>
      </c>
      <c r="AB419" s="360">
        <v>38.799999999999997</v>
      </c>
      <c r="CB419" t="str">
        <f t="shared" si="48"/>
        <v>FemaleAsian19Jumping from a high place</v>
      </c>
      <c r="CC419" t="s">
        <v>8</v>
      </c>
      <c r="CD419" t="s">
        <v>78</v>
      </c>
      <c r="CE419" t="s">
        <v>44</v>
      </c>
      <c r="CF419">
        <v>19</v>
      </c>
      <c r="CG419">
        <v>6</v>
      </c>
      <c r="CH419">
        <v>42</v>
      </c>
      <c r="CI419">
        <v>14.3</v>
      </c>
    </row>
    <row r="420" spans="1:87" x14ac:dyDescent="0.2">
      <c r="A420" t="str">
        <f t="shared" si="44"/>
        <v>2001AllSexNon-Maori22</v>
      </c>
      <c r="B420">
        <v>2001</v>
      </c>
      <c r="C420" t="s">
        <v>17</v>
      </c>
      <c r="D420" t="s">
        <v>19</v>
      </c>
      <c r="E420">
        <v>22</v>
      </c>
      <c r="F420">
        <v>81</v>
      </c>
      <c r="G420">
        <v>18.786965093355001</v>
      </c>
      <c r="H420">
        <v>4.0999999999999996</v>
      </c>
      <c r="J420" s="358" t="str">
        <f t="shared" si="45"/>
        <v>2009FemaleNon-Maori192</v>
      </c>
      <c r="K420" s="359">
        <v>2009</v>
      </c>
      <c r="L420" t="s">
        <v>8</v>
      </c>
      <c r="M420" t="s">
        <v>19</v>
      </c>
      <c r="N420">
        <v>19</v>
      </c>
      <c r="O420">
        <v>2</v>
      </c>
      <c r="P420">
        <v>17</v>
      </c>
      <c r="Q420">
        <v>3.5918390243790701</v>
      </c>
      <c r="R420">
        <v>1.7</v>
      </c>
      <c r="T420" s="358" t="str">
        <f t="shared" si="47"/>
        <v>1997MaleNon-Maori24Poisoning by gases and vapours</v>
      </c>
      <c r="U420" s="360">
        <v>1997</v>
      </c>
      <c r="V420" s="360" t="s">
        <v>20</v>
      </c>
      <c r="W420" s="360" t="s">
        <v>19</v>
      </c>
      <c r="X420" s="360">
        <v>24</v>
      </c>
      <c r="Y420" s="360" t="s">
        <v>46</v>
      </c>
      <c r="Z420" s="360">
        <v>19</v>
      </c>
      <c r="AA420" s="360">
        <v>69</v>
      </c>
      <c r="AB420" s="360">
        <v>27.5</v>
      </c>
      <c r="CB420" t="str">
        <f t="shared" si="48"/>
        <v>FemaleAsian19Other</v>
      </c>
      <c r="CC420" t="s">
        <v>8</v>
      </c>
      <c r="CD420" t="s">
        <v>78</v>
      </c>
      <c r="CE420" t="s">
        <v>45</v>
      </c>
      <c r="CF420">
        <v>19</v>
      </c>
      <c r="CG420">
        <v>1</v>
      </c>
      <c r="CH420">
        <v>42</v>
      </c>
      <c r="CI420">
        <v>2.4</v>
      </c>
    </row>
    <row r="421" spans="1:87" x14ac:dyDescent="0.2">
      <c r="A421" t="str">
        <f t="shared" si="44"/>
        <v>2001AllSexNon-Maori23</v>
      </c>
      <c r="B421">
        <v>2001</v>
      </c>
      <c r="C421" t="s">
        <v>17</v>
      </c>
      <c r="D421" t="s">
        <v>19</v>
      </c>
      <c r="E421">
        <v>23</v>
      </c>
      <c r="F421">
        <v>197</v>
      </c>
      <c r="G421">
        <v>19.962304683541699</v>
      </c>
      <c r="H421">
        <v>2.8</v>
      </c>
      <c r="J421" s="358" t="str">
        <f t="shared" si="45"/>
        <v>2009FemaleNon-Maori193</v>
      </c>
      <c r="K421" s="359">
        <v>2009</v>
      </c>
      <c r="L421" t="s">
        <v>8</v>
      </c>
      <c r="M421" t="s">
        <v>19</v>
      </c>
      <c r="N421">
        <v>19</v>
      </c>
      <c r="O421">
        <v>3</v>
      </c>
      <c r="P421">
        <v>19</v>
      </c>
      <c r="Q421">
        <v>4.4298627722214698</v>
      </c>
      <c r="R421">
        <v>2</v>
      </c>
      <c r="T421" s="358" t="str">
        <f t="shared" si="47"/>
        <v>1997MaleNon-Maori25Poisoning by gases and vapours</v>
      </c>
      <c r="U421" s="360">
        <v>1997</v>
      </c>
      <c r="V421" s="360" t="s">
        <v>20</v>
      </c>
      <c r="W421" s="360" t="s">
        <v>19</v>
      </c>
      <c r="X421" s="360">
        <v>25</v>
      </c>
      <c r="Y421" s="360" t="s">
        <v>46</v>
      </c>
      <c r="Z421" s="360">
        <v>16</v>
      </c>
      <c r="AA421" s="360">
        <v>46</v>
      </c>
      <c r="AB421" s="360">
        <v>34.799999999999997</v>
      </c>
      <c r="CB421" t="str">
        <f t="shared" si="48"/>
        <v>FemaleAsian19Poisoning by solids and liquids</v>
      </c>
      <c r="CC421" t="s">
        <v>8</v>
      </c>
      <c r="CD421" t="s">
        <v>78</v>
      </c>
      <c r="CE421" t="s">
        <v>47</v>
      </c>
      <c r="CF421">
        <v>19</v>
      </c>
      <c r="CG421">
        <v>6</v>
      </c>
      <c r="CH421">
        <v>42</v>
      </c>
      <c r="CI421">
        <v>14.3</v>
      </c>
    </row>
    <row r="422" spans="1:87" x14ac:dyDescent="0.2">
      <c r="A422" t="str">
        <f t="shared" si="44"/>
        <v>2001AllSexNon-Maori24</v>
      </c>
      <c r="B422">
        <v>2001</v>
      </c>
      <c r="C422" t="s">
        <v>17</v>
      </c>
      <c r="D422" t="s">
        <v>19</v>
      </c>
      <c r="E422">
        <v>24</v>
      </c>
      <c r="F422">
        <v>87</v>
      </c>
      <c r="G422">
        <v>11.152988231674501</v>
      </c>
      <c r="H422">
        <v>2.2999999999999998</v>
      </c>
      <c r="J422" s="358" t="str">
        <f t="shared" si="45"/>
        <v>2009FemaleNon-Maori194</v>
      </c>
      <c r="K422" s="359">
        <v>2009</v>
      </c>
      <c r="L422" t="s">
        <v>8</v>
      </c>
      <c r="M422" t="s">
        <v>19</v>
      </c>
      <c r="N422">
        <v>19</v>
      </c>
      <c r="O422">
        <v>4</v>
      </c>
      <c r="P422">
        <v>26</v>
      </c>
      <c r="Q422">
        <v>6.3715254619813901</v>
      </c>
      <c r="R422">
        <v>2.4</v>
      </c>
      <c r="T422" s="358" t="str">
        <f t="shared" si="47"/>
        <v>1997MaleNon-Maori22Poisoning by solids and liquids</v>
      </c>
      <c r="U422" s="360">
        <v>1997</v>
      </c>
      <c r="V422" s="360" t="s">
        <v>20</v>
      </c>
      <c r="W422" s="360" t="s">
        <v>19</v>
      </c>
      <c r="X422" s="360">
        <v>22</v>
      </c>
      <c r="Y422" s="360" t="s">
        <v>47</v>
      </c>
      <c r="Z422" s="360">
        <v>3</v>
      </c>
      <c r="AA422" s="360">
        <v>84</v>
      </c>
      <c r="AB422" s="360">
        <v>3.6</v>
      </c>
      <c r="CB422" t="str">
        <f t="shared" si="48"/>
        <v>FemaleAsian19Sharp object</v>
      </c>
      <c r="CC422" t="s">
        <v>8</v>
      </c>
      <c r="CD422" t="s">
        <v>78</v>
      </c>
      <c r="CE422" t="s">
        <v>48</v>
      </c>
      <c r="CF422">
        <v>19</v>
      </c>
      <c r="CG422">
        <v>1</v>
      </c>
      <c r="CH422">
        <v>42</v>
      </c>
      <c r="CI422">
        <v>2.4</v>
      </c>
    </row>
    <row r="423" spans="1:87" x14ac:dyDescent="0.2">
      <c r="A423" t="str">
        <f t="shared" si="44"/>
        <v>2001AllSexNon-Maori25</v>
      </c>
      <c r="B423">
        <v>2001</v>
      </c>
      <c r="C423" t="s">
        <v>17</v>
      </c>
      <c r="D423" t="s">
        <v>19</v>
      </c>
      <c r="E423">
        <v>25</v>
      </c>
      <c r="F423">
        <v>62</v>
      </c>
      <c r="G423">
        <v>14.070762317590701</v>
      </c>
      <c r="H423">
        <v>3.5</v>
      </c>
      <c r="J423" s="358" t="str">
        <f t="shared" si="45"/>
        <v>2009FemaleNon-Maori195</v>
      </c>
      <c r="K423" s="359">
        <v>2009</v>
      </c>
      <c r="L423" t="s">
        <v>8</v>
      </c>
      <c r="M423" t="s">
        <v>19</v>
      </c>
      <c r="N423">
        <v>19</v>
      </c>
      <c r="O423">
        <v>5</v>
      </c>
      <c r="P423">
        <v>17</v>
      </c>
      <c r="Q423">
        <v>5.8994994548378701</v>
      </c>
      <c r="R423">
        <v>2.8</v>
      </c>
      <c r="T423" s="358" t="str">
        <f t="shared" si="47"/>
        <v>1997MaleNon-Maori23Poisoning by solids and liquids</v>
      </c>
      <c r="U423" s="360">
        <v>1997</v>
      </c>
      <c r="V423" s="360" t="s">
        <v>20</v>
      </c>
      <c r="W423" s="360" t="s">
        <v>19</v>
      </c>
      <c r="X423" s="360">
        <v>23</v>
      </c>
      <c r="Y423" s="360" t="s">
        <v>47</v>
      </c>
      <c r="Z423" s="360">
        <v>9</v>
      </c>
      <c r="AA423" s="360">
        <v>160</v>
      </c>
      <c r="AB423" s="360">
        <v>5.6</v>
      </c>
      <c r="CB423" t="str">
        <f t="shared" si="48"/>
        <v>FemaleAsian19Submersion (drowning)</v>
      </c>
      <c r="CC423" t="s">
        <v>8</v>
      </c>
      <c r="CD423" t="s">
        <v>78</v>
      </c>
      <c r="CE423" t="s">
        <v>49</v>
      </c>
      <c r="CF423">
        <v>19</v>
      </c>
      <c r="CG423">
        <v>3</v>
      </c>
      <c r="CH423">
        <v>42</v>
      </c>
      <c r="CI423">
        <v>7.1</v>
      </c>
    </row>
    <row r="424" spans="1:87" x14ac:dyDescent="0.2">
      <c r="A424" t="str">
        <f t="shared" si="44"/>
        <v>2001FemaleAllEth21</v>
      </c>
      <c r="B424">
        <v>2001</v>
      </c>
      <c r="C424" t="s">
        <v>8</v>
      </c>
      <c r="D424" t="s">
        <v>27</v>
      </c>
      <c r="E424">
        <v>21</v>
      </c>
      <c r="F424">
        <v>2</v>
      </c>
      <c r="J424" s="358" t="str">
        <f t="shared" si="45"/>
        <v>2010FemaleNon-Maori191</v>
      </c>
      <c r="K424" s="359">
        <v>2010</v>
      </c>
      <c r="L424" t="s">
        <v>8</v>
      </c>
      <c r="M424" t="s">
        <v>19</v>
      </c>
      <c r="N424">
        <v>19</v>
      </c>
      <c r="O424">
        <v>1</v>
      </c>
      <c r="P424">
        <v>29</v>
      </c>
      <c r="Q424">
        <v>6.4334972732740896</v>
      </c>
      <c r="R424">
        <v>2.2999999999999998</v>
      </c>
      <c r="T424" s="358" t="str">
        <f t="shared" si="47"/>
        <v>1997MaleNon-Maori24Poisoning by solids and liquids</v>
      </c>
      <c r="U424" s="360">
        <v>1997</v>
      </c>
      <c r="V424" s="360" t="s">
        <v>20</v>
      </c>
      <c r="W424" s="360" t="s">
        <v>19</v>
      </c>
      <c r="X424" s="360">
        <v>24</v>
      </c>
      <c r="Y424" s="360" t="s">
        <v>47</v>
      </c>
      <c r="Z424" s="360">
        <v>4</v>
      </c>
      <c r="AA424" s="360">
        <v>69</v>
      </c>
      <c r="AB424" s="360">
        <v>5.8</v>
      </c>
      <c r="CB424" t="str">
        <f t="shared" si="48"/>
        <v>FemaleMaori19Firearms and explosives</v>
      </c>
      <c r="CC424" t="s">
        <v>8</v>
      </c>
      <c r="CD424" t="s">
        <v>18</v>
      </c>
      <c r="CE424" t="s">
        <v>42</v>
      </c>
      <c r="CF424">
        <v>19</v>
      </c>
      <c r="CG424">
        <v>1</v>
      </c>
      <c r="CH424">
        <v>174</v>
      </c>
      <c r="CI424">
        <v>0.6</v>
      </c>
    </row>
    <row r="425" spans="1:87" x14ac:dyDescent="0.2">
      <c r="A425" t="str">
        <f t="shared" si="44"/>
        <v>2001FemaleAllEth22</v>
      </c>
      <c r="B425">
        <v>2001</v>
      </c>
      <c r="C425" t="s">
        <v>8</v>
      </c>
      <c r="D425" t="s">
        <v>27</v>
      </c>
      <c r="E425">
        <v>22</v>
      </c>
      <c r="F425">
        <v>23</v>
      </c>
      <c r="G425">
        <v>8.6963097398669102</v>
      </c>
      <c r="H425">
        <v>3.6</v>
      </c>
      <c r="J425" s="358" t="str">
        <f t="shared" si="45"/>
        <v>2010FemaleNon-Maori192</v>
      </c>
      <c r="K425" s="359">
        <v>2010</v>
      </c>
      <c r="L425" t="s">
        <v>8</v>
      </c>
      <c r="M425" t="s">
        <v>19</v>
      </c>
      <c r="N425">
        <v>19</v>
      </c>
      <c r="O425">
        <v>2</v>
      </c>
      <c r="P425">
        <v>25</v>
      </c>
      <c r="Q425">
        <v>6.5324329984038902</v>
      </c>
      <c r="R425">
        <v>2.6</v>
      </c>
      <c r="T425" s="358" t="str">
        <f t="shared" si="47"/>
        <v>1997MaleNon-Maori25Poisoning by solids and liquids</v>
      </c>
      <c r="U425" s="360">
        <v>1997</v>
      </c>
      <c r="V425" s="360" t="s">
        <v>20</v>
      </c>
      <c r="W425" s="360" t="s">
        <v>19</v>
      </c>
      <c r="X425" s="360">
        <v>25</v>
      </c>
      <c r="Y425" s="360" t="s">
        <v>47</v>
      </c>
      <c r="Z425" s="360">
        <v>4</v>
      </c>
      <c r="AA425" s="360">
        <v>46</v>
      </c>
      <c r="AB425" s="360">
        <v>8.6999999999999993</v>
      </c>
      <c r="CB425" t="str">
        <f t="shared" si="48"/>
        <v>FemaleMaori19Hanging, strangulation and suffocation</v>
      </c>
      <c r="CC425" t="s">
        <v>8</v>
      </c>
      <c r="CD425" t="s">
        <v>18</v>
      </c>
      <c r="CE425" t="s">
        <v>43</v>
      </c>
      <c r="CF425">
        <v>19</v>
      </c>
      <c r="CG425">
        <v>154</v>
      </c>
      <c r="CH425">
        <v>174</v>
      </c>
      <c r="CI425">
        <v>88.5</v>
      </c>
    </row>
    <row r="426" spans="1:87" x14ac:dyDescent="0.2">
      <c r="A426" t="str">
        <f t="shared" si="44"/>
        <v>2001FemaleAllEth23</v>
      </c>
      <c r="B426">
        <v>2001</v>
      </c>
      <c r="C426" t="s">
        <v>8</v>
      </c>
      <c r="D426" t="s">
        <v>27</v>
      </c>
      <c r="E426">
        <v>23</v>
      </c>
      <c r="F426">
        <v>50</v>
      </c>
      <c r="G426">
        <v>8.3884172734288498</v>
      </c>
      <c r="H426">
        <v>2.2999999999999998</v>
      </c>
      <c r="J426" s="358" t="str">
        <f t="shared" si="45"/>
        <v>2010FemaleNon-Maori193</v>
      </c>
      <c r="K426" s="359">
        <v>2010</v>
      </c>
      <c r="L426" t="s">
        <v>8</v>
      </c>
      <c r="M426" t="s">
        <v>19</v>
      </c>
      <c r="N426">
        <v>19</v>
      </c>
      <c r="O426">
        <v>3</v>
      </c>
      <c r="P426">
        <v>21</v>
      </c>
      <c r="Q426">
        <v>5.0681398867640199</v>
      </c>
      <c r="R426">
        <v>2.2000000000000002</v>
      </c>
      <c r="T426" s="358" t="str">
        <f t="shared" si="47"/>
        <v>1997MaleNon-Maori23Sharp object</v>
      </c>
      <c r="U426" s="360">
        <v>1997</v>
      </c>
      <c r="V426" s="360" t="s">
        <v>20</v>
      </c>
      <c r="W426" s="360" t="s">
        <v>19</v>
      </c>
      <c r="X426" s="360">
        <v>23</v>
      </c>
      <c r="Y426" s="360" t="s">
        <v>48</v>
      </c>
      <c r="Z426" s="360">
        <v>4</v>
      </c>
      <c r="AA426" s="360">
        <v>160</v>
      </c>
      <c r="AB426" s="360">
        <v>2.5</v>
      </c>
      <c r="CB426" t="str">
        <f t="shared" si="48"/>
        <v>FemaleMaori19Jumping from a high place</v>
      </c>
      <c r="CC426" t="s">
        <v>8</v>
      </c>
      <c r="CD426" t="s">
        <v>18</v>
      </c>
      <c r="CE426" t="s">
        <v>44</v>
      </c>
      <c r="CF426">
        <v>19</v>
      </c>
      <c r="CG426">
        <v>3</v>
      </c>
      <c r="CH426">
        <v>174</v>
      </c>
      <c r="CI426">
        <v>1.7</v>
      </c>
    </row>
    <row r="427" spans="1:87" x14ac:dyDescent="0.2">
      <c r="A427" t="str">
        <f t="shared" si="44"/>
        <v>2001FemaleAllEth24</v>
      </c>
      <c r="B427">
        <v>2001</v>
      </c>
      <c r="C427" t="s">
        <v>8</v>
      </c>
      <c r="D427" t="s">
        <v>27</v>
      </c>
      <c r="E427">
        <v>24</v>
      </c>
      <c r="F427">
        <v>27</v>
      </c>
      <c r="G427">
        <v>6.2302420564413801</v>
      </c>
      <c r="H427">
        <v>2.4</v>
      </c>
      <c r="J427" s="358" t="str">
        <f t="shared" si="45"/>
        <v>2010FemaleNon-Maori194</v>
      </c>
      <c r="K427" s="359">
        <v>2010</v>
      </c>
      <c r="L427" t="s">
        <v>8</v>
      </c>
      <c r="M427" t="s">
        <v>19</v>
      </c>
      <c r="N427">
        <v>19</v>
      </c>
      <c r="O427">
        <v>4</v>
      </c>
      <c r="P427">
        <v>21</v>
      </c>
      <c r="Q427">
        <v>4.8154705554786599</v>
      </c>
      <c r="R427">
        <v>2.1</v>
      </c>
      <c r="T427" s="358" t="str">
        <f t="shared" si="47"/>
        <v>1997MaleNon-Maori24Sharp object</v>
      </c>
      <c r="U427" s="360">
        <v>1997</v>
      </c>
      <c r="V427" s="360" t="s">
        <v>20</v>
      </c>
      <c r="W427" s="360" t="s">
        <v>19</v>
      </c>
      <c r="X427" s="360">
        <v>24</v>
      </c>
      <c r="Y427" s="360" t="s">
        <v>48</v>
      </c>
      <c r="Z427" s="360">
        <v>3</v>
      </c>
      <c r="AA427" s="360">
        <v>69</v>
      </c>
      <c r="AB427" s="360">
        <v>4.3</v>
      </c>
      <c r="CB427" t="str">
        <f t="shared" si="48"/>
        <v>FemaleMaori19Other</v>
      </c>
      <c r="CC427" t="s">
        <v>8</v>
      </c>
      <c r="CD427" t="s">
        <v>18</v>
      </c>
      <c r="CE427" t="s">
        <v>45</v>
      </c>
      <c r="CF427">
        <v>19</v>
      </c>
      <c r="CG427">
        <v>2</v>
      </c>
      <c r="CH427">
        <v>174</v>
      </c>
      <c r="CI427">
        <v>1.1000000000000001</v>
      </c>
    </row>
    <row r="428" spans="1:87" x14ac:dyDescent="0.2">
      <c r="A428" t="str">
        <f t="shared" si="44"/>
        <v>2001FemaleAllEth25</v>
      </c>
      <c r="B428">
        <v>2001</v>
      </c>
      <c r="C428" t="s">
        <v>8</v>
      </c>
      <c r="D428" t="s">
        <v>27</v>
      </c>
      <c r="E428">
        <v>25</v>
      </c>
      <c r="F428">
        <v>16</v>
      </c>
      <c r="G428">
        <v>6.1773676692019599</v>
      </c>
      <c r="H428">
        <v>3</v>
      </c>
      <c r="J428" s="358" t="str">
        <f t="shared" si="45"/>
        <v>2010FemaleNon-Maori195</v>
      </c>
      <c r="K428" s="359">
        <v>2010</v>
      </c>
      <c r="L428" t="s">
        <v>8</v>
      </c>
      <c r="M428" t="s">
        <v>19</v>
      </c>
      <c r="N428">
        <v>19</v>
      </c>
      <c r="O428">
        <v>5</v>
      </c>
      <c r="P428">
        <v>19</v>
      </c>
      <c r="Q428">
        <v>6.3476238446220101</v>
      </c>
      <c r="R428">
        <v>2.9</v>
      </c>
      <c r="T428" s="358" t="str">
        <f t="shared" si="47"/>
        <v>1997MaleNon-Maori25Sharp object</v>
      </c>
      <c r="U428" s="360">
        <v>1997</v>
      </c>
      <c r="V428" s="360" t="s">
        <v>20</v>
      </c>
      <c r="W428" s="360" t="s">
        <v>19</v>
      </c>
      <c r="X428" s="360">
        <v>25</v>
      </c>
      <c r="Y428" s="360" t="s">
        <v>48</v>
      </c>
      <c r="Z428" s="360">
        <v>3</v>
      </c>
      <c r="AA428" s="360">
        <v>46</v>
      </c>
      <c r="AB428" s="360">
        <v>6.5</v>
      </c>
      <c r="CB428" t="str">
        <f t="shared" si="48"/>
        <v>FemaleMaori19Poisoning by gases and vapours</v>
      </c>
      <c r="CC428" t="s">
        <v>8</v>
      </c>
      <c r="CD428" t="s">
        <v>18</v>
      </c>
      <c r="CE428" t="s">
        <v>46</v>
      </c>
      <c r="CF428">
        <v>19</v>
      </c>
      <c r="CG428">
        <v>1</v>
      </c>
      <c r="CH428">
        <v>174</v>
      </c>
      <c r="CI428">
        <v>0.6</v>
      </c>
    </row>
    <row r="429" spans="1:87" x14ac:dyDescent="0.2">
      <c r="A429" t="str">
        <f t="shared" si="44"/>
        <v>2001FemaleMaori21</v>
      </c>
      <c r="B429">
        <v>2001</v>
      </c>
      <c r="C429" t="s">
        <v>8</v>
      </c>
      <c r="D429" t="s">
        <v>18</v>
      </c>
      <c r="E429">
        <v>21</v>
      </c>
      <c r="F429">
        <v>1</v>
      </c>
      <c r="J429" s="358" t="str">
        <f t="shared" si="45"/>
        <v>2011FemaleNon-Maori191</v>
      </c>
      <c r="K429" s="359">
        <v>2011</v>
      </c>
      <c r="L429" t="s">
        <v>8</v>
      </c>
      <c r="M429" t="s">
        <v>19</v>
      </c>
      <c r="N429">
        <v>19</v>
      </c>
      <c r="O429">
        <v>1</v>
      </c>
      <c r="P429">
        <v>18</v>
      </c>
      <c r="Q429">
        <v>3.3564944229788298</v>
      </c>
      <c r="R429">
        <v>1.6</v>
      </c>
      <c r="T429" s="358" t="str">
        <f t="shared" si="47"/>
        <v>1997MaleNon-Maori22Submersion (drowning)</v>
      </c>
      <c r="U429" s="360">
        <v>1997</v>
      </c>
      <c r="V429" s="360" t="s">
        <v>20</v>
      </c>
      <c r="W429" s="360" t="s">
        <v>19</v>
      </c>
      <c r="X429" s="360">
        <v>22</v>
      </c>
      <c r="Y429" s="360" t="s">
        <v>49</v>
      </c>
      <c r="Z429" s="360">
        <v>1</v>
      </c>
      <c r="AA429" s="360">
        <v>84</v>
      </c>
      <c r="AB429" s="360">
        <v>1.2</v>
      </c>
      <c r="CB429" t="str">
        <f t="shared" si="48"/>
        <v>FemaleMaori19Poisoning by solids and liquids</v>
      </c>
      <c r="CC429" t="s">
        <v>8</v>
      </c>
      <c r="CD429" t="s">
        <v>18</v>
      </c>
      <c r="CE429" t="s">
        <v>47</v>
      </c>
      <c r="CF429">
        <v>19</v>
      </c>
      <c r="CG429">
        <v>13</v>
      </c>
      <c r="CH429">
        <v>174</v>
      </c>
      <c r="CI429">
        <v>7.5</v>
      </c>
    </row>
    <row r="430" spans="1:87" x14ac:dyDescent="0.2">
      <c r="A430" t="str">
        <f t="shared" si="44"/>
        <v>2001FemaleMaori22</v>
      </c>
      <c r="B430">
        <v>2001</v>
      </c>
      <c r="C430" t="s">
        <v>8</v>
      </c>
      <c r="D430" t="s">
        <v>18</v>
      </c>
      <c r="E430">
        <v>22</v>
      </c>
      <c r="F430">
        <v>9</v>
      </c>
      <c r="G430">
        <v>17.241379310344801</v>
      </c>
      <c r="H430">
        <v>11.3</v>
      </c>
      <c r="J430" s="358" t="str">
        <f t="shared" si="45"/>
        <v>2011FemaleNon-Maori192</v>
      </c>
      <c r="K430" s="359">
        <v>2011</v>
      </c>
      <c r="L430" t="s">
        <v>8</v>
      </c>
      <c r="M430" t="s">
        <v>19</v>
      </c>
      <c r="N430">
        <v>19</v>
      </c>
      <c r="O430">
        <v>2</v>
      </c>
      <c r="P430">
        <v>11</v>
      </c>
      <c r="Q430">
        <v>2.4245514120439999</v>
      </c>
      <c r="R430">
        <v>1.4</v>
      </c>
      <c r="T430" s="358" t="str">
        <f t="shared" si="47"/>
        <v>1997MaleNon-Maori23Submersion (drowning)</v>
      </c>
      <c r="U430" s="360">
        <v>1997</v>
      </c>
      <c r="V430" s="360" t="s">
        <v>20</v>
      </c>
      <c r="W430" s="360" t="s">
        <v>19</v>
      </c>
      <c r="X430" s="360">
        <v>23</v>
      </c>
      <c r="Y430" s="360" t="s">
        <v>49</v>
      </c>
      <c r="Z430" s="360">
        <v>3</v>
      </c>
      <c r="AA430" s="360">
        <v>160</v>
      </c>
      <c r="AB430" s="360">
        <v>1.9</v>
      </c>
      <c r="CB430" t="str">
        <f t="shared" si="48"/>
        <v>FemaleOther19Firearms and explosives</v>
      </c>
      <c r="CC430" t="s">
        <v>8</v>
      </c>
      <c r="CD430" t="s">
        <v>45</v>
      </c>
      <c r="CE430" t="s">
        <v>42</v>
      </c>
      <c r="CF430">
        <v>19</v>
      </c>
      <c r="CG430">
        <v>11</v>
      </c>
      <c r="CH430">
        <v>431</v>
      </c>
      <c r="CI430">
        <v>2.6</v>
      </c>
    </row>
    <row r="431" spans="1:87" x14ac:dyDescent="0.2">
      <c r="A431" t="str">
        <f t="shared" si="44"/>
        <v>2001FemaleMaori23</v>
      </c>
      <c r="B431">
        <v>2001</v>
      </c>
      <c r="C431" t="s">
        <v>8</v>
      </c>
      <c r="D431" t="s">
        <v>18</v>
      </c>
      <c r="E431">
        <v>23</v>
      </c>
      <c r="F431">
        <v>11</v>
      </c>
      <c r="G431">
        <v>12.439217460138</v>
      </c>
      <c r="H431">
        <v>7.4</v>
      </c>
      <c r="J431" s="358" t="str">
        <f t="shared" si="45"/>
        <v>2011FemaleNon-Maori193</v>
      </c>
      <c r="K431" s="359">
        <v>2011</v>
      </c>
      <c r="L431" t="s">
        <v>8</v>
      </c>
      <c r="M431" t="s">
        <v>19</v>
      </c>
      <c r="N431">
        <v>19</v>
      </c>
      <c r="O431">
        <v>3</v>
      </c>
      <c r="P431">
        <v>13</v>
      </c>
      <c r="Q431">
        <v>3.1651553503058998</v>
      </c>
      <c r="R431">
        <v>1.7</v>
      </c>
      <c r="T431" s="358" t="str">
        <f t="shared" si="47"/>
        <v>1997MaleNon-Maori24Submersion (drowning)</v>
      </c>
      <c r="U431" s="360">
        <v>1997</v>
      </c>
      <c r="V431" s="360" t="s">
        <v>20</v>
      </c>
      <c r="W431" s="360" t="s">
        <v>19</v>
      </c>
      <c r="X431" s="360">
        <v>24</v>
      </c>
      <c r="Y431" s="360" t="s">
        <v>49</v>
      </c>
      <c r="Z431" s="360">
        <v>3</v>
      </c>
      <c r="AA431" s="360">
        <v>69</v>
      </c>
      <c r="AB431" s="360">
        <v>4.3</v>
      </c>
      <c r="CB431" t="str">
        <f t="shared" si="48"/>
        <v>FemaleOther19Hanging, strangulation and suffocation</v>
      </c>
      <c r="CC431" t="s">
        <v>8</v>
      </c>
      <c r="CD431" t="s">
        <v>45</v>
      </c>
      <c r="CE431" t="s">
        <v>43</v>
      </c>
      <c r="CF431">
        <v>19</v>
      </c>
      <c r="CG431">
        <v>185</v>
      </c>
      <c r="CH431">
        <v>431</v>
      </c>
      <c r="CI431">
        <v>42.9</v>
      </c>
    </row>
    <row r="432" spans="1:87" x14ac:dyDescent="0.2">
      <c r="A432" t="str">
        <f t="shared" si="44"/>
        <v>2001FemaleMaori24</v>
      </c>
      <c r="B432">
        <v>2001</v>
      </c>
      <c r="C432" t="s">
        <v>8</v>
      </c>
      <c r="D432" t="s">
        <v>18</v>
      </c>
      <c r="E432">
        <v>24</v>
      </c>
      <c r="F432">
        <v>0</v>
      </c>
      <c r="G432">
        <v>0</v>
      </c>
      <c r="J432" s="358" t="str">
        <f t="shared" si="45"/>
        <v>2011FemaleNon-Maori194</v>
      </c>
      <c r="K432" s="359">
        <v>2011</v>
      </c>
      <c r="L432" t="s">
        <v>8</v>
      </c>
      <c r="M432" t="s">
        <v>19</v>
      </c>
      <c r="N432">
        <v>19</v>
      </c>
      <c r="O432">
        <v>4</v>
      </c>
      <c r="P432">
        <v>17</v>
      </c>
      <c r="Q432">
        <v>4.4431750172246698</v>
      </c>
      <c r="R432">
        <v>2.1</v>
      </c>
      <c r="T432" s="358" t="str">
        <f t="shared" si="47"/>
        <v>1997MaleNon-Maori25Submersion (drowning)</v>
      </c>
      <c r="U432" s="360">
        <v>1997</v>
      </c>
      <c r="V432" s="360" t="s">
        <v>20</v>
      </c>
      <c r="W432" s="360" t="s">
        <v>19</v>
      </c>
      <c r="X432" s="360">
        <v>25</v>
      </c>
      <c r="Y432" s="360" t="s">
        <v>49</v>
      </c>
      <c r="Z432" s="360">
        <v>3</v>
      </c>
      <c r="AA432" s="360">
        <v>46</v>
      </c>
      <c r="AB432" s="360">
        <v>6.5</v>
      </c>
      <c r="CB432" t="str">
        <f t="shared" si="48"/>
        <v>FemaleOther19Jumping from a high place</v>
      </c>
      <c r="CC432" t="s">
        <v>8</v>
      </c>
      <c r="CD432" t="s">
        <v>45</v>
      </c>
      <c r="CE432" t="s">
        <v>44</v>
      </c>
      <c r="CF432">
        <v>19</v>
      </c>
      <c r="CG432">
        <v>14</v>
      </c>
      <c r="CH432">
        <v>431</v>
      </c>
      <c r="CI432">
        <v>3.2</v>
      </c>
    </row>
    <row r="433" spans="1:87" x14ac:dyDescent="0.2">
      <c r="A433" t="str">
        <f t="shared" si="44"/>
        <v>2001FemaleMaori25</v>
      </c>
      <c r="B433">
        <v>2001</v>
      </c>
      <c r="C433" t="s">
        <v>8</v>
      </c>
      <c r="D433" t="s">
        <v>18</v>
      </c>
      <c r="E433">
        <v>25</v>
      </c>
      <c r="F433">
        <v>0</v>
      </c>
      <c r="G433">
        <v>0</v>
      </c>
      <c r="J433" s="358" t="str">
        <f t="shared" si="45"/>
        <v>2011FemaleNon-Maori195</v>
      </c>
      <c r="K433" s="359">
        <v>2011</v>
      </c>
      <c r="L433" t="s">
        <v>8</v>
      </c>
      <c r="M433" t="s">
        <v>19</v>
      </c>
      <c r="N433">
        <v>19</v>
      </c>
      <c r="O433">
        <v>5</v>
      </c>
      <c r="P433">
        <v>26</v>
      </c>
      <c r="Q433">
        <v>8.5044918509123608</v>
      </c>
      <c r="R433">
        <v>3.3</v>
      </c>
      <c r="T433" s="358" t="str">
        <f t="shared" si="47"/>
        <v>1998AllSexAllEth22Firearms and explosives</v>
      </c>
      <c r="U433" s="360">
        <v>1998</v>
      </c>
      <c r="V433" s="360" t="s">
        <v>17</v>
      </c>
      <c r="W433" s="360" t="s">
        <v>27</v>
      </c>
      <c r="X433" s="360">
        <v>22</v>
      </c>
      <c r="Y433" s="360" t="s">
        <v>42</v>
      </c>
      <c r="Z433" s="360">
        <v>15</v>
      </c>
      <c r="AA433" s="360">
        <v>140</v>
      </c>
      <c r="AB433" s="360">
        <v>10.7</v>
      </c>
      <c r="CB433" t="str">
        <f t="shared" si="48"/>
        <v>FemaleOther19Other</v>
      </c>
      <c r="CC433" t="s">
        <v>8</v>
      </c>
      <c r="CD433" t="s">
        <v>45</v>
      </c>
      <c r="CE433" t="s">
        <v>45</v>
      </c>
      <c r="CF433">
        <v>19</v>
      </c>
      <c r="CG433">
        <v>21</v>
      </c>
      <c r="CH433">
        <v>431</v>
      </c>
      <c r="CI433">
        <v>4.9000000000000004</v>
      </c>
    </row>
    <row r="434" spans="1:87" x14ac:dyDescent="0.2">
      <c r="A434" t="str">
        <f t="shared" si="44"/>
        <v>2001FemaleNon-Maori21</v>
      </c>
      <c r="B434">
        <v>2001</v>
      </c>
      <c r="C434" t="s">
        <v>8</v>
      </c>
      <c r="D434" t="s">
        <v>19</v>
      </c>
      <c r="E434">
        <v>21</v>
      </c>
      <c r="F434">
        <v>1</v>
      </c>
      <c r="J434" s="358" t="str">
        <f t="shared" si="45"/>
        <v>2012FemaleNon-Maori191</v>
      </c>
      <c r="K434" s="359">
        <v>2012</v>
      </c>
      <c r="L434" t="s">
        <v>8</v>
      </c>
      <c r="M434" t="s">
        <v>19</v>
      </c>
      <c r="N434">
        <v>19</v>
      </c>
      <c r="O434">
        <v>1</v>
      </c>
      <c r="P434">
        <v>8</v>
      </c>
      <c r="Q434">
        <v>1.7777892477484001</v>
      </c>
      <c r="R434">
        <v>1.2</v>
      </c>
      <c r="T434" s="358" t="str">
        <f t="shared" si="47"/>
        <v>1998AllSexAllEth23Firearms and explosives</v>
      </c>
      <c r="U434" s="360">
        <v>1998</v>
      </c>
      <c r="V434" s="360" t="s">
        <v>17</v>
      </c>
      <c r="W434" s="360" t="s">
        <v>27</v>
      </c>
      <c r="X434" s="360">
        <v>23</v>
      </c>
      <c r="Y434" s="360" t="s">
        <v>42</v>
      </c>
      <c r="Z434" s="360">
        <v>22</v>
      </c>
      <c r="AA434" s="360">
        <v>249</v>
      </c>
      <c r="AB434" s="360">
        <v>8.8000000000000007</v>
      </c>
      <c r="CB434" t="str">
        <f t="shared" si="48"/>
        <v>FemaleOther19Poisoning by gases and vapours</v>
      </c>
      <c r="CC434" t="s">
        <v>8</v>
      </c>
      <c r="CD434" t="s">
        <v>45</v>
      </c>
      <c r="CE434" t="s">
        <v>46</v>
      </c>
      <c r="CF434">
        <v>19</v>
      </c>
      <c r="CG434">
        <v>33</v>
      </c>
      <c r="CH434">
        <v>431</v>
      </c>
      <c r="CI434">
        <v>7.7</v>
      </c>
    </row>
    <row r="435" spans="1:87" x14ac:dyDescent="0.2">
      <c r="A435" t="str">
        <f t="shared" si="44"/>
        <v>2001FemaleNon-Maori22</v>
      </c>
      <c r="B435">
        <v>2001</v>
      </c>
      <c r="C435" t="s">
        <v>8</v>
      </c>
      <c r="D435" t="s">
        <v>19</v>
      </c>
      <c r="E435">
        <v>22</v>
      </c>
      <c r="F435">
        <v>14</v>
      </c>
      <c r="G435">
        <v>6.5950631241756197</v>
      </c>
      <c r="H435">
        <v>3.5</v>
      </c>
      <c r="J435" s="358" t="str">
        <f t="shared" si="45"/>
        <v>2012FemaleNon-Maori192</v>
      </c>
      <c r="K435" s="359">
        <v>2012</v>
      </c>
      <c r="L435" t="s">
        <v>8</v>
      </c>
      <c r="M435" t="s">
        <v>19</v>
      </c>
      <c r="N435">
        <v>19</v>
      </c>
      <c r="O435">
        <v>2</v>
      </c>
      <c r="P435">
        <v>19</v>
      </c>
      <c r="Q435">
        <v>3.9958985825873601</v>
      </c>
      <c r="R435">
        <v>1.8</v>
      </c>
      <c r="T435" s="358" t="str">
        <f t="shared" si="47"/>
        <v>1998AllSexAllEth24Firearms and explosives</v>
      </c>
      <c r="U435" s="360">
        <v>1998</v>
      </c>
      <c r="V435" s="360" t="s">
        <v>17</v>
      </c>
      <c r="W435" s="360" t="s">
        <v>27</v>
      </c>
      <c r="X435" s="360">
        <v>24</v>
      </c>
      <c r="Y435" s="360" t="s">
        <v>42</v>
      </c>
      <c r="Z435" s="360">
        <v>28</v>
      </c>
      <c r="AA435" s="360">
        <v>114</v>
      </c>
      <c r="AB435" s="360">
        <v>24.6</v>
      </c>
      <c r="CB435" t="str">
        <f t="shared" si="48"/>
        <v>FemaleOther19Poisoning by solids and liquids</v>
      </c>
      <c r="CC435" t="s">
        <v>8</v>
      </c>
      <c r="CD435" t="s">
        <v>45</v>
      </c>
      <c r="CE435" t="s">
        <v>47</v>
      </c>
      <c r="CF435">
        <v>19</v>
      </c>
      <c r="CG435">
        <v>142</v>
      </c>
      <c r="CH435">
        <v>431</v>
      </c>
      <c r="CI435">
        <v>32.9</v>
      </c>
    </row>
    <row r="436" spans="1:87" x14ac:dyDescent="0.2">
      <c r="A436" t="str">
        <f t="shared" si="44"/>
        <v>2001FemaleNon-Maori23</v>
      </c>
      <c r="B436">
        <v>2001</v>
      </c>
      <c r="C436" t="s">
        <v>8</v>
      </c>
      <c r="D436" t="s">
        <v>19</v>
      </c>
      <c r="E436">
        <v>23</v>
      </c>
      <c r="F436">
        <v>39</v>
      </c>
      <c r="G436">
        <v>7.6827610661308396</v>
      </c>
      <c r="H436">
        <v>2.4</v>
      </c>
      <c r="J436" s="358" t="str">
        <f t="shared" si="45"/>
        <v>2012FemaleNon-Maori193</v>
      </c>
      <c r="K436" s="359">
        <v>2012</v>
      </c>
      <c r="L436" t="s">
        <v>8</v>
      </c>
      <c r="M436" t="s">
        <v>19</v>
      </c>
      <c r="N436">
        <v>19</v>
      </c>
      <c r="O436">
        <v>3</v>
      </c>
      <c r="P436">
        <v>19</v>
      </c>
      <c r="Q436">
        <v>4.4501836461997204</v>
      </c>
      <c r="R436">
        <v>2</v>
      </c>
      <c r="T436" s="358" t="str">
        <f t="shared" si="47"/>
        <v>1998AllSexAllEth25Firearms and explosives</v>
      </c>
      <c r="U436" s="360">
        <v>1998</v>
      </c>
      <c r="V436" s="360" t="s">
        <v>17</v>
      </c>
      <c r="W436" s="360" t="s">
        <v>27</v>
      </c>
      <c r="X436" s="360">
        <v>25</v>
      </c>
      <c r="Y436" s="360" t="s">
        <v>42</v>
      </c>
      <c r="Z436" s="360">
        <v>7</v>
      </c>
      <c r="AA436" s="360">
        <v>64</v>
      </c>
      <c r="AB436" s="360">
        <v>10.9</v>
      </c>
      <c r="CB436" t="str">
        <f t="shared" si="48"/>
        <v>FemaleOther19Sharp object</v>
      </c>
      <c r="CC436" t="s">
        <v>8</v>
      </c>
      <c r="CD436" t="s">
        <v>45</v>
      </c>
      <c r="CE436" t="s">
        <v>48</v>
      </c>
      <c r="CF436">
        <v>19</v>
      </c>
      <c r="CG436">
        <v>6</v>
      </c>
      <c r="CH436">
        <v>431</v>
      </c>
      <c r="CI436">
        <v>1.4</v>
      </c>
    </row>
    <row r="437" spans="1:87" x14ac:dyDescent="0.2">
      <c r="A437" t="str">
        <f t="shared" si="44"/>
        <v>2001FemaleNon-Maori24</v>
      </c>
      <c r="B437">
        <v>2001</v>
      </c>
      <c r="C437" t="s">
        <v>8</v>
      </c>
      <c r="D437" t="s">
        <v>19</v>
      </c>
      <c r="E437">
        <v>24</v>
      </c>
      <c r="F437">
        <v>27</v>
      </c>
      <c r="G437">
        <v>6.8653376729047997</v>
      </c>
      <c r="H437">
        <v>2.6</v>
      </c>
      <c r="J437" s="358" t="str">
        <f t="shared" si="45"/>
        <v>2012FemaleNon-Maori194</v>
      </c>
      <c r="K437" s="359">
        <v>2012</v>
      </c>
      <c r="L437" t="s">
        <v>8</v>
      </c>
      <c r="M437" t="s">
        <v>19</v>
      </c>
      <c r="N437">
        <v>19</v>
      </c>
      <c r="O437">
        <v>4</v>
      </c>
      <c r="P437">
        <v>29</v>
      </c>
      <c r="Q437">
        <v>7.1596906658501496</v>
      </c>
      <c r="R437">
        <v>2.6</v>
      </c>
      <c r="T437" s="358" t="str">
        <f t="shared" si="47"/>
        <v>1998AllSexAllEth21Hanging, strangulation and suffocation</v>
      </c>
      <c r="U437" s="360">
        <v>1998</v>
      </c>
      <c r="V437" s="360" t="s">
        <v>17</v>
      </c>
      <c r="W437" s="360" t="s">
        <v>27</v>
      </c>
      <c r="X437" s="360">
        <v>21</v>
      </c>
      <c r="Y437" s="360" t="s">
        <v>43</v>
      </c>
      <c r="Z437" s="360">
        <v>11</v>
      </c>
      <c r="AA437" s="360">
        <v>12</v>
      </c>
      <c r="AB437" s="360">
        <v>91.7</v>
      </c>
      <c r="CB437" t="str">
        <f t="shared" si="48"/>
        <v>FemaleOther19Submersion (drowning)</v>
      </c>
      <c r="CC437" t="s">
        <v>8</v>
      </c>
      <c r="CD437" t="s">
        <v>45</v>
      </c>
      <c r="CE437" t="s">
        <v>49</v>
      </c>
      <c r="CF437">
        <v>19</v>
      </c>
      <c r="CG437">
        <v>19</v>
      </c>
      <c r="CH437">
        <v>431</v>
      </c>
      <c r="CI437">
        <v>4.4000000000000004</v>
      </c>
    </row>
    <row r="438" spans="1:87" x14ac:dyDescent="0.2">
      <c r="A438" t="str">
        <f t="shared" si="44"/>
        <v>2001FemaleNon-Maori25</v>
      </c>
      <c r="B438">
        <v>2001</v>
      </c>
      <c r="C438" t="s">
        <v>8</v>
      </c>
      <c r="D438" t="s">
        <v>19</v>
      </c>
      <c r="E438">
        <v>25</v>
      </c>
      <c r="F438">
        <v>16</v>
      </c>
      <c r="G438">
        <v>6.4479729185137398</v>
      </c>
      <c r="H438">
        <v>3.2</v>
      </c>
      <c r="J438" s="358" t="str">
        <f t="shared" si="45"/>
        <v>2012FemaleNon-Maori195</v>
      </c>
      <c r="K438" s="359">
        <v>2012</v>
      </c>
      <c r="L438" t="s">
        <v>8</v>
      </c>
      <c r="M438" t="s">
        <v>19</v>
      </c>
      <c r="N438">
        <v>19</v>
      </c>
      <c r="O438">
        <v>5</v>
      </c>
      <c r="P438">
        <v>26</v>
      </c>
      <c r="Q438">
        <v>8.0591338977903106</v>
      </c>
      <c r="R438">
        <v>3.1</v>
      </c>
      <c r="T438" s="358" t="str">
        <f t="shared" si="47"/>
        <v>1998AllSexAllEth22Hanging, strangulation and suffocation</v>
      </c>
      <c r="U438" s="360">
        <v>1998</v>
      </c>
      <c r="V438" s="360" t="s">
        <v>17</v>
      </c>
      <c r="W438" s="360" t="s">
        <v>27</v>
      </c>
      <c r="X438" s="360">
        <v>22</v>
      </c>
      <c r="Y438" s="360" t="s">
        <v>43</v>
      </c>
      <c r="Z438" s="360">
        <v>74</v>
      </c>
      <c r="AA438" s="360">
        <v>140</v>
      </c>
      <c r="AB438" s="360">
        <v>52.9</v>
      </c>
      <c r="CB438" t="str">
        <f t="shared" si="48"/>
        <v>FemalePacific19Hanging, strangulation and suffocation</v>
      </c>
      <c r="CC438" t="s">
        <v>8</v>
      </c>
      <c r="CD438" t="s">
        <v>79</v>
      </c>
      <c r="CE438" t="s">
        <v>43</v>
      </c>
      <c r="CF438">
        <v>19</v>
      </c>
      <c r="CG438">
        <v>28</v>
      </c>
      <c r="CH438">
        <v>35</v>
      </c>
      <c r="CI438">
        <v>80</v>
      </c>
    </row>
    <row r="439" spans="1:87" x14ac:dyDescent="0.2">
      <c r="A439" t="str">
        <f t="shared" si="44"/>
        <v>2001MaleAllEth21</v>
      </c>
      <c r="B439">
        <v>2001</v>
      </c>
      <c r="C439" t="s">
        <v>20</v>
      </c>
      <c r="D439" t="s">
        <v>27</v>
      </c>
      <c r="E439">
        <v>21</v>
      </c>
      <c r="F439">
        <v>1</v>
      </c>
      <c r="J439" s="358" t="str">
        <f t="shared" si="45"/>
        <v>2013FemaleNon-Maori191</v>
      </c>
      <c r="K439" s="359">
        <v>2013</v>
      </c>
      <c r="L439" t="s">
        <v>8</v>
      </c>
      <c r="M439" t="s">
        <v>19</v>
      </c>
      <c r="N439">
        <v>19</v>
      </c>
      <c r="O439">
        <v>1</v>
      </c>
      <c r="P439">
        <v>19</v>
      </c>
      <c r="Q439">
        <v>3.6185165324187198</v>
      </c>
      <c r="R439">
        <v>1.6</v>
      </c>
      <c r="T439" s="358" t="str">
        <f t="shared" si="47"/>
        <v>1998AllSexAllEth23Hanging, strangulation and suffocation</v>
      </c>
      <c r="U439" s="360">
        <v>1998</v>
      </c>
      <c r="V439" s="360" t="s">
        <v>17</v>
      </c>
      <c r="W439" s="360" t="s">
        <v>27</v>
      </c>
      <c r="X439" s="360">
        <v>23</v>
      </c>
      <c r="Y439" s="360" t="s">
        <v>43</v>
      </c>
      <c r="Z439" s="360">
        <v>121</v>
      </c>
      <c r="AA439" s="360">
        <v>249</v>
      </c>
      <c r="AB439" s="360">
        <v>48.6</v>
      </c>
      <c r="CB439" t="str">
        <f t="shared" si="48"/>
        <v>FemalePacific19Other</v>
      </c>
      <c r="CC439" t="s">
        <v>8</v>
      </c>
      <c r="CD439" t="s">
        <v>79</v>
      </c>
      <c r="CE439" t="s">
        <v>45</v>
      </c>
      <c r="CF439">
        <v>19</v>
      </c>
      <c r="CG439">
        <v>2</v>
      </c>
      <c r="CH439">
        <v>35</v>
      </c>
      <c r="CI439">
        <v>5.7</v>
      </c>
    </row>
    <row r="440" spans="1:87" x14ac:dyDescent="0.2">
      <c r="A440" t="str">
        <f t="shared" si="44"/>
        <v>2001MaleAllEth22</v>
      </c>
      <c r="B440">
        <v>2001</v>
      </c>
      <c r="C440" t="s">
        <v>20</v>
      </c>
      <c r="D440" t="s">
        <v>27</v>
      </c>
      <c r="E440">
        <v>22</v>
      </c>
      <c r="F440">
        <v>87</v>
      </c>
      <c r="G440">
        <v>32.200755052187397</v>
      </c>
      <c r="H440">
        <v>6.8</v>
      </c>
      <c r="J440" s="358" t="str">
        <f t="shared" si="45"/>
        <v>2013FemaleNon-Maori192</v>
      </c>
      <c r="K440" s="359">
        <v>2013</v>
      </c>
      <c r="L440" t="s">
        <v>8</v>
      </c>
      <c r="M440" t="s">
        <v>19</v>
      </c>
      <c r="N440">
        <v>19</v>
      </c>
      <c r="O440">
        <v>2</v>
      </c>
      <c r="P440">
        <v>25</v>
      </c>
      <c r="Q440">
        <v>4.8728707967093596</v>
      </c>
      <c r="R440">
        <v>1.9</v>
      </c>
      <c r="T440" s="358" t="str">
        <f t="shared" si="47"/>
        <v>1998AllSexAllEth24Hanging, strangulation and suffocation</v>
      </c>
      <c r="U440" s="360">
        <v>1998</v>
      </c>
      <c r="V440" s="360" t="s">
        <v>17</v>
      </c>
      <c r="W440" s="360" t="s">
        <v>27</v>
      </c>
      <c r="X440" s="360">
        <v>24</v>
      </c>
      <c r="Y440" s="360" t="s">
        <v>43</v>
      </c>
      <c r="Z440" s="360">
        <v>26</v>
      </c>
      <c r="AA440" s="360">
        <v>114</v>
      </c>
      <c r="AB440" s="360">
        <v>22.8</v>
      </c>
      <c r="CB440" t="str">
        <f t="shared" si="48"/>
        <v>FemalePacific19Poisoning by solids and liquids</v>
      </c>
      <c r="CC440" t="s">
        <v>8</v>
      </c>
      <c r="CD440" t="s">
        <v>79</v>
      </c>
      <c r="CE440" t="s">
        <v>47</v>
      </c>
      <c r="CF440">
        <v>19</v>
      </c>
      <c r="CG440">
        <v>4</v>
      </c>
      <c r="CH440">
        <v>35</v>
      </c>
      <c r="CI440">
        <v>11.4</v>
      </c>
    </row>
    <row r="441" spans="1:87" x14ac:dyDescent="0.2">
      <c r="A441" t="str">
        <f t="shared" si="44"/>
        <v>2001MaleAllEth23</v>
      </c>
      <c r="B441">
        <v>2001</v>
      </c>
      <c r="C441" t="s">
        <v>20</v>
      </c>
      <c r="D441" t="s">
        <v>27</v>
      </c>
      <c r="E441">
        <v>23</v>
      </c>
      <c r="F441">
        <v>189</v>
      </c>
      <c r="G441">
        <v>33.795865817895702</v>
      </c>
      <c r="H441">
        <v>4.8</v>
      </c>
      <c r="J441" s="358" t="str">
        <f t="shared" si="45"/>
        <v>2013FemaleNon-Maori193</v>
      </c>
      <c r="K441" s="359">
        <v>2013</v>
      </c>
      <c r="L441" t="s">
        <v>8</v>
      </c>
      <c r="M441" t="s">
        <v>19</v>
      </c>
      <c r="N441">
        <v>19</v>
      </c>
      <c r="O441">
        <v>3</v>
      </c>
      <c r="P441">
        <v>21</v>
      </c>
      <c r="Q441">
        <v>5.2602220697961997</v>
      </c>
      <c r="R441">
        <v>2.2000000000000002</v>
      </c>
      <c r="T441" s="358" t="str">
        <f t="shared" si="47"/>
        <v>1998AllSexAllEth25Hanging, strangulation and suffocation</v>
      </c>
      <c r="U441" s="360">
        <v>1998</v>
      </c>
      <c r="V441" s="360" t="s">
        <v>17</v>
      </c>
      <c r="W441" s="360" t="s">
        <v>27</v>
      </c>
      <c r="X441" s="360">
        <v>25</v>
      </c>
      <c r="Y441" s="360" t="s">
        <v>43</v>
      </c>
      <c r="Z441" s="360">
        <v>18</v>
      </c>
      <c r="AA441" s="360">
        <v>64</v>
      </c>
      <c r="AB441" s="360">
        <v>28.1</v>
      </c>
      <c r="CB441" t="str">
        <f t="shared" si="48"/>
        <v>FemalePacific19Sharp object</v>
      </c>
      <c r="CC441" t="s">
        <v>8</v>
      </c>
      <c r="CD441" t="s">
        <v>79</v>
      </c>
      <c r="CE441" t="s">
        <v>48</v>
      </c>
      <c r="CF441">
        <v>19</v>
      </c>
      <c r="CG441">
        <v>1</v>
      </c>
      <c r="CH441">
        <v>35</v>
      </c>
      <c r="CI441">
        <v>2.9</v>
      </c>
    </row>
    <row r="442" spans="1:87" x14ac:dyDescent="0.2">
      <c r="A442" t="str">
        <f t="shared" si="44"/>
        <v>2001MaleAllEth24</v>
      </c>
      <c r="B442">
        <v>2001</v>
      </c>
      <c r="C442" t="s">
        <v>20</v>
      </c>
      <c r="D442" t="s">
        <v>27</v>
      </c>
      <c r="E442">
        <v>24</v>
      </c>
      <c r="F442">
        <v>65</v>
      </c>
      <c r="G442">
        <v>15.3052814994467</v>
      </c>
      <c r="H442">
        <v>3.7</v>
      </c>
      <c r="J442" s="358" t="str">
        <f t="shared" si="45"/>
        <v>2013FemaleNon-Maori194</v>
      </c>
      <c r="K442" s="359">
        <v>2013</v>
      </c>
      <c r="L442" t="s">
        <v>8</v>
      </c>
      <c r="M442" t="s">
        <v>19</v>
      </c>
      <c r="N442">
        <v>19</v>
      </c>
      <c r="O442">
        <v>4</v>
      </c>
      <c r="P442">
        <v>12</v>
      </c>
      <c r="Q442">
        <v>3.4126486064716302</v>
      </c>
      <c r="R442">
        <v>1.9</v>
      </c>
      <c r="T442" s="358" t="str">
        <f t="shared" si="47"/>
        <v>1998AllSexAllEth22Jumping from a high place</v>
      </c>
      <c r="U442" s="360">
        <v>1998</v>
      </c>
      <c r="V442" s="360" t="s">
        <v>17</v>
      </c>
      <c r="W442" s="360" t="s">
        <v>27</v>
      </c>
      <c r="X442" s="360">
        <v>22</v>
      </c>
      <c r="Y442" s="360" t="s">
        <v>44</v>
      </c>
      <c r="Z442" s="360">
        <v>7</v>
      </c>
      <c r="AA442" s="360">
        <v>140</v>
      </c>
      <c r="AB442" s="360">
        <v>5</v>
      </c>
      <c r="CB442" t="str">
        <f t="shared" si="48"/>
        <v>MaleAllEth19Firearms and explosives</v>
      </c>
      <c r="CC442" t="s">
        <v>20</v>
      </c>
      <c r="CD442" t="s">
        <v>27</v>
      </c>
      <c r="CE442" t="s">
        <v>42</v>
      </c>
      <c r="CF442">
        <v>19</v>
      </c>
      <c r="CG442">
        <v>201</v>
      </c>
      <c r="CH442">
        <v>1910</v>
      </c>
      <c r="CI442">
        <v>10.5</v>
      </c>
    </row>
    <row r="443" spans="1:87" x14ac:dyDescent="0.2">
      <c r="A443" t="str">
        <f t="shared" si="44"/>
        <v>2001MaleAllEth25</v>
      </c>
      <c r="B443">
        <v>2001</v>
      </c>
      <c r="C443" t="s">
        <v>20</v>
      </c>
      <c r="D443" t="s">
        <v>27</v>
      </c>
      <c r="E443">
        <v>25</v>
      </c>
      <c r="F443">
        <v>48</v>
      </c>
      <c r="G443">
        <v>23.830801310694099</v>
      </c>
      <c r="H443">
        <v>6.7</v>
      </c>
      <c r="J443" s="358" t="str">
        <f t="shared" si="45"/>
        <v>2013FemaleNon-Maori195</v>
      </c>
      <c r="K443" s="359">
        <v>2013</v>
      </c>
      <c r="L443" t="s">
        <v>8</v>
      </c>
      <c r="M443" t="s">
        <v>19</v>
      </c>
      <c r="N443">
        <v>19</v>
      </c>
      <c r="O443">
        <v>5</v>
      </c>
      <c r="P443">
        <v>24</v>
      </c>
      <c r="Q443">
        <v>8.1194869125848506</v>
      </c>
      <c r="R443">
        <v>3.2</v>
      </c>
      <c r="T443" s="358" t="str">
        <f t="shared" si="47"/>
        <v>1998AllSexAllEth23Jumping from a high place</v>
      </c>
      <c r="U443" s="360">
        <v>1998</v>
      </c>
      <c r="V443" s="360" t="s">
        <v>17</v>
      </c>
      <c r="W443" s="360" t="s">
        <v>27</v>
      </c>
      <c r="X443" s="360">
        <v>23</v>
      </c>
      <c r="Y443" s="360" t="s">
        <v>44</v>
      </c>
      <c r="Z443" s="360">
        <v>6</v>
      </c>
      <c r="AA443" s="360">
        <v>249</v>
      </c>
      <c r="AB443" s="360">
        <v>2.4</v>
      </c>
      <c r="CB443" t="str">
        <f t="shared" si="48"/>
        <v>MaleAllEth19Hanging, strangulation and suffocation</v>
      </c>
      <c r="CC443" t="s">
        <v>20</v>
      </c>
      <c r="CD443" t="s">
        <v>27</v>
      </c>
      <c r="CE443" t="s">
        <v>43</v>
      </c>
      <c r="CF443">
        <v>19</v>
      </c>
      <c r="CG443">
        <v>1185</v>
      </c>
      <c r="CH443">
        <v>1910</v>
      </c>
      <c r="CI443">
        <v>62</v>
      </c>
    </row>
    <row r="444" spans="1:87" x14ac:dyDescent="0.2">
      <c r="A444" t="str">
        <f t="shared" si="44"/>
        <v>2001MaleMaori21</v>
      </c>
      <c r="B444">
        <v>2001</v>
      </c>
      <c r="C444" t="s">
        <v>20</v>
      </c>
      <c r="D444" t="s">
        <v>18</v>
      </c>
      <c r="E444">
        <v>21</v>
      </c>
      <c r="F444">
        <v>0</v>
      </c>
      <c r="J444" s="358" t="str">
        <f t="shared" si="45"/>
        <v>2014FemaleNon-Maori191</v>
      </c>
      <c r="K444" s="359">
        <v>2014</v>
      </c>
      <c r="L444" t="s">
        <v>8</v>
      </c>
      <c r="M444" t="s">
        <v>19</v>
      </c>
      <c r="N444">
        <v>19</v>
      </c>
      <c r="O444">
        <v>1</v>
      </c>
      <c r="P444">
        <v>11</v>
      </c>
      <c r="Q444">
        <v>1.9882492907714799</v>
      </c>
      <c r="R444">
        <v>1.2</v>
      </c>
      <c r="T444" s="358" t="str">
        <f t="shared" si="47"/>
        <v>1998AllSexAllEth24Jumping from a high place</v>
      </c>
      <c r="U444" s="360">
        <v>1998</v>
      </c>
      <c r="V444" s="360" t="s">
        <v>17</v>
      </c>
      <c r="W444" s="360" t="s">
        <v>27</v>
      </c>
      <c r="X444" s="360">
        <v>24</v>
      </c>
      <c r="Y444" s="360" t="s">
        <v>44</v>
      </c>
      <c r="Z444" s="360">
        <v>2</v>
      </c>
      <c r="AA444" s="360">
        <v>114</v>
      </c>
      <c r="AB444" s="360">
        <v>1.8</v>
      </c>
      <c r="CB444" t="str">
        <f t="shared" si="48"/>
        <v>MaleAllEth19Jumping from a high place</v>
      </c>
      <c r="CC444" t="s">
        <v>20</v>
      </c>
      <c r="CD444" t="s">
        <v>27</v>
      </c>
      <c r="CE444" t="s">
        <v>44</v>
      </c>
      <c r="CF444">
        <v>19</v>
      </c>
      <c r="CG444">
        <v>55</v>
      </c>
      <c r="CH444">
        <v>1910</v>
      </c>
      <c r="CI444">
        <v>2.9</v>
      </c>
    </row>
    <row r="445" spans="1:87" x14ac:dyDescent="0.2">
      <c r="A445" t="str">
        <f t="shared" si="44"/>
        <v>2001MaleMaori22</v>
      </c>
      <c r="B445">
        <v>2001</v>
      </c>
      <c r="C445" t="s">
        <v>20</v>
      </c>
      <c r="D445" t="s">
        <v>18</v>
      </c>
      <c r="E445">
        <v>22</v>
      </c>
      <c r="F445">
        <v>20</v>
      </c>
      <c r="G445">
        <v>38.978756577665202</v>
      </c>
      <c r="H445">
        <v>17.100000000000001</v>
      </c>
      <c r="J445" s="358" t="str">
        <f t="shared" si="45"/>
        <v>2014FemaleNon-Maori192</v>
      </c>
      <c r="K445" s="359">
        <v>2014</v>
      </c>
      <c r="L445" t="s">
        <v>8</v>
      </c>
      <c r="M445" t="s">
        <v>19</v>
      </c>
      <c r="N445">
        <v>19</v>
      </c>
      <c r="O445">
        <v>2</v>
      </c>
      <c r="P445">
        <v>23</v>
      </c>
      <c r="Q445">
        <v>4.7774027952648401</v>
      </c>
      <c r="R445">
        <v>2</v>
      </c>
      <c r="T445" s="358" t="str">
        <f t="shared" si="47"/>
        <v>1998AllSexAllEth25Jumping from a high place</v>
      </c>
      <c r="U445" s="360">
        <v>1998</v>
      </c>
      <c r="V445" s="360" t="s">
        <v>17</v>
      </c>
      <c r="W445" s="360" t="s">
        <v>27</v>
      </c>
      <c r="X445" s="360">
        <v>25</v>
      </c>
      <c r="Y445" s="360" t="s">
        <v>44</v>
      </c>
      <c r="Z445" s="360">
        <v>1</v>
      </c>
      <c r="AA445" s="360">
        <v>64</v>
      </c>
      <c r="AB445" s="360">
        <v>1.6</v>
      </c>
      <c r="CB445" t="str">
        <f t="shared" si="48"/>
        <v>MaleAllEth19Other</v>
      </c>
      <c r="CC445" t="s">
        <v>20</v>
      </c>
      <c r="CD445" t="s">
        <v>27</v>
      </c>
      <c r="CE445" t="s">
        <v>45</v>
      </c>
      <c r="CF445">
        <v>19</v>
      </c>
      <c r="CG445">
        <v>70</v>
      </c>
      <c r="CH445">
        <v>1910</v>
      </c>
      <c r="CI445">
        <v>3.7</v>
      </c>
    </row>
    <row r="446" spans="1:87" x14ac:dyDescent="0.2">
      <c r="A446" t="str">
        <f t="shared" si="44"/>
        <v>2001MaleMaori23</v>
      </c>
      <c r="B446">
        <v>2001</v>
      </c>
      <c r="C446" t="s">
        <v>20</v>
      </c>
      <c r="D446" t="s">
        <v>18</v>
      </c>
      <c r="E446">
        <v>23</v>
      </c>
      <c r="F446">
        <v>31</v>
      </c>
      <c r="G446">
        <v>38.7548443555444</v>
      </c>
      <c r="H446">
        <v>13.6</v>
      </c>
      <c r="J446" s="358" t="str">
        <f t="shared" si="45"/>
        <v>2014FemaleNon-Maori193</v>
      </c>
      <c r="K446" s="359">
        <v>2014</v>
      </c>
      <c r="L446" t="s">
        <v>8</v>
      </c>
      <c r="M446" t="s">
        <v>19</v>
      </c>
      <c r="N446">
        <v>19</v>
      </c>
      <c r="O446">
        <v>3</v>
      </c>
      <c r="P446">
        <v>20</v>
      </c>
      <c r="Q446">
        <v>4.8760079771909099</v>
      </c>
      <c r="R446">
        <v>2.1</v>
      </c>
      <c r="T446" s="358" t="str">
        <f t="shared" si="47"/>
        <v>1998AllSexAllEth22Other</v>
      </c>
      <c r="U446" s="360">
        <v>1998</v>
      </c>
      <c r="V446" s="360" t="s">
        <v>17</v>
      </c>
      <c r="W446" s="360" t="s">
        <v>27</v>
      </c>
      <c r="X446" s="360">
        <v>22</v>
      </c>
      <c r="Y446" s="360" t="s">
        <v>45</v>
      </c>
      <c r="Z446" s="360">
        <v>6</v>
      </c>
      <c r="AA446" s="360">
        <v>140</v>
      </c>
      <c r="AB446" s="360">
        <v>4.3</v>
      </c>
      <c r="CB446" t="str">
        <f t="shared" si="48"/>
        <v>MaleAllEth19Poisoning by gases and vapours</v>
      </c>
      <c r="CC446" t="s">
        <v>20</v>
      </c>
      <c r="CD446" t="s">
        <v>27</v>
      </c>
      <c r="CE446" t="s">
        <v>46</v>
      </c>
      <c r="CF446">
        <v>19</v>
      </c>
      <c r="CG446">
        <v>189</v>
      </c>
      <c r="CH446">
        <v>1910</v>
      </c>
      <c r="CI446">
        <v>9.9</v>
      </c>
    </row>
    <row r="447" spans="1:87" x14ac:dyDescent="0.2">
      <c r="A447" t="str">
        <f t="shared" si="44"/>
        <v>2001MaleMaori24</v>
      </c>
      <c r="B447">
        <v>2001</v>
      </c>
      <c r="C447" t="s">
        <v>20</v>
      </c>
      <c r="D447" t="s">
        <v>18</v>
      </c>
      <c r="E447">
        <v>24</v>
      </c>
      <c r="F447">
        <v>5</v>
      </c>
      <c r="G447">
        <v>13.185654008438799</v>
      </c>
      <c r="H447">
        <v>11.6</v>
      </c>
      <c r="J447" s="358" t="str">
        <f t="shared" si="45"/>
        <v>2014FemaleNon-Maori194</v>
      </c>
      <c r="K447" s="359">
        <v>2014</v>
      </c>
      <c r="L447" t="s">
        <v>8</v>
      </c>
      <c r="M447" t="s">
        <v>19</v>
      </c>
      <c r="N447">
        <v>19</v>
      </c>
      <c r="O447">
        <v>4</v>
      </c>
      <c r="P447">
        <v>24</v>
      </c>
      <c r="Q447">
        <v>6.2990264240474501</v>
      </c>
      <c r="R447">
        <v>2.5</v>
      </c>
      <c r="T447" s="358" t="str">
        <f t="shared" si="47"/>
        <v>1998AllSexAllEth23Other</v>
      </c>
      <c r="U447" s="360">
        <v>1998</v>
      </c>
      <c r="V447" s="360" t="s">
        <v>17</v>
      </c>
      <c r="W447" s="360" t="s">
        <v>27</v>
      </c>
      <c r="X447" s="360">
        <v>23</v>
      </c>
      <c r="Y447" s="360" t="s">
        <v>45</v>
      </c>
      <c r="Z447" s="360">
        <v>12</v>
      </c>
      <c r="AA447" s="360">
        <v>249</v>
      </c>
      <c r="AB447" s="360">
        <v>4.8</v>
      </c>
      <c r="CB447" t="str">
        <f t="shared" si="48"/>
        <v>MaleAllEth19Poisoning by solids and liquids</v>
      </c>
      <c r="CC447" t="s">
        <v>20</v>
      </c>
      <c r="CD447" t="s">
        <v>27</v>
      </c>
      <c r="CE447" t="s">
        <v>47</v>
      </c>
      <c r="CF447">
        <v>19</v>
      </c>
      <c r="CG447">
        <v>137</v>
      </c>
      <c r="CH447">
        <v>1910</v>
      </c>
      <c r="CI447">
        <v>7.2</v>
      </c>
    </row>
    <row r="448" spans="1:87" x14ac:dyDescent="0.2">
      <c r="A448" t="str">
        <f t="shared" si="44"/>
        <v>2001MaleMaori25</v>
      </c>
      <c r="B448">
        <v>2001</v>
      </c>
      <c r="C448" t="s">
        <v>20</v>
      </c>
      <c r="D448" t="s">
        <v>18</v>
      </c>
      <c r="E448">
        <v>25</v>
      </c>
      <c r="F448">
        <v>2</v>
      </c>
      <c r="G448">
        <v>22.396416573348301</v>
      </c>
      <c r="H448">
        <v>31</v>
      </c>
      <c r="J448" s="358" t="str">
        <f t="shared" si="45"/>
        <v>2014FemaleNon-Maori195</v>
      </c>
      <c r="K448" s="359">
        <v>2014</v>
      </c>
      <c r="L448" t="s">
        <v>8</v>
      </c>
      <c r="M448" t="s">
        <v>19</v>
      </c>
      <c r="N448">
        <v>19</v>
      </c>
      <c r="O448">
        <v>5</v>
      </c>
      <c r="P448">
        <v>25</v>
      </c>
      <c r="Q448">
        <v>7.7657007436938397</v>
      </c>
      <c r="R448">
        <v>3</v>
      </c>
      <c r="T448" s="358" t="str">
        <f t="shared" si="47"/>
        <v>1998AllSexAllEth24Other</v>
      </c>
      <c r="U448" s="360">
        <v>1998</v>
      </c>
      <c r="V448" s="360" t="s">
        <v>17</v>
      </c>
      <c r="W448" s="360" t="s">
        <v>27</v>
      </c>
      <c r="X448" s="360">
        <v>24</v>
      </c>
      <c r="Y448" s="360" t="s">
        <v>45</v>
      </c>
      <c r="Z448" s="360">
        <v>3</v>
      </c>
      <c r="AA448" s="360">
        <v>114</v>
      </c>
      <c r="AB448" s="360">
        <v>2.6</v>
      </c>
      <c r="CB448" t="str">
        <f t="shared" si="48"/>
        <v>MaleAllEth19Sharp object</v>
      </c>
      <c r="CC448" t="s">
        <v>20</v>
      </c>
      <c r="CD448" t="s">
        <v>27</v>
      </c>
      <c r="CE448" t="s">
        <v>48</v>
      </c>
      <c r="CF448">
        <v>19</v>
      </c>
      <c r="CG448">
        <v>40</v>
      </c>
      <c r="CH448">
        <v>1910</v>
      </c>
      <c r="CI448">
        <v>2.1</v>
      </c>
    </row>
    <row r="449" spans="1:87" x14ac:dyDescent="0.2">
      <c r="A449" t="str">
        <f t="shared" si="44"/>
        <v>2001MaleNon-Maori21</v>
      </c>
      <c r="B449">
        <v>2001</v>
      </c>
      <c r="C449" t="s">
        <v>20</v>
      </c>
      <c r="D449" t="s">
        <v>19</v>
      </c>
      <c r="E449">
        <v>21</v>
      </c>
      <c r="F449">
        <v>1</v>
      </c>
      <c r="J449" s="358" t="str">
        <f t="shared" si="45"/>
        <v>2015FemaleNon-Maori191</v>
      </c>
      <c r="K449" s="359">
        <v>2015</v>
      </c>
      <c r="L449" t="s">
        <v>8</v>
      </c>
      <c r="M449" t="s">
        <v>19</v>
      </c>
      <c r="N449">
        <v>19</v>
      </c>
      <c r="O449">
        <v>1</v>
      </c>
      <c r="P449">
        <v>20</v>
      </c>
      <c r="Q449">
        <v>3.69613322939552</v>
      </c>
      <c r="R449">
        <v>1.6</v>
      </c>
      <c r="T449" s="358" t="str">
        <f t="shared" si="47"/>
        <v>1998AllSexAllEth25Other</v>
      </c>
      <c r="U449" s="360">
        <v>1998</v>
      </c>
      <c r="V449" s="360" t="s">
        <v>17</v>
      </c>
      <c r="W449" s="360" t="s">
        <v>27</v>
      </c>
      <c r="X449" s="360">
        <v>25</v>
      </c>
      <c r="Y449" s="360" t="s">
        <v>45</v>
      </c>
      <c r="Z449" s="360">
        <v>4</v>
      </c>
      <c r="AA449" s="360">
        <v>64</v>
      </c>
      <c r="AB449" s="360">
        <v>6.2</v>
      </c>
      <c r="CB449" t="str">
        <f t="shared" si="48"/>
        <v>MaleAllEth19Submersion (drowning)</v>
      </c>
      <c r="CC449" t="s">
        <v>20</v>
      </c>
      <c r="CD449" t="s">
        <v>27</v>
      </c>
      <c r="CE449" t="s">
        <v>49</v>
      </c>
      <c r="CF449">
        <v>19</v>
      </c>
      <c r="CG449">
        <v>33</v>
      </c>
      <c r="CH449">
        <v>1910</v>
      </c>
      <c r="CI449">
        <v>1.7</v>
      </c>
    </row>
    <row r="450" spans="1:87" x14ac:dyDescent="0.2">
      <c r="A450" t="str">
        <f t="shared" si="44"/>
        <v>2001MaleNon-Maori22</v>
      </c>
      <c r="B450">
        <v>2001</v>
      </c>
      <c r="C450" t="s">
        <v>20</v>
      </c>
      <c r="D450" t="s">
        <v>19</v>
      </c>
      <c r="E450">
        <v>22</v>
      </c>
      <c r="F450">
        <v>67</v>
      </c>
      <c r="G450">
        <v>30.611778681409099</v>
      </c>
      <c r="H450">
        <v>7.3</v>
      </c>
      <c r="J450" s="358" t="str">
        <f t="shared" si="45"/>
        <v>2015FemaleNon-Maori192</v>
      </c>
      <c r="K450" s="359">
        <v>2015</v>
      </c>
      <c r="L450" t="s">
        <v>8</v>
      </c>
      <c r="M450" t="s">
        <v>19</v>
      </c>
      <c r="N450">
        <v>19</v>
      </c>
      <c r="O450">
        <v>2</v>
      </c>
      <c r="P450">
        <v>17</v>
      </c>
      <c r="Q450">
        <v>3.5639661107139098</v>
      </c>
      <c r="R450">
        <v>1.7</v>
      </c>
      <c r="T450" s="358" t="str">
        <f t="shared" si="47"/>
        <v>1998AllSexAllEth22Poisoning by gases and vapours</v>
      </c>
      <c r="U450" s="360">
        <v>1998</v>
      </c>
      <c r="V450" s="360" t="s">
        <v>17</v>
      </c>
      <c r="W450" s="360" t="s">
        <v>27</v>
      </c>
      <c r="X450" s="360">
        <v>22</v>
      </c>
      <c r="Y450" s="360" t="s">
        <v>46</v>
      </c>
      <c r="Z450" s="360">
        <v>25</v>
      </c>
      <c r="AA450" s="360">
        <v>140</v>
      </c>
      <c r="AB450" s="360">
        <v>17.899999999999999</v>
      </c>
      <c r="CB450" t="str">
        <f t="shared" si="48"/>
        <v>MaleAsian19Firearms and explosives</v>
      </c>
      <c r="CC450" t="s">
        <v>20</v>
      </c>
      <c r="CD450" t="s">
        <v>78</v>
      </c>
      <c r="CE450" t="s">
        <v>42</v>
      </c>
      <c r="CF450">
        <v>19</v>
      </c>
      <c r="CG450">
        <v>1</v>
      </c>
      <c r="CH450">
        <v>84</v>
      </c>
      <c r="CI450">
        <v>1.2</v>
      </c>
    </row>
    <row r="451" spans="1:87" x14ac:dyDescent="0.2">
      <c r="A451" t="str">
        <f t="shared" si="44"/>
        <v>2001MaleNon-Maori23</v>
      </c>
      <c r="B451">
        <v>2001</v>
      </c>
      <c r="C451" t="s">
        <v>20</v>
      </c>
      <c r="D451" t="s">
        <v>19</v>
      </c>
      <c r="E451">
        <v>23</v>
      </c>
      <c r="F451">
        <v>158</v>
      </c>
      <c r="G451">
        <v>32.968179447052698</v>
      </c>
      <c r="H451">
        <v>5.0999999999999996</v>
      </c>
      <c r="J451" s="358" t="str">
        <f t="shared" si="45"/>
        <v>2015FemaleNon-Maori193</v>
      </c>
      <c r="K451" s="359">
        <v>2015</v>
      </c>
      <c r="L451" t="s">
        <v>8</v>
      </c>
      <c r="M451" t="s">
        <v>19</v>
      </c>
      <c r="N451">
        <v>19</v>
      </c>
      <c r="O451">
        <v>3</v>
      </c>
      <c r="P451">
        <v>25</v>
      </c>
      <c r="Q451">
        <v>5.5572673594128501</v>
      </c>
      <c r="R451">
        <v>2.2000000000000002</v>
      </c>
      <c r="T451" s="358" t="str">
        <f t="shared" si="47"/>
        <v>1998AllSexAllEth23Poisoning by gases and vapours</v>
      </c>
      <c r="U451" s="360">
        <v>1998</v>
      </c>
      <c r="V451" s="360" t="s">
        <v>17</v>
      </c>
      <c r="W451" s="360" t="s">
        <v>27</v>
      </c>
      <c r="X451" s="360">
        <v>23</v>
      </c>
      <c r="Y451" s="360" t="s">
        <v>46</v>
      </c>
      <c r="Z451" s="360">
        <v>57</v>
      </c>
      <c r="AA451" s="360">
        <v>249</v>
      </c>
      <c r="AB451" s="360">
        <v>22.9</v>
      </c>
      <c r="CB451" t="str">
        <f t="shared" si="48"/>
        <v>MaleAsian19Hanging, strangulation and suffocation</v>
      </c>
      <c r="CC451" t="s">
        <v>20</v>
      </c>
      <c r="CD451" t="s">
        <v>78</v>
      </c>
      <c r="CE451" t="s">
        <v>43</v>
      </c>
      <c r="CF451">
        <v>19</v>
      </c>
      <c r="CG451">
        <v>58</v>
      </c>
      <c r="CH451">
        <v>84</v>
      </c>
      <c r="CI451">
        <v>69</v>
      </c>
    </row>
    <row r="452" spans="1:87" x14ac:dyDescent="0.2">
      <c r="A452" t="str">
        <f t="shared" ref="A452:A515" si="49">B452&amp;C452&amp;D452&amp;E452</f>
        <v>2001MaleNon-Maori24</v>
      </c>
      <c r="B452">
        <v>2001</v>
      </c>
      <c r="C452" t="s">
        <v>20</v>
      </c>
      <c r="D452" t="s">
        <v>19</v>
      </c>
      <c r="E452">
        <v>24</v>
      </c>
      <c r="F452">
        <v>60</v>
      </c>
      <c r="G452">
        <v>15.513095638234599</v>
      </c>
      <c r="H452">
        <v>3.9</v>
      </c>
      <c r="J452" s="358" t="str">
        <f t="shared" ref="J452:J515" si="50">K452&amp;L452&amp;M452&amp;N452&amp;O452</f>
        <v>2015FemaleNon-Maori194</v>
      </c>
      <c r="K452" s="359">
        <v>2015</v>
      </c>
      <c r="L452" t="s">
        <v>8</v>
      </c>
      <c r="M452" t="s">
        <v>19</v>
      </c>
      <c r="N452">
        <v>19</v>
      </c>
      <c r="O452">
        <v>4</v>
      </c>
      <c r="P452">
        <v>19</v>
      </c>
      <c r="Q452">
        <v>4.9051568161627799</v>
      </c>
      <c r="R452">
        <v>2.2000000000000002</v>
      </c>
      <c r="T452" s="358" t="str">
        <f t="shared" si="47"/>
        <v>1998AllSexAllEth24Poisoning by gases and vapours</v>
      </c>
      <c r="U452" s="360">
        <v>1998</v>
      </c>
      <c r="V452" s="360" t="s">
        <v>17</v>
      </c>
      <c r="W452" s="360" t="s">
        <v>27</v>
      </c>
      <c r="X452" s="360">
        <v>24</v>
      </c>
      <c r="Y452" s="360" t="s">
        <v>46</v>
      </c>
      <c r="Z452" s="360">
        <v>26</v>
      </c>
      <c r="AA452" s="360">
        <v>114</v>
      </c>
      <c r="AB452" s="360">
        <v>22.8</v>
      </c>
      <c r="CB452" t="str">
        <f t="shared" si="48"/>
        <v>MaleAsian19Jumping from a high place</v>
      </c>
      <c r="CC452" t="s">
        <v>20</v>
      </c>
      <c r="CD452" t="s">
        <v>78</v>
      </c>
      <c r="CE452" t="s">
        <v>44</v>
      </c>
      <c r="CF452">
        <v>19</v>
      </c>
      <c r="CG452">
        <v>9</v>
      </c>
      <c r="CH452">
        <v>84</v>
      </c>
      <c r="CI452">
        <v>10.7</v>
      </c>
    </row>
    <row r="453" spans="1:87" x14ac:dyDescent="0.2">
      <c r="A453" t="str">
        <f t="shared" si="49"/>
        <v>2001MaleNon-Maori25</v>
      </c>
      <c r="B453">
        <v>2001</v>
      </c>
      <c r="C453" t="s">
        <v>20</v>
      </c>
      <c r="D453" t="s">
        <v>19</v>
      </c>
      <c r="E453">
        <v>25</v>
      </c>
      <c r="F453">
        <v>46</v>
      </c>
      <c r="G453">
        <v>23.8973453166398</v>
      </c>
      <c r="H453">
        <v>6.9</v>
      </c>
      <c r="J453" s="358" t="str">
        <f t="shared" si="50"/>
        <v>2015FemaleNon-Maori195</v>
      </c>
      <c r="K453" s="359">
        <v>2015</v>
      </c>
      <c r="L453" t="s">
        <v>8</v>
      </c>
      <c r="M453" t="s">
        <v>19</v>
      </c>
      <c r="N453">
        <v>19</v>
      </c>
      <c r="O453">
        <v>5</v>
      </c>
      <c r="P453">
        <v>20</v>
      </c>
      <c r="Q453">
        <v>6.1548236869101798</v>
      </c>
      <c r="R453">
        <v>2.7</v>
      </c>
      <c r="T453" s="358" t="str">
        <f t="shared" ref="T453:T516" si="51">U453&amp;V453&amp;W453&amp;X453&amp;Y453</f>
        <v>1998AllSexAllEth25Poisoning by gases and vapours</v>
      </c>
      <c r="U453" s="360">
        <v>1998</v>
      </c>
      <c r="V453" s="360" t="s">
        <v>17</v>
      </c>
      <c r="W453" s="360" t="s">
        <v>27</v>
      </c>
      <c r="X453" s="360">
        <v>25</v>
      </c>
      <c r="Y453" s="360" t="s">
        <v>46</v>
      </c>
      <c r="Z453" s="360">
        <v>26</v>
      </c>
      <c r="AA453" s="360">
        <v>64</v>
      </c>
      <c r="AB453" s="360">
        <v>40.6</v>
      </c>
      <c r="CB453" t="str">
        <f t="shared" ref="CB453:CB479" si="52">CC453&amp;CD453&amp;CF453&amp;CE453</f>
        <v>MaleAsian19Other</v>
      </c>
      <c r="CC453" t="s">
        <v>20</v>
      </c>
      <c r="CD453" t="s">
        <v>78</v>
      </c>
      <c r="CE453" t="s">
        <v>45</v>
      </c>
      <c r="CF453">
        <v>19</v>
      </c>
      <c r="CG453">
        <v>4</v>
      </c>
      <c r="CH453">
        <v>84</v>
      </c>
      <c r="CI453">
        <v>4.8</v>
      </c>
    </row>
    <row r="454" spans="1:87" x14ac:dyDescent="0.2">
      <c r="A454" t="str">
        <f t="shared" si="49"/>
        <v>2002AllSexAllEth21</v>
      </c>
      <c r="B454">
        <v>2002</v>
      </c>
      <c r="C454" t="s">
        <v>17</v>
      </c>
      <c r="D454" t="s">
        <v>27</v>
      </c>
      <c r="E454">
        <v>21</v>
      </c>
      <c r="F454">
        <v>0</v>
      </c>
      <c r="J454" s="358" t="str">
        <f t="shared" si="50"/>
        <v>2001MaleAllEth191</v>
      </c>
      <c r="K454" s="359">
        <v>2001</v>
      </c>
      <c r="L454" t="s">
        <v>20</v>
      </c>
      <c r="M454" t="s">
        <v>27</v>
      </c>
      <c r="N454">
        <v>19</v>
      </c>
      <c r="O454">
        <v>1</v>
      </c>
      <c r="P454">
        <v>47</v>
      </c>
      <c r="Q454">
        <v>12.6247835731339</v>
      </c>
      <c r="R454">
        <v>3.6</v>
      </c>
      <c r="T454" s="358" t="str">
        <f t="shared" si="51"/>
        <v>1998AllSexAllEth21Poisoning by solids and liquids</v>
      </c>
      <c r="U454" s="360">
        <v>1998</v>
      </c>
      <c r="V454" s="360" t="s">
        <v>17</v>
      </c>
      <c r="W454" s="360" t="s">
        <v>27</v>
      </c>
      <c r="X454" s="360">
        <v>21</v>
      </c>
      <c r="Y454" s="360" t="s">
        <v>47</v>
      </c>
      <c r="Z454" s="360">
        <v>1</v>
      </c>
      <c r="AA454" s="360">
        <v>12</v>
      </c>
      <c r="AB454" s="360">
        <v>8.3000000000000007</v>
      </c>
      <c r="CB454" t="str">
        <f t="shared" si="52"/>
        <v>MaleAsian19Poisoning by gases and vapours</v>
      </c>
      <c r="CC454" t="s">
        <v>20</v>
      </c>
      <c r="CD454" t="s">
        <v>78</v>
      </c>
      <c r="CE454" t="s">
        <v>46</v>
      </c>
      <c r="CF454">
        <v>19</v>
      </c>
      <c r="CG454">
        <v>6</v>
      </c>
      <c r="CH454">
        <v>84</v>
      </c>
      <c r="CI454">
        <v>7.1</v>
      </c>
    </row>
    <row r="455" spans="1:87" x14ac:dyDescent="0.2">
      <c r="A455" t="str">
        <f t="shared" si="49"/>
        <v>2002AllSexAllEth22</v>
      </c>
      <c r="B455">
        <v>2002</v>
      </c>
      <c r="C455" t="s">
        <v>17</v>
      </c>
      <c r="D455" t="s">
        <v>27</v>
      </c>
      <c r="E455">
        <v>22</v>
      </c>
      <c r="F455">
        <v>96</v>
      </c>
      <c r="G455">
        <v>17.376823661441598</v>
      </c>
      <c r="H455">
        <v>3.5</v>
      </c>
      <c r="J455" s="358" t="str">
        <f t="shared" si="50"/>
        <v>2001MaleAllEth192</v>
      </c>
      <c r="K455" s="359">
        <v>2001</v>
      </c>
      <c r="L455" t="s">
        <v>20</v>
      </c>
      <c r="M455" t="s">
        <v>27</v>
      </c>
      <c r="N455">
        <v>19</v>
      </c>
      <c r="O455">
        <v>2</v>
      </c>
      <c r="P455">
        <v>57</v>
      </c>
      <c r="Q455">
        <v>14.1981301877871</v>
      </c>
      <c r="R455">
        <v>3.7</v>
      </c>
      <c r="T455" s="358" t="str">
        <f t="shared" si="51"/>
        <v>1998AllSexAllEth22Poisoning by solids and liquids</v>
      </c>
      <c r="U455" s="360">
        <v>1998</v>
      </c>
      <c r="V455" s="360" t="s">
        <v>17</v>
      </c>
      <c r="W455" s="360" t="s">
        <v>27</v>
      </c>
      <c r="X455" s="360">
        <v>22</v>
      </c>
      <c r="Y455" s="360" t="s">
        <v>47</v>
      </c>
      <c r="Z455" s="360">
        <v>13</v>
      </c>
      <c r="AA455" s="360">
        <v>140</v>
      </c>
      <c r="AB455" s="360">
        <v>9.3000000000000007</v>
      </c>
      <c r="CB455" t="str">
        <f t="shared" si="52"/>
        <v>MaleAsian19Poisoning by solids and liquids</v>
      </c>
      <c r="CC455" t="s">
        <v>20</v>
      </c>
      <c r="CD455" t="s">
        <v>78</v>
      </c>
      <c r="CE455" t="s">
        <v>47</v>
      </c>
      <c r="CF455">
        <v>19</v>
      </c>
      <c r="CG455">
        <v>4</v>
      </c>
      <c r="CH455">
        <v>84</v>
      </c>
      <c r="CI455">
        <v>4.8</v>
      </c>
    </row>
    <row r="456" spans="1:87" x14ac:dyDescent="0.2">
      <c r="A456" t="str">
        <f t="shared" si="49"/>
        <v>2002AllSexAllEth23</v>
      </c>
      <c r="B456">
        <v>2002</v>
      </c>
      <c r="C456" t="s">
        <v>17</v>
      </c>
      <c r="D456" t="s">
        <v>27</v>
      </c>
      <c r="E456">
        <v>23</v>
      </c>
      <c r="F456">
        <v>213</v>
      </c>
      <c r="G456">
        <v>18.3301492229049</v>
      </c>
      <c r="H456">
        <v>2.5</v>
      </c>
      <c r="J456" s="358" t="str">
        <f t="shared" si="50"/>
        <v>2001MaleAllEth193</v>
      </c>
      <c r="K456" s="359">
        <v>2001</v>
      </c>
      <c r="L456" t="s">
        <v>20</v>
      </c>
      <c r="M456" t="s">
        <v>27</v>
      </c>
      <c r="N456">
        <v>19</v>
      </c>
      <c r="O456">
        <v>3</v>
      </c>
      <c r="P456">
        <v>73</v>
      </c>
      <c r="Q456">
        <v>18.727284186097101</v>
      </c>
      <c r="R456">
        <v>4.3</v>
      </c>
      <c r="T456" s="358" t="str">
        <f t="shared" si="51"/>
        <v>1998AllSexAllEth23Poisoning by solids and liquids</v>
      </c>
      <c r="U456" s="360">
        <v>1998</v>
      </c>
      <c r="V456" s="360" t="s">
        <v>17</v>
      </c>
      <c r="W456" s="360" t="s">
        <v>27</v>
      </c>
      <c r="X456" s="360">
        <v>23</v>
      </c>
      <c r="Y456" s="360" t="s">
        <v>47</v>
      </c>
      <c r="Z456" s="360">
        <v>24</v>
      </c>
      <c r="AA456" s="360">
        <v>249</v>
      </c>
      <c r="AB456" s="360">
        <v>9.6</v>
      </c>
      <c r="CB456" t="str">
        <f t="shared" si="52"/>
        <v>MaleAsian19Sharp object</v>
      </c>
      <c r="CC456" t="s">
        <v>20</v>
      </c>
      <c r="CD456" t="s">
        <v>78</v>
      </c>
      <c r="CE456" t="s">
        <v>48</v>
      </c>
      <c r="CF456">
        <v>19</v>
      </c>
      <c r="CG456">
        <v>1</v>
      </c>
      <c r="CH456">
        <v>84</v>
      </c>
      <c r="CI456">
        <v>1.2</v>
      </c>
    </row>
    <row r="457" spans="1:87" x14ac:dyDescent="0.2">
      <c r="A457" t="str">
        <f t="shared" si="49"/>
        <v>2002AllSexAllEth24</v>
      </c>
      <c r="B457">
        <v>2002</v>
      </c>
      <c r="C457" t="s">
        <v>17</v>
      </c>
      <c r="D457" t="s">
        <v>27</v>
      </c>
      <c r="E457">
        <v>24</v>
      </c>
      <c r="F457">
        <v>113</v>
      </c>
      <c r="G457">
        <v>12.760575468076</v>
      </c>
      <c r="H457">
        <v>2.4</v>
      </c>
      <c r="J457" s="358" t="str">
        <f t="shared" si="50"/>
        <v>2001MaleAllEth194</v>
      </c>
      <c r="K457" s="359">
        <v>2001</v>
      </c>
      <c r="L457" t="s">
        <v>20</v>
      </c>
      <c r="M457" t="s">
        <v>27</v>
      </c>
      <c r="N457">
        <v>19</v>
      </c>
      <c r="O457">
        <v>4</v>
      </c>
      <c r="P457">
        <v>89</v>
      </c>
      <c r="Q457">
        <v>23.079099370857701</v>
      </c>
      <c r="R457">
        <v>4.8</v>
      </c>
      <c r="T457" s="358" t="str">
        <f t="shared" si="51"/>
        <v>1998AllSexAllEth24Poisoning by solids and liquids</v>
      </c>
      <c r="U457" s="360">
        <v>1998</v>
      </c>
      <c r="V457" s="360" t="s">
        <v>17</v>
      </c>
      <c r="W457" s="360" t="s">
        <v>27</v>
      </c>
      <c r="X457" s="360">
        <v>24</v>
      </c>
      <c r="Y457" s="360" t="s">
        <v>47</v>
      </c>
      <c r="Z457" s="360">
        <v>20</v>
      </c>
      <c r="AA457" s="360">
        <v>114</v>
      </c>
      <c r="AB457" s="360">
        <v>17.5</v>
      </c>
      <c r="CB457" t="str">
        <f t="shared" si="52"/>
        <v>MaleAsian19Submersion (drowning)</v>
      </c>
      <c r="CC457" t="s">
        <v>20</v>
      </c>
      <c r="CD457" t="s">
        <v>78</v>
      </c>
      <c r="CE457" t="s">
        <v>49</v>
      </c>
      <c r="CF457">
        <v>19</v>
      </c>
      <c r="CG457">
        <v>1</v>
      </c>
      <c r="CH457">
        <v>84</v>
      </c>
      <c r="CI457">
        <v>1.2</v>
      </c>
    </row>
    <row r="458" spans="1:87" x14ac:dyDescent="0.2">
      <c r="A458" t="str">
        <f t="shared" si="49"/>
        <v>2002AllSexAllEth25</v>
      </c>
      <c r="B458">
        <v>2002</v>
      </c>
      <c r="C458" t="s">
        <v>17</v>
      </c>
      <c r="D458" t="s">
        <v>27</v>
      </c>
      <c r="E458">
        <v>25</v>
      </c>
      <c r="F458">
        <v>48</v>
      </c>
      <c r="G458">
        <v>10.268697586856099</v>
      </c>
      <c r="H458">
        <v>2.9</v>
      </c>
      <c r="J458" s="358" t="str">
        <f t="shared" si="50"/>
        <v>2001MaleAllEth195</v>
      </c>
      <c r="K458" s="359">
        <v>2001</v>
      </c>
      <c r="L458" t="s">
        <v>20</v>
      </c>
      <c r="M458" t="s">
        <v>27</v>
      </c>
      <c r="N458">
        <v>19</v>
      </c>
      <c r="O458">
        <v>5</v>
      </c>
      <c r="P458">
        <v>80</v>
      </c>
      <c r="Q458">
        <v>21.9059223070015</v>
      </c>
      <c r="R458">
        <v>4.8</v>
      </c>
      <c r="T458" s="358" t="str">
        <f t="shared" si="51"/>
        <v>1998AllSexAllEth25Poisoning by solids and liquids</v>
      </c>
      <c r="U458" s="360">
        <v>1998</v>
      </c>
      <c r="V458" s="360" t="s">
        <v>17</v>
      </c>
      <c r="W458" s="360" t="s">
        <v>27</v>
      </c>
      <c r="X458" s="360">
        <v>25</v>
      </c>
      <c r="Y458" s="360" t="s">
        <v>47</v>
      </c>
      <c r="Z458" s="360">
        <v>6</v>
      </c>
      <c r="AA458" s="360">
        <v>64</v>
      </c>
      <c r="AB458" s="360">
        <v>9.4</v>
      </c>
      <c r="CB458" t="str">
        <f t="shared" si="52"/>
        <v>MaleMaori19Firearms and explosives</v>
      </c>
      <c r="CC458" t="s">
        <v>20</v>
      </c>
      <c r="CD458" t="s">
        <v>18</v>
      </c>
      <c r="CE458" t="s">
        <v>42</v>
      </c>
      <c r="CF458">
        <v>19</v>
      </c>
      <c r="CG458">
        <v>10</v>
      </c>
      <c r="CH458">
        <v>373</v>
      </c>
      <c r="CI458">
        <v>2.7</v>
      </c>
    </row>
    <row r="459" spans="1:87" x14ac:dyDescent="0.2">
      <c r="A459" t="str">
        <f t="shared" si="49"/>
        <v>2002AllSexMaori21</v>
      </c>
      <c r="B459">
        <v>2002</v>
      </c>
      <c r="C459" t="s">
        <v>17</v>
      </c>
      <c r="D459" t="s">
        <v>18</v>
      </c>
      <c r="E459">
        <v>21</v>
      </c>
      <c r="F459">
        <v>0</v>
      </c>
      <c r="J459" s="358" t="str">
        <f t="shared" si="50"/>
        <v>2002MaleAllEth191</v>
      </c>
      <c r="K459" s="359">
        <v>2002</v>
      </c>
      <c r="L459" t="s">
        <v>20</v>
      </c>
      <c r="M459" t="s">
        <v>27</v>
      </c>
      <c r="N459">
        <v>19</v>
      </c>
      <c r="O459">
        <v>1</v>
      </c>
      <c r="P459">
        <v>41</v>
      </c>
      <c r="Q459">
        <v>10.7542582039462</v>
      </c>
      <c r="R459">
        <v>3.3</v>
      </c>
      <c r="T459" s="358" t="str">
        <f t="shared" si="51"/>
        <v>1998AllSexAllEth23Sharp object</v>
      </c>
      <c r="U459" s="360">
        <v>1998</v>
      </c>
      <c r="V459" s="360" t="s">
        <v>17</v>
      </c>
      <c r="W459" s="360" t="s">
        <v>27</v>
      </c>
      <c r="X459" s="360">
        <v>23</v>
      </c>
      <c r="Y459" s="360" t="s">
        <v>48</v>
      </c>
      <c r="Z459" s="360">
        <v>5</v>
      </c>
      <c r="AA459" s="360">
        <v>249</v>
      </c>
      <c r="AB459" s="360">
        <v>2</v>
      </c>
      <c r="CB459" t="str">
        <f t="shared" si="52"/>
        <v>MaleMaori19Hanging, strangulation and suffocation</v>
      </c>
      <c r="CC459" t="s">
        <v>20</v>
      </c>
      <c r="CD459" t="s">
        <v>18</v>
      </c>
      <c r="CE459" t="s">
        <v>43</v>
      </c>
      <c r="CF459">
        <v>19</v>
      </c>
      <c r="CG459">
        <v>316</v>
      </c>
      <c r="CH459">
        <v>373</v>
      </c>
      <c r="CI459">
        <v>84.7</v>
      </c>
    </row>
    <row r="460" spans="1:87" x14ac:dyDescent="0.2">
      <c r="A460" t="str">
        <f t="shared" si="49"/>
        <v>2002AllSexMaori22</v>
      </c>
      <c r="B460">
        <v>2002</v>
      </c>
      <c r="C460" t="s">
        <v>17</v>
      </c>
      <c r="D460" t="s">
        <v>18</v>
      </c>
      <c r="E460">
        <v>22</v>
      </c>
      <c r="F460">
        <v>33</v>
      </c>
      <c r="G460">
        <v>31.252959560564399</v>
      </c>
      <c r="H460">
        <v>10.7</v>
      </c>
      <c r="J460" s="358" t="str">
        <f t="shared" si="50"/>
        <v>2002MaleAllEth192</v>
      </c>
      <c r="K460" s="359">
        <v>2002</v>
      </c>
      <c r="L460" t="s">
        <v>20</v>
      </c>
      <c r="M460" t="s">
        <v>27</v>
      </c>
      <c r="N460">
        <v>19</v>
      </c>
      <c r="O460">
        <v>2</v>
      </c>
      <c r="P460">
        <v>80</v>
      </c>
      <c r="Q460">
        <v>20.331440073471001</v>
      </c>
      <c r="R460">
        <v>4.5</v>
      </c>
      <c r="T460" s="358" t="str">
        <f t="shared" si="51"/>
        <v>1998AllSexAllEth24Sharp object</v>
      </c>
      <c r="U460" s="360">
        <v>1998</v>
      </c>
      <c r="V460" s="360" t="s">
        <v>17</v>
      </c>
      <c r="W460" s="360" t="s">
        <v>27</v>
      </c>
      <c r="X460" s="360">
        <v>24</v>
      </c>
      <c r="Y460" s="360" t="s">
        <v>48</v>
      </c>
      <c r="Z460" s="360">
        <v>3</v>
      </c>
      <c r="AA460" s="360">
        <v>114</v>
      </c>
      <c r="AB460" s="360">
        <v>2.6</v>
      </c>
      <c r="CB460" t="str">
        <f t="shared" si="52"/>
        <v>MaleMaori19Jumping from a high place</v>
      </c>
      <c r="CC460" t="s">
        <v>20</v>
      </c>
      <c r="CD460" t="s">
        <v>18</v>
      </c>
      <c r="CE460" t="s">
        <v>44</v>
      </c>
      <c r="CF460">
        <v>19</v>
      </c>
      <c r="CG460">
        <v>3</v>
      </c>
      <c r="CH460">
        <v>373</v>
      </c>
      <c r="CI460">
        <v>0.8</v>
      </c>
    </row>
    <row r="461" spans="1:87" x14ac:dyDescent="0.2">
      <c r="A461" t="str">
        <f t="shared" si="49"/>
        <v>2002AllSexMaori23</v>
      </c>
      <c r="B461">
        <v>2002</v>
      </c>
      <c r="C461" t="s">
        <v>17</v>
      </c>
      <c r="D461" t="s">
        <v>18</v>
      </c>
      <c r="E461">
        <v>23</v>
      </c>
      <c r="F461">
        <v>40</v>
      </c>
      <c r="G461">
        <v>23.602997580692701</v>
      </c>
      <c r="H461">
        <v>7.3</v>
      </c>
      <c r="J461" s="358" t="str">
        <f t="shared" si="50"/>
        <v>2002MaleAllEth193</v>
      </c>
      <c r="K461" s="359">
        <v>2002</v>
      </c>
      <c r="L461" t="s">
        <v>20</v>
      </c>
      <c r="M461" t="s">
        <v>27</v>
      </c>
      <c r="N461">
        <v>19</v>
      </c>
      <c r="O461">
        <v>3</v>
      </c>
      <c r="P461">
        <v>61</v>
      </c>
      <c r="Q461">
        <v>14.856339857707299</v>
      </c>
      <c r="R461">
        <v>3.7</v>
      </c>
      <c r="T461" s="358" t="str">
        <f t="shared" si="51"/>
        <v>1998AllSexAllEth23Submersion (drowning)</v>
      </c>
      <c r="U461" s="360">
        <v>1998</v>
      </c>
      <c r="V461" s="360" t="s">
        <v>17</v>
      </c>
      <c r="W461" s="360" t="s">
        <v>27</v>
      </c>
      <c r="X461" s="360">
        <v>23</v>
      </c>
      <c r="Y461" s="360" t="s">
        <v>49</v>
      </c>
      <c r="Z461" s="360">
        <v>2</v>
      </c>
      <c r="AA461" s="360">
        <v>249</v>
      </c>
      <c r="AB461" s="360">
        <v>0.8</v>
      </c>
      <c r="CB461" t="str">
        <f t="shared" si="52"/>
        <v>MaleMaori19Other</v>
      </c>
      <c r="CC461" t="s">
        <v>20</v>
      </c>
      <c r="CD461" t="s">
        <v>18</v>
      </c>
      <c r="CE461" t="s">
        <v>45</v>
      </c>
      <c r="CF461">
        <v>19</v>
      </c>
      <c r="CG461">
        <v>14</v>
      </c>
      <c r="CH461">
        <v>373</v>
      </c>
      <c r="CI461">
        <v>3.8</v>
      </c>
    </row>
    <row r="462" spans="1:87" x14ac:dyDescent="0.2">
      <c r="A462" t="str">
        <f t="shared" si="49"/>
        <v>2002AllSexMaori24</v>
      </c>
      <c r="B462">
        <v>2002</v>
      </c>
      <c r="C462" t="s">
        <v>17</v>
      </c>
      <c r="D462" t="s">
        <v>18</v>
      </c>
      <c r="E462">
        <v>24</v>
      </c>
      <c r="F462">
        <v>7</v>
      </c>
      <c r="G462">
        <v>8.5637386836310192</v>
      </c>
      <c r="H462">
        <v>6.3</v>
      </c>
      <c r="J462" s="358" t="str">
        <f t="shared" si="50"/>
        <v>2002MaleAllEth194</v>
      </c>
      <c r="K462" s="359">
        <v>2002</v>
      </c>
      <c r="L462" t="s">
        <v>20</v>
      </c>
      <c r="M462" t="s">
        <v>27</v>
      </c>
      <c r="N462">
        <v>19</v>
      </c>
      <c r="O462">
        <v>4</v>
      </c>
      <c r="P462">
        <v>71</v>
      </c>
      <c r="Q462">
        <v>18.149735187804001</v>
      </c>
      <c r="R462">
        <v>4.2</v>
      </c>
      <c r="T462" s="358" t="str">
        <f t="shared" si="51"/>
        <v>1998AllSexAllEth24Submersion (drowning)</v>
      </c>
      <c r="U462" s="360">
        <v>1998</v>
      </c>
      <c r="V462" s="360" t="s">
        <v>17</v>
      </c>
      <c r="W462" s="360" t="s">
        <v>27</v>
      </c>
      <c r="X462" s="360">
        <v>24</v>
      </c>
      <c r="Y462" s="360" t="s">
        <v>49</v>
      </c>
      <c r="Z462" s="360">
        <v>6</v>
      </c>
      <c r="AA462" s="360">
        <v>114</v>
      </c>
      <c r="AB462" s="360">
        <v>5.3</v>
      </c>
      <c r="CB462" t="str">
        <f t="shared" si="52"/>
        <v>MaleMaori19Poisoning by gases and vapours</v>
      </c>
      <c r="CC462" t="s">
        <v>20</v>
      </c>
      <c r="CD462" t="s">
        <v>18</v>
      </c>
      <c r="CE462" t="s">
        <v>46</v>
      </c>
      <c r="CF462">
        <v>19</v>
      </c>
      <c r="CG462">
        <v>17</v>
      </c>
      <c r="CH462">
        <v>373</v>
      </c>
      <c r="CI462">
        <v>4.5999999999999996</v>
      </c>
    </row>
    <row r="463" spans="1:87" x14ac:dyDescent="0.2">
      <c r="A463" t="str">
        <f t="shared" si="49"/>
        <v>2002AllSexMaori25</v>
      </c>
      <c r="B463">
        <v>2002</v>
      </c>
      <c r="C463" t="s">
        <v>17</v>
      </c>
      <c r="D463" t="s">
        <v>18</v>
      </c>
      <c r="E463">
        <v>25</v>
      </c>
      <c r="F463">
        <v>0</v>
      </c>
      <c r="G463">
        <v>0</v>
      </c>
      <c r="J463" s="358" t="str">
        <f t="shared" si="50"/>
        <v>2002MaleAllEth195</v>
      </c>
      <c r="K463" s="359">
        <v>2002</v>
      </c>
      <c r="L463" t="s">
        <v>20</v>
      </c>
      <c r="M463" t="s">
        <v>27</v>
      </c>
      <c r="N463">
        <v>19</v>
      </c>
      <c r="O463">
        <v>5</v>
      </c>
      <c r="P463">
        <v>77</v>
      </c>
      <c r="Q463">
        <v>20.710389697710099</v>
      </c>
      <c r="R463">
        <v>4.5999999999999996</v>
      </c>
      <c r="T463" s="358" t="str">
        <f t="shared" si="51"/>
        <v>1998AllSexAllEth25Submersion (drowning)</v>
      </c>
      <c r="U463" s="360">
        <v>1998</v>
      </c>
      <c r="V463" s="360" t="s">
        <v>17</v>
      </c>
      <c r="W463" s="360" t="s">
        <v>27</v>
      </c>
      <c r="X463" s="360">
        <v>25</v>
      </c>
      <c r="Y463" s="360" t="s">
        <v>49</v>
      </c>
      <c r="Z463" s="360">
        <v>2</v>
      </c>
      <c r="AA463" s="360">
        <v>64</v>
      </c>
      <c r="AB463" s="360">
        <v>3.1</v>
      </c>
      <c r="CB463" t="str">
        <f t="shared" si="52"/>
        <v>MaleMaori19Poisoning by solids and liquids</v>
      </c>
      <c r="CC463" t="s">
        <v>20</v>
      </c>
      <c r="CD463" t="s">
        <v>18</v>
      </c>
      <c r="CE463" t="s">
        <v>47</v>
      </c>
      <c r="CF463">
        <v>19</v>
      </c>
      <c r="CG463">
        <v>6</v>
      </c>
      <c r="CH463">
        <v>373</v>
      </c>
      <c r="CI463">
        <v>1.6</v>
      </c>
    </row>
    <row r="464" spans="1:87" x14ac:dyDescent="0.2">
      <c r="A464" t="str">
        <f t="shared" si="49"/>
        <v>2002AllSexNon-Maori21</v>
      </c>
      <c r="B464">
        <v>2002</v>
      </c>
      <c r="C464" t="s">
        <v>17</v>
      </c>
      <c r="D464" t="s">
        <v>19</v>
      </c>
      <c r="E464">
        <v>21</v>
      </c>
      <c r="F464">
        <v>0</v>
      </c>
      <c r="J464" s="358" t="str">
        <f t="shared" si="50"/>
        <v>2003MaleAllEth191</v>
      </c>
      <c r="K464" s="359">
        <v>2003</v>
      </c>
      <c r="L464" t="s">
        <v>20</v>
      </c>
      <c r="M464" t="s">
        <v>27</v>
      </c>
      <c r="N464">
        <v>19</v>
      </c>
      <c r="O464">
        <v>1</v>
      </c>
      <c r="P464">
        <v>48</v>
      </c>
      <c r="Q464">
        <v>11.6579714994652</v>
      </c>
      <c r="R464">
        <v>3.3</v>
      </c>
      <c r="T464" s="358" t="str">
        <f t="shared" si="51"/>
        <v>1998AllSexMaori22Firearms and explosives</v>
      </c>
      <c r="U464" s="360">
        <v>1998</v>
      </c>
      <c r="V464" s="360" t="s">
        <v>17</v>
      </c>
      <c r="W464" s="360" t="s">
        <v>18</v>
      </c>
      <c r="X464" s="360">
        <v>22</v>
      </c>
      <c r="Y464" s="360" t="s">
        <v>42</v>
      </c>
      <c r="Z464" s="360">
        <v>4</v>
      </c>
      <c r="AA464" s="360">
        <v>43</v>
      </c>
      <c r="AB464" s="360">
        <v>9.3000000000000007</v>
      </c>
      <c r="CB464" t="str">
        <f t="shared" si="52"/>
        <v>MaleMaori19Sharp object</v>
      </c>
      <c r="CC464" t="s">
        <v>20</v>
      </c>
      <c r="CD464" t="s">
        <v>18</v>
      </c>
      <c r="CE464" t="s">
        <v>48</v>
      </c>
      <c r="CF464">
        <v>19</v>
      </c>
      <c r="CG464">
        <v>4</v>
      </c>
      <c r="CH464">
        <v>373</v>
      </c>
      <c r="CI464">
        <v>1.1000000000000001</v>
      </c>
    </row>
    <row r="465" spans="1:87" x14ac:dyDescent="0.2">
      <c r="A465" t="str">
        <f t="shared" si="49"/>
        <v>2002AllSexNon-Maori22</v>
      </c>
      <c r="B465">
        <v>2002</v>
      </c>
      <c r="C465" t="s">
        <v>17</v>
      </c>
      <c r="D465" t="s">
        <v>19</v>
      </c>
      <c r="E465">
        <v>22</v>
      </c>
      <c r="F465">
        <v>63</v>
      </c>
      <c r="G465">
        <v>14.0980598384318</v>
      </c>
      <c r="H465">
        <v>3.5</v>
      </c>
      <c r="J465" s="358" t="str">
        <f t="shared" si="50"/>
        <v>2003MaleAllEth192</v>
      </c>
      <c r="K465" s="359">
        <v>2003</v>
      </c>
      <c r="L465" t="s">
        <v>20</v>
      </c>
      <c r="M465" t="s">
        <v>27</v>
      </c>
      <c r="N465">
        <v>19</v>
      </c>
      <c r="O465">
        <v>2</v>
      </c>
      <c r="P465">
        <v>56</v>
      </c>
      <c r="Q465">
        <v>13.2698077125134</v>
      </c>
      <c r="R465">
        <v>3.5</v>
      </c>
      <c r="T465" s="358" t="str">
        <f t="shared" si="51"/>
        <v>1998AllSexMaori23Firearms and explosives</v>
      </c>
      <c r="U465" s="360">
        <v>1998</v>
      </c>
      <c r="V465" s="360" t="s">
        <v>17</v>
      </c>
      <c r="W465" s="360" t="s">
        <v>18</v>
      </c>
      <c r="X465" s="360">
        <v>23</v>
      </c>
      <c r="Y465" s="360" t="s">
        <v>42</v>
      </c>
      <c r="Z465" s="360">
        <v>2</v>
      </c>
      <c r="AA465" s="360">
        <v>47</v>
      </c>
      <c r="AB465" s="360">
        <v>4.3</v>
      </c>
      <c r="CB465" t="str">
        <f t="shared" si="52"/>
        <v>MaleMaori19Submersion (drowning)</v>
      </c>
      <c r="CC465" t="s">
        <v>20</v>
      </c>
      <c r="CD465" t="s">
        <v>18</v>
      </c>
      <c r="CE465" t="s">
        <v>49</v>
      </c>
      <c r="CF465">
        <v>19</v>
      </c>
      <c r="CG465">
        <v>3</v>
      </c>
      <c r="CH465">
        <v>373</v>
      </c>
      <c r="CI465">
        <v>0.8</v>
      </c>
    </row>
    <row r="466" spans="1:87" x14ac:dyDescent="0.2">
      <c r="A466" t="str">
        <f t="shared" si="49"/>
        <v>2002AllSexNon-Maori23</v>
      </c>
      <c r="B466">
        <v>2002</v>
      </c>
      <c r="C466" t="s">
        <v>17</v>
      </c>
      <c r="D466" t="s">
        <v>19</v>
      </c>
      <c r="E466">
        <v>23</v>
      </c>
      <c r="F466">
        <v>173</v>
      </c>
      <c r="G466">
        <v>17.429852400382899</v>
      </c>
      <c r="H466">
        <v>2.6</v>
      </c>
      <c r="J466" s="358" t="str">
        <f t="shared" si="50"/>
        <v>2003MaleAllEth193</v>
      </c>
      <c r="K466" s="359">
        <v>2003</v>
      </c>
      <c r="L466" t="s">
        <v>20</v>
      </c>
      <c r="M466" t="s">
        <v>27</v>
      </c>
      <c r="N466">
        <v>19</v>
      </c>
      <c r="O466">
        <v>3</v>
      </c>
      <c r="P466">
        <v>86</v>
      </c>
      <c r="Q466">
        <v>20.226863250361799</v>
      </c>
      <c r="R466">
        <v>4.3</v>
      </c>
      <c r="T466" s="358" t="str">
        <f t="shared" si="51"/>
        <v>1998AllSexMaori24Firearms and explosives</v>
      </c>
      <c r="U466" s="360">
        <v>1998</v>
      </c>
      <c r="V466" s="360" t="s">
        <v>17</v>
      </c>
      <c r="W466" s="360" t="s">
        <v>18</v>
      </c>
      <c r="X466" s="360">
        <v>24</v>
      </c>
      <c r="Y466" s="360" t="s">
        <v>42</v>
      </c>
      <c r="Z466" s="360">
        <v>3</v>
      </c>
      <c r="AA466" s="360">
        <v>12</v>
      </c>
      <c r="AB466" s="360">
        <v>25</v>
      </c>
      <c r="CB466" t="str">
        <f t="shared" si="52"/>
        <v>MaleOther19Firearms and explosives</v>
      </c>
      <c r="CC466" t="s">
        <v>20</v>
      </c>
      <c r="CD466" t="s">
        <v>45</v>
      </c>
      <c r="CE466" t="s">
        <v>42</v>
      </c>
      <c r="CF466">
        <v>19</v>
      </c>
      <c r="CG466">
        <v>190</v>
      </c>
      <c r="CH466">
        <v>1364</v>
      </c>
      <c r="CI466">
        <v>13.9</v>
      </c>
    </row>
    <row r="467" spans="1:87" x14ac:dyDescent="0.2">
      <c r="A467" t="str">
        <f t="shared" si="49"/>
        <v>2002AllSexNon-Maori24</v>
      </c>
      <c r="B467">
        <v>2002</v>
      </c>
      <c r="C467" t="s">
        <v>17</v>
      </c>
      <c r="D467" t="s">
        <v>19</v>
      </c>
      <c r="E467">
        <v>24</v>
      </c>
      <c r="F467">
        <v>106</v>
      </c>
      <c r="G467">
        <v>13.187360039810899</v>
      </c>
      <c r="H467">
        <v>2.5</v>
      </c>
      <c r="J467" s="358" t="str">
        <f t="shared" si="50"/>
        <v>2003MaleAllEth194</v>
      </c>
      <c r="K467" s="359">
        <v>2003</v>
      </c>
      <c r="L467" t="s">
        <v>20</v>
      </c>
      <c r="M467" t="s">
        <v>27</v>
      </c>
      <c r="N467">
        <v>19</v>
      </c>
      <c r="O467">
        <v>4</v>
      </c>
      <c r="P467">
        <v>95</v>
      </c>
      <c r="Q467">
        <v>23.724245104379001</v>
      </c>
      <c r="R467">
        <v>4.8</v>
      </c>
      <c r="T467" s="358" t="str">
        <f t="shared" si="51"/>
        <v>1998AllSexMaori25Firearms and explosives</v>
      </c>
      <c r="U467" s="360">
        <v>1998</v>
      </c>
      <c r="V467" s="360" t="s">
        <v>17</v>
      </c>
      <c r="W467" s="360" t="s">
        <v>18</v>
      </c>
      <c r="X467" s="360">
        <v>25</v>
      </c>
      <c r="Y467" s="360" t="s">
        <v>42</v>
      </c>
      <c r="Z467" s="360">
        <v>1</v>
      </c>
      <c r="AA467" s="360">
        <v>2</v>
      </c>
      <c r="AB467" s="360">
        <v>50</v>
      </c>
      <c r="CB467" t="str">
        <f t="shared" si="52"/>
        <v>MaleOther19Hanging, strangulation and suffocation</v>
      </c>
      <c r="CC467" t="s">
        <v>20</v>
      </c>
      <c r="CD467" t="s">
        <v>45</v>
      </c>
      <c r="CE467" t="s">
        <v>43</v>
      </c>
      <c r="CF467">
        <v>19</v>
      </c>
      <c r="CG467">
        <v>733</v>
      </c>
      <c r="CH467">
        <v>1364</v>
      </c>
      <c r="CI467">
        <v>53.7</v>
      </c>
    </row>
    <row r="468" spans="1:87" x14ac:dyDescent="0.2">
      <c r="A468" t="str">
        <f t="shared" si="49"/>
        <v>2002AllSexNon-Maori25</v>
      </c>
      <c r="B468">
        <v>2002</v>
      </c>
      <c r="C468" t="s">
        <v>17</v>
      </c>
      <c r="D468" t="s">
        <v>19</v>
      </c>
      <c r="E468">
        <v>25</v>
      </c>
      <c r="F468">
        <v>48</v>
      </c>
      <c r="G468">
        <v>10.7481134821649</v>
      </c>
      <c r="H468">
        <v>3</v>
      </c>
      <c r="J468" s="358" t="str">
        <f t="shared" si="50"/>
        <v>2003MaleAllEth195</v>
      </c>
      <c r="K468" s="359">
        <v>2003</v>
      </c>
      <c r="L468" t="s">
        <v>20</v>
      </c>
      <c r="M468" t="s">
        <v>27</v>
      </c>
      <c r="N468">
        <v>19</v>
      </c>
      <c r="O468">
        <v>5</v>
      </c>
      <c r="P468">
        <v>81</v>
      </c>
      <c r="Q468">
        <v>21.224772897083302</v>
      </c>
      <c r="R468">
        <v>4.5999999999999996</v>
      </c>
      <c r="T468" s="358" t="str">
        <f t="shared" si="51"/>
        <v>1998AllSexMaori21Hanging, strangulation and suffocation</v>
      </c>
      <c r="U468" s="360">
        <v>1998</v>
      </c>
      <c r="V468" s="360" t="s">
        <v>17</v>
      </c>
      <c r="W468" s="360" t="s">
        <v>18</v>
      </c>
      <c r="X468" s="360">
        <v>21</v>
      </c>
      <c r="Y468" s="360" t="s">
        <v>43</v>
      </c>
      <c r="Z468" s="360">
        <v>9</v>
      </c>
      <c r="AA468" s="360">
        <v>9</v>
      </c>
      <c r="AB468" s="360">
        <v>100</v>
      </c>
      <c r="CB468" t="str">
        <f t="shared" si="52"/>
        <v>MaleOther19Jumping from a high place</v>
      </c>
      <c r="CC468" t="s">
        <v>20</v>
      </c>
      <c r="CD468" t="s">
        <v>45</v>
      </c>
      <c r="CE468" t="s">
        <v>44</v>
      </c>
      <c r="CF468">
        <v>19</v>
      </c>
      <c r="CG468">
        <v>38</v>
      </c>
      <c r="CH468">
        <v>1364</v>
      </c>
      <c r="CI468">
        <v>2.8</v>
      </c>
    </row>
    <row r="469" spans="1:87" x14ac:dyDescent="0.2">
      <c r="A469" t="str">
        <f t="shared" si="49"/>
        <v>2002FemaleAllEth21</v>
      </c>
      <c r="B469">
        <v>2002</v>
      </c>
      <c r="C469" t="s">
        <v>8</v>
      </c>
      <c r="D469" t="s">
        <v>27</v>
      </c>
      <c r="E469">
        <v>21</v>
      </c>
      <c r="F469">
        <v>0</v>
      </c>
      <c r="J469" s="358" t="str">
        <f t="shared" si="50"/>
        <v>2004MaleAllEth191</v>
      </c>
      <c r="K469" s="359">
        <v>2004</v>
      </c>
      <c r="L469" t="s">
        <v>20</v>
      </c>
      <c r="M469" t="s">
        <v>27</v>
      </c>
      <c r="N469">
        <v>19</v>
      </c>
      <c r="O469">
        <v>1</v>
      </c>
      <c r="P469">
        <v>54</v>
      </c>
      <c r="Q469">
        <v>13.8891764754203</v>
      </c>
      <c r="R469">
        <v>3.7</v>
      </c>
      <c r="T469" s="358" t="str">
        <f t="shared" si="51"/>
        <v>1998AllSexMaori22Hanging, strangulation and suffocation</v>
      </c>
      <c r="U469" s="360">
        <v>1998</v>
      </c>
      <c r="V469" s="360" t="s">
        <v>17</v>
      </c>
      <c r="W469" s="360" t="s">
        <v>18</v>
      </c>
      <c r="X469" s="360">
        <v>22</v>
      </c>
      <c r="Y469" s="360" t="s">
        <v>43</v>
      </c>
      <c r="Z469" s="360">
        <v>27</v>
      </c>
      <c r="AA469" s="360">
        <v>43</v>
      </c>
      <c r="AB469" s="360">
        <v>62.8</v>
      </c>
      <c r="CB469" t="str">
        <f t="shared" si="52"/>
        <v>MaleOther19Other</v>
      </c>
      <c r="CC469" t="s">
        <v>20</v>
      </c>
      <c r="CD469" t="s">
        <v>45</v>
      </c>
      <c r="CE469" t="s">
        <v>45</v>
      </c>
      <c r="CF469">
        <v>19</v>
      </c>
      <c r="CG469">
        <v>51</v>
      </c>
      <c r="CH469">
        <v>1364</v>
      </c>
      <c r="CI469">
        <v>3.7</v>
      </c>
    </row>
    <row r="470" spans="1:87" x14ac:dyDescent="0.2">
      <c r="A470" t="str">
        <f t="shared" si="49"/>
        <v>2002FemaleAllEth22</v>
      </c>
      <c r="B470">
        <v>2002</v>
      </c>
      <c r="C470" t="s">
        <v>8</v>
      </c>
      <c r="D470" t="s">
        <v>27</v>
      </c>
      <c r="E470">
        <v>22</v>
      </c>
      <c r="F470">
        <v>30</v>
      </c>
      <c r="G470">
        <v>10.994246344413099</v>
      </c>
      <c r="H470">
        <v>3.9</v>
      </c>
      <c r="J470" s="358" t="str">
        <f t="shared" si="50"/>
        <v>2004MaleAllEth192</v>
      </c>
      <c r="K470" s="359">
        <v>2004</v>
      </c>
      <c r="L470" t="s">
        <v>20</v>
      </c>
      <c r="M470" t="s">
        <v>27</v>
      </c>
      <c r="N470">
        <v>19</v>
      </c>
      <c r="O470">
        <v>2</v>
      </c>
      <c r="P470">
        <v>53</v>
      </c>
      <c r="Q470">
        <v>12.699278681274</v>
      </c>
      <c r="R470">
        <v>3.4</v>
      </c>
      <c r="T470" s="358" t="str">
        <f t="shared" si="51"/>
        <v>1998AllSexMaori23Hanging, strangulation and suffocation</v>
      </c>
      <c r="U470" s="360">
        <v>1998</v>
      </c>
      <c r="V470" s="360" t="s">
        <v>17</v>
      </c>
      <c r="W470" s="360" t="s">
        <v>18</v>
      </c>
      <c r="X470" s="360">
        <v>23</v>
      </c>
      <c r="Y470" s="360" t="s">
        <v>43</v>
      </c>
      <c r="Z470" s="360">
        <v>35</v>
      </c>
      <c r="AA470" s="360">
        <v>47</v>
      </c>
      <c r="AB470" s="360">
        <v>74.5</v>
      </c>
      <c r="CB470" t="str">
        <f t="shared" si="52"/>
        <v>MaleOther19Poisoning by gases and vapours</v>
      </c>
      <c r="CC470" t="s">
        <v>20</v>
      </c>
      <c r="CD470" t="s">
        <v>45</v>
      </c>
      <c r="CE470" t="s">
        <v>46</v>
      </c>
      <c r="CF470">
        <v>19</v>
      </c>
      <c r="CG470">
        <v>165</v>
      </c>
      <c r="CH470">
        <v>1364</v>
      </c>
      <c r="CI470">
        <v>12.1</v>
      </c>
    </row>
    <row r="471" spans="1:87" x14ac:dyDescent="0.2">
      <c r="A471" t="str">
        <f t="shared" si="49"/>
        <v>2002FemaleAllEth23</v>
      </c>
      <c r="B471">
        <v>2002</v>
      </c>
      <c r="C471" t="s">
        <v>8</v>
      </c>
      <c r="D471" t="s">
        <v>27</v>
      </c>
      <c r="E471">
        <v>23</v>
      </c>
      <c r="F471">
        <v>47</v>
      </c>
      <c r="G471">
        <v>7.8309840381219002</v>
      </c>
      <c r="H471">
        <v>2.2000000000000002</v>
      </c>
      <c r="J471" s="358" t="str">
        <f t="shared" si="50"/>
        <v>2004MaleAllEth193</v>
      </c>
      <c r="K471" s="359">
        <v>2004</v>
      </c>
      <c r="L471" t="s">
        <v>20</v>
      </c>
      <c r="M471" t="s">
        <v>27</v>
      </c>
      <c r="N471">
        <v>19</v>
      </c>
      <c r="O471">
        <v>3</v>
      </c>
      <c r="P471">
        <v>70</v>
      </c>
      <c r="Q471">
        <v>16.832828439782698</v>
      </c>
      <c r="R471">
        <v>3.9</v>
      </c>
      <c r="T471" s="358" t="str">
        <f t="shared" si="51"/>
        <v>1998AllSexMaori24Hanging, strangulation and suffocation</v>
      </c>
      <c r="U471" s="360">
        <v>1998</v>
      </c>
      <c r="V471" s="360" t="s">
        <v>17</v>
      </c>
      <c r="W471" s="360" t="s">
        <v>18</v>
      </c>
      <c r="X471" s="360">
        <v>24</v>
      </c>
      <c r="Y471" s="360" t="s">
        <v>43</v>
      </c>
      <c r="Z471" s="360">
        <v>3</v>
      </c>
      <c r="AA471" s="360">
        <v>12</v>
      </c>
      <c r="AB471" s="360">
        <v>25</v>
      </c>
      <c r="CB471" t="str">
        <f t="shared" si="52"/>
        <v>MaleOther19Poisoning by solids and liquids</v>
      </c>
      <c r="CC471" t="s">
        <v>20</v>
      </c>
      <c r="CD471" t="s">
        <v>45</v>
      </c>
      <c r="CE471" t="s">
        <v>47</v>
      </c>
      <c r="CF471">
        <v>19</v>
      </c>
      <c r="CG471">
        <v>124</v>
      </c>
      <c r="CH471">
        <v>1364</v>
      </c>
      <c r="CI471">
        <v>9.1</v>
      </c>
    </row>
    <row r="472" spans="1:87" x14ac:dyDescent="0.2">
      <c r="A472" t="str">
        <f t="shared" si="49"/>
        <v>2002FemaleAllEth24</v>
      </c>
      <c r="B472">
        <v>2002</v>
      </c>
      <c r="C472" t="s">
        <v>8</v>
      </c>
      <c r="D472" t="s">
        <v>27</v>
      </c>
      <c r="E472">
        <v>24</v>
      </c>
      <c r="F472">
        <v>25</v>
      </c>
      <c r="G472">
        <v>5.5867170216094202</v>
      </c>
      <c r="H472">
        <v>2.2000000000000002</v>
      </c>
      <c r="J472" s="358" t="str">
        <f t="shared" si="50"/>
        <v>2004MaleAllEth194</v>
      </c>
      <c r="K472" s="359">
        <v>2004</v>
      </c>
      <c r="L472" t="s">
        <v>20</v>
      </c>
      <c r="M472" t="s">
        <v>27</v>
      </c>
      <c r="N472">
        <v>19</v>
      </c>
      <c r="O472">
        <v>4</v>
      </c>
      <c r="P472">
        <v>91</v>
      </c>
      <c r="Q472">
        <v>22.1181066383208</v>
      </c>
      <c r="R472">
        <v>4.5</v>
      </c>
      <c r="T472" s="358" t="str">
        <f t="shared" si="51"/>
        <v>1998AllSexMaori22Jumping from a high place</v>
      </c>
      <c r="U472" s="360">
        <v>1998</v>
      </c>
      <c r="V472" s="360" t="s">
        <v>17</v>
      </c>
      <c r="W472" s="360" t="s">
        <v>18</v>
      </c>
      <c r="X472" s="360">
        <v>22</v>
      </c>
      <c r="Y472" s="360" t="s">
        <v>44</v>
      </c>
      <c r="Z472" s="360">
        <v>2</v>
      </c>
      <c r="AA472" s="360">
        <v>43</v>
      </c>
      <c r="AB472" s="360">
        <v>4.7</v>
      </c>
      <c r="CB472" t="str">
        <f t="shared" si="52"/>
        <v>MaleOther19Sharp object</v>
      </c>
      <c r="CC472" t="s">
        <v>20</v>
      </c>
      <c r="CD472" t="s">
        <v>45</v>
      </c>
      <c r="CE472" t="s">
        <v>48</v>
      </c>
      <c r="CF472">
        <v>19</v>
      </c>
      <c r="CG472">
        <v>35</v>
      </c>
      <c r="CH472">
        <v>1364</v>
      </c>
      <c r="CI472">
        <v>2.6</v>
      </c>
    </row>
    <row r="473" spans="1:87" x14ac:dyDescent="0.2">
      <c r="A473" t="str">
        <f t="shared" si="49"/>
        <v>2002FemaleAllEth25</v>
      </c>
      <c r="B473">
        <v>2002</v>
      </c>
      <c r="C473" t="s">
        <v>8</v>
      </c>
      <c r="D473" t="s">
        <v>27</v>
      </c>
      <c r="E473">
        <v>25</v>
      </c>
      <c r="F473">
        <v>12</v>
      </c>
      <c r="G473">
        <v>4.5754375262134399</v>
      </c>
      <c r="H473">
        <v>2.6</v>
      </c>
      <c r="J473" s="358" t="str">
        <f t="shared" si="50"/>
        <v>2004MaleAllEth195</v>
      </c>
      <c r="K473" s="359">
        <v>2004</v>
      </c>
      <c r="L473" t="s">
        <v>20</v>
      </c>
      <c r="M473" t="s">
        <v>27</v>
      </c>
      <c r="N473">
        <v>19</v>
      </c>
      <c r="O473">
        <v>5</v>
      </c>
      <c r="P473">
        <v>97</v>
      </c>
      <c r="Q473">
        <v>24.648499684422301</v>
      </c>
      <c r="R473">
        <v>4.9000000000000004</v>
      </c>
      <c r="T473" s="358" t="str">
        <f t="shared" si="51"/>
        <v>1998AllSexMaori22Other</v>
      </c>
      <c r="U473" s="360">
        <v>1998</v>
      </c>
      <c r="V473" s="360" t="s">
        <v>17</v>
      </c>
      <c r="W473" s="360" t="s">
        <v>18</v>
      </c>
      <c r="X473" s="360">
        <v>22</v>
      </c>
      <c r="Y473" s="360" t="s">
        <v>45</v>
      </c>
      <c r="Z473" s="360">
        <v>2</v>
      </c>
      <c r="AA473" s="360">
        <v>43</v>
      </c>
      <c r="AB473" s="360">
        <v>4.7</v>
      </c>
      <c r="CB473" t="str">
        <f t="shared" si="52"/>
        <v>MaleOther19Submersion (drowning)</v>
      </c>
      <c r="CC473" t="s">
        <v>20</v>
      </c>
      <c r="CD473" t="s">
        <v>45</v>
      </c>
      <c r="CE473" t="s">
        <v>49</v>
      </c>
      <c r="CF473">
        <v>19</v>
      </c>
      <c r="CG473">
        <v>28</v>
      </c>
      <c r="CH473">
        <v>1364</v>
      </c>
      <c r="CI473">
        <v>2.1</v>
      </c>
    </row>
    <row r="474" spans="1:87" x14ac:dyDescent="0.2">
      <c r="A474" t="str">
        <f t="shared" si="49"/>
        <v>2002FemaleMaori21</v>
      </c>
      <c r="B474">
        <v>2002</v>
      </c>
      <c r="C474" t="s">
        <v>8</v>
      </c>
      <c r="D474" t="s">
        <v>18</v>
      </c>
      <c r="E474">
        <v>21</v>
      </c>
      <c r="F474">
        <v>0</v>
      </c>
      <c r="J474" s="358" t="str">
        <f t="shared" si="50"/>
        <v>2005MaleAllEth191</v>
      </c>
      <c r="K474" s="359">
        <v>2005</v>
      </c>
      <c r="L474" t="s">
        <v>20</v>
      </c>
      <c r="M474" t="s">
        <v>27</v>
      </c>
      <c r="N474">
        <v>19</v>
      </c>
      <c r="O474">
        <v>1</v>
      </c>
      <c r="P474">
        <v>53</v>
      </c>
      <c r="Q474">
        <v>12.9882794356828</v>
      </c>
      <c r="R474">
        <v>3.5</v>
      </c>
      <c r="T474" s="358" t="str">
        <f t="shared" si="51"/>
        <v>1998AllSexMaori23Other</v>
      </c>
      <c r="U474" s="360">
        <v>1998</v>
      </c>
      <c r="V474" s="360" t="s">
        <v>17</v>
      </c>
      <c r="W474" s="360" t="s">
        <v>18</v>
      </c>
      <c r="X474" s="360">
        <v>23</v>
      </c>
      <c r="Y474" s="360" t="s">
        <v>45</v>
      </c>
      <c r="Z474" s="360">
        <v>4</v>
      </c>
      <c r="AA474" s="360">
        <v>47</v>
      </c>
      <c r="AB474" s="360">
        <v>8.5</v>
      </c>
      <c r="CB474" t="str">
        <f t="shared" si="52"/>
        <v>MalePacific19Hanging, strangulation and suffocation</v>
      </c>
      <c r="CC474" t="s">
        <v>20</v>
      </c>
      <c r="CD474" t="s">
        <v>79</v>
      </c>
      <c r="CE474" t="s">
        <v>43</v>
      </c>
      <c r="CF474">
        <v>19</v>
      </c>
      <c r="CG474">
        <v>78</v>
      </c>
      <c r="CH474">
        <v>89</v>
      </c>
      <c r="CI474">
        <v>87.6</v>
      </c>
    </row>
    <row r="475" spans="1:87" x14ac:dyDescent="0.2">
      <c r="A475" t="str">
        <f t="shared" si="49"/>
        <v>2002FemaleMaori22</v>
      </c>
      <c r="B475">
        <v>2002</v>
      </c>
      <c r="C475" t="s">
        <v>8</v>
      </c>
      <c r="D475" t="s">
        <v>18</v>
      </c>
      <c r="E475">
        <v>22</v>
      </c>
      <c r="F475">
        <v>10</v>
      </c>
      <c r="G475">
        <v>18.793459875963201</v>
      </c>
      <c r="H475">
        <v>11.6</v>
      </c>
      <c r="J475" s="358" t="str">
        <f t="shared" si="50"/>
        <v>2005MaleAllEth192</v>
      </c>
      <c r="K475" s="359">
        <v>2005</v>
      </c>
      <c r="L475" t="s">
        <v>20</v>
      </c>
      <c r="M475" t="s">
        <v>27</v>
      </c>
      <c r="N475">
        <v>19</v>
      </c>
      <c r="O475">
        <v>2</v>
      </c>
      <c r="P475">
        <v>59</v>
      </c>
      <c r="Q475">
        <v>13.854753083927701</v>
      </c>
      <c r="R475">
        <v>3.5</v>
      </c>
      <c r="T475" s="358" t="str">
        <f t="shared" si="51"/>
        <v>1998AllSexMaori24Other</v>
      </c>
      <c r="U475" s="360">
        <v>1998</v>
      </c>
      <c r="V475" s="360" t="s">
        <v>17</v>
      </c>
      <c r="W475" s="360" t="s">
        <v>18</v>
      </c>
      <c r="X475" s="360">
        <v>24</v>
      </c>
      <c r="Y475" s="360" t="s">
        <v>45</v>
      </c>
      <c r="Z475" s="360">
        <v>1</v>
      </c>
      <c r="AA475" s="360">
        <v>12</v>
      </c>
      <c r="AB475" s="360">
        <v>8.3000000000000007</v>
      </c>
      <c r="CB475" t="str">
        <f t="shared" si="52"/>
        <v>MalePacific19Jumping from a high place</v>
      </c>
      <c r="CC475" t="s">
        <v>20</v>
      </c>
      <c r="CD475" t="s">
        <v>79</v>
      </c>
      <c r="CE475" t="s">
        <v>44</v>
      </c>
      <c r="CF475">
        <v>19</v>
      </c>
      <c r="CG475">
        <v>5</v>
      </c>
      <c r="CH475">
        <v>89</v>
      </c>
      <c r="CI475">
        <v>5.6</v>
      </c>
    </row>
    <row r="476" spans="1:87" x14ac:dyDescent="0.2">
      <c r="A476" t="str">
        <f t="shared" si="49"/>
        <v>2002FemaleMaori23</v>
      </c>
      <c r="B476">
        <v>2002</v>
      </c>
      <c r="C476" t="s">
        <v>8</v>
      </c>
      <c r="D476" t="s">
        <v>18</v>
      </c>
      <c r="E476">
        <v>23</v>
      </c>
      <c r="F476">
        <v>9</v>
      </c>
      <c r="G476">
        <v>10.097610232245</v>
      </c>
      <c r="H476">
        <v>6.6</v>
      </c>
      <c r="J476" s="358" t="str">
        <f t="shared" si="50"/>
        <v>2005MaleAllEth193</v>
      </c>
      <c r="K476" s="359">
        <v>2005</v>
      </c>
      <c r="L476" t="s">
        <v>20</v>
      </c>
      <c r="M476" t="s">
        <v>27</v>
      </c>
      <c r="N476">
        <v>19</v>
      </c>
      <c r="O476">
        <v>3</v>
      </c>
      <c r="P476">
        <v>61</v>
      </c>
      <c r="Q476">
        <v>14.662766690768899</v>
      </c>
      <c r="R476">
        <v>3.7</v>
      </c>
      <c r="T476" s="358" t="str">
        <f t="shared" si="51"/>
        <v>1998AllSexMaori22Poisoning by gases and vapours</v>
      </c>
      <c r="U476" s="360">
        <v>1998</v>
      </c>
      <c r="V476" s="360" t="s">
        <v>17</v>
      </c>
      <c r="W476" s="360" t="s">
        <v>18</v>
      </c>
      <c r="X476" s="360">
        <v>22</v>
      </c>
      <c r="Y476" s="360" t="s">
        <v>46</v>
      </c>
      <c r="Z476" s="360">
        <v>3</v>
      </c>
      <c r="AA476" s="360">
        <v>43</v>
      </c>
      <c r="AB476" s="360">
        <v>7</v>
      </c>
      <c r="CB476" t="str">
        <f t="shared" si="52"/>
        <v>MalePacific19Other</v>
      </c>
      <c r="CC476" t="s">
        <v>20</v>
      </c>
      <c r="CD476" t="s">
        <v>79</v>
      </c>
      <c r="CE476" t="s">
        <v>45</v>
      </c>
      <c r="CF476">
        <v>19</v>
      </c>
      <c r="CG476">
        <v>1</v>
      </c>
      <c r="CH476">
        <v>89</v>
      </c>
      <c r="CI476">
        <v>1.1000000000000001</v>
      </c>
    </row>
    <row r="477" spans="1:87" x14ac:dyDescent="0.2">
      <c r="A477" t="str">
        <f t="shared" si="49"/>
        <v>2002FemaleMaori24</v>
      </c>
      <c r="B477">
        <v>2002</v>
      </c>
      <c r="C477" t="s">
        <v>8</v>
      </c>
      <c r="D477" t="s">
        <v>18</v>
      </c>
      <c r="E477">
        <v>24</v>
      </c>
      <c r="F477">
        <v>1</v>
      </c>
      <c r="G477">
        <v>2.3769907297361499</v>
      </c>
      <c r="H477">
        <v>4.7</v>
      </c>
      <c r="J477" s="358" t="str">
        <f t="shared" si="50"/>
        <v>2005MaleAllEth194</v>
      </c>
      <c r="K477" s="359">
        <v>2005</v>
      </c>
      <c r="L477" t="s">
        <v>20</v>
      </c>
      <c r="M477" t="s">
        <v>27</v>
      </c>
      <c r="N477">
        <v>19</v>
      </c>
      <c r="O477">
        <v>4</v>
      </c>
      <c r="P477">
        <v>87</v>
      </c>
      <c r="Q477">
        <v>21.307518276174701</v>
      </c>
      <c r="R477">
        <v>4.5</v>
      </c>
      <c r="T477" s="358" t="str">
        <f t="shared" si="51"/>
        <v>1998AllSexMaori23Poisoning by gases and vapours</v>
      </c>
      <c r="U477" s="360">
        <v>1998</v>
      </c>
      <c r="V477" s="360" t="s">
        <v>17</v>
      </c>
      <c r="W477" s="360" t="s">
        <v>18</v>
      </c>
      <c r="X477" s="360">
        <v>23</v>
      </c>
      <c r="Y477" s="360" t="s">
        <v>46</v>
      </c>
      <c r="Z477" s="360">
        <v>4</v>
      </c>
      <c r="AA477" s="360">
        <v>47</v>
      </c>
      <c r="AB477" s="360">
        <v>8.5</v>
      </c>
      <c r="CB477" t="str">
        <f t="shared" si="52"/>
        <v>MalePacific19Poisoning by gases and vapours</v>
      </c>
      <c r="CC477" t="s">
        <v>20</v>
      </c>
      <c r="CD477" t="s">
        <v>79</v>
      </c>
      <c r="CE477" t="s">
        <v>46</v>
      </c>
      <c r="CF477">
        <v>19</v>
      </c>
      <c r="CG477">
        <v>1</v>
      </c>
      <c r="CH477">
        <v>89</v>
      </c>
      <c r="CI477">
        <v>1.1000000000000001</v>
      </c>
    </row>
    <row r="478" spans="1:87" x14ac:dyDescent="0.2">
      <c r="A478" t="str">
        <f t="shared" si="49"/>
        <v>2002FemaleMaori25</v>
      </c>
      <c r="B478">
        <v>2002</v>
      </c>
      <c r="C478" t="s">
        <v>8</v>
      </c>
      <c r="D478" t="s">
        <v>18</v>
      </c>
      <c r="E478">
        <v>25</v>
      </c>
      <c r="F478">
        <v>0</v>
      </c>
      <c r="G478">
        <v>0</v>
      </c>
      <c r="J478" s="358" t="str">
        <f t="shared" si="50"/>
        <v>2005MaleAllEth195</v>
      </c>
      <c r="K478" s="359">
        <v>2005</v>
      </c>
      <c r="L478" t="s">
        <v>20</v>
      </c>
      <c r="M478" t="s">
        <v>27</v>
      </c>
      <c r="N478">
        <v>19</v>
      </c>
      <c r="O478">
        <v>5</v>
      </c>
      <c r="P478">
        <v>105</v>
      </c>
      <c r="Q478">
        <v>27.352538790555201</v>
      </c>
      <c r="R478">
        <v>5.2</v>
      </c>
      <c r="T478" s="358" t="str">
        <f t="shared" si="51"/>
        <v>1998AllSexMaori24Poisoning by gases and vapours</v>
      </c>
      <c r="U478" s="360">
        <v>1998</v>
      </c>
      <c r="V478" s="360" t="s">
        <v>17</v>
      </c>
      <c r="W478" s="360" t="s">
        <v>18</v>
      </c>
      <c r="X478" s="360">
        <v>24</v>
      </c>
      <c r="Y478" s="360" t="s">
        <v>46</v>
      </c>
      <c r="Z478" s="360">
        <v>1</v>
      </c>
      <c r="AA478" s="360">
        <v>12</v>
      </c>
      <c r="AB478" s="360">
        <v>8.3000000000000007</v>
      </c>
      <c r="CB478" t="str">
        <f t="shared" si="52"/>
        <v>MalePacific19Poisoning by solids and liquids</v>
      </c>
      <c r="CC478" t="s">
        <v>20</v>
      </c>
      <c r="CD478" t="s">
        <v>79</v>
      </c>
      <c r="CE478" t="s">
        <v>47</v>
      </c>
      <c r="CF478">
        <v>19</v>
      </c>
      <c r="CG478">
        <v>3</v>
      </c>
      <c r="CH478">
        <v>89</v>
      </c>
      <c r="CI478">
        <v>3.4</v>
      </c>
    </row>
    <row r="479" spans="1:87" x14ac:dyDescent="0.2">
      <c r="A479" t="str">
        <f t="shared" si="49"/>
        <v>2002FemaleNon-Maori21</v>
      </c>
      <c r="B479">
        <v>2002</v>
      </c>
      <c r="C479" t="s">
        <v>8</v>
      </c>
      <c r="D479" t="s">
        <v>19</v>
      </c>
      <c r="E479">
        <v>21</v>
      </c>
      <c r="F479">
        <v>0</v>
      </c>
      <c r="J479" s="358" t="str">
        <f t="shared" si="50"/>
        <v>2006MaleAllEth191</v>
      </c>
      <c r="K479" s="359">
        <v>2006</v>
      </c>
      <c r="L479" t="s">
        <v>20</v>
      </c>
      <c r="M479" t="s">
        <v>27</v>
      </c>
      <c r="N479">
        <v>19</v>
      </c>
      <c r="O479">
        <v>1</v>
      </c>
      <c r="P479">
        <v>49</v>
      </c>
      <c r="Q479">
        <v>11.7073332502529</v>
      </c>
      <c r="R479">
        <v>3.3</v>
      </c>
      <c r="T479" s="358" t="str">
        <f t="shared" si="51"/>
        <v>1998AllSexMaori25Poisoning by gases and vapours</v>
      </c>
      <c r="U479" s="360">
        <v>1998</v>
      </c>
      <c r="V479" s="360" t="s">
        <v>17</v>
      </c>
      <c r="W479" s="360" t="s">
        <v>18</v>
      </c>
      <c r="X479" s="360">
        <v>25</v>
      </c>
      <c r="Y479" s="360" t="s">
        <v>46</v>
      </c>
      <c r="Z479" s="360">
        <v>1</v>
      </c>
      <c r="AA479" s="360">
        <v>2</v>
      </c>
      <c r="AB479" s="360">
        <v>50</v>
      </c>
      <c r="CB479" t="str">
        <f t="shared" si="52"/>
        <v>MalePacific19Submersion (drowning)</v>
      </c>
      <c r="CC479" t="s">
        <v>20</v>
      </c>
      <c r="CD479" t="s">
        <v>79</v>
      </c>
      <c r="CE479" t="s">
        <v>49</v>
      </c>
      <c r="CF479">
        <v>19</v>
      </c>
      <c r="CG479">
        <v>1</v>
      </c>
      <c r="CH479">
        <v>89</v>
      </c>
      <c r="CI479">
        <v>1.1000000000000001</v>
      </c>
    </row>
    <row r="480" spans="1:87" x14ac:dyDescent="0.2">
      <c r="A480" t="str">
        <f t="shared" si="49"/>
        <v>2002FemaleNon-Maori22</v>
      </c>
      <c r="B480">
        <v>2002</v>
      </c>
      <c r="C480" t="s">
        <v>8</v>
      </c>
      <c r="D480" t="s">
        <v>19</v>
      </c>
      <c r="E480">
        <v>22</v>
      </c>
      <c r="F480">
        <v>20</v>
      </c>
      <c r="G480">
        <v>9.1049804242920906</v>
      </c>
      <c r="H480">
        <v>4</v>
      </c>
      <c r="J480" s="358" t="str">
        <f t="shared" si="50"/>
        <v>2006MaleAllEth192</v>
      </c>
      <c r="K480" s="359">
        <v>2006</v>
      </c>
      <c r="L480" t="s">
        <v>20</v>
      </c>
      <c r="M480" t="s">
        <v>27</v>
      </c>
      <c r="N480">
        <v>19</v>
      </c>
      <c r="O480">
        <v>2</v>
      </c>
      <c r="P480">
        <v>65</v>
      </c>
      <c r="Q480">
        <v>14.679615920843499</v>
      </c>
      <c r="R480">
        <v>3.6</v>
      </c>
      <c r="T480" s="358" t="str">
        <f t="shared" si="51"/>
        <v>1998AllSexMaori22Poisoning by solids and liquids</v>
      </c>
      <c r="U480" s="360">
        <v>1998</v>
      </c>
      <c r="V480" s="360" t="s">
        <v>17</v>
      </c>
      <c r="W480" s="360" t="s">
        <v>18</v>
      </c>
      <c r="X480" s="360">
        <v>22</v>
      </c>
      <c r="Y480" s="360" t="s">
        <v>47</v>
      </c>
      <c r="Z480" s="360">
        <v>5</v>
      </c>
      <c r="AA480" s="360">
        <v>43</v>
      </c>
      <c r="AB480" s="360">
        <v>11.6</v>
      </c>
    </row>
    <row r="481" spans="1:28" x14ac:dyDescent="0.2">
      <c r="A481" t="str">
        <f t="shared" si="49"/>
        <v>2002FemaleNon-Maori23</v>
      </c>
      <c r="B481">
        <v>2002</v>
      </c>
      <c r="C481" t="s">
        <v>8</v>
      </c>
      <c r="D481" t="s">
        <v>19</v>
      </c>
      <c r="E481">
        <v>23</v>
      </c>
      <c r="F481">
        <v>38</v>
      </c>
      <c r="G481">
        <v>7.4356716563937004</v>
      </c>
      <c r="H481">
        <v>2.4</v>
      </c>
      <c r="J481" s="358" t="str">
        <f t="shared" si="50"/>
        <v>2006MaleAllEth193</v>
      </c>
      <c r="K481" s="359">
        <v>2006</v>
      </c>
      <c r="L481" t="s">
        <v>20</v>
      </c>
      <c r="M481" t="s">
        <v>27</v>
      </c>
      <c r="N481">
        <v>19</v>
      </c>
      <c r="O481">
        <v>3</v>
      </c>
      <c r="P481">
        <v>71</v>
      </c>
      <c r="Q481">
        <v>16.606073448723802</v>
      </c>
      <c r="R481">
        <v>3.9</v>
      </c>
      <c r="T481" s="358" t="str">
        <f t="shared" si="51"/>
        <v>1998AllSexMaori23Poisoning by solids and liquids</v>
      </c>
      <c r="U481" s="360">
        <v>1998</v>
      </c>
      <c r="V481" s="360" t="s">
        <v>17</v>
      </c>
      <c r="W481" s="360" t="s">
        <v>18</v>
      </c>
      <c r="X481" s="360">
        <v>23</v>
      </c>
      <c r="Y481" s="360" t="s">
        <v>47</v>
      </c>
      <c r="Z481" s="360">
        <v>1</v>
      </c>
      <c r="AA481" s="360">
        <v>47</v>
      </c>
      <c r="AB481" s="360">
        <v>2.1</v>
      </c>
    </row>
    <row r="482" spans="1:28" x14ac:dyDescent="0.2">
      <c r="A482" t="str">
        <f t="shared" si="49"/>
        <v>2002FemaleNon-Maori24</v>
      </c>
      <c r="B482">
        <v>2002</v>
      </c>
      <c r="C482" t="s">
        <v>8</v>
      </c>
      <c r="D482" t="s">
        <v>19</v>
      </c>
      <c r="E482">
        <v>24</v>
      </c>
      <c r="F482">
        <v>24</v>
      </c>
      <c r="G482">
        <v>5.9197868876720401</v>
      </c>
      <c r="H482">
        <v>2.4</v>
      </c>
      <c r="J482" s="358" t="str">
        <f t="shared" si="50"/>
        <v>2006MaleAllEth194</v>
      </c>
      <c r="K482" s="359">
        <v>2006</v>
      </c>
      <c r="L482" t="s">
        <v>20</v>
      </c>
      <c r="M482" t="s">
        <v>27</v>
      </c>
      <c r="N482">
        <v>19</v>
      </c>
      <c r="O482">
        <v>4</v>
      </c>
      <c r="P482">
        <v>76</v>
      </c>
      <c r="Q482">
        <v>18.318327574495498</v>
      </c>
      <c r="R482">
        <v>4.0999999999999996</v>
      </c>
      <c r="T482" s="358" t="str">
        <f t="shared" si="51"/>
        <v>1998AllSexMaori24Poisoning by solids and liquids</v>
      </c>
      <c r="U482" s="360">
        <v>1998</v>
      </c>
      <c r="V482" s="360" t="s">
        <v>17</v>
      </c>
      <c r="W482" s="360" t="s">
        <v>18</v>
      </c>
      <c r="X482" s="360">
        <v>24</v>
      </c>
      <c r="Y482" s="360" t="s">
        <v>47</v>
      </c>
      <c r="Z482" s="360">
        <v>4</v>
      </c>
      <c r="AA482" s="360">
        <v>12</v>
      </c>
      <c r="AB482" s="360">
        <v>33.299999999999997</v>
      </c>
    </row>
    <row r="483" spans="1:28" x14ac:dyDescent="0.2">
      <c r="A483" t="str">
        <f t="shared" si="49"/>
        <v>2002FemaleNon-Maori25</v>
      </c>
      <c r="B483">
        <v>2002</v>
      </c>
      <c r="C483" t="s">
        <v>8</v>
      </c>
      <c r="D483" t="s">
        <v>19</v>
      </c>
      <c r="E483">
        <v>25</v>
      </c>
      <c r="F483">
        <v>12</v>
      </c>
      <c r="G483">
        <v>4.7844982257485702</v>
      </c>
      <c r="H483">
        <v>2.7</v>
      </c>
      <c r="J483" s="358" t="str">
        <f t="shared" si="50"/>
        <v>2006MaleAllEth195</v>
      </c>
      <c r="K483" s="359">
        <v>2006</v>
      </c>
      <c r="L483" t="s">
        <v>20</v>
      </c>
      <c r="M483" t="s">
        <v>27</v>
      </c>
      <c r="N483">
        <v>19</v>
      </c>
      <c r="O483">
        <v>5</v>
      </c>
      <c r="P483">
        <v>113</v>
      </c>
      <c r="Q483">
        <v>28.780033814011201</v>
      </c>
      <c r="R483">
        <v>5.3</v>
      </c>
      <c r="T483" s="358" t="str">
        <f t="shared" si="51"/>
        <v>1998AllSexMaori23Sharp object</v>
      </c>
      <c r="U483" s="360">
        <v>1998</v>
      </c>
      <c r="V483" s="360" t="s">
        <v>17</v>
      </c>
      <c r="W483" s="360" t="s">
        <v>18</v>
      </c>
      <c r="X483" s="360">
        <v>23</v>
      </c>
      <c r="Y483" s="360" t="s">
        <v>48</v>
      </c>
      <c r="Z483" s="360">
        <v>1</v>
      </c>
      <c r="AA483" s="360">
        <v>47</v>
      </c>
      <c r="AB483" s="360">
        <v>2.1</v>
      </c>
    </row>
    <row r="484" spans="1:28" x14ac:dyDescent="0.2">
      <c r="A484" t="str">
        <f t="shared" si="49"/>
        <v>2002MaleAllEth21</v>
      </c>
      <c r="B484">
        <v>2002</v>
      </c>
      <c r="C484" t="s">
        <v>20</v>
      </c>
      <c r="D484" t="s">
        <v>27</v>
      </c>
      <c r="E484">
        <v>21</v>
      </c>
      <c r="F484">
        <v>0</v>
      </c>
      <c r="J484" s="358" t="str">
        <f t="shared" si="50"/>
        <v>2007MaleAllEth191</v>
      </c>
      <c r="K484" s="359">
        <v>2007</v>
      </c>
      <c r="L484" t="s">
        <v>20</v>
      </c>
      <c r="M484" t="s">
        <v>27</v>
      </c>
      <c r="N484">
        <v>19</v>
      </c>
      <c r="O484">
        <v>1</v>
      </c>
      <c r="P484">
        <v>52</v>
      </c>
      <c r="Q484">
        <v>12.5941055922708</v>
      </c>
      <c r="R484">
        <v>3.4</v>
      </c>
      <c r="T484" s="358" t="str">
        <f t="shared" si="51"/>
        <v>1998AllSexNon-Maori22Firearms and explosives</v>
      </c>
      <c r="U484" s="360">
        <v>1998</v>
      </c>
      <c r="V484" s="360" t="s">
        <v>17</v>
      </c>
      <c r="W484" s="360" t="s">
        <v>19</v>
      </c>
      <c r="X484" s="360">
        <v>22</v>
      </c>
      <c r="Y484" s="360" t="s">
        <v>42</v>
      </c>
      <c r="Z484" s="360">
        <v>11</v>
      </c>
      <c r="AA484" s="360">
        <v>97</v>
      </c>
      <c r="AB484" s="360">
        <v>11.3</v>
      </c>
    </row>
    <row r="485" spans="1:28" x14ac:dyDescent="0.2">
      <c r="A485" t="str">
        <f t="shared" si="49"/>
        <v>2002MaleAllEth22</v>
      </c>
      <c r="B485">
        <v>2002</v>
      </c>
      <c r="C485" t="s">
        <v>20</v>
      </c>
      <c r="D485" t="s">
        <v>27</v>
      </c>
      <c r="E485">
        <v>22</v>
      </c>
      <c r="F485">
        <v>66</v>
      </c>
      <c r="G485">
        <v>23.606838829673102</v>
      </c>
      <c r="H485">
        <v>5.7</v>
      </c>
      <c r="J485" s="358" t="str">
        <f t="shared" si="50"/>
        <v>2007MaleAllEth192</v>
      </c>
      <c r="K485" s="359">
        <v>2007</v>
      </c>
      <c r="L485" t="s">
        <v>20</v>
      </c>
      <c r="M485" t="s">
        <v>27</v>
      </c>
      <c r="N485">
        <v>19</v>
      </c>
      <c r="O485">
        <v>2</v>
      </c>
      <c r="P485">
        <v>53</v>
      </c>
      <c r="Q485">
        <v>11.6028861834361</v>
      </c>
      <c r="R485">
        <v>3.1</v>
      </c>
      <c r="T485" s="358" t="str">
        <f t="shared" si="51"/>
        <v>1998AllSexNon-Maori23Firearms and explosives</v>
      </c>
      <c r="U485" s="360">
        <v>1998</v>
      </c>
      <c r="V485" s="360" t="s">
        <v>17</v>
      </c>
      <c r="W485" s="360" t="s">
        <v>19</v>
      </c>
      <c r="X485" s="360">
        <v>23</v>
      </c>
      <c r="Y485" s="360" t="s">
        <v>42</v>
      </c>
      <c r="Z485" s="360">
        <v>20</v>
      </c>
      <c r="AA485" s="360">
        <v>202</v>
      </c>
      <c r="AB485" s="360">
        <v>9.9</v>
      </c>
    </row>
    <row r="486" spans="1:28" x14ac:dyDescent="0.2">
      <c r="A486" t="str">
        <f t="shared" si="49"/>
        <v>2002MaleAllEth23</v>
      </c>
      <c r="B486">
        <v>2002</v>
      </c>
      <c r="C486" t="s">
        <v>20</v>
      </c>
      <c r="D486" t="s">
        <v>27</v>
      </c>
      <c r="E486">
        <v>23</v>
      </c>
      <c r="F486">
        <v>166</v>
      </c>
      <c r="G486">
        <v>29.545778157482602</v>
      </c>
      <c r="H486">
        <v>4.5</v>
      </c>
      <c r="J486" s="358" t="str">
        <f t="shared" si="50"/>
        <v>2007MaleAllEth193</v>
      </c>
      <c r="K486" s="359">
        <v>2007</v>
      </c>
      <c r="L486" t="s">
        <v>20</v>
      </c>
      <c r="M486" t="s">
        <v>27</v>
      </c>
      <c r="N486">
        <v>19</v>
      </c>
      <c r="O486">
        <v>3</v>
      </c>
      <c r="P486">
        <v>81</v>
      </c>
      <c r="Q486">
        <v>18.999903182903601</v>
      </c>
      <c r="R486">
        <v>4.0999999999999996</v>
      </c>
      <c r="T486" s="358" t="str">
        <f t="shared" si="51"/>
        <v>1998AllSexNon-Maori24Firearms and explosives</v>
      </c>
      <c r="U486" s="360">
        <v>1998</v>
      </c>
      <c r="V486" s="360" t="s">
        <v>17</v>
      </c>
      <c r="W486" s="360" t="s">
        <v>19</v>
      </c>
      <c r="X486" s="360">
        <v>24</v>
      </c>
      <c r="Y486" s="360" t="s">
        <v>42</v>
      </c>
      <c r="Z486" s="360">
        <v>25</v>
      </c>
      <c r="AA486" s="360">
        <v>102</v>
      </c>
      <c r="AB486" s="360">
        <v>24.5</v>
      </c>
    </row>
    <row r="487" spans="1:28" x14ac:dyDescent="0.2">
      <c r="A487" t="str">
        <f t="shared" si="49"/>
        <v>2002MaleAllEth24</v>
      </c>
      <c r="B487">
        <v>2002</v>
      </c>
      <c r="C487" t="s">
        <v>20</v>
      </c>
      <c r="D487" t="s">
        <v>27</v>
      </c>
      <c r="E487">
        <v>24</v>
      </c>
      <c r="F487">
        <v>88</v>
      </c>
      <c r="G487">
        <v>20.089030932541899</v>
      </c>
      <c r="H487">
        <v>4.2</v>
      </c>
      <c r="J487" s="358" t="str">
        <f t="shared" si="50"/>
        <v>2007MaleAllEth194</v>
      </c>
      <c r="K487" s="359">
        <v>2007</v>
      </c>
      <c r="L487" t="s">
        <v>20</v>
      </c>
      <c r="M487" t="s">
        <v>27</v>
      </c>
      <c r="N487">
        <v>19</v>
      </c>
      <c r="O487">
        <v>4</v>
      </c>
      <c r="P487">
        <v>87</v>
      </c>
      <c r="Q487">
        <v>20.099156960381102</v>
      </c>
      <c r="R487">
        <v>4.2</v>
      </c>
      <c r="T487" s="358" t="str">
        <f t="shared" si="51"/>
        <v>1998AllSexNon-Maori25Firearms and explosives</v>
      </c>
      <c r="U487" s="360">
        <v>1998</v>
      </c>
      <c r="V487" s="360" t="s">
        <v>17</v>
      </c>
      <c r="W487" s="360" t="s">
        <v>19</v>
      </c>
      <c r="X487" s="360">
        <v>25</v>
      </c>
      <c r="Y487" s="360" t="s">
        <v>42</v>
      </c>
      <c r="Z487" s="360">
        <v>6</v>
      </c>
      <c r="AA487" s="360">
        <v>62</v>
      </c>
      <c r="AB487" s="360">
        <v>9.6999999999999993</v>
      </c>
    </row>
    <row r="488" spans="1:28" x14ac:dyDescent="0.2">
      <c r="A488" t="str">
        <f t="shared" si="49"/>
        <v>2002MaleAllEth25</v>
      </c>
      <c r="B488">
        <v>2002</v>
      </c>
      <c r="C488" t="s">
        <v>20</v>
      </c>
      <c r="D488" t="s">
        <v>27</v>
      </c>
      <c r="E488">
        <v>25</v>
      </c>
      <c r="F488">
        <v>36</v>
      </c>
      <c r="G488">
        <v>17.5378769425635</v>
      </c>
      <c r="H488">
        <v>5.7</v>
      </c>
      <c r="J488" s="358" t="str">
        <f t="shared" si="50"/>
        <v>2007MaleAllEth195</v>
      </c>
      <c r="K488" s="359">
        <v>2007</v>
      </c>
      <c r="L488" t="s">
        <v>20</v>
      </c>
      <c r="M488" t="s">
        <v>27</v>
      </c>
      <c r="N488">
        <v>19</v>
      </c>
      <c r="O488">
        <v>5</v>
      </c>
      <c r="P488">
        <v>91</v>
      </c>
      <c r="Q488">
        <v>23.2431358648392</v>
      </c>
      <c r="R488">
        <v>4.8</v>
      </c>
      <c r="T488" s="358" t="str">
        <f t="shared" si="51"/>
        <v>1998AllSexNon-Maori21Hanging, strangulation and suffocation</v>
      </c>
      <c r="U488" s="360">
        <v>1998</v>
      </c>
      <c r="V488" s="360" t="s">
        <v>17</v>
      </c>
      <c r="W488" s="360" t="s">
        <v>19</v>
      </c>
      <c r="X488" s="360">
        <v>21</v>
      </c>
      <c r="Y488" s="360" t="s">
        <v>43</v>
      </c>
      <c r="Z488" s="360">
        <v>2</v>
      </c>
      <c r="AA488" s="360">
        <v>3</v>
      </c>
      <c r="AB488" s="360">
        <v>66.7</v>
      </c>
    </row>
    <row r="489" spans="1:28" x14ac:dyDescent="0.2">
      <c r="A489" t="str">
        <f t="shared" si="49"/>
        <v>2002MaleMaori21</v>
      </c>
      <c r="B489">
        <v>2002</v>
      </c>
      <c r="C489" t="s">
        <v>20</v>
      </c>
      <c r="D489" t="s">
        <v>18</v>
      </c>
      <c r="E489">
        <v>21</v>
      </c>
      <c r="F489">
        <v>0</v>
      </c>
      <c r="J489" s="358" t="str">
        <f t="shared" si="50"/>
        <v>2008MaleAllEth191</v>
      </c>
      <c r="K489" s="359">
        <v>2008</v>
      </c>
      <c r="L489" t="s">
        <v>20</v>
      </c>
      <c r="M489" t="s">
        <v>27</v>
      </c>
      <c r="N489">
        <v>19</v>
      </c>
      <c r="O489">
        <v>1</v>
      </c>
      <c r="P489">
        <v>62</v>
      </c>
      <c r="Q489">
        <v>14.8510810707393</v>
      </c>
      <c r="R489">
        <v>3.7</v>
      </c>
      <c r="T489" s="358" t="str">
        <f t="shared" si="51"/>
        <v>1998AllSexNon-Maori22Hanging, strangulation and suffocation</v>
      </c>
      <c r="U489" s="360">
        <v>1998</v>
      </c>
      <c r="V489" s="360" t="s">
        <v>17</v>
      </c>
      <c r="W489" s="360" t="s">
        <v>19</v>
      </c>
      <c r="X489" s="360">
        <v>22</v>
      </c>
      <c r="Y489" s="360" t="s">
        <v>43</v>
      </c>
      <c r="Z489" s="360">
        <v>47</v>
      </c>
      <c r="AA489" s="360">
        <v>97</v>
      </c>
      <c r="AB489" s="360">
        <v>48.5</v>
      </c>
    </row>
    <row r="490" spans="1:28" x14ac:dyDescent="0.2">
      <c r="A490" t="str">
        <f t="shared" si="49"/>
        <v>2002MaleMaori22</v>
      </c>
      <c r="B490">
        <v>2002</v>
      </c>
      <c r="C490" t="s">
        <v>20</v>
      </c>
      <c r="D490" t="s">
        <v>18</v>
      </c>
      <c r="E490">
        <v>22</v>
      </c>
      <c r="F490">
        <v>23</v>
      </c>
      <c r="G490">
        <v>43.909889270713997</v>
      </c>
      <c r="H490">
        <v>17.899999999999999</v>
      </c>
      <c r="J490" s="358" t="str">
        <f t="shared" si="50"/>
        <v>2008MaleAllEth192</v>
      </c>
      <c r="K490" s="359">
        <v>2008</v>
      </c>
      <c r="L490" t="s">
        <v>20</v>
      </c>
      <c r="M490" t="s">
        <v>27</v>
      </c>
      <c r="N490">
        <v>19</v>
      </c>
      <c r="O490">
        <v>2</v>
      </c>
      <c r="P490">
        <v>61</v>
      </c>
      <c r="Q490">
        <v>13.7450566156518</v>
      </c>
      <c r="R490">
        <v>3.4</v>
      </c>
      <c r="T490" s="358" t="str">
        <f t="shared" si="51"/>
        <v>1998AllSexNon-Maori23Hanging, strangulation and suffocation</v>
      </c>
      <c r="U490" s="360">
        <v>1998</v>
      </c>
      <c r="V490" s="360" t="s">
        <v>17</v>
      </c>
      <c r="W490" s="360" t="s">
        <v>19</v>
      </c>
      <c r="X490" s="360">
        <v>23</v>
      </c>
      <c r="Y490" s="360" t="s">
        <v>43</v>
      </c>
      <c r="Z490" s="360">
        <v>86</v>
      </c>
      <c r="AA490" s="360">
        <v>202</v>
      </c>
      <c r="AB490" s="360">
        <v>42.6</v>
      </c>
    </row>
    <row r="491" spans="1:28" x14ac:dyDescent="0.2">
      <c r="A491" t="str">
        <f t="shared" si="49"/>
        <v>2002MaleMaori23</v>
      </c>
      <c r="B491">
        <v>2002</v>
      </c>
      <c r="C491" t="s">
        <v>20</v>
      </c>
      <c r="D491" t="s">
        <v>18</v>
      </c>
      <c r="E491">
        <v>23</v>
      </c>
      <c r="F491">
        <v>31</v>
      </c>
      <c r="G491">
        <v>38.581207218419401</v>
      </c>
      <c r="H491">
        <v>13.6</v>
      </c>
      <c r="J491" s="358" t="str">
        <f t="shared" si="50"/>
        <v>2008MaleAllEth193</v>
      </c>
      <c r="K491" s="359">
        <v>2008</v>
      </c>
      <c r="L491" t="s">
        <v>20</v>
      </c>
      <c r="M491" t="s">
        <v>27</v>
      </c>
      <c r="N491">
        <v>19</v>
      </c>
      <c r="O491">
        <v>3</v>
      </c>
      <c r="P491">
        <v>72</v>
      </c>
      <c r="Q491">
        <v>16.2948414480312</v>
      </c>
      <c r="R491">
        <v>3.8</v>
      </c>
      <c r="T491" s="358" t="str">
        <f t="shared" si="51"/>
        <v>1998AllSexNon-Maori24Hanging, strangulation and suffocation</v>
      </c>
      <c r="U491" s="360">
        <v>1998</v>
      </c>
      <c r="V491" s="360" t="s">
        <v>17</v>
      </c>
      <c r="W491" s="360" t="s">
        <v>19</v>
      </c>
      <c r="X491" s="360">
        <v>24</v>
      </c>
      <c r="Y491" s="360" t="s">
        <v>43</v>
      </c>
      <c r="Z491" s="360">
        <v>23</v>
      </c>
      <c r="AA491" s="360">
        <v>102</v>
      </c>
      <c r="AB491" s="360">
        <v>22.5</v>
      </c>
    </row>
    <row r="492" spans="1:28" x14ac:dyDescent="0.2">
      <c r="A492" t="str">
        <f t="shared" si="49"/>
        <v>2002MaleMaori24</v>
      </c>
      <c r="B492">
        <v>2002</v>
      </c>
      <c r="C492" t="s">
        <v>20</v>
      </c>
      <c r="D492" t="s">
        <v>18</v>
      </c>
      <c r="E492">
        <v>24</v>
      </c>
      <c r="F492">
        <v>6</v>
      </c>
      <c r="G492">
        <v>15.1285930408472</v>
      </c>
      <c r="H492">
        <v>12.1</v>
      </c>
      <c r="J492" s="358" t="str">
        <f t="shared" si="50"/>
        <v>2008MaleAllEth194</v>
      </c>
      <c r="K492" s="359">
        <v>2008</v>
      </c>
      <c r="L492" t="s">
        <v>20</v>
      </c>
      <c r="M492" t="s">
        <v>27</v>
      </c>
      <c r="N492">
        <v>19</v>
      </c>
      <c r="O492">
        <v>4</v>
      </c>
      <c r="P492">
        <v>79</v>
      </c>
      <c r="Q492">
        <v>18.758767968392899</v>
      </c>
      <c r="R492">
        <v>4.0999999999999996</v>
      </c>
      <c r="T492" s="358" t="str">
        <f t="shared" si="51"/>
        <v>1998AllSexNon-Maori25Hanging, strangulation and suffocation</v>
      </c>
      <c r="U492" s="360">
        <v>1998</v>
      </c>
      <c r="V492" s="360" t="s">
        <v>17</v>
      </c>
      <c r="W492" s="360" t="s">
        <v>19</v>
      </c>
      <c r="X492" s="360">
        <v>25</v>
      </c>
      <c r="Y492" s="360" t="s">
        <v>43</v>
      </c>
      <c r="Z492" s="360">
        <v>18</v>
      </c>
      <c r="AA492" s="360">
        <v>62</v>
      </c>
      <c r="AB492" s="360">
        <v>29</v>
      </c>
    </row>
    <row r="493" spans="1:28" x14ac:dyDescent="0.2">
      <c r="A493" t="str">
        <f t="shared" si="49"/>
        <v>2002MaleMaori25</v>
      </c>
      <c r="B493">
        <v>2002</v>
      </c>
      <c r="C493" t="s">
        <v>20</v>
      </c>
      <c r="D493" t="s">
        <v>18</v>
      </c>
      <c r="E493">
        <v>25</v>
      </c>
      <c r="F493">
        <v>0</v>
      </c>
      <c r="G493">
        <v>0</v>
      </c>
      <c r="J493" s="358" t="str">
        <f t="shared" si="50"/>
        <v>2008MaleAllEth195</v>
      </c>
      <c r="K493" s="359">
        <v>2008</v>
      </c>
      <c r="L493" t="s">
        <v>20</v>
      </c>
      <c r="M493" t="s">
        <v>27</v>
      </c>
      <c r="N493">
        <v>19</v>
      </c>
      <c r="O493">
        <v>5</v>
      </c>
      <c r="P493">
        <v>89</v>
      </c>
      <c r="Q493">
        <v>22.000250981121599</v>
      </c>
      <c r="R493">
        <v>4.5999999999999996</v>
      </c>
      <c r="T493" s="358" t="str">
        <f t="shared" si="51"/>
        <v>1998AllSexNon-Maori22Jumping from a high place</v>
      </c>
      <c r="U493" s="360">
        <v>1998</v>
      </c>
      <c r="V493" s="360" t="s">
        <v>17</v>
      </c>
      <c r="W493" s="360" t="s">
        <v>19</v>
      </c>
      <c r="X493" s="360">
        <v>22</v>
      </c>
      <c r="Y493" s="360" t="s">
        <v>44</v>
      </c>
      <c r="Z493" s="360">
        <v>5</v>
      </c>
      <c r="AA493" s="360">
        <v>97</v>
      </c>
      <c r="AB493" s="360">
        <v>5.2</v>
      </c>
    </row>
    <row r="494" spans="1:28" x14ac:dyDescent="0.2">
      <c r="A494" t="str">
        <f t="shared" si="49"/>
        <v>2002MaleNon-Maori21</v>
      </c>
      <c r="B494">
        <v>2002</v>
      </c>
      <c r="C494" t="s">
        <v>20</v>
      </c>
      <c r="D494" t="s">
        <v>19</v>
      </c>
      <c r="E494">
        <v>21</v>
      </c>
      <c r="F494">
        <v>0</v>
      </c>
      <c r="J494" s="358" t="str">
        <f t="shared" si="50"/>
        <v>2009MaleAllEth191</v>
      </c>
      <c r="K494" s="359">
        <v>2009</v>
      </c>
      <c r="L494" t="s">
        <v>20</v>
      </c>
      <c r="M494" t="s">
        <v>27</v>
      </c>
      <c r="N494">
        <v>19</v>
      </c>
      <c r="O494">
        <v>1</v>
      </c>
      <c r="P494">
        <v>62</v>
      </c>
      <c r="Q494">
        <v>13.672965099776199</v>
      </c>
      <c r="R494">
        <v>3.4</v>
      </c>
      <c r="T494" s="358" t="str">
        <f t="shared" si="51"/>
        <v>1998AllSexNon-Maori23Jumping from a high place</v>
      </c>
      <c r="U494" s="360">
        <v>1998</v>
      </c>
      <c r="V494" s="360" t="s">
        <v>17</v>
      </c>
      <c r="W494" s="360" t="s">
        <v>19</v>
      </c>
      <c r="X494" s="360">
        <v>23</v>
      </c>
      <c r="Y494" s="360" t="s">
        <v>44</v>
      </c>
      <c r="Z494" s="360">
        <v>6</v>
      </c>
      <c r="AA494" s="360">
        <v>202</v>
      </c>
      <c r="AB494" s="360">
        <v>3</v>
      </c>
    </row>
    <row r="495" spans="1:28" x14ac:dyDescent="0.2">
      <c r="A495" t="str">
        <f t="shared" si="49"/>
        <v>2002MaleNon-Maori22</v>
      </c>
      <c r="B495">
        <v>2002</v>
      </c>
      <c r="C495" t="s">
        <v>20</v>
      </c>
      <c r="D495" t="s">
        <v>19</v>
      </c>
      <c r="E495">
        <v>22</v>
      </c>
      <c r="F495">
        <v>43</v>
      </c>
      <c r="G495">
        <v>18.9260563380282</v>
      </c>
      <c r="H495">
        <v>5.7</v>
      </c>
      <c r="J495" s="358" t="str">
        <f t="shared" si="50"/>
        <v>2009MaleAllEth192</v>
      </c>
      <c r="K495" s="359">
        <v>2009</v>
      </c>
      <c r="L495" t="s">
        <v>20</v>
      </c>
      <c r="M495" t="s">
        <v>27</v>
      </c>
      <c r="N495">
        <v>19</v>
      </c>
      <c r="O495">
        <v>2</v>
      </c>
      <c r="P495">
        <v>71</v>
      </c>
      <c r="Q495">
        <v>15.6322775264307</v>
      </c>
      <c r="R495">
        <v>3.6</v>
      </c>
      <c r="T495" s="358" t="str">
        <f t="shared" si="51"/>
        <v>1998AllSexNon-Maori24Jumping from a high place</v>
      </c>
      <c r="U495" s="360">
        <v>1998</v>
      </c>
      <c r="V495" s="360" t="s">
        <v>17</v>
      </c>
      <c r="W495" s="360" t="s">
        <v>19</v>
      </c>
      <c r="X495" s="360">
        <v>24</v>
      </c>
      <c r="Y495" s="360" t="s">
        <v>44</v>
      </c>
      <c r="Z495" s="360">
        <v>2</v>
      </c>
      <c r="AA495" s="360">
        <v>102</v>
      </c>
      <c r="AB495" s="360">
        <v>2</v>
      </c>
    </row>
    <row r="496" spans="1:28" x14ac:dyDescent="0.2">
      <c r="A496" t="str">
        <f t="shared" si="49"/>
        <v>2002MaleNon-Maori23</v>
      </c>
      <c r="B496">
        <v>2002</v>
      </c>
      <c r="C496" t="s">
        <v>20</v>
      </c>
      <c r="D496" t="s">
        <v>19</v>
      </c>
      <c r="E496">
        <v>23</v>
      </c>
      <c r="F496">
        <v>135</v>
      </c>
      <c r="G496">
        <v>28.0379654821492</v>
      </c>
      <c r="H496">
        <v>4.7</v>
      </c>
      <c r="J496" s="358" t="str">
        <f t="shared" si="50"/>
        <v>2009MaleAllEth193</v>
      </c>
      <c r="K496" s="359">
        <v>2009</v>
      </c>
      <c r="L496" t="s">
        <v>20</v>
      </c>
      <c r="M496" t="s">
        <v>27</v>
      </c>
      <c r="N496">
        <v>19</v>
      </c>
      <c r="O496">
        <v>3</v>
      </c>
      <c r="P496">
        <v>63</v>
      </c>
      <c r="Q496">
        <v>14.769474357958099</v>
      </c>
      <c r="R496">
        <v>3.6</v>
      </c>
      <c r="T496" s="358" t="str">
        <f t="shared" si="51"/>
        <v>1998AllSexNon-Maori25Jumping from a high place</v>
      </c>
      <c r="U496" s="360">
        <v>1998</v>
      </c>
      <c r="V496" s="360" t="s">
        <v>17</v>
      </c>
      <c r="W496" s="360" t="s">
        <v>19</v>
      </c>
      <c r="X496" s="360">
        <v>25</v>
      </c>
      <c r="Y496" s="360" t="s">
        <v>44</v>
      </c>
      <c r="Z496" s="360">
        <v>1</v>
      </c>
      <c r="AA496" s="360">
        <v>62</v>
      </c>
      <c r="AB496" s="360">
        <v>1.6</v>
      </c>
    </row>
    <row r="497" spans="1:28" x14ac:dyDescent="0.2">
      <c r="A497" t="str">
        <f t="shared" si="49"/>
        <v>2002MaleNon-Maori24</v>
      </c>
      <c r="B497">
        <v>2002</v>
      </c>
      <c r="C497" t="s">
        <v>20</v>
      </c>
      <c r="D497" t="s">
        <v>19</v>
      </c>
      <c r="E497">
        <v>24</v>
      </c>
      <c r="F497">
        <v>82</v>
      </c>
      <c r="G497">
        <v>20.5828459549688</v>
      </c>
      <c r="H497">
        <v>4.5</v>
      </c>
      <c r="J497" s="358" t="str">
        <f t="shared" si="50"/>
        <v>2009MaleAllEth194</v>
      </c>
      <c r="K497" s="359">
        <v>2009</v>
      </c>
      <c r="L497" t="s">
        <v>20</v>
      </c>
      <c r="M497" t="s">
        <v>27</v>
      </c>
      <c r="N497">
        <v>19</v>
      </c>
      <c r="O497">
        <v>4</v>
      </c>
      <c r="P497">
        <v>95</v>
      </c>
      <c r="Q497">
        <v>22.008575617776099</v>
      </c>
      <c r="R497">
        <v>4.4000000000000004</v>
      </c>
      <c r="T497" s="358" t="str">
        <f t="shared" si="51"/>
        <v>1998AllSexNon-Maori22Other</v>
      </c>
      <c r="U497" s="360">
        <v>1998</v>
      </c>
      <c r="V497" s="360" t="s">
        <v>17</v>
      </c>
      <c r="W497" s="360" t="s">
        <v>19</v>
      </c>
      <c r="X497" s="360">
        <v>22</v>
      </c>
      <c r="Y497" s="360" t="s">
        <v>45</v>
      </c>
      <c r="Z497" s="360">
        <v>4</v>
      </c>
      <c r="AA497" s="360">
        <v>97</v>
      </c>
      <c r="AB497" s="360">
        <v>4.0999999999999996</v>
      </c>
    </row>
    <row r="498" spans="1:28" x14ac:dyDescent="0.2">
      <c r="A498" t="str">
        <f t="shared" si="49"/>
        <v>2002MaleNon-Maori25</v>
      </c>
      <c r="B498">
        <v>2002</v>
      </c>
      <c r="C498" t="s">
        <v>20</v>
      </c>
      <c r="D498" t="s">
        <v>19</v>
      </c>
      <c r="E498">
        <v>25</v>
      </c>
      <c r="F498">
        <v>36</v>
      </c>
      <c r="G498">
        <v>18.379537448307602</v>
      </c>
      <c r="H498">
        <v>6</v>
      </c>
      <c r="J498" s="358" t="str">
        <f t="shared" si="50"/>
        <v>2009MaleAllEth195</v>
      </c>
      <c r="K498" s="359">
        <v>2009</v>
      </c>
      <c r="L498" t="s">
        <v>20</v>
      </c>
      <c r="M498" t="s">
        <v>27</v>
      </c>
      <c r="N498">
        <v>19</v>
      </c>
      <c r="O498">
        <v>5</v>
      </c>
      <c r="P498">
        <v>100</v>
      </c>
      <c r="Q498">
        <v>24.881574896415898</v>
      </c>
      <c r="R498">
        <v>4.9000000000000004</v>
      </c>
      <c r="T498" s="358" t="str">
        <f t="shared" si="51"/>
        <v>1998AllSexNon-Maori23Other</v>
      </c>
      <c r="U498" s="360">
        <v>1998</v>
      </c>
      <c r="V498" s="360" t="s">
        <v>17</v>
      </c>
      <c r="W498" s="360" t="s">
        <v>19</v>
      </c>
      <c r="X498" s="360">
        <v>23</v>
      </c>
      <c r="Y498" s="360" t="s">
        <v>45</v>
      </c>
      <c r="Z498" s="360">
        <v>8</v>
      </c>
      <c r="AA498" s="360">
        <v>202</v>
      </c>
      <c r="AB498" s="360">
        <v>4</v>
      </c>
    </row>
    <row r="499" spans="1:28" x14ac:dyDescent="0.2">
      <c r="A499" t="str">
        <f t="shared" si="49"/>
        <v>2003AllSexAllEth21</v>
      </c>
      <c r="B499">
        <v>2003</v>
      </c>
      <c r="C499" t="s">
        <v>17</v>
      </c>
      <c r="D499" t="s">
        <v>27</v>
      </c>
      <c r="E499">
        <v>21</v>
      </c>
      <c r="F499">
        <v>5</v>
      </c>
      <c r="J499" s="358" t="str">
        <f t="shared" si="50"/>
        <v>2010MaleAllEth191</v>
      </c>
      <c r="K499" s="359">
        <v>2010</v>
      </c>
      <c r="L499" t="s">
        <v>20</v>
      </c>
      <c r="M499" t="s">
        <v>27</v>
      </c>
      <c r="N499">
        <v>19</v>
      </c>
      <c r="O499">
        <v>1</v>
      </c>
      <c r="P499">
        <v>60</v>
      </c>
      <c r="Q499">
        <v>14.145474507651899</v>
      </c>
      <c r="R499">
        <v>3.6</v>
      </c>
      <c r="T499" s="358" t="str">
        <f t="shared" si="51"/>
        <v>1998AllSexNon-Maori24Other</v>
      </c>
      <c r="U499" s="360">
        <v>1998</v>
      </c>
      <c r="V499" s="360" t="s">
        <v>17</v>
      </c>
      <c r="W499" s="360" t="s">
        <v>19</v>
      </c>
      <c r="X499" s="360">
        <v>24</v>
      </c>
      <c r="Y499" s="360" t="s">
        <v>45</v>
      </c>
      <c r="Z499" s="360">
        <v>2</v>
      </c>
      <c r="AA499" s="360">
        <v>102</v>
      </c>
      <c r="AB499" s="360">
        <v>2</v>
      </c>
    </row>
    <row r="500" spans="1:28" x14ac:dyDescent="0.2">
      <c r="A500" t="str">
        <f t="shared" si="49"/>
        <v>2003AllSexAllEth22</v>
      </c>
      <c r="B500">
        <v>2003</v>
      </c>
      <c r="C500" t="s">
        <v>17</v>
      </c>
      <c r="D500" t="s">
        <v>27</v>
      </c>
      <c r="E500">
        <v>22</v>
      </c>
      <c r="F500">
        <v>98</v>
      </c>
      <c r="G500">
        <v>17.088949727099902</v>
      </c>
      <c r="H500">
        <v>3.4</v>
      </c>
      <c r="J500" s="358" t="str">
        <f t="shared" si="50"/>
        <v>2010MaleAllEth192</v>
      </c>
      <c r="K500" s="359">
        <v>2010</v>
      </c>
      <c r="L500" t="s">
        <v>20</v>
      </c>
      <c r="M500" t="s">
        <v>27</v>
      </c>
      <c r="N500">
        <v>19</v>
      </c>
      <c r="O500">
        <v>2</v>
      </c>
      <c r="P500">
        <v>61</v>
      </c>
      <c r="Q500">
        <v>12.5788110241902</v>
      </c>
      <c r="R500">
        <v>3.2</v>
      </c>
      <c r="T500" s="358" t="str">
        <f t="shared" si="51"/>
        <v>1998AllSexNon-Maori25Other</v>
      </c>
      <c r="U500" s="360">
        <v>1998</v>
      </c>
      <c r="V500" s="360" t="s">
        <v>17</v>
      </c>
      <c r="W500" s="360" t="s">
        <v>19</v>
      </c>
      <c r="X500" s="360">
        <v>25</v>
      </c>
      <c r="Y500" s="360" t="s">
        <v>45</v>
      </c>
      <c r="Z500" s="360">
        <v>4</v>
      </c>
      <c r="AA500" s="360">
        <v>62</v>
      </c>
      <c r="AB500" s="360">
        <v>6.5</v>
      </c>
    </row>
    <row r="501" spans="1:28" x14ac:dyDescent="0.2">
      <c r="A501" t="str">
        <f t="shared" si="49"/>
        <v>2003AllSexAllEth23</v>
      </c>
      <c r="B501">
        <v>2003</v>
      </c>
      <c r="C501" t="s">
        <v>17</v>
      </c>
      <c r="D501" t="s">
        <v>27</v>
      </c>
      <c r="E501">
        <v>23</v>
      </c>
      <c r="F501">
        <v>217</v>
      </c>
      <c r="G501">
        <v>18.4775204359673</v>
      </c>
      <c r="H501">
        <v>2.5</v>
      </c>
      <c r="J501" s="358" t="str">
        <f t="shared" si="50"/>
        <v>2010MaleAllEth193</v>
      </c>
      <c r="K501" s="359">
        <v>2010</v>
      </c>
      <c r="L501" t="s">
        <v>20</v>
      </c>
      <c r="M501" t="s">
        <v>27</v>
      </c>
      <c r="N501">
        <v>19</v>
      </c>
      <c r="O501">
        <v>3</v>
      </c>
      <c r="P501">
        <v>74</v>
      </c>
      <c r="Q501">
        <v>16.768718439865602</v>
      </c>
      <c r="R501">
        <v>3.8</v>
      </c>
      <c r="T501" s="358" t="str">
        <f t="shared" si="51"/>
        <v>1998AllSexNon-Maori22Poisoning by gases and vapours</v>
      </c>
      <c r="U501" s="360">
        <v>1998</v>
      </c>
      <c r="V501" s="360" t="s">
        <v>17</v>
      </c>
      <c r="W501" s="360" t="s">
        <v>19</v>
      </c>
      <c r="X501" s="360">
        <v>22</v>
      </c>
      <c r="Y501" s="360" t="s">
        <v>46</v>
      </c>
      <c r="Z501" s="360">
        <v>22</v>
      </c>
      <c r="AA501" s="360">
        <v>97</v>
      </c>
      <c r="AB501" s="360">
        <v>22.7</v>
      </c>
    </row>
    <row r="502" spans="1:28" x14ac:dyDescent="0.2">
      <c r="A502" t="str">
        <f t="shared" si="49"/>
        <v>2003AllSexAllEth24</v>
      </c>
      <c r="B502">
        <v>2003</v>
      </c>
      <c r="C502" t="s">
        <v>17</v>
      </c>
      <c r="D502" t="s">
        <v>27</v>
      </c>
      <c r="E502">
        <v>24</v>
      </c>
      <c r="F502">
        <v>135</v>
      </c>
      <c r="G502">
        <v>14.759744164434499</v>
      </c>
      <c r="H502">
        <v>2.5</v>
      </c>
      <c r="J502" s="358" t="str">
        <f t="shared" si="50"/>
        <v>2010MaleAllEth194</v>
      </c>
      <c r="K502" s="359">
        <v>2010</v>
      </c>
      <c r="L502" t="s">
        <v>20</v>
      </c>
      <c r="M502" t="s">
        <v>27</v>
      </c>
      <c r="N502">
        <v>19</v>
      </c>
      <c r="O502">
        <v>4</v>
      </c>
      <c r="P502">
        <v>88</v>
      </c>
      <c r="Q502">
        <v>19.758547312996701</v>
      </c>
      <c r="R502">
        <v>4.0999999999999996</v>
      </c>
      <c r="T502" s="358" t="str">
        <f t="shared" si="51"/>
        <v>1998AllSexNon-Maori23Poisoning by gases and vapours</v>
      </c>
      <c r="U502" s="360">
        <v>1998</v>
      </c>
      <c r="V502" s="360" t="s">
        <v>17</v>
      </c>
      <c r="W502" s="360" t="s">
        <v>19</v>
      </c>
      <c r="X502" s="360">
        <v>23</v>
      </c>
      <c r="Y502" s="360" t="s">
        <v>46</v>
      </c>
      <c r="Z502" s="360">
        <v>53</v>
      </c>
      <c r="AA502" s="360">
        <v>202</v>
      </c>
      <c r="AB502" s="360">
        <v>26.2</v>
      </c>
    </row>
    <row r="503" spans="1:28" x14ac:dyDescent="0.2">
      <c r="A503" t="str">
        <f t="shared" si="49"/>
        <v>2003AllSexAllEth25</v>
      </c>
      <c r="B503">
        <v>2003</v>
      </c>
      <c r="C503" t="s">
        <v>17</v>
      </c>
      <c r="D503" t="s">
        <v>27</v>
      </c>
      <c r="E503">
        <v>25</v>
      </c>
      <c r="F503">
        <v>67</v>
      </c>
      <c r="G503">
        <v>14.086283744008099</v>
      </c>
      <c r="H503">
        <v>3.4</v>
      </c>
      <c r="J503" s="358" t="str">
        <f t="shared" si="50"/>
        <v>2010MaleAllEth195</v>
      </c>
      <c r="K503" s="359">
        <v>2010</v>
      </c>
      <c r="L503" t="s">
        <v>20</v>
      </c>
      <c r="M503" t="s">
        <v>27</v>
      </c>
      <c r="N503">
        <v>19</v>
      </c>
      <c r="O503">
        <v>5</v>
      </c>
      <c r="P503">
        <v>88</v>
      </c>
      <c r="Q503">
        <v>21.9325783022839</v>
      </c>
      <c r="R503">
        <v>4.5999999999999996</v>
      </c>
      <c r="T503" s="358" t="str">
        <f t="shared" si="51"/>
        <v>1998AllSexNon-Maori24Poisoning by gases and vapours</v>
      </c>
      <c r="U503" s="360">
        <v>1998</v>
      </c>
      <c r="V503" s="360" t="s">
        <v>17</v>
      </c>
      <c r="W503" s="360" t="s">
        <v>19</v>
      </c>
      <c r="X503" s="360">
        <v>24</v>
      </c>
      <c r="Y503" s="360" t="s">
        <v>46</v>
      </c>
      <c r="Z503" s="360">
        <v>25</v>
      </c>
      <c r="AA503" s="360">
        <v>102</v>
      </c>
      <c r="AB503" s="360">
        <v>24.5</v>
      </c>
    </row>
    <row r="504" spans="1:28" x14ac:dyDescent="0.2">
      <c r="A504" t="str">
        <f t="shared" si="49"/>
        <v>2003AllSexMaori21</v>
      </c>
      <c r="B504">
        <v>2003</v>
      </c>
      <c r="C504" t="s">
        <v>17</v>
      </c>
      <c r="D504" t="s">
        <v>18</v>
      </c>
      <c r="E504">
        <v>21</v>
      </c>
      <c r="F504">
        <v>5</v>
      </c>
      <c r="J504" s="358" t="str">
        <f t="shared" si="50"/>
        <v>2011MaleAllEth191</v>
      </c>
      <c r="K504" s="359">
        <v>2011</v>
      </c>
      <c r="L504" t="s">
        <v>20</v>
      </c>
      <c r="M504" t="s">
        <v>27</v>
      </c>
      <c r="N504">
        <v>19</v>
      </c>
      <c r="O504">
        <v>1</v>
      </c>
      <c r="P504">
        <v>57</v>
      </c>
      <c r="Q504">
        <v>13.239357279649701</v>
      </c>
      <c r="R504">
        <v>3.4</v>
      </c>
      <c r="T504" s="358" t="str">
        <f t="shared" si="51"/>
        <v>1998AllSexNon-Maori25Poisoning by gases and vapours</v>
      </c>
      <c r="U504" s="360">
        <v>1998</v>
      </c>
      <c r="V504" s="360" t="s">
        <v>17</v>
      </c>
      <c r="W504" s="360" t="s">
        <v>19</v>
      </c>
      <c r="X504" s="360">
        <v>25</v>
      </c>
      <c r="Y504" s="360" t="s">
        <v>46</v>
      </c>
      <c r="Z504" s="360">
        <v>25</v>
      </c>
      <c r="AA504" s="360">
        <v>62</v>
      </c>
      <c r="AB504" s="360">
        <v>40.299999999999997</v>
      </c>
    </row>
    <row r="505" spans="1:28" x14ac:dyDescent="0.2">
      <c r="A505" t="str">
        <f t="shared" si="49"/>
        <v>2003AllSexMaori22</v>
      </c>
      <c r="B505">
        <v>2003</v>
      </c>
      <c r="C505" t="s">
        <v>17</v>
      </c>
      <c r="D505" t="s">
        <v>18</v>
      </c>
      <c r="E505">
        <v>22</v>
      </c>
      <c r="F505">
        <v>31</v>
      </c>
      <c r="G505">
        <v>28.6162651158497</v>
      </c>
      <c r="H505">
        <v>10.1</v>
      </c>
      <c r="J505" s="358" t="str">
        <f t="shared" si="50"/>
        <v>2011MaleAllEth192</v>
      </c>
      <c r="K505" s="359">
        <v>2011</v>
      </c>
      <c r="L505" t="s">
        <v>20</v>
      </c>
      <c r="M505" t="s">
        <v>27</v>
      </c>
      <c r="N505">
        <v>19</v>
      </c>
      <c r="O505">
        <v>2</v>
      </c>
      <c r="P505">
        <v>62</v>
      </c>
      <c r="Q505">
        <v>14.540831325937299</v>
      </c>
      <c r="R505">
        <v>3.6</v>
      </c>
      <c r="T505" s="358" t="str">
        <f t="shared" si="51"/>
        <v>1998AllSexNon-Maori21Poisoning by solids and liquids</v>
      </c>
      <c r="U505" s="360">
        <v>1998</v>
      </c>
      <c r="V505" s="360" t="s">
        <v>17</v>
      </c>
      <c r="W505" s="360" t="s">
        <v>19</v>
      </c>
      <c r="X505" s="360">
        <v>21</v>
      </c>
      <c r="Y505" s="360" t="s">
        <v>47</v>
      </c>
      <c r="Z505" s="360">
        <v>1</v>
      </c>
      <c r="AA505" s="360">
        <v>3</v>
      </c>
      <c r="AB505" s="360">
        <v>33.299999999999997</v>
      </c>
    </row>
    <row r="506" spans="1:28" x14ac:dyDescent="0.2">
      <c r="A506" t="str">
        <f t="shared" si="49"/>
        <v>2003AllSexMaori23</v>
      </c>
      <c r="B506">
        <v>2003</v>
      </c>
      <c r="C506" t="s">
        <v>17</v>
      </c>
      <c r="D506" t="s">
        <v>18</v>
      </c>
      <c r="E506">
        <v>23</v>
      </c>
      <c r="F506">
        <v>46</v>
      </c>
      <c r="G506">
        <v>27.093886205677901</v>
      </c>
      <c r="H506">
        <v>7.8</v>
      </c>
      <c r="J506" s="358" t="str">
        <f t="shared" si="50"/>
        <v>2011MaleAllEth193</v>
      </c>
      <c r="K506" s="359">
        <v>2011</v>
      </c>
      <c r="L506" t="s">
        <v>20</v>
      </c>
      <c r="M506" t="s">
        <v>27</v>
      </c>
      <c r="N506">
        <v>19</v>
      </c>
      <c r="O506">
        <v>3</v>
      </c>
      <c r="P506">
        <v>87</v>
      </c>
      <c r="Q506">
        <v>19.0319542103353</v>
      </c>
      <c r="R506">
        <v>4</v>
      </c>
      <c r="T506" s="358" t="str">
        <f t="shared" si="51"/>
        <v>1998AllSexNon-Maori22Poisoning by solids and liquids</v>
      </c>
      <c r="U506" s="360">
        <v>1998</v>
      </c>
      <c r="V506" s="360" t="s">
        <v>17</v>
      </c>
      <c r="W506" s="360" t="s">
        <v>19</v>
      </c>
      <c r="X506" s="360">
        <v>22</v>
      </c>
      <c r="Y506" s="360" t="s">
        <v>47</v>
      </c>
      <c r="Z506" s="360">
        <v>8</v>
      </c>
      <c r="AA506" s="360">
        <v>97</v>
      </c>
      <c r="AB506" s="360">
        <v>8.1999999999999993</v>
      </c>
    </row>
    <row r="507" spans="1:28" x14ac:dyDescent="0.2">
      <c r="A507" t="str">
        <f t="shared" si="49"/>
        <v>2003AllSexMaori24</v>
      </c>
      <c r="B507">
        <v>2003</v>
      </c>
      <c r="C507" t="s">
        <v>17</v>
      </c>
      <c r="D507" t="s">
        <v>18</v>
      </c>
      <c r="E507">
        <v>24</v>
      </c>
      <c r="F507">
        <v>5</v>
      </c>
      <c r="G507">
        <v>5.8486372675166702</v>
      </c>
      <c r="H507">
        <v>5.0999999999999996</v>
      </c>
      <c r="J507" s="358" t="str">
        <f t="shared" si="50"/>
        <v>2011MaleAllEth194</v>
      </c>
      <c r="K507" s="359">
        <v>2011</v>
      </c>
      <c r="L507" t="s">
        <v>20</v>
      </c>
      <c r="M507" t="s">
        <v>27</v>
      </c>
      <c r="N507">
        <v>19</v>
      </c>
      <c r="O507">
        <v>4</v>
      </c>
      <c r="P507">
        <v>66</v>
      </c>
      <c r="Q507">
        <v>15.145499660123701</v>
      </c>
      <c r="R507">
        <v>3.7</v>
      </c>
      <c r="T507" s="358" t="str">
        <f t="shared" si="51"/>
        <v>1998AllSexNon-Maori23Poisoning by solids and liquids</v>
      </c>
      <c r="U507" s="360">
        <v>1998</v>
      </c>
      <c r="V507" s="360" t="s">
        <v>17</v>
      </c>
      <c r="W507" s="360" t="s">
        <v>19</v>
      </c>
      <c r="X507" s="360">
        <v>23</v>
      </c>
      <c r="Y507" s="360" t="s">
        <v>47</v>
      </c>
      <c r="Z507" s="360">
        <v>23</v>
      </c>
      <c r="AA507" s="360">
        <v>202</v>
      </c>
      <c r="AB507" s="360">
        <v>11.4</v>
      </c>
    </row>
    <row r="508" spans="1:28" x14ac:dyDescent="0.2">
      <c r="A508" t="str">
        <f t="shared" si="49"/>
        <v>2003AllSexMaori25</v>
      </c>
      <c r="B508">
        <v>2003</v>
      </c>
      <c r="C508" t="s">
        <v>17</v>
      </c>
      <c r="D508" t="s">
        <v>18</v>
      </c>
      <c r="E508">
        <v>25</v>
      </c>
      <c r="F508">
        <v>0</v>
      </c>
      <c r="G508">
        <v>0</v>
      </c>
      <c r="J508" s="358" t="str">
        <f t="shared" si="50"/>
        <v>2011MaleAllEth195</v>
      </c>
      <c r="K508" s="359">
        <v>2011</v>
      </c>
      <c r="L508" t="s">
        <v>20</v>
      </c>
      <c r="M508" t="s">
        <v>27</v>
      </c>
      <c r="N508">
        <v>19</v>
      </c>
      <c r="O508">
        <v>5</v>
      </c>
      <c r="P508">
        <v>92</v>
      </c>
      <c r="Q508">
        <v>22.542784776259801</v>
      </c>
      <c r="R508">
        <v>4.5999999999999996</v>
      </c>
      <c r="T508" s="358" t="str">
        <f t="shared" si="51"/>
        <v>1998AllSexNon-Maori24Poisoning by solids and liquids</v>
      </c>
      <c r="U508" s="360">
        <v>1998</v>
      </c>
      <c r="V508" s="360" t="s">
        <v>17</v>
      </c>
      <c r="W508" s="360" t="s">
        <v>19</v>
      </c>
      <c r="X508" s="360">
        <v>24</v>
      </c>
      <c r="Y508" s="360" t="s">
        <v>47</v>
      </c>
      <c r="Z508" s="360">
        <v>16</v>
      </c>
      <c r="AA508" s="360">
        <v>102</v>
      </c>
      <c r="AB508" s="360">
        <v>15.7</v>
      </c>
    </row>
    <row r="509" spans="1:28" x14ac:dyDescent="0.2">
      <c r="A509" t="str">
        <f t="shared" si="49"/>
        <v>2003AllSexNon-Maori21</v>
      </c>
      <c r="B509">
        <v>2003</v>
      </c>
      <c r="C509" t="s">
        <v>17</v>
      </c>
      <c r="D509" t="s">
        <v>19</v>
      </c>
      <c r="E509">
        <v>21</v>
      </c>
      <c r="F509">
        <v>0</v>
      </c>
      <c r="J509" s="358" t="str">
        <f t="shared" si="50"/>
        <v>2012MaleAllEth191</v>
      </c>
      <c r="K509" s="359">
        <v>2012</v>
      </c>
      <c r="L509" t="s">
        <v>20</v>
      </c>
      <c r="M509" t="s">
        <v>27</v>
      </c>
      <c r="N509">
        <v>19</v>
      </c>
      <c r="O509">
        <v>1</v>
      </c>
      <c r="P509">
        <v>44</v>
      </c>
      <c r="Q509">
        <v>10.046935011885701</v>
      </c>
      <c r="R509">
        <v>3</v>
      </c>
      <c r="T509" s="358" t="str">
        <f t="shared" si="51"/>
        <v>1998AllSexNon-Maori25Poisoning by solids and liquids</v>
      </c>
      <c r="U509" s="360">
        <v>1998</v>
      </c>
      <c r="V509" s="360" t="s">
        <v>17</v>
      </c>
      <c r="W509" s="360" t="s">
        <v>19</v>
      </c>
      <c r="X509" s="360">
        <v>25</v>
      </c>
      <c r="Y509" s="360" t="s">
        <v>47</v>
      </c>
      <c r="Z509" s="360">
        <v>6</v>
      </c>
      <c r="AA509" s="360">
        <v>62</v>
      </c>
      <c r="AB509" s="360">
        <v>9.6999999999999993</v>
      </c>
    </row>
    <row r="510" spans="1:28" x14ac:dyDescent="0.2">
      <c r="A510" t="str">
        <f t="shared" si="49"/>
        <v>2003AllSexNon-Maori22</v>
      </c>
      <c r="B510">
        <v>2003</v>
      </c>
      <c r="C510" t="s">
        <v>17</v>
      </c>
      <c r="D510" t="s">
        <v>19</v>
      </c>
      <c r="E510">
        <v>22</v>
      </c>
      <c r="F510">
        <v>67</v>
      </c>
      <c r="G510">
        <v>14.4042653824655</v>
      </c>
      <c r="H510">
        <v>3.4</v>
      </c>
      <c r="J510" s="358" t="str">
        <f t="shared" si="50"/>
        <v>2012MaleAllEth192</v>
      </c>
      <c r="K510" s="359">
        <v>2012</v>
      </c>
      <c r="L510" t="s">
        <v>20</v>
      </c>
      <c r="M510" t="s">
        <v>27</v>
      </c>
      <c r="N510">
        <v>19</v>
      </c>
      <c r="O510">
        <v>2</v>
      </c>
      <c r="P510">
        <v>63</v>
      </c>
      <c r="Q510">
        <v>13.6769389350941</v>
      </c>
      <c r="R510">
        <v>3.4</v>
      </c>
      <c r="T510" s="358" t="str">
        <f t="shared" si="51"/>
        <v>1998AllSexNon-Maori23Sharp object</v>
      </c>
      <c r="U510" s="360">
        <v>1998</v>
      </c>
      <c r="V510" s="360" t="s">
        <v>17</v>
      </c>
      <c r="W510" s="360" t="s">
        <v>19</v>
      </c>
      <c r="X510" s="360">
        <v>23</v>
      </c>
      <c r="Y510" s="360" t="s">
        <v>48</v>
      </c>
      <c r="Z510" s="360">
        <v>4</v>
      </c>
      <c r="AA510" s="360">
        <v>202</v>
      </c>
      <c r="AB510" s="360">
        <v>2</v>
      </c>
    </row>
    <row r="511" spans="1:28" x14ac:dyDescent="0.2">
      <c r="A511" t="str">
        <f t="shared" si="49"/>
        <v>2003AllSexNon-Maori23</v>
      </c>
      <c r="B511">
        <v>2003</v>
      </c>
      <c r="C511" t="s">
        <v>17</v>
      </c>
      <c r="D511" t="s">
        <v>19</v>
      </c>
      <c r="E511">
        <v>23</v>
      </c>
      <c r="F511">
        <v>171</v>
      </c>
      <c r="G511">
        <v>17.0213613107444</v>
      </c>
      <c r="H511">
        <v>2.6</v>
      </c>
      <c r="J511" s="358" t="str">
        <f t="shared" si="50"/>
        <v>2012MaleAllEth193</v>
      </c>
      <c r="K511" s="359">
        <v>2012</v>
      </c>
      <c r="L511" t="s">
        <v>20</v>
      </c>
      <c r="M511" t="s">
        <v>27</v>
      </c>
      <c r="N511">
        <v>19</v>
      </c>
      <c r="O511">
        <v>3</v>
      </c>
      <c r="P511">
        <v>97</v>
      </c>
      <c r="Q511">
        <v>22.1565092054778</v>
      </c>
      <c r="R511">
        <v>4.4000000000000004</v>
      </c>
      <c r="T511" s="358" t="str">
        <f t="shared" si="51"/>
        <v>1998AllSexNon-Maori24Sharp object</v>
      </c>
      <c r="U511" s="360">
        <v>1998</v>
      </c>
      <c r="V511" s="360" t="s">
        <v>17</v>
      </c>
      <c r="W511" s="360" t="s">
        <v>19</v>
      </c>
      <c r="X511" s="360">
        <v>24</v>
      </c>
      <c r="Y511" s="360" t="s">
        <v>48</v>
      </c>
      <c r="Z511" s="360">
        <v>3</v>
      </c>
      <c r="AA511" s="360">
        <v>102</v>
      </c>
      <c r="AB511" s="360">
        <v>2.9</v>
      </c>
    </row>
    <row r="512" spans="1:28" x14ac:dyDescent="0.2">
      <c r="A512" t="str">
        <f t="shared" si="49"/>
        <v>2003AllSexNon-Maori24</v>
      </c>
      <c r="B512">
        <v>2003</v>
      </c>
      <c r="C512" t="s">
        <v>17</v>
      </c>
      <c r="D512" t="s">
        <v>19</v>
      </c>
      <c r="E512">
        <v>24</v>
      </c>
      <c r="F512">
        <v>130</v>
      </c>
      <c r="G512">
        <v>15.6785180182353</v>
      </c>
      <c r="H512">
        <v>2.7</v>
      </c>
      <c r="J512" s="358" t="str">
        <f t="shared" si="50"/>
        <v>2012MaleAllEth194</v>
      </c>
      <c r="K512" s="359">
        <v>2012</v>
      </c>
      <c r="L512" t="s">
        <v>20</v>
      </c>
      <c r="M512" t="s">
        <v>27</v>
      </c>
      <c r="N512">
        <v>19</v>
      </c>
      <c r="O512">
        <v>4</v>
      </c>
      <c r="P512">
        <v>95</v>
      </c>
      <c r="Q512">
        <v>22.4574835839713</v>
      </c>
      <c r="R512">
        <v>4.5</v>
      </c>
      <c r="T512" s="358" t="str">
        <f t="shared" si="51"/>
        <v>1998AllSexNon-Maori23Submersion (drowning)</v>
      </c>
      <c r="U512" s="360">
        <v>1998</v>
      </c>
      <c r="V512" s="360" t="s">
        <v>17</v>
      </c>
      <c r="W512" s="360" t="s">
        <v>19</v>
      </c>
      <c r="X512" s="360">
        <v>23</v>
      </c>
      <c r="Y512" s="360" t="s">
        <v>49</v>
      </c>
      <c r="Z512" s="360">
        <v>2</v>
      </c>
      <c r="AA512" s="360">
        <v>202</v>
      </c>
      <c r="AB512" s="360">
        <v>1</v>
      </c>
    </row>
    <row r="513" spans="1:28" x14ac:dyDescent="0.2">
      <c r="A513" t="str">
        <f t="shared" si="49"/>
        <v>2003AllSexNon-Maori25</v>
      </c>
      <c r="B513">
        <v>2003</v>
      </c>
      <c r="C513" t="s">
        <v>17</v>
      </c>
      <c r="D513" t="s">
        <v>19</v>
      </c>
      <c r="E513">
        <v>25</v>
      </c>
      <c r="F513">
        <v>67</v>
      </c>
      <c r="G513">
        <v>14.766816538834499</v>
      </c>
      <c r="H513">
        <v>3.5</v>
      </c>
      <c r="J513" s="358" t="str">
        <f t="shared" si="50"/>
        <v>2012MaleAllEth195</v>
      </c>
      <c r="K513" s="359">
        <v>2012</v>
      </c>
      <c r="L513" t="s">
        <v>20</v>
      </c>
      <c r="M513" t="s">
        <v>27</v>
      </c>
      <c r="N513">
        <v>19</v>
      </c>
      <c r="O513">
        <v>5</v>
      </c>
      <c r="P513">
        <v>93</v>
      </c>
      <c r="Q513">
        <v>22.331571256110301</v>
      </c>
      <c r="R513">
        <v>4.5</v>
      </c>
      <c r="T513" s="358" t="str">
        <f t="shared" si="51"/>
        <v>1998AllSexNon-Maori24Submersion (drowning)</v>
      </c>
      <c r="U513" s="360">
        <v>1998</v>
      </c>
      <c r="V513" s="360" t="s">
        <v>17</v>
      </c>
      <c r="W513" s="360" t="s">
        <v>19</v>
      </c>
      <c r="X513" s="360">
        <v>24</v>
      </c>
      <c r="Y513" s="360" t="s">
        <v>49</v>
      </c>
      <c r="Z513" s="360">
        <v>6</v>
      </c>
      <c r="AA513" s="360">
        <v>102</v>
      </c>
      <c r="AB513" s="360">
        <v>5.9</v>
      </c>
    </row>
    <row r="514" spans="1:28" x14ac:dyDescent="0.2">
      <c r="A514" t="str">
        <f t="shared" si="49"/>
        <v>2003FemaleAllEth21</v>
      </c>
      <c r="B514">
        <v>2003</v>
      </c>
      <c r="C514" t="s">
        <v>8</v>
      </c>
      <c r="D514" t="s">
        <v>27</v>
      </c>
      <c r="E514">
        <v>21</v>
      </c>
      <c r="F514">
        <v>1</v>
      </c>
      <c r="J514" s="358" t="str">
        <f t="shared" si="50"/>
        <v>2013MaleAllEth191</v>
      </c>
      <c r="K514" s="359">
        <v>2013</v>
      </c>
      <c r="L514" t="s">
        <v>20</v>
      </c>
      <c r="M514" t="s">
        <v>27</v>
      </c>
      <c r="N514">
        <v>19</v>
      </c>
      <c r="O514">
        <v>1</v>
      </c>
      <c r="P514">
        <v>53</v>
      </c>
      <c r="Q514">
        <v>10.1047073133151</v>
      </c>
      <c r="R514">
        <v>2.7</v>
      </c>
      <c r="T514" s="358" t="str">
        <f t="shared" si="51"/>
        <v>1998AllSexNon-Maori25Submersion (drowning)</v>
      </c>
      <c r="U514" s="360">
        <v>1998</v>
      </c>
      <c r="V514" s="360" t="s">
        <v>17</v>
      </c>
      <c r="W514" s="360" t="s">
        <v>19</v>
      </c>
      <c r="X514" s="360">
        <v>25</v>
      </c>
      <c r="Y514" s="360" t="s">
        <v>49</v>
      </c>
      <c r="Z514" s="360">
        <v>2</v>
      </c>
      <c r="AA514" s="360">
        <v>62</v>
      </c>
      <c r="AB514" s="360">
        <v>3.2</v>
      </c>
    </row>
    <row r="515" spans="1:28" x14ac:dyDescent="0.2">
      <c r="A515" t="str">
        <f t="shared" si="49"/>
        <v>2003FemaleAllEth22</v>
      </c>
      <c r="B515">
        <v>2003</v>
      </c>
      <c r="C515" t="s">
        <v>8</v>
      </c>
      <c r="D515" t="s">
        <v>27</v>
      </c>
      <c r="E515">
        <v>22</v>
      </c>
      <c r="F515">
        <v>31</v>
      </c>
      <c r="G515">
        <v>10.955612100650299</v>
      </c>
      <c r="H515">
        <v>3.9</v>
      </c>
      <c r="J515" s="358" t="str">
        <f t="shared" si="50"/>
        <v>2013MaleAllEth192</v>
      </c>
      <c r="K515" s="359">
        <v>2013</v>
      </c>
      <c r="L515" t="s">
        <v>20</v>
      </c>
      <c r="M515" t="s">
        <v>27</v>
      </c>
      <c r="N515">
        <v>19</v>
      </c>
      <c r="O515">
        <v>2</v>
      </c>
      <c r="P515">
        <v>55</v>
      </c>
      <c r="Q515">
        <v>11.615740197445501</v>
      </c>
      <c r="R515">
        <v>3.1</v>
      </c>
      <c r="T515" s="358" t="str">
        <f t="shared" si="51"/>
        <v>1998FemaleAllEth24Firearms and explosives</v>
      </c>
      <c r="U515" s="360">
        <v>1998</v>
      </c>
      <c r="V515" s="360" t="s">
        <v>8</v>
      </c>
      <c r="W515" s="360" t="s">
        <v>27</v>
      </c>
      <c r="X515" s="360">
        <v>24</v>
      </c>
      <c r="Y515" s="360" t="s">
        <v>42</v>
      </c>
      <c r="Z515" s="360">
        <v>1</v>
      </c>
      <c r="AA515" s="360">
        <v>24</v>
      </c>
      <c r="AB515" s="360">
        <v>4.2</v>
      </c>
    </row>
    <row r="516" spans="1:28" x14ac:dyDescent="0.2">
      <c r="A516" t="str">
        <f t="shared" ref="A516:A579" si="53">B516&amp;C516&amp;D516&amp;E516</f>
        <v>2003FemaleAllEth23</v>
      </c>
      <c r="B516">
        <v>2003</v>
      </c>
      <c r="C516" t="s">
        <v>8</v>
      </c>
      <c r="D516" t="s">
        <v>27</v>
      </c>
      <c r="E516">
        <v>23</v>
      </c>
      <c r="F516">
        <v>54</v>
      </c>
      <c r="G516">
        <v>8.8953315981945806</v>
      </c>
      <c r="H516">
        <v>2.4</v>
      </c>
      <c r="J516" s="358" t="str">
        <f t="shared" ref="J516:J579" si="54">K516&amp;L516&amp;M516&amp;N516&amp;O516</f>
        <v>2013MaleAllEth193</v>
      </c>
      <c r="K516" s="359">
        <v>2013</v>
      </c>
      <c r="L516" t="s">
        <v>20</v>
      </c>
      <c r="M516" t="s">
        <v>27</v>
      </c>
      <c r="N516">
        <v>19</v>
      </c>
      <c r="O516">
        <v>3</v>
      </c>
      <c r="P516">
        <v>73</v>
      </c>
      <c r="Q516">
        <v>14.8153782402544</v>
      </c>
      <c r="R516">
        <v>3.4</v>
      </c>
      <c r="T516" s="358" t="str">
        <f t="shared" si="51"/>
        <v>1998FemaleAllEth21Hanging, strangulation and suffocation</v>
      </c>
      <c r="U516" s="360">
        <v>1998</v>
      </c>
      <c r="V516" s="360" t="s">
        <v>8</v>
      </c>
      <c r="W516" s="360" t="s">
        <v>27</v>
      </c>
      <c r="X516" s="360">
        <v>21</v>
      </c>
      <c r="Y516" s="360" t="s">
        <v>43</v>
      </c>
      <c r="Z516" s="360">
        <v>3</v>
      </c>
      <c r="AA516" s="360">
        <v>4</v>
      </c>
      <c r="AB516" s="360">
        <v>75</v>
      </c>
    </row>
    <row r="517" spans="1:28" x14ac:dyDescent="0.2">
      <c r="A517" t="str">
        <f t="shared" si="53"/>
        <v>2003FemaleAllEth24</v>
      </c>
      <c r="B517">
        <v>2003</v>
      </c>
      <c r="C517" t="s">
        <v>8</v>
      </c>
      <c r="D517" t="s">
        <v>27</v>
      </c>
      <c r="E517">
        <v>24</v>
      </c>
      <c r="F517">
        <v>35</v>
      </c>
      <c r="G517">
        <v>7.5651140170755404</v>
      </c>
      <c r="H517">
        <v>2.5</v>
      </c>
      <c r="J517" s="358" t="str">
        <f t="shared" si="54"/>
        <v>2013MaleAllEth194</v>
      </c>
      <c r="K517" s="359">
        <v>2013</v>
      </c>
      <c r="L517" t="s">
        <v>20</v>
      </c>
      <c r="M517" t="s">
        <v>27</v>
      </c>
      <c r="N517">
        <v>19</v>
      </c>
      <c r="O517">
        <v>4</v>
      </c>
      <c r="P517">
        <v>76</v>
      </c>
      <c r="Q517">
        <v>17.298751296226801</v>
      </c>
      <c r="R517">
        <v>3.9</v>
      </c>
      <c r="T517" s="358" t="str">
        <f t="shared" ref="T517:T580" si="55">U517&amp;V517&amp;W517&amp;X517&amp;Y517</f>
        <v>1998FemaleAllEth22Hanging, strangulation and suffocation</v>
      </c>
      <c r="U517" s="360">
        <v>1998</v>
      </c>
      <c r="V517" s="360" t="s">
        <v>8</v>
      </c>
      <c r="W517" s="360" t="s">
        <v>27</v>
      </c>
      <c r="X517" s="360">
        <v>22</v>
      </c>
      <c r="Y517" s="360" t="s">
        <v>43</v>
      </c>
      <c r="Z517" s="360">
        <v>21</v>
      </c>
      <c r="AA517" s="360">
        <v>35</v>
      </c>
      <c r="AB517" s="360">
        <v>60</v>
      </c>
    </row>
    <row r="518" spans="1:28" x14ac:dyDescent="0.2">
      <c r="A518" t="str">
        <f t="shared" si="53"/>
        <v>2003FemaleAllEth25</v>
      </c>
      <c r="B518">
        <v>2003</v>
      </c>
      <c r="C518" t="s">
        <v>8</v>
      </c>
      <c r="D518" t="s">
        <v>27</v>
      </c>
      <c r="E518">
        <v>25</v>
      </c>
      <c r="F518">
        <v>21</v>
      </c>
      <c r="G518">
        <v>7.8982999849556199</v>
      </c>
      <c r="H518">
        <v>3.4</v>
      </c>
      <c r="J518" s="358" t="str">
        <f t="shared" si="54"/>
        <v>2013MaleAllEth195</v>
      </c>
      <c r="K518" s="359">
        <v>2013</v>
      </c>
      <c r="L518" t="s">
        <v>20</v>
      </c>
      <c r="M518" t="s">
        <v>27</v>
      </c>
      <c r="N518">
        <v>19</v>
      </c>
      <c r="O518">
        <v>5</v>
      </c>
      <c r="P518">
        <v>89</v>
      </c>
      <c r="Q518">
        <v>21.510814033369101</v>
      </c>
      <c r="R518">
        <v>4.5</v>
      </c>
      <c r="T518" s="358" t="str">
        <f t="shared" si="55"/>
        <v>1998FemaleAllEth23Hanging, strangulation and suffocation</v>
      </c>
      <c r="U518" s="360">
        <v>1998</v>
      </c>
      <c r="V518" s="360" t="s">
        <v>8</v>
      </c>
      <c r="W518" s="360" t="s">
        <v>27</v>
      </c>
      <c r="X518" s="360">
        <v>23</v>
      </c>
      <c r="Y518" s="360" t="s">
        <v>43</v>
      </c>
      <c r="Z518" s="360">
        <v>32</v>
      </c>
      <c r="AA518" s="360">
        <v>54</v>
      </c>
      <c r="AB518" s="360">
        <v>59.3</v>
      </c>
    </row>
    <row r="519" spans="1:28" x14ac:dyDescent="0.2">
      <c r="A519" t="str">
        <f t="shared" si="53"/>
        <v>2003FemaleMaori21</v>
      </c>
      <c r="B519">
        <v>2003</v>
      </c>
      <c r="C519" t="s">
        <v>8</v>
      </c>
      <c r="D519" t="s">
        <v>18</v>
      </c>
      <c r="E519">
        <v>21</v>
      </c>
      <c r="F519">
        <v>1</v>
      </c>
      <c r="J519" s="358" t="str">
        <f t="shared" si="54"/>
        <v>2014MaleAllEth191</v>
      </c>
      <c r="K519" s="359">
        <v>2014</v>
      </c>
      <c r="L519" t="s">
        <v>20</v>
      </c>
      <c r="M519" t="s">
        <v>27</v>
      </c>
      <c r="N519">
        <v>19</v>
      </c>
      <c r="O519">
        <v>1</v>
      </c>
      <c r="P519">
        <v>49</v>
      </c>
      <c r="Q519">
        <v>10.623591071432999</v>
      </c>
      <c r="R519">
        <v>3</v>
      </c>
      <c r="T519" s="358" t="str">
        <f t="shared" si="55"/>
        <v>1998FemaleAllEth24Hanging, strangulation and suffocation</v>
      </c>
      <c r="U519" s="360">
        <v>1998</v>
      </c>
      <c r="V519" s="360" t="s">
        <v>8</v>
      </c>
      <c r="W519" s="360" t="s">
        <v>27</v>
      </c>
      <c r="X519" s="360">
        <v>24</v>
      </c>
      <c r="Y519" s="360" t="s">
        <v>43</v>
      </c>
      <c r="Z519" s="360">
        <v>1</v>
      </c>
      <c r="AA519" s="360">
        <v>24</v>
      </c>
      <c r="AB519" s="360">
        <v>4.2</v>
      </c>
    </row>
    <row r="520" spans="1:28" x14ac:dyDescent="0.2">
      <c r="A520" t="str">
        <f t="shared" si="53"/>
        <v>2003FemaleMaori22</v>
      </c>
      <c r="B520">
        <v>2003</v>
      </c>
      <c r="C520" t="s">
        <v>8</v>
      </c>
      <c r="D520" t="s">
        <v>18</v>
      </c>
      <c r="E520">
        <v>22</v>
      </c>
      <c r="F520">
        <v>11</v>
      </c>
      <c r="G520">
        <v>20.106013525863599</v>
      </c>
      <c r="H520">
        <v>11.9</v>
      </c>
      <c r="J520" s="358" t="str">
        <f t="shared" si="54"/>
        <v>2014MaleAllEth192</v>
      </c>
      <c r="K520" s="359">
        <v>2014</v>
      </c>
      <c r="L520" t="s">
        <v>20</v>
      </c>
      <c r="M520" t="s">
        <v>27</v>
      </c>
      <c r="N520">
        <v>19</v>
      </c>
      <c r="O520">
        <v>2</v>
      </c>
      <c r="P520">
        <v>49</v>
      </c>
      <c r="Q520">
        <v>10.781463058969599</v>
      </c>
      <c r="R520">
        <v>3</v>
      </c>
      <c r="T520" s="358" t="str">
        <f t="shared" si="55"/>
        <v>1998FemaleAllEth25Hanging, strangulation and suffocation</v>
      </c>
      <c r="U520" s="360">
        <v>1998</v>
      </c>
      <c r="V520" s="360" t="s">
        <v>8</v>
      </c>
      <c r="W520" s="360" t="s">
        <v>27</v>
      </c>
      <c r="X520" s="360">
        <v>25</v>
      </c>
      <c r="Y520" s="360" t="s">
        <v>43</v>
      </c>
      <c r="Z520" s="360">
        <v>4</v>
      </c>
      <c r="AA520" s="360">
        <v>16</v>
      </c>
      <c r="AB520" s="360">
        <v>25</v>
      </c>
    </row>
    <row r="521" spans="1:28" x14ac:dyDescent="0.2">
      <c r="A521" t="str">
        <f t="shared" si="53"/>
        <v>2003FemaleMaori23</v>
      </c>
      <c r="B521">
        <v>2003</v>
      </c>
      <c r="C521" t="s">
        <v>8</v>
      </c>
      <c r="D521" t="s">
        <v>18</v>
      </c>
      <c r="E521">
        <v>23</v>
      </c>
      <c r="F521">
        <v>7</v>
      </c>
      <c r="G521">
        <v>7.8238515703587801</v>
      </c>
      <c r="H521">
        <v>5.8</v>
      </c>
      <c r="J521" s="358" t="str">
        <f t="shared" si="54"/>
        <v>2014MaleAllEth193</v>
      </c>
      <c r="K521" s="359">
        <v>2014</v>
      </c>
      <c r="L521" t="s">
        <v>20</v>
      </c>
      <c r="M521" t="s">
        <v>27</v>
      </c>
      <c r="N521">
        <v>19</v>
      </c>
      <c r="O521">
        <v>3</v>
      </c>
      <c r="P521">
        <v>71</v>
      </c>
      <c r="Q521">
        <v>15.486617317140601</v>
      </c>
      <c r="R521">
        <v>3.6</v>
      </c>
      <c r="T521" s="358" t="str">
        <f t="shared" si="55"/>
        <v>1998FemaleAllEth23Jumping from a high place</v>
      </c>
      <c r="U521" s="360">
        <v>1998</v>
      </c>
      <c r="V521" s="360" t="s">
        <v>8</v>
      </c>
      <c r="W521" s="360" t="s">
        <v>27</v>
      </c>
      <c r="X521" s="360">
        <v>23</v>
      </c>
      <c r="Y521" s="360" t="s">
        <v>44</v>
      </c>
      <c r="Z521" s="360">
        <v>3</v>
      </c>
      <c r="AA521" s="360">
        <v>54</v>
      </c>
      <c r="AB521" s="360">
        <v>5.6</v>
      </c>
    </row>
    <row r="522" spans="1:28" x14ac:dyDescent="0.2">
      <c r="A522" t="str">
        <f t="shared" si="53"/>
        <v>2003FemaleMaori24</v>
      </c>
      <c r="B522">
        <v>2003</v>
      </c>
      <c r="C522" t="s">
        <v>8</v>
      </c>
      <c r="D522" t="s">
        <v>18</v>
      </c>
      <c r="E522">
        <v>24</v>
      </c>
      <c r="F522">
        <v>1</v>
      </c>
      <c r="G522">
        <v>2.2675736961451198</v>
      </c>
      <c r="H522">
        <v>4.4000000000000004</v>
      </c>
      <c r="J522" s="358" t="str">
        <f t="shared" si="54"/>
        <v>2014MaleAllEth194</v>
      </c>
      <c r="K522" s="359">
        <v>2014</v>
      </c>
      <c r="L522" t="s">
        <v>20</v>
      </c>
      <c r="M522" t="s">
        <v>27</v>
      </c>
      <c r="N522">
        <v>19</v>
      </c>
      <c r="O522">
        <v>4</v>
      </c>
      <c r="P522">
        <v>92</v>
      </c>
      <c r="Q522">
        <v>19.678305147009201</v>
      </c>
      <c r="R522">
        <v>4</v>
      </c>
      <c r="T522" s="358" t="str">
        <f t="shared" si="55"/>
        <v>1998FemaleAllEth24Jumping from a high place</v>
      </c>
      <c r="U522" s="360">
        <v>1998</v>
      </c>
      <c r="V522" s="360" t="s">
        <v>8</v>
      </c>
      <c r="W522" s="360" t="s">
        <v>27</v>
      </c>
      <c r="X522" s="360">
        <v>24</v>
      </c>
      <c r="Y522" s="360" t="s">
        <v>44</v>
      </c>
      <c r="Z522" s="360">
        <v>1</v>
      </c>
      <c r="AA522" s="360">
        <v>24</v>
      </c>
      <c r="AB522" s="360">
        <v>4.2</v>
      </c>
    </row>
    <row r="523" spans="1:28" x14ac:dyDescent="0.2">
      <c r="A523" t="str">
        <f t="shared" si="53"/>
        <v>2003FemaleMaori25</v>
      </c>
      <c r="B523">
        <v>2003</v>
      </c>
      <c r="C523" t="s">
        <v>8</v>
      </c>
      <c r="D523" t="s">
        <v>18</v>
      </c>
      <c r="E523">
        <v>25</v>
      </c>
      <c r="F523">
        <v>0</v>
      </c>
      <c r="G523">
        <v>0</v>
      </c>
      <c r="J523" s="358" t="str">
        <f t="shared" si="54"/>
        <v>2014MaleAllEth195</v>
      </c>
      <c r="K523" s="359">
        <v>2014</v>
      </c>
      <c r="L523" t="s">
        <v>20</v>
      </c>
      <c r="M523" t="s">
        <v>27</v>
      </c>
      <c r="N523">
        <v>19</v>
      </c>
      <c r="O523">
        <v>5</v>
      </c>
      <c r="P523">
        <v>103</v>
      </c>
      <c r="Q523">
        <v>24.1272930335215</v>
      </c>
      <c r="R523">
        <v>4.7</v>
      </c>
      <c r="T523" s="358" t="str">
        <f t="shared" si="55"/>
        <v>1998FemaleAllEth25Jumping from a high place</v>
      </c>
      <c r="U523" s="360">
        <v>1998</v>
      </c>
      <c r="V523" s="360" t="s">
        <v>8</v>
      </c>
      <c r="W523" s="360" t="s">
        <v>27</v>
      </c>
      <c r="X523" s="360">
        <v>25</v>
      </c>
      <c r="Y523" s="360" t="s">
        <v>44</v>
      </c>
      <c r="Z523" s="360">
        <v>1</v>
      </c>
      <c r="AA523" s="360">
        <v>16</v>
      </c>
      <c r="AB523" s="360">
        <v>6.2</v>
      </c>
    </row>
    <row r="524" spans="1:28" x14ac:dyDescent="0.2">
      <c r="A524" t="str">
        <f t="shared" si="53"/>
        <v>2003FemaleNon-Maori21</v>
      </c>
      <c r="B524">
        <v>2003</v>
      </c>
      <c r="C524" t="s">
        <v>8</v>
      </c>
      <c r="D524" t="s">
        <v>19</v>
      </c>
      <c r="E524">
        <v>21</v>
      </c>
      <c r="F524">
        <v>0</v>
      </c>
      <c r="J524" s="358" t="str">
        <f t="shared" si="54"/>
        <v>2015MaleAllEth191</v>
      </c>
      <c r="K524" s="359">
        <v>2015</v>
      </c>
      <c r="L524" t="s">
        <v>20</v>
      </c>
      <c r="M524" t="s">
        <v>27</v>
      </c>
      <c r="N524">
        <v>19</v>
      </c>
      <c r="O524">
        <v>1</v>
      </c>
      <c r="P524">
        <v>59</v>
      </c>
      <c r="Q524">
        <v>12.2381526035751</v>
      </c>
      <c r="R524">
        <v>3.1</v>
      </c>
      <c r="T524" s="358" t="str">
        <f t="shared" si="55"/>
        <v>1998FemaleAllEth22Other</v>
      </c>
      <c r="U524" s="360">
        <v>1998</v>
      </c>
      <c r="V524" s="360" t="s">
        <v>8</v>
      </c>
      <c r="W524" s="360" t="s">
        <v>27</v>
      </c>
      <c r="X524" s="360">
        <v>22</v>
      </c>
      <c r="Y524" s="360" t="s">
        <v>45</v>
      </c>
      <c r="Z524" s="360">
        <v>2</v>
      </c>
      <c r="AA524" s="360">
        <v>35</v>
      </c>
      <c r="AB524" s="360">
        <v>5.7</v>
      </c>
    </row>
    <row r="525" spans="1:28" x14ac:dyDescent="0.2">
      <c r="A525" t="str">
        <f t="shared" si="53"/>
        <v>2003FemaleNon-Maori22</v>
      </c>
      <c r="B525">
        <v>2003</v>
      </c>
      <c r="C525" t="s">
        <v>8</v>
      </c>
      <c r="D525" t="s">
        <v>19</v>
      </c>
      <c r="E525">
        <v>22</v>
      </c>
      <c r="F525">
        <v>20</v>
      </c>
      <c r="G525">
        <v>8.7623220153340604</v>
      </c>
      <c r="H525">
        <v>3.8</v>
      </c>
      <c r="J525" s="358" t="str">
        <f t="shared" si="54"/>
        <v>2015MaleAllEth192</v>
      </c>
      <c r="K525" s="359">
        <v>2015</v>
      </c>
      <c r="L525" t="s">
        <v>20</v>
      </c>
      <c r="M525" t="s">
        <v>27</v>
      </c>
      <c r="N525">
        <v>19</v>
      </c>
      <c r="O525">
        <v>2</v>
      </c>
      <c r="P525">
        <v>70</v>
      </c>
      <c r="Q525">
        <v>13.6474606292609</v>
      </c>
      <c r="R525">
        <v>3.2</v>
      </c>
      <c r="T525" s="358" t="str">
        <f t="shared" si="55"/>
        <v>1998FemaleAllEth23Other</v>
      </c>
      <c r="U525" s="360">
        <v>1998</v>
      </c>
      <c r="V525" s="360" t="s">
        <v>8</v>
      </c>
      <c r="W525" s="360" t="s">
        <v>27</v>
      </c>
      <c r="X525" s="360">
        <v>23</v>
      </c>
      <c r="Y525" s="360" t="s">
        <v>45</v>
      </c>
      <c r="Z525" s="360">
        <v>2</v>
      </c>
      <c r="AA525" s="360">
        <v>54</v>
      </c>
      <c r="AB525" s="360">
        <v>3.7</v>
      </c>
    </row>
    <row r="526" spans="1:28" x14ac:dyDescent="0.2">
      <c r="A526" t="str">
        <f t="shared" si="53"/>
        <v>2003FemaleNon-Maori23</v>
      </c>
      <c r="B526">
        <v>2003</v>
      </c>
      <c r="C526" t="s">
        <v>8</v>
      </c>
      <c r="D526" t="s">
        <v>19</v>
      </c>
      <c r="E526">
        <v>23</v>
      </c>
      <c r="F526">
        <v>47</v>
      </c>
      <c r="G526">
        <v>9.0805463784076199</v>
      </c>
      <c r="H526">
        <v>2.6</v>
      </c>
      <c r="J526" s="358" t="str">
        <f t="shared" si="54"/>
        <v>2015MaleAllEth193</v>
      </c>
      <c r="K526" s="359">
        <v>2015</v>
      </c>
      <c r="L526" t="s">
        <v>20</v>
      </c>
      <c r="M526" t="s">
        <v>27</v>
      </c>
      <c r="N526">
        <v>19</v>
      </c>
      <c r="O526">
        <v>3</v>
      </c>
      <c r="P526">
        <v>60</v>
      </c>
      <c r="Q526">
        <v>12.848644486566799</v>
      </c>
      <c r="R526">
        <v>3.3</v>
      </c>
      <c r="T526" s="358" t="str">
        <f t="shared" si="55"/>
        <v>1998FemaleAllEth24Other</v>
      </c>
      <c r="U526" s="360">
        <v>1998</v>
      </c>
      <c r="V526" s="360" t="s">
        <v>8</v>
      </c>
      <c r="W526" s="360" t="s">
        <v>27</v>
      </c>
      <c r="X526" s="360">
        <v>24</v>
      </c>
      <c r="Y526" s="360" t="s">
        <v>45</v>
      </c>
      <c r="Z526" s="360">
        <v>1</v>
      </c>
      <c r="AA526" s="360">
        <v>24</v>
      </c>
      <c r="AB526" s="360">
        <v>4.2</v>
      </c>
    </row>
    <row r="527" spans="1:28" x14ac:dyDescent="0.2">
      <c r="A527" t="str">
        <f t="shared" si="53"/>
        <v>2003FemaleNon-Maori24</v>
      </c>
      <c r="B527">
        <v>2003</v>
      </c>
      <c r="C527" t="s">
        <v>8</v>
      </c>
      <c r="D527" t="s">
        <v>19</v>
      </c>
      <c r="E527">
        <v>24</v>
      </c>
      <c r="F527">
        <v>34</v>
      </c>
      <c r="G527">
        <v>8.1232827619161405</v>
      </c>
      <c r="H527">
        <v>2.7</v>
      </c>
      <c r="J527" s="358" t="str">
        <f t="shared" si="54"/>
        <v>2015MaleAllEth194</v>
      </c>
      <c r="K527" s="359">
        <v>2015</v>
      </c>
      <c r="L527" t="s">
        <v>20</v>
      </c>
      <c r="M527" t="s">
        <v>27</v>
      </c>
      <c r="N527">
        <v>19</v>
      </c>
      <c r="O527">
        <v>4</v>
      </c>
      <c r="P527">
        <v>89</v>
      </c>
      <c r="Q527">
        <v>19.115734604506201</v>
      </c>
      <c r="R527">
        <v>4</v>
      </c>
      <c r="T527" s="358" t="str">
        <f t="shared" si="55"/>
        <v>1998FemaleAllEth25Other</v>
      </c>
      <c r="U527" s="360">
        <v>1998</v>
      </c>
      <c r="V527" s="360" t="s">
        <v>8</v>
      </c>
      <c r="W527" s="360" t="s">
        <v>27</v>
      </c>
      <c r="X527" s="360">
        <v>25</v>
      </c>
      <c r="Y527" s="360" t="s">
        <v>45</v>
      </c>
      <c r="Z527" s="360">
        <v>1</v>
      </c>
      <c r="AA527" s="360">
        <v>16</v>
      </c>
      <c r="AB527" s="360">
        <v>6.2</v>
      </c>
    </row>
    <row r="528" spans="1:28" x14ac:dyDescent="0.2">
      <c r="A528" t="str">
        <f t="shared" si="53"/>
        <v>2003FemaleNon-Maori25</v>
      </c>
      <c r="B528">
        <v>2003</v>
      </c>
      <c r="C528" t="s">
        <v>8</v>
      </c>
      <c r="D528" t="s">
        <v>19</v>
      </c>
      <c r="E528">
        <v>25</v>
      </c>
      <c r="F528">
        <v>21</v>
      </c>
      <c r="G528">
        <v>8.2726019302737797</v>
      </c>
      <c r="H528">
        <v>3.5</v>
      </c>
      <c r="J528" s="358" t="str">
        <f t="shared" si="54"/>
        <v>2015MaleAllEth195</v>
      </c>
      <c r="K528" s="359">
        <v>2015</v>
      </c>
      <c r="L528" t="s">
        <v>20</v>
      </c>
      <c r="M528" t="s">
        <v>27</v>
      </c>
      <c r="N528">
        <v>19</v>
      </c>
      <c r="O528">
        <v>5</v>
      </c>
      <c r="P528">
        <v>98</v>
      </c>
      <c r="Q528">
        <v>22.721973057487901</v>
      </c>
      <c r="R528">
        <v>4.5</v>
      </c>
      <c r="T528" s="358" t="str">
        <f t="shared" si="55"/>
        <v>1998FemaleAllEth22Poisoning by gases and vapours</v>
      </c>
      <c r="U528" s="360">
        <v>1998</v>
      </c>
      <c r="V528" s="360" t="s">
        <v>8</v>
      </c>
      <c r="W528" s="360" t="s">
        <v>27</v>
      </c>
      <c r="X528" s="360">
        <v>22</v>
      </c>
      <c r="Y528" s="360" t="s">
        <v>46</v>
      </c>
      <c r="Z528" s="360">
        <v>2</v>
      </c>
      <c r="AA528" s="360">
        <v>35</v>
      </c>
      <c r="AB528" s="360">
        <v>5.7</v>
      </c>
    </row>
    <row r="529" spans="1:28" x14ac:dyDescent="0.2">
      <c r="A529" t="str">
        <f t="shared" si="53"/>
        <v>2003MaleAllEth21</v>
      </c>
      <c r="B529">
        <v>2003</v>
      </c>
      <c r="C529" t="s">
        <v>20</v>
      </c>
      <c r="D529" t="s">
        <v>27</v>
      </c>
      <c r="E529">
        <v>21</v>
      </c>
      <c r="F529">
        <v>4</v>
      </c>
      <c r="J529" s="358" t="str">
        <f t="shared" si="54"/>
        <v>2001MaleMaori191</v>
      </c>
      <c r="K529" s="359">
        <v>2001</v>
      </c>
      <c r="L529" t="s">
        <v>20</v>
      </c>
      <c r="M529" t="s">
        <v>18</v>
      </c>
      <c r="N529">
        <v>19</v>
      </c>
      <c r="O529">
        <v>1</v>
      </c>
      <c r="P529">
        <v>1</v>
      </c>
      <c r="Q529">
        <v>4.2159221756742102</v>
      </c>
      <c r="R529">
        <v>8.3000000000000007</v>
      </c>
      <c r="T529" s="358" t="str">
        <f t="shared" si="55"/>
        <v>1998FemaleAllEth23Poisoning by gases and vapours</v>
      </c>
      <c r="U529" s="360">
        <v>1998</v>
      </c>
      <c r="V529" s="360" t="s">
        <v>8</v>
      </c>
      <c r="W529" s="360" t="s">
        <v>27</v>
      </c>
      <c r="X529" s="360">
        <v>23</v>
      </c>
      <c r="Y529" s="360" t="s">
        <v>46</v>
      </c>
      <c r="Z529" s="360">
        <v>8</v>
      </c>
      <c r="AA529" s="360">
        <v>54</v>
      </c>
      <c r="AB529" s="360">
        <v>14.8</v>
      </c>
    </row>
    <row r="530" spans="1:28" x14ac:dyDescent="0.2">
      <c r="A530" t="str">
        <f t="shared" si="53"/>
        <v>2003MaleAllEth22</v>
      </c>
      <c r="B530">
        <v>2003</v>
      </c>
      <c r="C530" t="s">
        <v>20</v>
      </c>
      <c r="D530" t="s">
        <v>27</v>
      </c>
      <c r="E530">
        <v>22</v>
      </c>
      <c r="F530">
        <v>67</v>
      </c>
      <c r="G530">
        <v>23.062889401397499</v>
      </c>
      <c r="H530">
        <v>5.5</v>
      </c>
      <c r="J530" s="358" t="str">
        <f t="shared" si="54"/>
        <v>2001MaleMaori192</v>
      </c>
      <c r="K530" s="359">
        <v>2001</v>
      </c>
      <c r="L530" t="s">
        <v>20</v>
      </c>
      <c r="M530" t="s">
        <v>18</v>
      </c>
      <c r="N530">
        <v>19</v>
      </c>
      <c r="O530">
        <v>2</v>
      </c>
      <c r="P530">
        <v>6</v>
      </c>
      <c r="Q530">
        <v>20.8491292461622</v>
      </c>
      <c r="R530">
        <v>16.7</v>
      </c>
      <c r="T530" s="358" t="str">
        <f t="shared" si="55"/>
        <v>1998FemaleAllEth24Poisoning by gases and vapours</v>
      </c>
      <c r="U530" s="360">
        <v>1998</v>
      </c>
      <c r="V530" s="360" t="s">
        <v>8</v>
      </c>
      <c r="W530" s="360" t="s">
        <v>27</v>
      </c>
      <c r="X530" s="360">
        <v>24</v>
      </c>
      <c r="Y530" s="360" t="s">
        <v>46</v>
      </c>
      <c r="Z530" s="360">
        <v>7</v>
      </c>
      <c r="AA530" s="360">
        <v>24</v>
      </c>
      <c r="AB530" s="360">
        <v>29.2</v>
      </c>
    </row>
    <row r="531" spans="1:28" x14ac:dyDescent="0.2">
      <c r="A531" t="str">
        <f t="shared" si="53"/>
        <v>2003MaleAllEth23</v>
      </c>
      <c r="B531">
        <v>2003</v>
      </c>
      <c r="C531" t="s">
        <v>20</v>
      </c>
      <c r="D531" t="s">
        <v>27</v>
      </c>
      <c r="E531">
        <v>23</v>
      </c>
      <c r="F531">
        <v>163</v>
      </c>
      <c r="G531">
        <v>28.730567208375899</v>
      </c>
      <c r="H531">
        <v>4.4000000000000004</v>
      </c>
      <c r="J531" s="358" t="str">
        <f t="shared" si="54"/>
        <v>2001MaleMaori193</v>
      </c>
      <c r="K531" s="359">
        <v>2001</v>
      </c>
      <c r="L531" t="s">
        <v>20</v>
      </c>
      <c r="M531" t="s">
        <v>18</v>
      </c>
      <c r="N531">
        <v>19</v>
      </c>
      <c r="O531">
        <v>3</v>
      </c>
      <c r="P531">
        <v>9</v>
      </c>
      <c r="Q531">
        <v>18.309193086759201</v>
      </c>
      <c r="R531">
        <v>12</v>
      </c>
      <c r="T531" s="358" t="str">
        <f t="shared" si="55"/>
        <v>1998FemaleAllEth25Poisoning by gases and vapours</v>
      </c>
      <c r="U531" s="360">
        <v>1998</v>
      </c>
      <c r="V531" s="360" t="s">
        <v>8</v>
      </c>
      <c r="W531" s="360" t="s">
        <v>27</v>
      </c>
      <c r="X531" s="360">
        <v>25</v>
      </c>
      <c r="Y531" s="360" t="s">
        <v>46</v>
      </c>
      <c r="Z531" s="360">
        <v>6</v>
      </c>
      <c r="AA531" s="360">
        <v>16</v>
      </c>
      <c r="AB531" s="360">
        <v>37.5</v>
      </c>
    </row>
    <row r="532" spans="1:28" x14ac:dyDescent="0.2">
      <c r="A532" t="str">
        <f t="shared" si="53"/>
        <v>2003MaleAllEth24</v>
      </c>
      <c r="B532">
        <v>2003</v>
      </c>
      <c r="C532" t="s">
        <v>20</v>
      </c>
      <c r="D532" t="s">
        <v>27</v>
      </c>
      <c r="E532">
        <v>24</v>
      </c>
      <c r="F532">
        <v>100</v>
      </c>
      <c r="G532">
        <v>22.124383282816002</v>
      </c>
      <c r="H532">
        <v>4.3</v>
      </c>
      <c r="J532" s="358" t="str">
        <f t="shared" si="54"/>
        <v>2001MaleMaori194</v>
      </c>
      <c r="K532" s="359">
        <v>2001</v>
      </c>
      <c r="L532" t="s">
        <v>20</v>
      </c>
      <c r="M532" t="s">
        <v>18</v>
      </c>
      <c r="N532">
        <v>19</v>
      </c>
      <c r="O532">
        <v>4</v>
      </c>
      <c r="P532">
        <v>12</v>
      </c>
      <c r="Q532">
        <v>17.609200913076201</v>
      </c>
      <c r="R532">
        <v>10</v>
      </c>
      <c r="T532" s="358" t="str">
        <f t="shared" si="55"/>
        <v>1998FemaleAllEth21Poisoning by solids and liquids</v>
      </c>
      <c r="U532" s="360">
        <v>1998</v>
      </c>
      <c r="V532" s="360" t="s">
        <v>8</v>
      </c>
      <c r="W532" s="360" t="s">
        <v>27</v>
      </c>
      <c r="X532" s="360">
        <v>21</v>
      </c>
      <c r="Y532" s="360" t="s">
        <v>47</v>
      </c>
      <c r="Z532" s="360">
        <v>1</v>
      </c>
      <c r="AA532" s="360">
        <v>4</v>
      </c>
      <c r="AB532" s="360">
        <v>25</v>
      </c>
    </row>
    <row r="533" spans="1:28" x14ac:dyDescent="0.2">
      <c r="A533" t="str">
        <f t="shared" si="53"/>
        <v>2003MaleAllEth25</v>
      </c>
      <c r="B533">
        <v>2003</v>
      </c>
      <c r="C533" t="s">
        <v>20</v>
      </c>
      <c r="D533" t="s">
        <v>27</v>
      </c>
      <c r="E533">
        <v>25</v>
      </c>
      <c r="F533">
        <v>46</v>
      </c>
      <c r="G533">
        <v>21.930870083432701</v>
      </c>
      <c r="H533">
        <v>6.3</v>
      </c>
      <c r="J533" s="358" t="str">
        <f t="shared" si="54"/>
        <v>2001MaleMaori195</v>
      </c>
      <c r="K533" s="359">
        <v>2001</v>
      </c>
      <c r="L533" t="s">
        <v>20</v>
      </c>
      <c r="M533" t="s">
        <v>18</v>
      </c>
      <c r="N533">
        <v>19</v>
      </c>
      <c r="O533">
        <v>5</v>
      </c>
      <c r="P533">
        <v>26</v>
      </c>
      <c r="Q533">
        <v>26.609530931243999</v>
      </c>
      <c r="R533">
        <v>10.199999999999999</v>
      </c>
      <c r="T533" s="358" t="str">
        <f t="shared" si="55"/>
        <v>1998FemaleAllEth22Poisoning by solids and liquids</v>
      </c>
      <c r="U533" s="360">
        <v>1998</v>
      </c>
      <c r="V533" s="360" t="s">
        <v>8</v>
      </c>
      <c r="W533" s="360" t="s">
        <v>27</v>
      </c>
      <c r="X533" s="360">
        <v>22</v>
      </c>
      <c r="Y533" s="360" t="s">
        <v>47</v>
      </c>
      <c r="Z533" s="360">
        <v>10</v>
      </c>
      <c r="AA533" s="360">
        <v>35</v>
      </c>
      <c r="AB533" s="360">
        <v>28.6</v>
      </c>
    </row>
    <row r="534" spans="1:28" x14ac:dyDescent="0.2">
      <c r="A534" t="str">
        <f t="shared" si="53"/>
        <v>2003MaleMaori21</v>
      </c>
      <c r="B534">
        <v>2003</v>
      </c>
      <c r="C534" t="s">
        <v>20</v>
      </c>
      <c r="D534" t="s">
        <v>18</v>
      </c>
      <c r="E534">
        <v>21</v>
      </c>
      <c r="F534">
        <v>4</v>
      </c>
      <c r="J534" s="358" t="str">
        <f t="shared" si="54"/>
        <v>2002MaleMaori191</v>
      </c>
      <c r="K534" s="359">
        <v>2002</v>
      </c>
      <c r="L534" t="s">
        <v>20</v>
      </c>
      <c r="M534" t="s">
        <v>18</v>
      </c>
      <c r="N534">
        <v>19</v>
      </c>
      <c r="O534">
        <v>1</v>
      </c>
      <c r="P534">
        <v>3</v>
      </c>
      <c r="Q534">
        <v>12.063584586405099</v>
      </c>
      <c r="R534">
        <v>13.7</v>
      </c>
      <c r="T534" s="358" t="str">
        <f t="shared" si="55"/>
        <v>1998FemaleAllEth23Poisoning by solids and liquids</v>
      </c>
      <c r="U534" s="360">
        <v>1998</v>
      </c>
      <c r="V534" s="360" t="s">
        <v>8</v>
      </c>
      <c r="W534" s="360" t="s">
        <v>27</v>
      </c>
      <c r="X534" s="360">
        <v>23</v>
      </c>
      <c r="Y534" s="360" t="s">
        <v>47</v>
      </c>
      <c r="Z534" s="360">
        <v>8</v>
      </c>
      <c r="AA534" s="360">
        <v>54</v>
      </c>
      <c r="AB534" s="360">
        <v>14.8</v>
      </c>
    </row>
    <row r="535" spans="1:28" x14ac:dyDescent="0.2">
      <c r="A535" t="str">
        <f t="shared" si="53"/>
        <v>2003MaleMaori22</v>
      </c>
      <c r="B535">
        <v>2003</v>
      </c>
      <c r="C535" t="s">
        <v>20</v>
      </c>
      <c r="D535" t="s">
        <v>18</v>
      </c>
      <c r="E535">
        <v>22</v>
      </c>
      <c r="F535">
        <v>20</v>
      </c>
      <c r="G535">
        <v>37.306472673008798</v>
      </c>
      <c r="H535">
        <v>16.3</v>
      </c>
      <c r="J535" s="358" t="str">
        <f t="shared" si="54"/>
        <v>2002MaleMaori192</v>
      </c>
      <c r="K535" s="359">
        <v>2002</v>
      </c>
      <c r="L535" t="s">
        <v>20</v>
      </c>
      <c r="M535" t="s">
        <v>18</v>
      </c>
      <c r="N535">
        <v>19</v>
      </c>
      <c r="O535">
        <v>2</v>
      </c>
      <c r="P535">
        <v>7</v>
      </c>
      <c r="Q535">
        <v>21.721829456289001</v>
      </c>
      <c r="R535">
        <v>16.100000000000001</v>
      </c>
      <c r="T535" s="358" t="str">
        <f t="shared" si="55"/>
        <v>1998FemaleAllEth24Poisoning by solids and liquids</v>
      </c>
      <c r="U535" s="360">
        <v>1998</v>
      </c>
      <c r="V535" s="360" t="s">
        <v>8</v>
      </c>
      <c r="W535" s="360" t="s">
        <v>27</v>
      </c>
      <c r="X535" s="360">
        <v>24</v>
      </c>
      <c r="Y535" s="360" t="s">
        <v>47</v>
      </c>
      <c r="Z535" s="360">
        <v>11</v>
      </c>
      <c r="AA535" s="360">
        <v>24</v>
      </c>
      <c r="AB535" s="360">
        <v>45.8</v>
      </c>
    </row>
    <row r="536" spans="1:28" x14ac:dyDescent="0.2">
      <c r="A536" t="str">
        <f t="shared" si="53"/>
        <v>2003MaleMaori23</v>
      </c>
      <c r="B536">
        <v>2003</v>
      </c>
      <c r="C536" t="s">
        <v>20</v>
      </c>
      <c r="D536" t="s">
        <v>18</v>
      </c>
      <c r="E536">
        <v>23</v>
      </c>
      <c r="F536">
        <v>39</v>
      </c>
      <c r="G536">
        <v>48.555776892430302</v>
      </c>
      <c r="H536">
        <v>15.2</v>
      </c>
      <c r="J536" s="358" t="str">
        <f t="shared" si="54"/>
        <v>2002MaleMaori193</v>
      </c>
      <c r="K536" s="359">
        <v>2002</v>
      </c>
      <c r="L536" t="s">
        <v>20</v>
      </c>
      <c r="M536" t="s">
        <v>18</v>
      </c>
      <c r="N536">
        <v>19</v>
      </c>
      <c r="O536">
        <v>3</v>
      </c>
      <c r="P536">
        <v>5</v>
      </c>
      <c r="Q536">
        <v>10.1304481416764</v>
      </c>
      <c r="R536">
        <v>8.9</v>
      </c>
      <c r="T536" s="358" t="str">
        <f t="shared" si="55"/>
        <v>1998FemaleAllEth25Poisoning by solids and liquids</v>
      </c>
      <c r="U536" s="360">
        <v>1998</v>
      </c>
      <c r="V536" s="360" t="s">
        <v>8</v>
      </c>
      <c r="W536" s="360" t="s">
        <v>27</v>
      </c>
      <c r="X536" s="360">
        <v>25</v>
      </c>
      <c r="Y536" s="360" t="s">
        <v>47</v>
      </c>
      <c r="Z536" s="360">
        <v>3</v>
      </c>
      <c r="AA536" s="360">
        <v>16</v>
      </c>
      <c r="AB536" s="360">
        <v>18.8</v>
      </c>
    </row>
    <row r="537" spans="1:28" x14ac:dyDescent="0.2">
      <c r="A537" t="str">
        <f t="shared" si="53"/>
        <v>2003MaleMaori24</v>
      </c>
      <c r="B537">
        <v>2003</v>
      </c>
      <c r="C537" t="s">
        <v>20</v>
      </c>
      <c r="D537" t="s">
        <v>18</v>
      </c>
      <c r="E537">
        <v>24</v>
      </c>
      <c r="F537">
        <v>4</v>
      </c>
      <c r="G537">
        <v>9.6641700893935703</v>
      </c>
      <c r="H537">
        <v>9.5</v>
      </c>
      <c r="J537" s="358" t="str">
        <f t="shared" si="54"/>
        <v>2002MaleMaori194</v>
      </c>
      <c r="K537" s="359">
        <v>2002</v>
      </c>
      <c r="L537" t="s">
        <v>20</v>
      </c>
      <c r="M537" t="s">
        <v>18</v>
      </c>
      <c r="N537">
        <v>19</v>
      </c>
      <c r="O537">
        <v>4</v>
      </c>
      <c r="P537">
        <v>15</v>
      </c>
      <c r="Q537">
        <v>24.989534818154901</v>
      </c>
      <c r="R537">
        <v>12.6</v>
      </c>
      <c r="T537" s="358" t="str">
        <f t="shared" si="55"/>
        <v>1998FemaleAllEth24Sharp object</v>
      </c>
      <c r="U537" s="360">
        <v>1998</v>
      </c>
      <c r="V537" s="360" t="s">
        <v>8</v>
      </c>
      <c r="W537" s="360" t="s">
        <v>27</v>
      </c>
      <c r="X537" s="360">
        <v>24</v>
      </c>
      <c r="Y537" s="360" t="s">
        <v>48</v>
      </c>
      <c r="Z537" s="360">
        <v>1</v>
      </c>
      <c r="AA537" s="360">
        <v>24</v>
      </c>
      <c r="AB537" s="360">
        <v>4.2</v>
      </c>
    </row>
    <row r="538" spans="1:28" x14ac:dyDescent="0.2">
      <c r="A538" t="str">
        <f t="shared" si="53"/>
        <v>2003MaleMaori25</v>
      </c>
      <c r="B538">
        <v>2003</v>
      </c>
      <c r="C538" t="s">
        <v>20</v>
      </c>
      <c r="D538" t="s">
        <v>18</v>
      </c>
      <c r="E538">
        <v>25</v>
      </c>
      <c r="F538">
        <v>0</v>
      </c>
      <c r="G538">
        <v>0</v>
      </c>
      <c r="J538" s="358" t="str">
        <f t="shared" si="54"/>
        <v>2002MaleMaori195</v>
      </c>
      <c r="K538" s="359">
        <v>2002</v>
      </c>
      <c r="L538" t="s">
        <v>20</v>
      </c>
      <c r="M538" t="s">
        <v>18</v>
      </c>
      <c r="N538">
        <v>19</v>
      </c>
      <c r="O538">
        <v>5</v>
      </c>
      <c r="P538">
        <v>24</v>
      </c>
      <c r="Q538">
        <v>22.271678656913501</v>
      </c>
      <c r="R538">
        <v>8.9</v>
      </c>
      <c r="T538" s="358" t="str">
        <f t="shared" si="55"/>
        <v>1998FemaleAllEth23Submersion (drowning)</v>
      </c>
      <c r="U538" s="360">
        <v>1998</v>
      </c>
      <c r="V538" s="360" t="s">
        <v>8</v>
      </c>
      <c r="W538" s="360" t="s">
        <v>27</v>
      </c>
      <c r="X538" s="360">
        <v>23</v>
      </c>
      <c r="Y538" s="360" t="s">
        <v>49</v>
      </c>
      <c r="Z538" s="360">
        <v>1</v>
      </c>
      <c r="AA538" s="360">
        <v>54</v>
      </c>
      <c r="AB538" s="360">
        <v>1.9</v>
      </c>
    </row>
    <row r="539" spans="1:28" x14ac:dyDescent="0.2">
      <c r="A539" t="str">
        <f t="shared" si="53"/>
        <v>2003MaleNon-Maori21</v>
      </c>
      <c r="B539">
        <v>2003</v>
      </c>
      <c r="C539" t="s">
        <v>20</v>
      </c>
      <c r="D539" t="s">
        <v>19</v>
      </c>
      <c r="E539">
        <v>21</v>
      </c>
      <c r="F539">
        <v>0</v>
      </c>
      <c r="J539" s="358" t="str">
        <f t="shared" si="54"/>
        <v>2003MaleMaori191</v>
      </c>
      <c r="K539" s="359">
        <v>2003</v>
      </c>
      <c r="L539" t="s">
        <v>20</v>
      </c>
      <c r="M539" t="s">
        <v>18</v>
      </c>
      <c r="N539">
        <v>19</v>
      </c>
      <c r="O539">
        <v>1</v>
      </c>
      <c r="P539">
        <v>3</v>
      </c>
      <c r="Q539">
        <v>13.685970096828999</v>
      </c>
      <c r="R539">
        <v>15.5</v>
      </c>
      <c r="T539" s="358" t="str">
        <f t="shared" si="55"/>
        <v>1998FemaleAllEth24Submersion (drowning)</v>
      </c>
      <c r="U539" s="360">
        <v>1998</v>
      </c>
      <c r="V539" s="360" t="s">
        <v>8</v>
      </c>
      <c r="W539" s="360" t="s">
        <v>27</v>
      </c>
      <c r="X539" s="360">
        <v>24</v>
      </c>
      <c r="Y539" s="360" t="s">
        <v>49</v>
      </c>
      <c r="Z539" s="360">
        <v>1</v>
      </c>
      <c r="AA539" s="360">
        <v>24</v>
      </c>
      <c r="AB539" s="360">
        <v>4.2</v>
      </c>
    </row>
    <row r="540" spans="1:28" x14ac:dyDescent="0.2">
      <c r="A540" t="str">
        <f t="shared" si="53"/>
        <v>2003MaleNon-Maori22</v>
      </c>
      <c r="B540">
        <v>2003</v>
      </c>
      <c r="C540" t="s">
        <v>20</v>
      </c>
      <c r="D540" t="s">
        <v>19</v>
      </c>
      <c r="E540">
        <v>22</v>
      </c>
      <c r="F540">
        <v>47</v>
      </c>
      <c r="G540">
        <v>19.839594765723898</v>
      </c>
      <c r="H540">
        <v>5.7</v>
      </c>
      <c r="J540" s="358" t="str">
        <f t="shared" si="54"/>
        <v>2003MaleMaori192</v>
      </c>
      <c r="K540" s="359">
        <v>2003</v>
      </c>
      <c r="L540" t="s">
        <v>20</v>
      </c>
      <c r="M540" t="s">
        <v>18</v>
      </c>
      <c r="N540">
        <v>19</v>
      </c>
      <c r="O540">
        <v>2</v>
      </c>
      <c r="P540">
        <v>4</v>
      </c>
      <c r="Q540">
        <v>11.730664092039399</v>
      </c>
      <c r="R540">
        <v>11.5</v>
      </c>
      <c r="T540" s="358" t="str">
        <f t="shared" si="55"/>
        <v>1998FemaleAllEth25Submersion (drowning)</v>
      </c>
      <c r="U540" s="360">
        <v>1998</v>
      </c>
      <c r="V540" s="360" t="s">
        <v>8</v>
      </c>
      <c r="W540" s="360" t="s">
        <v>27</v>
      </c>
      <c r="X540" s="360">
        <v>25</v>
      </c>
      <c r="Y540" s="360" t="s">
        <v>49</v>
      </c>
      <c r="Z540" s="360">
        <v>1</v>
      </c>
      <c r="AA540" s="360">
        <v>16</v>
      </c>
      <c r="AB540" s="360">
        <v>6.2</v>
      </c>
    </row>
    <row r="541" spans="1:28" x14ac:dyDescent="0.2">
      <c r="A541" t="str">
        <f t="shared" si="53"/>
        <v>2003MaleNon-Maori23</v>
      </c>
      <c r="B541">
        <v>2003</v>
      </c>
      <c r="C541" t="s">
        <v>20</v>
      </c>
      <c r="D541" t="s">
        <v>19</v>
      </c>
      <c r="E541">
        <v>23</v>
      </c>
      <c r="F541">
        <v>124</v>
      </c>
      <c r="G541">
        <v>25.4609666954129</v>
      </c>
      <c r="H541">
        <v>4.5</v>
      </c>
      <c r="J541" s="358" t="str">
        <f t="shared" si="54"/>
        <v>2003MaleMaori193</v>
      </c>
      <c r="K541" s="359">
        <v>2003</v>
      </c>
      <c r="L541" t="s">
        <v>20</v>
      </c>
      <c r="M541" t="s">
        <v>18</v>
      </c>
      <c r="N541">
        <v>19</v>
      </c>
      <c r="O541">
        <v>3</v>
      </c>
      <c r="P541">
        <v>14</v>
      </c>
      <c r="Q541">
        <v>28.024576551723001</v>
      </c>
      <c r="R541">
        <v>14.7</v>
      </c>
      <c r="T541" s="358" t="str">
        <f t="shared" si="55"/>
        <v>1998FemaleMaori21Hanging, strangulation and suffocation</v>
      </c>
      <c r="U541" s="360">
        <v>1998</v>
      </c>
      <c r="V541" s="360" t="s">
        <v>8</v>
      </c>
      <c r="W541" s="360" t="s">
        <v>18</v>
      </c>
      <c r="X541" s="360">
        <v>21</v>
      </c>
      <c r="Y541" s="360" t="s">
        <v>43</v>
      </c>
      <c r="Z541" s="360">
        <v>3</v>
      </c>
      <c r="AA541" s="360">
        <v>3</v>
      </c>
      <c r="AB541" s="360">
        <v>100</v>
      </c>
    </row>
    <row r="542" spans="1:28" x14ac:dyDescent="0.2">
      <c r="A542" t="str">
        <f t="shared" si="53"/>
        <v>2003MaleNon-Maori24</v>
      </c>
      <c r="B542">
        <v>2003</v>
      </c>
      <c r="C542" t="s">
        <v>20</v>
      </c>
      <c r="D542" t="s">
        <v>19</v>
      </c>
      <c r="E542">
        <v>24</v>
      </c>
      <c r="F542">
        <v>96</v>
      </c>
      <c r="G542">
        <v>23.3804188991719</v>
      </c>
      <c r="H542">
        <v>4.7</v>
      </c>
      <c r="J542" s="358" t="str">
        <f t="shared" si="54"/>
        <v>2003MaleMaori194</v>
      </c>
      <c r="K542" s="359">
        <v>2003</v>
      </c>
      <c r="L542" t="s">
        <v>20</v>
      </c>
      <c r="M542" t="s">
        <v>18</v>
      </c>
      <c r="N542">
        <v>19</v>
      </c>
      <c r="O542">
        <v>4</v>
      </c>
      <c r="P542">
        <v>14</v>
      </c>
      <c r="Q542">
        <v>20.519137857722502</v>
      </c>
      <c r="R542">
        <v>10.7</v>
      </c>
      <c r="T542" s="358" t="str">
        <f t="shared" si="55"/>
        <v>1998FemaleMaori22Hanging, strangulation and suffocation</v>
      </c>
      <c r="U542" s="360">
        <v>1998</v>
      </c>
      <c r="V542" s="360" t="s">
        <v>8</v>
      </c>
      <c r="W542" s="360" t="s">
        <v>18</v>
      </c>
      <c r="X542" s="360">
        <v>22</v>
      </c>
      <c r="Y542" s="360" t="s">
        <v>43</v>
      </c>
      <c r="Z542" s="360">
        <v>9</v>
      </c>
      <c r="AA542" s="360">
        <v>13</v>
      </c>
      <c r="AB542" s="360">
        <v>69.2</v>
      </c>
    </row>
    <row r="543" spans="1:28" x14ac:dyDescent="0.2">
      <c r="A543" t="str">
        <f t="shared" si="53"/>
        <v>2003MaleNon-Maori25</v>
      </c>
      <c r="B543">
        <v>2003</v>
      </c>
      <c r="C543" t="s">
        <v>20</v>
      </c>
      <c r="D543" t="s">
        <v>19</v>
      </c>
      <c r="E543">
        <v>25</v>
      </c>
      <c r="F543">
        <v>46</v>
      </c>
      <c r="G543">
        <v>23.013808284970999</v>
      </c>
      <c r="H543">
        <v>6.7</v>
      </c>
      <c r="J543" s="358" t="str">
        <f t="shared" si="54"/>
        <v>2003MaleMaori195</v>
      </c>
      <c r="K543" s="359">
        <v>2003</v>
      </c>
      <c r="L543" t="s">
        <v>20</v>
      </c>
      <c r="M543" t="s">
        <v>18</v>
      </c>
      <c r="N543">
        <v>19</v>
      </c>
      <c r="O543">
        <v>5</v>
      </c>
      <c r="P543">
        <v>30</v>
      </c>
      <c r="Q543">
        <v>26.426577062394699</v>
      </c>
      <c r="R543">
        <v>9.5</v>
      </c>
      <c r="T543" s="358" t="str">
        <f t="shared" si="55"/>
        <v>1998FemaleMaori23Hanging, strangulation and suffocation</v>
      </c>
      <c r="U543" s="360">
        <v>1998</v>
      </c>
      <c r="V543" s="360" t="s">
        <v>8</v>
      </c>
      <c r="W543" s="360" t="s">
        <v>18</v>
      </c>
      <c r="X543" s="360">
        <v>23</v>
      </c>
      <c r="Y543" s="360" t="s">
        <v>43</v>
      </c>
      <c r="Z543" s="360">
        <v>5</v>
      </c>
      <c r="AA543" s="360">
        <v>7</v>
      </c>
      <c r="AB543" s="360">
        <v>71.400000000000006</v>
      </c>
    </row>
    <row r="544" spans="1:28" x14ac:dyDescent="0.2">
      <c r="A544" t="str">
        <f t="shared" si="53"/>
        <v>2004AllSexAllEth21</v>
      </c>
      <c r="B544">
        <v>2004</v>
      </c>
      <c r="C544" t="s">
        <v>17</v>
      </c>
      <c r="D544" t="s">
        <v>27</v>
      </c>
      <c r="E544">
        <v>21</v>
      </c>
      <c r="F544">
        <v>6</v>
      </c>
      <c r="J544" s="358" t="str">
        <f t="shared" si="54"/>
        <v>2004MaleMaori191</v>
      </c>
      <c r="K544" s="359">
        <v>2004</v>
      </c>
      <c r="L544" t="s">
        <v>20</v>
      </c>
      <c r="M544" t="s">
        <v>18</v>
      </c>
      <c r="N544">
        <v>19</v>
      </c>
      <c r="O544">
        <v>1</v>
      </c>
      <c r="P544">
        <v>2</v>
      </c>
      <c r="Q544">
        <v>7.6580081112988196</v>
      </c>
      <c r="R544">
        <v>10.6</v>
      </c>
      <c r="T544" s="358" t="str">
        <f t="shared" si="55"/>
        <v>1998FemaleMaori23Other</v>
      </c>
      <c r="U544" s="360">
        <v>1998</v>
      </c>
      <c r="V544" s="360" t="s">
        <v>8</v>
      </c>
      <c r="W544" s="360" t="s">
        <v>18</v>
      </c>
      <c r="X544" s="360">
        <v>23</v>
      </c>
      <c r="Y544" s="360" t="s">
        <v>45</v>
      </c>
      <c r="Z544" s="360">
        <v>1</v>
      </c>
      <c r="AA544" s="360">
        <v>7</v>
      </c>
      <c r="AB544" s="360">
        <v>14.3</v>
      </c>
    </row>
    <row r="545" spans="1:28" x14ac:dyDescent="0.2">
      <c r="A545" t="str">
        <f t="shared" si="53"/>
        <v>2004AllSexAllEth22</v>
      </c>
      <c r="B545">
        <v>2004</v>
      </c>
      <c r="C545" t="s">
        <v>17</v>
      </c>
      <c r="D545" t="s">
        <v>27</v>
      </c>
      <c r="E545">
        <v>22</v>
      </c>
      <c r="F545">
        <v>114</v>
      </c>
      <c r="G545">
        <v>19.449941991401101</v>
      </c>
      <c r="H545">
        <v>3.6</v>
      </c>
      <c r="J545" s="358" t="str">
        <f t="shared" si="54"/>
        <v>2004MaleMaori192</v>
      </c>
      <c r="K545" s="359">
        <v>2004</v>
      </c>
      <c r="L545" t="s">
        <v>20</v>
      </c>
      <c r="M545" t="s">
        <v>18</v>
      </c>
      <c r="N545">
        <v>19</v>
      </c>
      <c r="O545">
        <v>2</v>
      </c>
      <c r="P545">
        <v>8</v>
      </c>
      <c r="Q545">
        <v>25.179207442834901</v>
      </c>
      <c r="R545">
        <v>17.399999999999999</v>
      </c>
      <c r="T545" s="358" t="str">
        <f t="shared" si="55"/>
        <v>1998FemaleMaori22Poisoning by solids and liquids</v>
      </c>
      <c r="U545" s="360">
        <v>1998</v>
      </c>
      <c r="V545" s="360" t="s">
        <v>8</v>
      </c>
      <c r="W545" s="360" t="s">
        <v>18</v>
      </c>
      <c r="X545" s="360">
        <v>22</v>
      </c>
      <c r="Y545" s="360" t="s">
        <v>47</v>
      </c>
      <c r="Z545" s="360">
        <v>4</v>
      </c>
      <c r="AA545" s="360">
        <v>13</v>
      </c>
      <c r="AB545" s="360">
        <v>30.8</v>
      </c>
    </row>
    <row r="546" spans="1:28" x14ac:dyDescent="0.2">
      <c r="A546" t="str">
        <f t="shared" si="53"/>
        <v>2004AllSexAllEth23</v>
      </c>
      <c r="B546">
        <v>2004</v>
      </c>
      <c r="C546" t="s">
        <v>17</v>
      </c>
      <c r="D546" t="s">
        <v>27</v>
      </c>
      <c r="E546">
        <v>23</v>
      </c>
      <c r="F546">
        <v>201</v>
      </c>
      <c r="G546">
        <v>17.0137125444388</v>
      </c>
      <c r="H546">
        <v>2.4</v>
      </c>
      <c r="J546" s="358" t="str">
        <f t="shared" si="54"/>
        <v>2004MaleMaori193</v>
      </c>
      <c r="K546" s="359">
        <v>2004</v>
      </c>
      <c r="L546" t="s">
        <v>20</v>
      </c>
      <c r="M546" t="s">
        <v>18</v>
      </c>
      <c r="N546">
        <v>19</v>
      </c>
      <c r="O546">
        <v>3</v>
      </c>
      <c r="P546">
        <v>6</v>
      </c>
      <c r="Q546">
        <v>11.7648338720465</v>
      </c>
      <c r="R546">
        <v>9.4</v>
      </c>
      <c r="T546" s="358" t="str">
        <f t="shared" si="55"/>
        <v>1998FemaleMaori23Poisoning by solids and liquids</v>
      </c>
      <c r="U546" s="360">
        <v>1998</v>
      </c>
      <c r="V546" s="360" t="s">
        <v>8</v>
      </c>
      <c r="W546" s="360" t="s">
        <v>18</v>
      </c>
      <c r="X546" s="360">
        <v>23</v>
      </c>
      <c r="Y546" s="360" t="s">
        <v>47</v>
      </c>
      <c r="Z546" s="360">
        <v>1</v>
      </c>
      <c r="AA546" s="360">
        <v>7</v>
      </c>
      <c r="AB546" s="360">
        <v>14.3</v>
      </c>
    </row>
    <row r="547" spans="1:28" x14ac:dyDescent="0.2">
      <c r="A547" t="str">
        <f t="shared" si="53"/>
        <v>2004AllSexAllEth24</v>
      </c>
      <c r="B547">
        <v>2004</v>
      </c>
      <c r="C547" t="s">
        <v>17</v>
      </c>
      <c r="D547" t="s">
        <v>27</v>
      </c>
      <c r="E547">
        <v>24</v>
      </c>
      <c r="F547">
        <v>118</v>
      </c>
      <c r="G547">
        <v>12.500662111340599</v>
      </c>
      <c r="H547">
        <v>2.2999999999999998</v>
      </c>
      <c r="J547" s="358" t="str">
        <f t="shared" si="54"/>
        <v>2004MaleMaori194</v>
      </c>
      <c r="K547" s="359">
        <v>2004</v>
      </c>
      <c r="L547" t="s">
        <v>20</v>
      </c>
      <c r="M547" t="s">
        <v>18</v>
      </c>
      <c r="N547">
        <v>19</v>
      </c>
      <c r="O547">
        <v>4</v>
      </c>
      <c r="P547">
        <v>23</v>
      </c>
      <c r="Q547">
        <v>35.083602009879499</v>
      </c>
      <c r="R547">
        <v>14.3</v>
      </c>
      <c r="T547" s="358" t="str">
        <f t="shared" si="55"/>
        <v>1998FemaleMaori24Poisoning by solids and liquids</v>
      </c>
      <c r="U547" s="360">
        <v>1998</v>
      </c>
      <c r="V547" s="360" t="s">
        <v>8</v>
      </c>
      <c r="W547" s="360" t="s">
        <v>18</v>
      </c>
      <c r="X547" s="360">
        <v>24</v>
      </c>
      <c r="Y547" s="360" t="s">
        <v>47</v>
      </c>
      <c r="Z547" s="360">
        <v>2</v>
      </c>
      <c r="AA547" s="360">
        <v>2</v>
      </c>
      <c r="AB547" s="360">
        <v>100</v>
      </c>
    </row>
    <row r="548" spans="1:28" x14ac:dyDescent="0.2">
      <c r="A548" t="str">
        <f t="shared" si="53"/>
        <v>2004AllSexAllEth25</v>
      </c>
      <c r="B548">
        <v>2004</v>
      </c>
      <c r="C548" t="s">
        <v>17</v>
      </c>
      <c r="D548" t="s">
        <v>27</v>
      </c>
      <c r="E548">
        <v>25</v>
      </c>
      <c r="F548">
        <v>55</v>
      </c>
      <c r="G548">
        <v>11.345820612261701</v>
      </c>
      <c r="H548">
        <v>3</v>
      </c>
      <c r="J548" s="358" t="str">
        <f t="shared" si="54"/>
        <v>2004MaleMaori195</v>
      </c>
      <c r="K548" s="359">
        <v>2004</v>
      </c>
      <c r="L548" t="s">
        <v>20</v>
      </c>
      <c r="M548" t="s">
        <v>18</v>
      </c>
      <c r="N548">
        <v>19</v>
      </c>
      <c r="O548">
        <v>5</v>
      </c>
      <c r="P548">
        <v>42</v>
      </c>
      <c r="Q548">
        <v>39.301460309223103</v>
      </c>
      <c r="R548">
        <v>11.9</v>
      </c>
      <c r="T548" s="358" t="str">
        <f t="shared" si="55"/>
        <v>1998FemaleNon-Maori24Firearms and explosives</v>
      </c>
      <c r="U548" s="360">
        <v>1998</v>
      </c>
      <c r="V548" s="360" t="s">
        <v>8</v>
      </c>
      <c r="W548" s="360" t="s">
        <v>19</v>
      </c>
      <c r="X548" s="360">
        <v>24</v>
      </c>
      <c r="Y548" s="360" t="s">
        <v>42</v>
      </c>
      <c r="Z548" s="360">
        <v>1</v>
      </c>
      <c r="AA548" s="360">
        <v>22</v>
      </c>
      <c r="AB548" s="360">
        <v>4.5</v>
      </c>
    </row>
    <row r="549" spans="1:28" x14ac:dyDescent="0.2">
      <c r="A549" t="str">
        <f t="shared" si="53"/>
        <v>2004AllSexMaori21</v>
      </c>
      <c r="B549">
        <v>2004</v>
      </c>
      <c r="C549" t="s">
        <v>17</v>
      </c>
      <c r="D549" t="s">
        <v>18</v>
      </c>
      <c r="E549">
        <v>21</v>
      </c>
      <c r="F549">
        <v>3</v>
      </c>
      <c r="J549" s="358" t="str">
        <f t="shared" si="54"/>
        <v>2005MaleMaori191</v>
      </c>
      <c r="K549" s="359">
        <v>2005</v>
      </c>
      <c r="L549" t="s">
        <v>20</v>
      </c>
      <c r="M549" t="s">
        <v>18</v>
      </c>
      <c r="N549">
        <v>19</v>
      </c>
      <c r="O549">
        <v>1</v>
      </c>
      <c r="P549">
        <v>2</v>
      </c>
      <c r="Q549">
        <v>9.1711561818240099</v>
      </c>
      <c r="R549">
        <v>12.7</v>
      </c>
      <c r="T549" s="358" t="str">
        <f t="shared" si="55"/>
        <v>1998FemaleNon-Maori22Hanging, strangulation and suffocation</v>
      </c>
      <c r="U549" s="360">
        <v>1998</v>
      </c>
      <c r="V549" s="360" t="s">
        <v>8</v>
      </c>
      <c r="W549" s="360" t="s">
        <v>19</v>
      </c>
      <c r="X549" s="360">
        <v>22</v>
      </c>
      <c r="Y549" s="360" t="s">
        <v>43</v>
      </c>
      <c r="Z549" s="360">
        <v>12</v>
      </c>
      <c r="AA549" s="360">
        <v>22</v>
      </c>
      <c r="AB549" s="360">
        <v>54.5</v>
      </c>
    </row>
    <row r="550" spans="1:28" x14ac:dyDescent="0.2">
      <c r="A550" t="str">
        <f t="shared" si="53"/>
        <v>2004AllSexMaori22</v>
      </c>
      <c r="B550">
        <v>2004</v>
      </c>
      <c r="C550" t="s">
        <v>17</v>
      </c>
      <c r="D550" t="s">
        <v>18</v>
      </c>
      <c r="E550">
        <v>22</v>
      </c>
      <c r="F550">
        <v>42</v>
      </c>
      <c r="G550">
        <v>37.732458898571601</v>
      </c>
      <c r="H550">
        <v>11.4</v>
      </c>
      <c r="J550" s="358" t="str">
        <f t="shared" si="54"/>
        <v>2005MaleMaori192</v>
      </c>
      <c r="K550" s="359">
        <v>2005</v>
      </c>
      <c r="L550" t="s">
        <v>20</v>
      </c>
      <c r="M550" t="s">
        <v>18</v>
      </c>
      <c r="N550">
        <v>19</v>
      </c>
      <c r="O550">
        <v>2</v>
      </c>
      <c r="P550">
        <v>7</v>
      </c>
      <c r="Q550">
        <v>19.072426010463801</v>
      </c>
      <c r="R550">
        <v>14.1</v>
      </c>
      <c r="T550" s="358" t="str">
        <f t="shared" si="55"/>
        <v>1998FemaleNon-Maori23Hanging, strangulation and suffocation</v>
      </c>
      <c r="U550" s="360">
        <v>1998</v>
      </c>
      <c r="V550" s="360" t="s">
        <v>8</v>
      </c>
      <c r="W550" s="360" t="s">
        <v>19</v>
      </c>
      <c r="X550" s="360">
        <v>23</v>
      </c>
      <c r="Y550" s="360" t="s">
        <v>43</v>
      </c>
      <c r="Z550" s="360">
        <v>27</v>
      </c>
      <c r="AA550" s="360">
        <v>47</v>
      </c>
      <c r="AB550" s="360">
        <v>57.4</v>
      </c>
    </row>
    <row r="551" spans="1:28" x14ac:dyDescent="0.2">
      <c r="A551" t="str">
        <f t="shared" si="53"/>
        <v>2004AllSexMaori23</v>
      </c>
      <c r="B551">
        <v>2004</v>
      </c>
      <c r="C551" t="s">
        <v>17</v>
      </c>
      <c r="D551" t="s">
        <v>18</v>
      </c>
      <c r="E551">
        <v>23</v>
      </c>
      <c r="F551">
        <v>55</v>
      </c>
      <c r="G551">
        <v>32.433069937492597</v>
      </c>
      <c r="H551">
        <v>8.6</v>
      </c>
      <c r="J551" s="358" t="str">
        <f t="shared" si="54"/>
        <v>2005MaleMaori193</v>
      </c>
      <c r="K551" s="359">
        <v>2005</v>
      </c>
      <c r="L551" t="s">
        <v>20</v>
      </c>
      <c r="M551" t="s">
        <v>18</v>
      </c>
      <c r="N551">
        <v>19</v>
      </c>
      <c r="O551">
        <v>3</v>
      </c>
      <c r="P551">
        <v>7</v>
      </c>
      <c r="Q551">
        <v>14.353591018868199</v>
      </c>
      <c r="R551">
        <v>10.6</v>
      </c>
      <c r="T551" s="358" t="str">
        <f t="shared" si="55"/>
        <v>1998FemaleNon-Maori24Hanging, strangulation and suffocation</v>
      </c>
      <c r="U551" s="360">
        <v>1998</v>
      </c>
      <c r="V551" s="360" t="s">
        <v>8</v>
      </c>
      <c r="W551" s="360" t="s">
        <v>19</v>
      </c>
      <c r="X551" s="360">
        <v>24</v>
      </c>
      <c r="Y551" s="360" t="s">
        <v>43</v>
      </c>
      <c r="Z551" s="360">
        <v>1</v>
      </c>
      <c r="AA551" s="360">
        <v>22</v>
      </c>
      <c r="AB551" s="360">
        <v>4.5</v>
      </c>
    </row>
    <row r="552" spans="1:28" x14ac:dyDescent="0.2">
      <c r="A552" t="str">
        <f t="shared" si="53"/>
        <v>2004AllSexMaori24</v>
      </c>
      <c r="B552">
        <v>2004</v>
      </c>
      <c r="C552" t="s">
        <v>17</v>
      </c>
      <c r="D552" t="s">
        <v>18</v>
      </c>
      <c r="E552">
        <v>24</v>
      </c>
      <c r="F552">
        <v>9</v>
      </c>
      <c r="G552">
        <v>10.058113544926201</v>
      </c>
      <c r="H552">
        <v>6.6</v>
      </c>
      <c r="J552" s="358" t="str">
        <f t="shared" si="54"/>
        <v>2005MaleMaori194</v>
      </c>
      <c r="K552" s="359">
        <v>2005</v>
      </c>
      <c r="L552" t="s">
        <v>20</v>
      </c>
      <c r="M552" t="s">
        <v>18</v>
      </c>
      <c r="N552">
        <v>19</v>
      </c>
      <c r="O552">
        <v>4</v>
      </c>
      <c r="P552">
        <v>19</v>
      </c>
      <c r="Q552">
        <v>26.667750449804799</v>
      </c>
      <c r="R552">
        <v>12</v>
      </c>
      <c r="T552" s="358" t="str">
        <f t="shared" si="55"/>
        <v>1998FemaleNon-Maori25Hanging, strangulation and suffocation</v>
      </c>
      <c r="U552" s="360">
        <v>1998</v>
      </c>
      <c r="V552" s="360" t="s">
        <v>8</v>
      </c>
      <c r="W552" s="360" t="s">
        <v>19</v>
      </c>
      <c r="X552" s="360">
        <v>25</v>
      </c>
      <c r="Y552" s="360" t="s">
        <v>43</v>
      </c>
      <c r="Z552" s="360">
        <v>4</v>
      </c>
      <c r="AA552" s="360">
        <v>16</v>
      </c>
      <c r="AB552" s="360">
        <v>25</v>
      </c>
    </row>
    <row r="553" spans="1:28" x14ac:dyDescent="0.2">
      <c r="A553" t="str">
        <f t="shared" si="53"/>
        <v>2004AllSexMaori25</v>
      </c>
      <c r="B553">
        <v>2004</v>
      </c>
      <c r="C553" t="s">
        <v>17</v>
      </c>
      <c r="D553" t="s">
        <v>18</v>
      </c>
      <c r="E553">
        <v>25</v>
      </c>
      <c r="F553">
        <v>2</v>
      </c>
      <c r="G553">
        <v>8.6805555555555607</v>
      </c>
      <c r="H553">
        <v>12</v>
      </c>
      <c r="J553" s="358" t="str">
        <f t="shared" si="54"/>
        <v>2005MaleMaori195</v>
      </c>
      <c r="K553" s="359">
        <v>2005</v>
      </c>
      <c r="L553" t="s">
        <v>20</v>
      </c>
      <c r="M553" t="s">
        <v>18</v>
      </c>
      <c r="N553">
        <v>19</v>
      </c>
      <c r="O553">
        <v>5</v>
      </c>
      <c r="P553">
        <v>39</v>
      </c>
      <c r="Q553">
        <v>37.569508011026599</v>
      </c>
      <c r="R553">
        <v>11.8</v>
      </c>
      <c r="T553" s="358" t="str">
        <f t="shared" si="55"/>
        <v>1998FemaleNon-Maori23Jumping from a high place</v>
      </c>
      <c r="U553" s="360">
        <v>1998</v>
      </c>
      <c r="V553" s="360" t="s">
        <v>8</v>
      </c>
      <c r="W553" s="360" t="s">
        <v>19</v>
      </c>
      <c r="X553" s="360">
        <v>23</v>
      </c>
      <c r="Y553" s="360" t="s">
        <v>44</v>
      </c>
      <c r="Z553" s="360">
        <v>3</v>
      </c>
      <c r="AA553" s="360">
        <v>47</v>
      </c>
      <c r="AB553" s="360">
        <v>6.4</v>
      </c>
    </row>
    <row r="554" spans="1:28" x14ac:dyDescent="0.2">
      <c r="A554" t="str">
        <f t="shared" si="53"/>
        <v>2004AllSexNon-Maori21</v>
      </c>
      <c r="B554">
        <v>2004</v>
      </c>
      <c r="C554" t="s">
        <v>17</v>
      </c>
      <c r="D554" t="s">
        <v>19</v>
      </c>
      <c r="E554">
        <v>21</v>
      </c>
      <c r="F554">
        <v>3</v>
      </c>
      <c r="J554" s="358" t="str">
        <f t="shared" si="54"/>
        <v>2006MaleMaori191</v>
      </c>
      <c r="K554" s="359">
        <v>2006</v>
      </c>
      <c r="L554" t="s">
        <v>20</v>
      </c>
      <c r="M554" t="s">
        <v>18</v>
      </c>
      <c r="N554">
        <v>19</v>
      </c>
      <c r="O554">
        <v>1</v>
      </c>
      <c r="P554">
        <v>6</v>
      </c>
      <c r="Q554">
        <v>26.1204377504429</v>
      </c>
      <c r="R554">
        <v>20.9</v>
      </c>
      <c r="T554" s="358" t="str">
        <f t="shared" si="55"/>
        <v>1998FemaleNon-Maori24Jumping from a high place</v>
      </c>
      <c r="U554" s="360">
        <v>1998</v>
      </c>
      <c r="V554" s="360" t="s">
        <v>8</v>
      </c>
      <c r="W554" s="360" t="s">
        <v>19</v>
      </c>
      <c r="X554" s="360">
        <v>24</v>
      </c>
      <c r="Y554" s="360" t="s">
        <v>44</v>
      </c>
      <c r="Z554" s="360">
        <v>1</v>
      </c>
      <c r="AA554" s="360">
        <v>22</v>
      </c>
      <c r="AB554" s="360">
        <v>4.5</v>
      </c>
    </row>
    <row r="555" spans="1:28" x14ac:dyDescent="0.2">
      <c r="A555" t="str">
        <f t="shared" si="53"/>
        <v>2004AllSexNon-Maori22</v>
      </c>
      <c r="B555">
        <v>2004</v>
      </c>
      <c r="C555" t="s">
        <v>17</v>
      </c>
      <c r="D555" t="s">
        <v>19</v>
      </c>
      <c r="E555">
        <v>22</v>
      </c>
      <c r="F555">
        <v>72</v>
      </c>
      <c r="G555">
        <v>15.163960320970499</v>
      </c>
      <c r="H555">
        <v>3.5</v>
      </c>
      <c r="J555" s="358" t="str">
        <f t="shared" si="54"/>
        <v>2006MaleMaori192</v>
      </c>
      <c r="K555" s="359">
        <v>2006</v>
      </c>
      <c r="L555" t="s">
        <v>20</v>
      </c>
      <c r="M555" t="s">
        <v>18</v>
      </c>
      <c r="N555">
        <v>19</v>
      </c>
      <c r="O555">
        <v>2</v>
      </c>
      <c r="P555">
        <v>6</v>
      </c>
      <c r="Q555">
        <v>17.161184366023502</v>
      </c>
      <c r="R555">
        <v>13.7</v>
      </c>
      <c r="T555" s="358" t="str">
        <f t="shared" si="55"/>
        <v>1998FemaleNon-Maori25Jumping from a high place</v>
      </c>
      <c r="U555" s="360">
        <v>1998</v>
      </c>
      <c r="V555" s="360" t="s">
        <v>8</v>
      </c>
      <c r="W555" s="360" t="s">
        <v>19</v>
      </c>
      <c r="X555" s="360">
        <v>25</v>
      </c>
      <c r="Y555" s="360" t="s">
        <v>44</v>
      </c>
      <c r="Z555" s="360">
        <v>1</v>
      </c>
      <c r="AA555" s="360">
        <v>16</v>
      </c>
      <c r="AB555" s="360">
        <v>6.2</v>
      </c>
    </row>
    <row r="556" spans="1:28" x14ac:dyDescent="0.2">
      <c r="A556" t="str">
        <f t="shared" si="53"/>
        <v>2004AllSexNon-Maori23</v>
      </c>
      <c r="B556">
        <v>2004</v>
      </c>
      <c r="C556" t="s">
        <v>17</v>
      </c>
      <c r="D556" t="s">
        <v>19</v>
      </c>
      <c r="E556">
        <v>23</v>
      </c>
      <c r="F556">
        <v>146</v>
      </c>
      <c r="G556">
        <v>14.429443972248</v>
      </c>
      <c r="H556">
        <v>2.2999999999999998</v>
      </c>
      <c r="J556" s="358" t="str">
        <f t="shared" si="54"/>
        <v>2006MaleMaori193</v>
      </c>
      <c r="K556" s="359">
        <v>2006</v>
      </c>
      <c r="L556" t="s">
        <v>20</v>
      </c>
      <c r="M556" t="s">
        <v>18</v>
      </c>
      <c r="N556">
        <v>19</v>
      </c>
      <c r="O556">
        <v>3</v>
      </c>
      <c r="P556">
        <v>7</v>
      </c>
      <c r="Q556">
        <v>14.117594148245701</v>
      </c>
      <c r="R556">
        <v>10.5</v>
      </c>
      <c r="T556" s="358" t="str">
        <f t="shared" si="55"/>
        <v>1998FemaleNon-Maori22Other</v>
      </c>
      <c r="U556" s="360">
        <v>1998</v>
      </c>
      <c r="V556" s="360" t="s">
        <v>8</v>
      </c>
      <c r="W556" s="360" t="s">
        <v>19</v>
      </c>
      <c r="X556" s="360">
        <v>22</v>
      </c>
      <c r="Y556" s="360" t="s">
        <v>45</v>
      </c>
      <c r="Z556" s="360">
        <v>2</v>
      </c>
      <c r="AA556" s="360">
        <v>22</v>
      </c>
      <c r="AB556" s="360">
        <v>9.1</v>
      </c>
    </row>
    <row r="557" spans="1:28" x14ac:dyDescent="0.2">
      <c r="A557" t="str">
        <f t="shared" si="53"/>
        <v>2004AllSexNon-Maori24</v>
      </c>
      <c r="B557">
        <v>2004</v>
      </c>
      <c r="C557" t="s">
        <v>17</v>
      </c>
      <c r="D557" t="s">
        <v>19</v>
      </c>
      <c r="E557">
        <v>24</v>
      </c>
      <c r="F557">
        <v>109</v>
      </c>
      <c r="G557">
        <v>12.756445515933899</v>
      </c>
      <c r="H557">
        <v>2.4</v>
      </c>
      <c r="J557" s="358" t="str">
        <f t="shared" si="54"/>
        <v>2006MaleMaori194</v>
      </c>
      <c r="K557" s="359">
        <v>2006</v>
      </c>
      <c r="L557" t="s">
        <v>20</v>
      </c>
      <c r="M557" t="s">
        <v>18</v>
      </c>
      <c r="N557">
        <v>19</v>
      </c>
      <c r="O557">
        <v>4</v>
      </c>
      <c r="P557">
        <v>18</v>
      </c>
      <c r="Q557">
        <v>26.6379082307303</v>
      </c>
      <c r="R557">
        <v>12.3</v>
      </c>
      <c r="T557" s="358" t="str">
        <f t="shared" si="55"/>
        <v>1998FemaleNon-Maori23Other</v>
      </c>
      <c r="U557" s="360">
        <v>1998</v>
      </c>
      <c r="V557" s="360" t="s">
        <v>8</v>
      </c>
      <c r="W557" s="360" t="s">
        <v>19</v>
      </c>
      <c r="X557" s="360">
        <v>23</v>
      </c>
      <c r="Y557" s="360" t="s">
        <v>45</v>
      </c>
      <c r="Z557" s="360">
        <v>1</v>
      </c>
      <c r="AA557" s="360">
        <v>47</v>
      </c>
      <c r="AB557" s="360">
        <v>2.1</v>
      </c>
    </row>
    <row r="558" spans="1:28" x14ac:dyDescent="0.2">
      <c r="A558" t="str">
        <f t="shared" si="53"/>
        <v>2004AllSexNon-Maori25</v>
      </c>
      <c r="B558">
        <v>2004</v>
      </c>
      <c r="C558" t="s">
        <v>17</v>
      </c>
      <c r="D558" t="s">
        <v>19</v>
      </c>
      <c r="E558">
        <v>25</v>
      </c>
      <c r="F558">
        <v>53</v>
      </c>
      <c r="G558">
        <v>11.478818331456299</v>
      </c>
      <c r="H558">
        <v>3.1</v>
      </c>
      <c r="J558" s="358" t="str">
        <f t="shared" si="54"/>
        <v>2006MaleMaori195</v>
      </c>
      <c r="K558" s="359">
        <v>2006</v>
      </c>
      <c r="L558" t="s">
        <v>20</v>
      </c>
      <c r="M558" t="s">
        <v>18</v>
      </c>
      <c r="N558">
        <v>19</v>
      </c>
      <c r="O558">
        <v>5</v>
      </c>
      <c r="P558">
        <v>38</v>
      </c>
      <c r="Q558">
        <v>32.974374863619303</v>
      </c>
      <c r="R558">
        <v>10.5</v>
      </c>
      <c r="T558" s="358" t="str">
        <f t="shared" si="55"/>
        <v>1998FemaleNon-Maori24Other</v>
      </c>
      <c r="U558" s="360">
        <v>1998</v>
      </c>
      <c r="V558" s="360" t="s">
        <v>8</v>
      </c>
      <c r="W558" s="360" t="s">
        <v>19</v>
      </c>
      <c r="X558" s="360">
        <v>24</v>
      </c>
      <c r="Y558" s="360" t="s">
        <v>45</v>
      </c>
      <c r="Z558" s="360">
        <v>1</v>
      </c>
      <c r="AA558" s="360">
        <v>22</v>
      </c>
      <c r="AB558" s="360">
        <v>4.5</v>
      </c>
    </row>
    <row r="559" spans="1:28" x14ac:dyDescent="0.2">
      <c r="A559" t="str">
        <f t="shared" si="53"/>
        <v>2004FemaleAllEth21</v>
      </c>
      <c r="B559">
        <v>2004</v>
      </c>
      <c r="C559" t="s">
        <v>8</v>
      </c>
      <c r="D559" t="s">
        <v>27</v>
      </c>
      <c r="E559">
        <v>21</v>
      </c>
      <c r="F559">
        <v>2</v>
      </c>
      <c r="J559" s="358" t="str">
        <f t="shared" si="54"/>
        <v>2007MaleMaori191</v>
      </c>
      <c r="K559" s="359">
        <v>2007</v>
      </c>
      <c r="L559" t="s">
        <v>20</v>
      </c>
      <c r="M559" t="s">
        <v>18</v>
      </c>
      <c r="N559">
        <v>19</v>
      </c>
      <c r="O559">
        <v>1</v>
      </c>
      <c r="P559">
        <v>9</v>
      </c>
      <c r="Q559">
        <v>38.447830593242998</v>
      </c>
      <c r="R559">
        <v>25.1</v>
      </c>
      <c r="T559" s="358" t="str">
        <f t="shared" si="55"/>
        <v>1998FemaleNon-Maori25Other</v>
      </c>
      <c r="U559" s="360">
        <v>1998</v>
      </c>
      <c r="V559" s="360" t="s">
        <v>8</v>
      </c>
      <c r="W559" s="360" t="s">
        <v>19</v>
      </c>
      <c r="X559" s="360">
        <v>25</v>
      </c>
      <c r="Y559" s="360" t="s">
        <v>45</v>
      </c>
      <c r="Z559" s="360">
        <v>1</v>
      </c>
      <c r="AA559" s="360">
        <v>16</v>
      </c>
      <c r="AB559" s="360">
        <v>6.2</v>
      </c>
    </row>
    <row r="560" spans="1:28" x14ac:dyDescent="0.2">
      <c r="A560" t="str">
        <f t="shared" si="53"/>
        <v>2004FemaleAllEth22</v>
      </c>
      <c r="B560">
        <v>2004</v>
      </c>
      <c r="C560" t="s">
        <v>8</v>
      </c>
      <c r="D560" t="s">
        <v>27</v>
      </c>
      <c r="E560">
        <v>22</v>
      </c>
      <c r="F560">
        <v>31</v>
      </c>
      <c r="G560">
        <v>10.711447427525</v>
      </c>
      <c r="H560">
        <v>3.8</v>
      </c>
      <c r="J560" s="358" t="str">
        <f t="shared" si="54"/>
        <v>2007MaleMaori192</v>
      </c>
      <c r="K560" s="359">
        <v>2007</v>
      </c>
      <c r="L560" t="s">
        <v>20</v>
      </c>
      <c r="M560" t="s">
        <v>18</v>
      </c>
      <c r="N560">
        <v>19</v>
      </c>
      <c r="O560">
        <v>2</v>
      </c>
      <c r="P560">
        <v>4</v>
      </c>
      <c r="Q560">
        <v>11.3592963415695</v>
      </c>
      <c r="R560">
        <v>11.1</v>
      </c>
      <c r="T560" s="358" t="str">
        <f t="shared" si="55"/>
        <v>1998FemaleNon-Maori22Poisoning by gases and vapours</v>
      </c>
      <c r="U560" s="360">
        <v>1998</v>
      </c>
      <c r="V560" s="360" t="s">
        <v>8</v>
      </c>
      <c r="W560" s="360" t="s">
        <v>19</v>
      </c>
      <c r="X560" s="360">
        <v>22</v>
      </c>
      <c r="Y560" s="360" t="s">
        <v>46</v>
      </c>
      <c r="Z560" s="360">
        <v>2</v>
      </c>
      <c r="AA560" s="360">
        <v>22</v>
      </c>
      <c r="AB560" s="360">
        <v>9.1</v>
      </c>
    </row>
    <row r="561" spans="1:28" x14ac:dyDescent="0.2">
      <c r="A561" t="str">
        <f t="shared" si="53"/>
        <v>2004FemaleAllEth23</v>
      </c>
      <c r="B561">
        <v>2004</v>
      </c>
      <c r="C561" t="s">
        <v>8</v>
      </c>
      <c r="D561" t="s">
        <v>27</v>
      </c>
      <c r="E561">
        <v>23</v>
      </c>
      <c r="F561">
        <v>40</v>
      </c>
      <c r="G561">
        <v>6.5392600827216398</v>
      </c>
      <c r="H561">
        <v>2</v>
      </c>
      <c r="J561" s="358" t="str">
        <f t="shared" si="54"/>
        <v>2007MaleMaori193</v>
      </c>
      <c r="K561" s="359">
        <v>2007</v>
      </c>
      <c r="L561" t="s">
        <v>20</v>
      </c>
      <c r="M561" t="s">
        <v>18</v>
      </c>
      <c r="N561">
        <v>19</v>
      </c>
      <c r="O561">
        <v>3</v>
      </c>
      <c r="P561">
        <v>12</v>
      </c>
      <c r="Q561">
        <v>25.2150847706131</v>
      </c>
      <c r="R561">
        <v>14.3</v>
      </c>
      <c r="T561" s="358" t="str">
        <f t="shared" si="55"/>
        <v>1998FemaleNon-Maori23Poisoning by gases and vapours</v>
      </c>
      <c r="U561" s="360">
        <v>1998</v>
      </c>
      <c r="V561" s="360" t="s">
        <v>8</v>
      </c>
      <c r="W561" s="360" t="s">
        <v>19</v>
      </c>
      <c r="X561" s="360">
        <v>23</v>
      </c>
      <c r="Y561" s="360" t="s">
        <v>46</v>
      </c>
      <c r="Z561" s="360">
        <v>8</v>
      </c>
      <c r="AA561" s="360">
        <v>47</v>
      </c>
      <c r="AB561" s="360">
        <v>17</v>
      </c>
    </row>
    <row r="562" spans="1:28" x14ac:dyDescent="0.2">
      <c r="A562" t="str">
        <f t="shared" si="53"/>
        <v>2004FemaleAllEth24</v>
      </c>
      <c r="B562">
        <v>2004</v>
      </c>
      <c r="C562" t="s">
        <v>8</v>
      </c>
      <c r="D562" t="s">
        <v>27</v>
      </c>
      <c r="E562">
        <v>24</v>
      </c>
      <c r="F562">
        <v>30</v>
      </c>
      <c r="G562">
        <v>6.2768071974055903</v>
      </c>
      <c r="H562">
        <v>2.2000000000000002</v>
      </c>
      <c r="J562" s="358" t="str">
        <f t="shared" si="54"/>
        <v>2007MaleMaori194</v>
      </c>
      <c r="K562" s="359">
        <v>2007</v>
      </c>
      <c r="L562" t="s">
        <v>20</v>
      </c>
      <c r="M562" t="s">
        <v>18</v>
      </c>
      <c r="N562">
        <v>19</v>
      </c>
      <c r="O562">
        <v>4</v>
      </c>
      <c r="P562">
        <v>12</v>
      </c>
      <c r="Q562">
        <v>17.2344186669044</v>
      </c>
      <c r="R562">
        <v>9.8000000000000007</v>
      </c>
      <c r="T562" s="358" t="str">
        <f t="shared" si="55"/>
        <v>1998FemaleNon-Maori24Poisoning by gases and vapours</v>
      </c>
      <c r="U562" s="360">
        <v>1998</v>
      </c>
      <c r="V562" s="360" t="s">
        <v>8</v>
      </c>
      <c r="W562" s="360" t="s">
        <v>19</v>
      </c>
      <c r="X562" s="360">
        <v>24</v>
      </c>
      <c r="Y562" s="360" t="s">
        <v>46</v>
      </c>
      <c r="Z562" s="360">
        <v>7</v>
      </c>
      <c r="AA562" s="360">
        <v>22</v>
      </c>
      <c r="AB562" s="360">
        <v>31.8</v>
      </c>
    </row>
    <row r="563" spans="1:28" x14ac:dyDescent="0.2">
      <c r="A563" t="str">
        <f t="shared" si="53"/>
        <v>2004FemaleAllEth25</v>
      </c>
      <c r="B563">
        <v>2004</v>
      </c>
      <c r="C563" t="s">
        <v>8</v>
      </c>
      <c r="D563" t="s">
        <v>27</v>
      </c>
      <c r="E563">
        <v>25</v>
      </c>
      <c r="F563">
        <v>9</v>
      </c>
      <c r="G563">
        <v>3.33123588851464</v>
      </c>
      <c r="H563">
        <v>2.2000000000000002</v>
      </c>
      <c r="J563" s="358" t="str">
        <f t="shared" si="54"/>
        <v>2007MaleMaori195</v>
      </c>
      <c r="K563" s="359">
        <v>2007</v>
      </c>
      <c r="L563" t="s">
        <v>20</v>
      </c>
      <c r="M563" t="s">
        <v>18</v>
      </c>
      <c r="N563">
        <v>19</v>
      </c>
      <c r="O563">
        <v>5</v>
      </c>
      <c r="P563">
        <v>36</v>
      </c>
      <c r="Q563">
        <v>32.638184995194898</v>
      </c>
      <c r="R563">
        <v>10.7</v>
      </c>
      <c r="T563" s="358" t="str">
        <f t="shared" si="55"/>
        <v>1998FemaleNon-Maori25Poisoning by gases and vapours</v>
      </c>
      <c r="U563" s="360">
        <v>1998</v>
      </c>
      <c r="V563" s="360" t="s">
        <v>8</v>
      </c>
      <c r="W563" s="360" t="s">
        <v>19</v>
      </c>
      <c r="X563" s="360">
        <v>25</v>
      </c>
      <c r="Y563" s="360" t="s">
        <v>46</v>
      </c>
      <c r="Z563" s="360">
        <v>6</v>
      </c>
      <c r="AA563" s="360">
        <v>16</v>
      </c>
      <c r="AB563" s="360">
        <v>37.5</v>
      </c>
    </row>
    <row r="564" spans="1:28" x14ac:dyDescent="0.2">
      <c r="A564" t="str">
        <f t="shared" si="53"/>
        <v>2004FemaleMaori21</v>
      </c>
      <c r="B564">
        <v>2004</v>
      </c>
      <c r="C564" t="s">
        <v>8</v>
      </c>
      <c r="D564" t="s">
        <v>18</v>
      </c>
      <c r="E564">
        <v>21</v>
      </c>
      <c r="F564">
        <v>1</v>
      </c>
      <c r="J564" s="358" t="str">
        <f t="shared" si="54"/>
        <v>2008MaleMaori191</v>
      </c>
      <c r="K564" s="359">
        <v>2008</v>
      </c>
      <c r="L564" t="s">
        <v>20</v>
      </c>
      <c r="M564" t="s">
        <v>18</v>
      </c>
      <c r="N564">
        <v>19</v>
      </c>
      <c r="O564">
        <v>1</v>
      </c>
      <c r="P564">
        <v>2</v>
      </c>
      <c r="Q564">
        <v>9.2318476057031198</v>
      </c>
      <c r="R564">
        <v>12.8</v>
      </c>
      <c r="T564" s="358" t="str">
        <f t="shared" si="55"/>
        <v>1998FemaleNon-Maori21Poisoning by solids and liquids</v>
      </c>
      <c r="U564" s="360">
        <v>1998</v>
      </c>
      <c r="V564" s="360" t="s">
        <v>8</v>
      </c>
      <c r="W564" s="360" t="s">
        <v>19</v>
      </c>
      <c r="X564" s="360">
        <v>21</v>
      </c>
      <c r="Y564" s="360" t="s">
        <v>47</v>
      </c>
      <c r="Z564" s="360">
        <v>1</v>
      </c>
      <c r="AA564" s="360">
        <v>1</v>
      </c>
      <c r="AB564" s="360">
        <v>100</v>
      </c>
    </row>
    <row r="565" spans="1:28" x14ac:dyDescent="0.2">
      <c r="A565" t="str">
        <f t="shared" si="53"/>
        <v>2004FemaleMaori22</v>
      </c>
      <c r="B565">
        <v>2004</v>
      </c>
      <c r="C565" t="s">
        <v>8</v>
      </c>
      <c r="D565" t="s">
        <v>18</v>
      </c>
      <c r="E565">
        <v>22</v>
      </c>
      <c r="F565">
        <v>14</v>
      </c>
      <c r="G565">
        <v>24.857954545454501</v>
      </c>
      <c r="H565">
        <v>13</v>
      </c>
      <c r="J565" s="358" t="str">
        <f t="shared" si="54"/>
        <v>2008MaleMaori192</v>
      </c>
      <c r="K565" s="359">
        <v>2008</v>
      </c>
      <c r="L565" t="s">
        <v>20</v>
      </c>
      <c r="M565" t="s">
        <v>18</v>
      </c>
      <c r="N565">
        <v>19</v>
      </c>
      <c r="O565">
        <v>2</v>
      </c>
      <c r="P565">
        <v>4</v>
      </c>
      <c r="Q565">
        <v>11.555692087246401</v>
      </c>
      <c r="R565">
        <v>11.3</v>
      </c>
      <c r="T565" s="358" t="str">
        <f t="shared" si="55"/>
        <v>1998FemaleNon-Maori22Poisoning by solids and liquids</v>
      </c>
      <c r="U565" s="360">
        <v>1998</v>
      </c>
      <c r="V565" s="360" t="s">
        <v>8</v>
      </c>
      <c r="W565" s="360" t="s">
        <v>19</v>
      </c>
      <c r="X565" s="360">
        <v>22</v>
      </c>
      <c r="Y565" s="360" t="s">
        <v>47</v>
      </c>
      <c r="Z565" s="360">
        <v>6</v>
      </c>
      <c r="AA565" s="360">
        <v>22</v>
      </c>
      <c r="AB565" s="360">
        <v>27.3</v>
      </c>
    </row>
    <row r="566" spans="1:28" x14ac:dyDescent="0.2">
      <c r="A566" t="str">
        <f t="shared" si="53"/>
        <v>2004FemaleMaori23</v>
      </c>
      <c r="B566">
        <v>2004</v>
      </c>
      <c r="C566" t="s">
        <v>8</v>
      </c>
      <c r="D566" t="s">
        <v>18</v>
      </c>
      <c r="E566">
        <v>23</v>
      </c>
      <c r="F566">
        <v>11</v>
      </c>
      <c r="G566">
        <v>12.279526680062499</v>
      </c>
      <c r="H566">
        <v>7.3</v>
      </c>
      <c r="J566" s="358" t="str">
        <f t="shared" si="54"/>
        <v>2008MaleMaori193</v>
      </c>
      <c r="K566" s="359">
        <v>2008</v>
      </c>
      <c r="L566" t="s">
        <v>20</v>
      </c>
      <c r="M566" t="s">
        <v>18</v>
      </c>
      <c r="N566">
        <v>19</v>
      </c>
      <c r="O566">
        <v>3</v>
      </c>
      <c r="P566">
        <v>9</v>
      </c>
      <c r="Q566">
        <v>20.6196977347565</v>
      </c>
      <c r="R566">
        <v>13.5</v>
      </c>
      <c r="T566" s="358" t="str">
        <f t="shared" si="55"/>
        <v>1998FemaleNon-Maori23Poisoning by solids and liquids</v>
      </c>
      <c r="U566" s="360">
        <v>1998</v>
      </c>
      <c r="V566" s="360" t="s">
        <v>8</v>
      </c>
      <c r="W566" s="360" t="s">
        <v>19</v>
      </c>
      <c r="X566" s="360">
        <v>23</v>
      </c>
      <c r="Y566" s="360" t="s">
        <v>47</v>
      </c>
      <c r="Z566" s="360">
        <v>7</v>
      </c>
      <c r="AA566" s="360">
        <v>47</v>
      </c>
      <c r="AB566" s="360">
        <v>14.9</v>
      </c>
    </row>
    <row r="567" spans="1:28" x14ac:dyDescent="0.2">
      <c r="A567" t="str">
        <f t="shared" si="53"/>
        <v>2004FemaleMaori24</v>
      </c>
      <c r="B567">
        <v>2004</v>
      </c>
      <c r="C567" t="s">
        <v>8</v>
      </c>
      <c r="D567" t="s">
        <v>18</v>
      </c>
      <c r="E567">
        <v>24</v>
      </c>
      <c r="F567">
        <v>2</v>
      </c>
      <c r="G567">
        <v>4.3215211754537597</v>
      </c>
      <c r="H567">
        <v>6</v>
      </c>
      <c r="J567" s="358" t="str">
        <f t="shared" si="54"/>
        <v>2008MaleMaori194</v>
      </c>
      <c r="K567" s="359">
        <v>2008</v>
      </c>
      <c r="L567" t="s">
        <v>20</v>
      </c>
      <c r="M567" t="s">
        <v>18</v>
      </c>
      <c r="N567">
        <v>19</v>
      </c>
      <c r="O567">
        <v>4</v>
      </c>
      <c r="P567">
        <v>14</v>
      </c>
      <c r="Q567">
        <v>20.549126103411201</v>
      </c>
      <c r="R567">
        <v>10.8</v>
      </c>
      <c r="T567" s="358" t="str">
        <f t="shared" si="55"/>
        <v>1998FemaleNon-Maori24Poisoning by solids and liquids</v>
      </c>
      <c r="U567" s="360">
        <v>1998</v>
      </c>
      <c r="V567" s="360" t="s">
        <v>8</v>
      </c>
      <c r="W567" s="360" t="s">
        <v>19</v>
      </c>
      <c r="X567" s="360">
        <v>24</v>
      </c>
      <c r="Y567" s="360" t="s">
        <v>47</v>
      </c>
      <c r="Z567" s="360">
        <v>9</v>
      </c>
      <c r="AA567" s="360">
        <v>22</v>
      </c>
      <c r="AB567" s="360">
        <v>40.9</v>
      </c>
    </row>
    <row r="568" spans="1:28" x14ac:dyDescent="0.2">
      <c r="A568" t="str">
        <f t="shared" si="53"/>
        <v>2004FemaleMaori25</v>
      </c>
      <c r="B568">
        <v>2004</v>
      </c>
      <c r="C568" t="s">
        <v>8</v>
      </c>
      <c r="D568" t="s">
        <v>18</v>
      </c>
      <c r="E568">
        <v>25</v>
      </c>
      <c r="F568">
        <v>0</v>
      </c>
      <c r="G568">
        <v>0</v>
      </c>
      <c r="J568" s="358" t="str">
        <f t="shared" si="54"/>
        <v>2008MaleMaori195</v>
      </c>
      <c r="K568" s="359">
        <v>2008</v>
      </c>
      <c r="L568" t="s">
        <v>20</v>
      </c>
      <c r="M568" t="s">
        <v>18</v>
      </c>
      <c r="N568">
        <v>19</v>
      </c>
      <c r="O568">
        <v>5</v>
      </c>
      <c r="P568">
        <v>27</v>
      </c>
      <c r="Q568">
        <v>23.5316705592072</v>
      </c>
      <c r="R568">
        <v>8.9</v>
      </c>
      <c r="T568" s="358" t="str">
        <f t="shared" si="55"/>
        <v>1998FemaleNon-Maori25Poisoning by solids and liquids</v>
      </c>
      <c r="U568" s="360">
        <v>1998</v>
      </c>
      <c r="V568" s="360" t="s">
        <v>8</v>
      </c>
      <c r="W568" s="360" t="s">
        <v>19</v>
      </c>
      <c r="X568" s="360">
        <v>25</v>
      </c>
      <c r="Y568" s="360" t="s">
        <v>47</v>
      </c>
      <c r="Z568" s="360">
        <v>3</v>
      </c>
      <c r="AA568" s="360">
        <v>16</v>
      </c>
      <c r="AB568" s="360">
        <v>18.8</v>
      </c>
    </row>
    <row r="569" spans="1:28" x14ac:dyDescent="0.2">
      <c r="A569" t="str">
        <f t="shared" si="53"/>
        <v>2004FemaleNon-Maori21</v>
      </c>
      <c r="B569">
        <v>2004</v>
      </c>
      <c r="C569" t="s">
        <v>8</v>
      </c>
      <c r="D569" t="s">
        <v>19</v>
      </c>
      <c r="E569">
        <v>21</v>
      </c>
      <c r="F569">
        <v>1</v>
      </c>
      <c r="J569" s="358" t="str">
        <f t="shared" si="54"/>
        <v>2009MaleMaori191</v>
      </c>
      <c r="K569" s="359">
        <v>2009</v>
      </c>
      <c r="L569" t="s">
        <v>20</v>
      </c>
      <c r="M569" t="s">
        <v>18</v>
      </c>
      <c r="N569">
        <v>19</v>
      </c>
      <c r="O569">
        <v>1</v>
      </c>
      <c r="P569">
        <v>4</v>
      </c>
      <c r="Q569">
        <v>21.802100648253901</v>
      </c>
      <c r="R569">
        <v>21.4</v>
      </c>
      <c r="T569" s="358" t="str">
        <f t="shared" si="55"/>
        <v>1998FemaleNon-Maori24Sharp object</v>
      </c>
      <c r="U569" s="360">
        <v>1998</v>
      </c>
      <c r="V569" s="360" t="s">
        <v>8</v>
      </c>
      <c r="W569" s="360" t="s">
        <v>19</v>
      </c>
      <c r="X569" s="360">
        <v>24</v>
      </c>
      <c r="Y569" s="360" t="s">
        <v>48</v>
      </c>
      <c r="Z569" s="360">
        <v>1</v>
      </c>
      <c r="AA569" s="360">
        <v>22</v>
      </c>
      <c r="AB569" s="360">
        <v>4.5</v>
      </c>
    </row>
    <row r="570" spans="1:28" x14ac:dyDescent="0.2">
      <c r="A570" t="str">
        <f t="shared" si="53"/>
        <v>2004FemaleNon-Maori22</v>
      </c>
      <c r="B570">
        <v>2004</v>
      </c>
      <c r="C570" t="s">
        <v>8</v>
      </c>
      <c r="D570" t="s">
        <v>19</v>
      </c>
      <c r="E570">
        <v>22</v>
      </c>
      <c r="F570">
        <v>17</v>
      </c>
      <c r="G570">
        <v>7.2933201767557598</v>
      </c>
      <c r="H570">
        <v>3.5</v>
      </c>
      <c r="J570" s="358" t="str">
        <f t="shared" si="54"/>
        <v>2009MaleMaori192</v>
      </c>
      <c r="K570" s="359">
        <v>2009</v>
      </c>
      <c r="L570" t="s">
        <v>20</v>
      </c>
      <c r="M570" t="s">
        <v>18</v>
      </c>
      <c r="N570">
        <v>19</v>
      </c>
      <c r="O570">
        <v>2</v>
      </c>
      <c r="P570">
        <v>7</v>
      </c>
      <c r="Q570">
        <v>20.6504601562728</v>
      </c>
      <c r="R570">
        <v>15.3</v>
      </c>
      <c r="T570" s="358" t="str">
        <f t="shared" si="55"/>
        <v>1998FemaleNon-Maori23Submersion (drowning)</v>
      </c>
      <c r="U570" s="360">
        <v>1998</v>
      </c>
      <c r="V570" s="360" t="s">
        <v>8</v>
      </c>
      <c r="W570" s="360" t="s">
        <v>19</v>
      </c>
      <c r="X570" s="360">
        <v>23</v>
      </c>
      <c r="Y570" s="360" t="s">
        <v>49</v>
      </c>
      <c r="Z570" s="360">
        <v>1</v>
      </c>
      <c r="AA570" s="360">
        <v>47</v>
      </c>
      <c r="AB570" s="360">
        <v>2.1</v>
      </c>
    </row>
    <row r="571" spans="1:28" x14ac:dyDescent="0.2">
      <c r="A571" t="str">
        <f t="shared" si="53"/>
        <v>2004FemaleNon-Maori23</v>
      </c>
      <c r="B571">
        <v>2004</v>
      </c>
      <c r="C571" t="s">
        <v>8</v>
      </c>
      <c r="D571" t="s">
        <v>19</v>
      </c>
      <c r="E571">
        <v>23</v>
      </c>
      <c r="F571">
        <v>29</v>
      </c>
      <c r="G571">
        <v>5.5543850912642903</v>
      </c>
      <c r="H571">
        <v>2</v>
      </c>
      <c r="J571" s="358" t="str">
        <f t="shared" si="54"/>
        <v>2009MaleMaori193</v>
      </c>
      <c r="K571" s="359">
        <v>2009</v>
      </c>
      <c r="L571" t="s">
        <v>20</v>
      </c>
      <c r="M571" t="s">
        <v>18</v>
      </c>
      <c r="N571">
        <v>19</v>
      </c>
      <c r="O571">
        <v>3</v>
      </c>
      <c r="P571">
        <v>9</v>
      </c>
      <c r="Q571">
        <v>17.294507835804101</v>
      </c>
      <c r="R571">
        <v>11.3</v>
      </c>
      <c r="T571" s="358" t="str">
        <f t="shared" si="55"/>
        <v>1998FemaleNon-Maori24Submersion (drowning)</v>
      </c>
      <c r="U571" s="360">
        <v>1998</v>
      </c>
      <c r="V571" s="360" t="s">
        <v>8</v>
      </c>
      <c r="W571" s="360" t="s">
        <v>19</v>
      </c>
      <c r="X571" s="360">
        <v>24</v>
      </c>
      <c r="Y571" s="360" t="s">
        <v>49</v>
      </c>
      <c r="Z571" s="360">
        <v>1</v>
      </c>
      <c r="AA571" s="360">
        <v>22</v>
      </c>
      <c r="AB571" s="360">
        <v>4.5</v>
      </c>
    </row>
    <row r="572" spans="1:28" x14ac:dyDescent="0.2">
      <c r="A572" t="str">
        <f t="shared" si="53"/>
        <v>2004FemaleNon-Maori24</v>
      </c>
      <c r="B572">
        <v>2004</v>
      </c>
      <c r="C572" t="s">
        <v>8</v>
      </c>
      <c r="D572" t="s">
        <v>19</v>
      </c>
      <c r="E572">
        <v>24</v>
      </c>
      <c r="F572">
        <v>28</v>
      </c>
      <c r="G572">
        <v>6.4864363981745301</v>
      </c>
      <c r="H572">
        <v>2.4</v>
      </c>
      <c r="J572" s="358" t="str">
        <f t="shared" si="54"/>
        <v>2009MaleMaori194</v>
      </c>
      <c r="K572" s="359">
        <v>2009</v>
      </c>
      <c r="L572" t="s">
        <v>20</v>
      </c>
      <c r="M572" t="s">
        <v>18</v>
      </c>
      <c r="N572">
        <v>19</v>
      </c>
      <c r="O572">
        <v>4</v>
      </c>
      <c r="P572">
        <v>11</v>
      </c>
      <c r="Q572">
        <v>15.912104960182401</v>
      </c>
      <c r="R572">
        <v>9.4</v>
      </c>
      <c r="T572" s="358" t="str">
        <f t="shared" si="55"/>
        <v>1998FemaleNon-Maori25Submersion (drowning)</v>
      </c>
      <c r="U572" s="360">
        <v>1998</v>
      </c>
      <c r="V572" s="360" t="s">
        <v>8</v>
      </c>
      <c r="W572" s="360" t="s">
        <v>19</v>
      </c>
      <c r="X572" s="360">
        <v>25</v>
      </c>
      <c r="Y572" s="360" t="s">
        <v>49</v>
      </c>
      <c r="Z572" s="360">
        <v>1</v>
      </c>
      <c r="AA572" s="360">
        <v>16</v>
      </c>
      <c r="AB572" s="360">
        <v>6.2</v>
      </c>
    </row>
    <row r="573" spans="1:28" x14ac:dyDescent="0.2">
      <c r="A573" t="str">
        <f t="shared" si="53"/>
        <v>2004FemaleNon-Maori25</v>
      </c>
      <c r="B573">
        <v>2004</v>
      </c>
      <c r="C573" t="s">
        <v>8</v>
      </c>
      <c r="D573" t="s">
        <v>19</v>
      </c>
      <c r="E573">
        <v>25</v>
      </c>
      <c r="F573">
        <v>9</v>
      </c>
      <c r="G573">
        <v>3.49473847707063</v>
      </c>
      <c r="H573">
        <v>2.2999999999999998</v>
      </c>
      <c r="J573" s="358" t="str">
        <f t="shared" si="54"/>
        <v>2009MaleMaori195</v>
      </c>
      <c r="K573" s="359">
        <v>2009</v>
      </c>
      <c r="L573" t="s">
        <v>20</v>
      </c>
      <c r="M573" t="s">
        <v>18</v>
      </c>
      <c r="N573">
        <v>19</v>
      </c>
      <c r="O573">
        <v>5</v>
      </c>
      <c r="P573">
        <v>27</v>
      </c>
      <c r="Q573">
        <v>22.594786225044199</v>
      </c>
      <c r="R573">
        <v>8.5</v>
      </c>
      <c r="T573" s="358" t="str">
        <f t="shared" si="55"/>
        <v>1998MaleAllEth22Firearms and explosives</v>
      </c>
      <c r="U573" s="360">
        <v>1998</v>
      </c>
      <c r="V573" s="360" t="s">
        <v>20</v>
      </c>
      <c r="W573" s="360" t="s">
        <v>27</v>
      </c>
      <c r="X573" s="360">
        <v>22</v>
      </c>
      <c r="Y573" s="360" t="s">
        <v>42</v>
      </c>
      <c r="Z573" s="360">
        <v>15</v>
      </c>
      <c r="AA573" s="360">
        <v>105</v>
      </c>
      <c r="AB573" s="360">
        <v>14.3</v>
      </c>
    </row>
    <row r="574" spans="1:28" x14ac:dyDescent="0.2">
      <c r="A574" t="str">
        <f t="shared" si="53"/>
        <v>2004MaleAllEth21</v>
      </c>
      <c r="B574">
        <v>2004</v>
      </c>
      <c r="C574" t="s">
        <v>20</v>
      </c>
      <c r="D574" t="s">
        <v>27</v>
      </c>
      <c r="E574">
        <v>21</v>
      </c>
      <c r="F574">
        <v>4</v>
      </c>
      <c r="J574" s="358" t="str">
        <f t="shared" si="54"/>
        <v>2010MaleMaori191</v>
      </c>
      <c r="K574" s="359">
        <v>2010</v>
      </c>
      <c r="L574" t="s">
        <v>20</v>
      </c>
      <c r="M574" t="s">
        <v>18</v>
      </c>
      <c r="N574">
        <v>19</v>
      </c>
      <c r="O574">
        <v>1</v>
      </c>
      <c r="P574">
        <v>1</v>
      </c>
      <c r="Q574">
        <v>3.6221627571929602</v>
      </c>
      <c r="R574">
        <v>7.1</v>
      </c>
      <c r="T574" s="358" t="str">
        <f t="shared" si="55"/>
        <v>1998MaleAllEth23Firearms and explosives</v>
      </c>
      <c r="U574" s="360">
        <v>1998</v>
      </c>
      <c r="V574" s="360" t="s">
        <v>20</v>
      </c>
      <c r="W574" s="360" t="s">
        <v>27</v>
      </c>
      <c r="X574" s="360">
        <v>23</v>
      </c>
      <c r="Y574" s="360" t="s">
        <v>42</v>
      </c>
      <c r="Z574" s="360">
        <v>22</v>
      </c>
      <c r="AA574" s="360">
        <v>195</v>
      </c>
      <c r="AB574" s="360">
        <v>11.3</v>
      </c>
    </row>
    <row r="575" spans="1:28" x14ac:dyDescent="0.2">
      <c r="A575" t="str">
        <f t="shared" si="53"/>
        <v>2004MaleAllEth22</v>
      </c>
      <c r="B575">
        <v>2004</v>
      </c>
      <c r="C575" t="s">
        <v>20</v>
      </c>
      <c r="D575" t="s">
        <v>27</v>
      </c>
      <c r="E575">
        <v>22</v>
      </c>
      <c r="F575">
        <v>83</v>
      </c>
      <c r="G575">
        <v>27.974384900573</v>
      </c>
      <c r="H575">
        <v>6</v>
      </c>
      <c r="J575" s="358" t="str">
        <f t="shared" si="54"/>
        <v>2010MaleMaori192</v>
      </c>
      <c r="K575" s="359">
        <v>2010</v>
      </c>
      <c r="L575" t="s">
        <v>20</v>
      </c>
      <c r="M575" t="s">
        <v>18</v>
      </c>
      <c r="N575">
        <v>19</v>
      </c>
      <c r="O575">
        <v>2</v>
      </c>
      <c r="P575">
        <v>8</v>
      </c>
      <c r="Q575">
        <v>21.821143528825498</v>
      </c>
      <c r="R575">
        <v>15.1</v>
      </c>
      <c r="T575" s="358" t="str">
        <f t="shared" si="55"/>
        <v>1998MaleAllEth24Firearms and explosives</v>
      </c>
      <c r="U575" s="360">
        <v>1998</v>
      </c>
      <c r="V575" s="360" t="s">
        <v>20</v>
      </c>
      <c r="W575" s="360" t="s">
        <v>27</v>
      </c>
      <c r="X575" s="360">
        <v>24</v>
      </c>
      <c r="Y575" s="360" t="s">
        <v>42</v>
      </c>
      <c r="Z575" s="360">
        <v>27</v>
      </c>
      <c r="AA575" s="360">
        <v>90</v>
      </c>
      <c r="AB575" s="360">
        <v>30</v>
      </c>
    </row>
    <row r="576" spans="1:28" x14ac:dyDescent="0.2">
      <c r="A576" t="str">
        <f t="shared" si="53"/>
        <v>2004MaleAllEth23</v>
      </c>
      <c r="B576">
        <v>2004</v>
      </c>
      <c r="C576" t="s">
        <v>20</v>
      </c>
      <c r="D576" t="s">
        <v>27</v>
      </c>
      <c r="E576">
        <v>23</v>
      </c>
      <c r="F576">
        <v>161</v>
      </c>
      <c r="G576">
        <v>28.260487976127799</v>
      </c>
      <c r="H576">
        <v>4.4000000000000004</v>
      </c>
      <c r="J576" s="358" t="str">
        <f t="shared" si="54"/>
        <v>2010MaleMaori193</v>
      </c>
      <c r="K576" s="359">
        <v>2010</v>
      </c>
      <c r="L576" t="s">
        <v>20</v>
      </c>
      <c r="M576" t="s">
        <v>18</v>
      </c>
      <c r="N576">
        <v>19</v>
      </c>
      <c r="O576">
        <v>3</v>
      </c>
      <c r="P576">
        <v>9</v>
      </c>
      <c r="Q576">
        <v>18.083880964863599</v>
      </c>
      <c r="R576">
        <v>11.8</v>
      </c>
      <c r="T576" s="358" t="str">
        <f t="shared" si="55"/>
        <v>1998MaleAllEth25Firearms and explosives</v>
      </c>
      <c r="U576" s="360">
        <v>1998</v>
      </c>
      <c r="V576" s="360" t="s">
        <v>20</v>
      </c>
      <c r="W576" s="360" t="s">
        <v>27</v>
      </c>
      <c r="X576" s="360">
        <v>25</v>
      </c>
      <c r="Y576" s="360" t="s">
        <v>42</v>
      </c>
      <c r="Z576" s="360">
        <v>7</v>
      </c>
      <c r="AA576" s="360">
        <v>48</v>
      </c>
      <c r="AB576" s="360">
        <v>14.6</v>
      </c>
    </row>
    <row r="577" spans="1:28" x14ac:dyDescent="0.2">
      <c r="A577" t="str">
        <f t="shared" si="53"/>
        <v>2004MaleAllEth24</v>
      </c>
      <c r="B577">
        <v>2004</v>
      </c>
      <c r="C577" t="s">
        <v>20</v>
      </c>
      <c r="D577" t="s">
        <v>27</v>
      </c>
      <c r="E577">
        <v>24</v>
      </c>
      <c r="F577">
        <v>88</v>
      </c>
      <c r="G577">
        <v>18.883714941739399</v>
      </c>
      <c r="H577">
        <v>3.9</v>
      </c>
      <c r="J577" s="358" t="str">
        <f t="shared" si="54"/>
        <v>2010MaleMaori194</v>
      </c>
      <c r="K577" s="359">
        <v>2010</v>
      </c>
      <c r="L577" t="s">
        <v>20</v>
      </c>
      <c r="M577" t="s">
        <v>18</v>
      </c>
      <c r="N577">
        <v>19</v>
      </c>
      <c r="O577">
        <v>4</v>
      </c>
      <c r="P577">
        <v>14</v>
      </c>
      <c r="Q577">
        <v>19.006144790160899</v>
      </c>
      <c r="R577">
        <v>10</v>
      </c>
      <c r="T577" s="358" t="str">
        <f t="shared" si="55"/>
        <v>1998MaleAllEth21Hanging, strangulation and suffocation</v>
      </c>
      <c r="U577" s="360">
        <v>1998</v>
      </c>
      <c r="V577" s="360" t="s">
        <v>20</v>
      </c>
      <c r="W577" s="360" t="s">
        <v>27</v>
      </c>
      <c r="X577" s="360">
        <v>21</v>
      </c>
      <c r="Y577" s="360" t="s">
        <v>43</v>
      </c>
      <c r="Z577" s="360">
        <v>8</v>
      </c>
      <c r="AA577" s="360">
        <v>8</v>
      </c>
      <c r="AB577" s="360">
        <v>100</v>
      </c>
    </row>
    <row r="578" spans="1:28" x14ac:dyDescent="0.2">
      <c r="A578" t="str">
        <f t="shared" si="53"/>
        <v>2004MaleAllEth25</v>
      </c>
      <c r="B578">
        <v>2004</v>
      </c>
      <c r="C578" t="s">
        <v>20</v>
      </c>
      <c r="D578" t="s">
        <v>27</v>
      </c>
      <c r="E578">
        <v>25</v>
      </c>
      <c r="F578">
        <v>46</v>
      </c>
      <c r="G578">
        <v>21.446221269056799</v>
      </c>
      <c r="H578">
        <v>6.2</v>
      </c>
      <c r="J578" s="358" t="str">
        <f t="shared" si="54"/>
        <v>2010MaleMaori195</v>
      </c>
      <c r="K578" s="359">
        <v>2010</v>
      </c>
      <c r="L578" t="s">
        <v>20</v>
      </c>
      <c r="M578" t="s">
        <v>18</v>
      </c>
      <c r="N578">
        <v>19</v>
      </c>
      <c r="O578">
        <v>5</v>
      </c>
      <c r="P578">
        <v>38</v>
      </c>
      <c r="Q578">
        <v>32.244772351682499</v>
      </c>
      <c r="R578">
        <v>10.3</v>
      </c>
      <c r="T578" s="358" t="str">
        <f t="shared" si="55"/>
        <v>1998MaleAllEth22Hanging, strangulation and suffocation</v>
      </c>
      <c r="U578" s="360">
        <v>1998</v>
      </c>
      <c r="V578" s="360" t="s">
        <v>20</v>
      </c>
      <c r="W578" s="360" t="s">
        <v>27</v>
      </c>
      <c r="X578" s="360">
        <v>22</v>
      </c>
      <c r="Y578" s="360" t="s">
        <v>43</v>
      </c>
      <c r="Z578" s="360">
        <v>53</v>
      </c>
      <c r="AA578" s="360">
        <v>105</v>
      </c>
      <c r="AB578" s="360">
        <v>50.5</v>
      </c>
    </row>
    <row r="579" spans="1:28" x14ac:dyDescent="0.2">
      <c r="A579" t="str">
        <f t="shared" si="53"/>
        <v>2004MaleMaori21</v>
      </c>
      <c r="B579">
        <v>2004</v>
      </c>
      <c r="C579" t="s">
        <v>20</v>
      </c>
      <c r="D579" t="s">
        <v>18</v>
      </c>
      <c r="E579">
        <v>21</v>
      </c>
      <c r="F579">
        <v>2</v>
      </c>
      <c r="J579" s="358" t="str">
        <f t="shared" si="54"/>
        <v>2011MaleMaori191</v>
      </c>
      <c r="K579" s="359">
        <v>2011</v>
      </c>
      <c r="L579" t="s">
        <v>20</v>
      </c>
      <c r="M579" t="s">
        <v>18</v>
      </c>
      <c r="N579">
        <v>19</v>
      </c>
      <c r="O579">
        <v>1</v>
      </c>
      <c r="P579">
        <v>6</v>
      </c>
      <c r="Q579">
        <v>21.031405461350399</v>
      </c>
      <c r="R579">
        <v>16.8</v>
      </c>
      <c r="T579" s="358" t="str">
        <f t="shared" si="55"/>
        <v>1998MaleAllEth23Hanging, strangulation and suffocation</v>
      </c>
      <c r="U579" s="360">
        <v>1998</v>
      </c>
      <c r="V579" s="360" t="s">
        <v>20</v>
      </c>
      <c r="W579" s="360" t="s">
        <v>27</v>
      </c>
      <c r="X579" s="360">
        <v>23</v>
      </c>
      <c r="Y579" s="360" t="s">
        <v>43</v>
      </c>
      <c r="Z579" s="360">
        <v>89</v>
      </c>
      <c r="AA579" s="360">
        <v>195</v>
      </c>
      <c r="AB579" s="360">
        <v>45.6</v>
      </c>
    </row>
    <row r="580" spans="1:28" x14ac:dyDescent="0.2">
      <c r="A580" t="str">
        <f t="shared" ref="A580:A643" si="56">B580&amp;C580&amp;D580&amp;E580</f>
        <v>2004MaleMaori22</v>
      </c>
      <c r="B580">
        <v>2004</v>
      </c>
      <c r="C580" t="s">
        <v>20</v>
      </c>
      <c r="D580" t="s">
        <v>18</v>
      </c>
      <c r="E580">
        <v>22</v>
      </c>
      <c r="F580">
        <v>28</v>
      </c>
      <c r="G580">
        <v>50.918348790689201</v>
      </c>
      <c r="H580">
        <v>18.899999999999999</v>
      </c>
      <c r="J580" s="358" t="str">
        <f t="shared" ref="J580:J643" si="57">K580&amp;L580&amp;M580&amp;N580&amp;O580</f>
        <v>2011MaleMaori192</v>
      </c>
      <c r="K580" s="359">
        <v>2011</v>
      </c>
      <c r="L580" t="s">
        <v>20</v>
      </c>
      <c r="M580" t="s">
        <v>18</v>
      </c>
      <c r="N580">
        <v>19</v>
      </c>
      <c r="O580">
        <v>2</v>
      </c>
      <c r="P580">
        <v>14</v>
      </c>
      <c r="Q580">
        <v>35.582468817473703</v>
      </c>
      <c r="R580">
        <v>18.600000000000001</v>
      </c>
      <c r="T580" s="358" t="str">
        <f t="shared" si="55"/>
        <v>1998MaleAllEth24Hanging, strangulation and suffocation</v>
      </c>
      <c r="U580" s="360">
        <v>1998</v>
      </c>
      <c r="V580" s="360" t="s">
        <v>20</v>
      </c>
      <c r="W580" s="360" t="s">
        <v>27</v>
      </c>
      <c r="X580" s="360">
        <v>24</v>
      </c>
      <c r="Y580" s="360" t="s">
        <v>43</v>
      </c>
      <c r="Z580" s="360">
        <v>25</v>
      </c>
      <c r="AA580" s="360">
        <v>90</v>
      </c>
      <c r="AB580" s="360">
        <v>27.8</v>
      </c>
    </row>
    <row r="581" spans="1:28" x14ac:dyDescent="0.2">
      <c r="A581" t="str">
        <f t="shared" si="56"/>
        <v>2004MaleMaori23</v>
      </c>
      <c r="B581">
        <v>2004</v>
      </c>
      <c r="C581" t="s">
        <v>20</v>
      </c>
      <c r="D581" t="s">
        <v>18</v>
      </c>
      <c r="E581">
        <v>23</v>
      </c>
      <c r="F581">
        <v>44</v>
      </c>
      <c r="G581">
        <v>55</v>
      </c>
      <c r="H581">
        <v>16.3</v>
      </c>
      <c r="J581" s="358" t="str">
        <f t="shared" si="57"/>
        <v>2011MaleMaori193</v>
      </c>
      <c r="K581" s="359">
        <v>2011</v>
      </c>
      <c r="L581" t="s">
        <v>20</v>
      </c>
      <c r="M581" t="s">
        <v>18</v>
      </c>
      <c r="N581">
        <v>19</v>
      </c>
      <c r="O581">
        <v>3</v>
      </c>
      <c r="P581">
        <v>10</v>
      </c>
      <c r="Q581">
        <v>17.476526126949899</v>
      </c>
      <c r="R581">
        <v>10.8</v>
      </c>
      <c r="T581" s="358" t="str">
        <f t="shared" ref="T581:T644" si="58">U581&amp;V581&amp;W581&amp;X581&amp;Y581</f>
        <v>1998MaleAllEth25Hanging, strangulation and suffocation</v>
      </c>
      <c r="U581" s="360">
        <v>1998</v>
      </c>
      <c r="V581" s="360" t="s">
        <v>20</v>
      </c>
      <c r="W581" s="360" t="s">
        <v>27</v>
      </c>
      <c r="X581" s="360">
        <v>25</v>
      </c>
      <c r="Y581" s="360" t="s">
        <v>43</v>
      </c>
      <c r="Z581" s="360">
        <v>14</v>
      </c>
      <c r="AA581" s="360">
        <v>48</v>
      </c>
      <c r="AB581" s="360">
        <v>29.2</v>
      </c>
    </row>
    <row r="582" spans="1:28" x14ac:dyDescent="0.2">
      <c r="A582" t="str">
        <f t="shared" si="56"/>
        <v>2004MaleMaori24</v>
      </c>
      <c r="B582">
        <v>2004</v>
      </c>
      <c r="C582" t="s">
        <v>20</v>
      </c>
      <c r="D582" t="s">
        <v>18</v>
      </c>
      <c r="E582">
        <v>24</v>
      </c>
      <c r="F582">
        <v>7</v>
      </c>
      <c r="G582">
        <v>16.199953714418001</v>
      </c>
      <c r="H582">
        <v>12</v>
      </c>
      <c r="J582" s="358" t="str">
        <f t="shared" si="57"/>
        <v>2011MaleMaori194</v>
      </c>
      <c r="K582" s="359">
        <v>2011</v>
      </c>
      <c r="L582" t="s">
        <v>20</v>
      </c>
      <c r="M582" t="s">
        <v>18</v>
      </c>
      <c r="N582">
        <v>19</v>
      </c>
      <c r="O582">
        <v>4</v>
      </c>
      <c r="P582">
        <v>14</v>
      </c>
      <c r="Q582">
        <v>18.479623619768098</v>
      </c>
      <c r="R582">
        <v>9.6999999999999993</v>
      </c>
      <c r="T582" s="358" t="str">
        <f t="shared" si="58"/>
        <v>1998MaleAllEth22Jumping from a high place</v>
      </c>
      <c r="U582" s="360">
        <v>1998</v>
      </c>
      <c r="V582" s="360" t="s">
        <v>20</v>
      </c>
      <c r="W582" s="360" t="s">
        <v>27</v>
      </c>
      <c r="X582" s="360">
        <v>22</v>
      </c>
      <c r="Y582" s="360" t="s">
        <v>44</v>
      </c>
      <c r="Z582" s="360">
        <v>7</v>
      </c>
      <c r="AA582" s="360">
        <v>105</v>
      </c>
      <c r="AB582" s="360">
        <v>6.7</v>
      </c>
    </row>
    <row r="583" spans="1:28" x14ac:dyDescent="0.2">
      <c r="A583" t="str">
        <f t="shared" si="56"/>
        <v>2004MaleMaori25</v>
      </c>
      <c r="B583">
        <v>2004</v>
      </c>
      <c r="C583" t="s">
        <v>20</v>
      </c>
      <c r="D583" t="s">
        <v>18</v>
      </c>
      <c r="E583">
        <v>25</v>
      </c>
      <c r="F583">
        <v>2</v>
      </c>
      <c r="G583">
        <v>19.267822736030801</v>
      </c>
      <c r="H583">
        <v>26.7</v>
      </c>
      <c r="J583" s="358" t="str">
        <f t="shared" si="57"/>
        <v>2011MaleMaori195</v>
      </c>
      <c r="K583" s="359">
        <v>2011</v>
      </c>
      <c r="L583" t="s">
        <v>20</v>
      </c>
      <c r="M583" t="s">
        <v>18</v>
      </c>
      <c r="N583">
        <v>19</v>
      </c>
      <c r="O583">
        <v>5</v>
      </c>
      <c r="P583">
        <v>37</v>
      </c>
      <c r="Q583">
        <v>33.540339974759902</v>
      </c>
      <c r="R583">
        <v>10.8</v>
      </c>
      <c r="T583" s="358" t="str">
        <f t="shared" si="58"/>
        <v>1998MaleAllEth23Jumping from a high place</v>
      </c>
      <c r="U583" s="360">
        <v>1998</v>
      </c>
      <c r="V583" s="360" t="s">
        <v>20</v>
      </c>
      <c r="W583" s="360" t="s">
        <v>27</v>
      </c>
      <c r="X583" s="360">
        <v>23</v>
      </c>
      <c r="Y583" s="360" t="s">
        <v>44</v>
      </c>
      <c r="Z583" s="360">
        <v>3</v>
      </c>
      <c r="AA583" s="360">
        <v>195</v>
      </c>
      <c r="AB583" s="360">
        <v>1.5</v>
      </c>
    </row>
    <row r="584" spans="1:28" x14ac:dyDescent="0.2">
      <c r="A584" t="str">
        <f t="shared" si="56"/>
        <v>2004MaleNon-Maori21</v>
      </c>
      <c r="B584">
        <v>2004</v>
      </c>
      <c r="C584" t="s">
        <v>20</v>
      </c>
      <c r="D584" t="s">
        <v>19</v>
      </c>
      <c r="E584">
        <v>21</v>
      </c>
      <c r="F584">
        <v>2</v>
      </c>
      <c r="J584" s="358" t="str">
        <f t="shared" si="57"/>
        <v>2012MaleMaori191</v>
      </c>
      <c r="K584" s="359">
        <v>2012</v>
      </c>
      <c r="L584" t="s">
        <v>20</v>
      </c>
      <c r="M584" t="s">
        <v>18</v>
      </c>
      <c r="N584">
        <v>19</v>
      </c>
      <c r="O584">
        <v>1</v>
      </c>
      <c r="P584">
        <v>2</v>
      </c>
      <c r="Q584">
        <v>9.9349077523031699</v>
      </c>
      <c r="R584">
        <v>13.8</v>
      </c>
      <c r="T584" s="358" t="str">
        <f t="shared" si="58"/>
        <v>1998MaleAllEth24Jumping from a high place</v>
      </c>
      <c r="U584" s="360">
        <v>1998</v>
      </c>
      <c r="V584" s="360" t="s">
        <v>20</v>
      </c>
      <c r="W584" s="360" t="s">
        <v>27</v>
      </c>
      <c r="X584" s="360">
        <v>24</v>
      </c>
      <c r="Y584" s="360" t="s">
        <v>44</v>
      </c>
      <c r="Z584" s="360">
        <v>1</v>
      </c>
      <c r="AA584" s="360">
        <v>90</v>
      </c>
      <c r="AB584" s="360">
        <v>1.1000000000000001</v>
      </c>
    </row>
    <row r="585" spans="1:28" x14ac:dyDescent="0.2">
      <c r="A585" t="str">
        <f t="shared" si="56"/>
        <v>2004MaleNon-Maori22</v>
      </c>
      <c r="B585">
        <v>2004</v>
      </c>
      <c r="C585" t="s">
        <v>20</v>
      </c>
      <c r="D585" t="s">
        <v>19</v>
      </c>
      <c r="E585">
        <v>22</v>
      </c>
      <c r="F585">
        <v>55</v>
      </c>
      <c r="G585">
        <v>22.754540565140001</v>
      </c>
      <c r="H585">
        <v>6</v>
      </c>
      <c r="J585" s="358" t="str">
        <f t="shared" si="57"/>
        <v>2012MaleMaori192</v>
      </c>
      <c r="K585" s="359">
        <v>2012</v>
      </c>
      <c r="L585" t="s">
        <v>20</v>
      </c>
      <c r="M585" t="s">
        <v>18</v>
      </c>
      <c r="N585">
        <v>19</v>
      </c>
      <c r="O585">
        <v>2</v>
      </c>
      <c r="P585">
        <v>7</v>
      </c>
      <c r="Q585">
        <v>20.315618247905999</v>
      </c>
      <c r="R585">
        <v>15</v>
      </c>
      <c r="T585" s="358" t="str">
        <f t="shared" si="58"/>
        <v>1998MaleAllEth22Other</v>
      </c>
      <c r="U585" s="360">
        <v>1998</v>
      </c>
      <c r="V585" s="360" t="s">
        <v>20</v>
      </c>
      <c r="W585" s="360" t="s">
        <v>27</v>
      </c>
      <c r="X585" s="360">
        <v>22</v>
      </c>
      <c r="Y585" s="360" t="s">
        <v>45</v>
      </c>
      <c r="Z585" s="360">
        <v>4</v>
      </c>
      <c r="AA585" s="360">
        <v>105</v>
      </c>
      <c r="AB585" s="360">
        <v>3.8</v>
      </c>
    </row>
    <row r="586" spans="1:28" x14ac:dyDescent="0.2">
      <c r="A586" t="str">
        <f t="shared" si="56"/>
        <v>2004MaleNon-Maori23</v>
      </c>
      <c r="B586">
        <v>2004</v>
      </c>
      <c r="C586" t="s">
        <v>20</v>
      </c>
      <c r="D586" t="s">
        <v>19</v>
      </c>
      <c r="E586">
        <v>23</v>
      </c>
      <c r="F586">
        <v>117</v>
      </c>
      <c r="G586">
        <v>23.892178885031701</v>
      </c>
      <c r="H586">
        <v>4.3</v>
      </c>
      <c r="J586" s="358" t="str">
        <f t="shared" si="57"/>
        <v>2012MaleMaori193</v>
      </c>
      <c r="K586" s="359">
        <v>2012</v>
      </c>
      <c r="L586" t="s">
        <v>20</v>
      </c>
      <c r="M586" t="s">
        <v>18</v>
      </c>
      <c r="N586">
        <v>19</v>
      </c>
      <c r="O586">
        <v>3</v>
      </c>
      <c r="P586">
        <v>16</v>
      </c>
      <c r="Q586">
        <v>28.719005644952301</v>
      </c>
      <c r="R586">
        <v>14.1</v>
      </c>
      <c r="T586" s="358" t="str">
        <f t="shared" si="58"/>
        <v>1998MaleAllEth23Other</v>
      </c>
      <c r="U586" s="360">
        <v>1998</v>
      </c>
      <c r="V586" s="360" t="s">
        <v>20</v>
      </c>
      <c r="W586" s="360" t="s">
        <v>27</v>
      </c>
      <c r="X586" s="360">
        <v>23</v>
      </c>
      <c r="Y586" s="360" t="s">
        <v>45</v>
      </c>
      <c r="Z586" s="360">
        <v>10</v>
      </c>
      <c r="AA586" s="360">
        <v>195</v>
      </c>
      <c r="AB586" s="360">
        <v>5.0999999999999996</v>
      </c>
    </row>
    <row r="587" spans="1:28" x14ac:dyDescent="0.2">
      <c r="A587" t="str">
        <f t="shared" si="56"/>
        <v>2004MaleNon-Maori24</v>
      </c>
      <c r="B587">
        <v>2004</v>
      </c>
      <c r="C587" t="s">
        <v>20</v>
      </c>
      <c r="D587" t="s">
        <v>19</v>
      </c>
      <c r="E587">
        <v>24</v>
      </c>
      <c r="F587">
        <v>81</v>
      </c>
      <c r="G587">
        <v>19.157994323557201</v>
      </c>
      <c r="H587">
        <v>4.2</v>
      </c>
      <c r="J587" s="358" t="str">
        <f t="shared" si="57"/>
        <v>2012MaleMaori194</v>
      </c>
      <c r="K587" s="359">
        <v>2012</v>
      </c>
      <c r="L587" t="s">
        <v>20</v>
      </c>
      <c r="M587" t="s">
        <v>18</v>
      </c>
      <c r="N587">
        <v>19</v>
      </c>
      <c r="O587">
        <v>4</v>
      </c>
      <c r="P587">
        <v>22</v>
      </c>
      <c r="Q587">
        <v>28.486159057413701</v>
      </c>
      <c r="R587">
        <v>11.9</v>
      </c>
      <c r="T587" s="358" t="str">
        <f t="shared" si="58"/>
        <v>1998MaleAllEth24Other</v>
      </c>
      <c r="U587" s="360">
        <v>1998</v>
      </c>
      <c r="V587" s="360" t="s">
        <v>20</v>
      </c>
      <c r="W587" s="360" t="s">
        <v>27</v>
      </c>
      <c r="X587" s="360">
        <v>24</v>
      </c>
      <c r="Y587" s="360" t="s">
        <v>45</v>
      </c>
      <c r="Z587" s="360">
        <v>2</v>
      </c>
      <c r="AA587" s="360">
        <v>90</v>
      </c>
      <c r="AB587" s="360">
        <v>2.2000000000000002</v>
      </c>
    </row>
    <row r="588" spans="1:28" x14ac:dyDescent="0.2">
      <c r="A588" t="str">
        <f t="shared" si="56"/>
        <v>2004MaleNon-Maori25</v>
      </c>
      <c r="B588">
        <v>2004</v>
      </c>
      <c r="C588" t="s">
        <v>20</v>
      </c>
      <c r="D588" t="s">
        <v>19</v>
      </c>
      <c r="E588">
        <v>25</v>
      </c>
      <c r="F588">
        <v>44</v>
      </c>
      <c r="G588">
        <v>21.5570035765029</v>
      </c>
      <c r="H588">
        <v>6.4</v>
      </c>
      <c r="J588" s="358" t="str">
        <f t="shared" si="57"/>
        <v>2012MaleMaori195</v>
      </c>
      <c r="K588" s="359">
        <v>2012</v>
      </c>
      <c r="L588" t="s">
        <v>20</v>
      </c>
      <c r="M588" t="s">
        <v>18</v>
      </c>
      <c r="N588">
        <v>19</v>
      </c>
      <c r="O588">
        <v>5</v>
      </c>
      <c r="P588">
        <v>33</v>
      </c>
      <c r="Q588">
        <v>27.218884263904702</v>
      </c>
      <c r="R588">
        <v>9.3000000000000007</v>
      </c>
      <c r="T588" s="358" t="str">
        <f t="shared" si="58"/>
        <v>1998MaleAllEth25Other</v>
      </c>
      <c r="U588" s="360">
        <v>1998</v>
      </c>
      <c r="V588" s="360" t="s">
        <v>20</v>
      </c>
      <c r="W588" s="360" t="s">
        <v>27</v>
      </c>
      <c r="X588" s="360">
        <v>25</v>
      </c>
      <c r="Y588" s="360" t="s">
        <v>45</v>
      </c>
      <c r="Z588" s="360">
        <v>3</v>
      </c>
      <c r="AA588" s="360">
        <v>48</v>
      </c>
      <c r="AB588" s="360">
        <v>6.2</v>
      </c>
    </row>
    <row r="589" spans="1:28" x14ac:dyDescent="0.2">
      <c r="A589" t="str">
        <f t="shared" si="56"/>
        <v>2005AllSexAllEth21</v>
      </c>
      <c r="B589">
        <v>2005</v>
      </c>
      <c r="C589" t="s">
        <v>17</v>
      </c>
      <c r="D589" t="s">
        <v>27</v>
      </c>
      <c r="E589">
        <v>21</v>
      </c>
      <c r="F589">
        <v>3</v>
      </c>
      <c r="J589" s="358" t="str">
        <f t="shared" si="57"/>
        <v>2013MaleMaori191</v>
      </c>
      <c r="K589" s="359">
        <v>2013</v>
      </c>
      <c r="L589" t="s">
        <v>20</v>
      </c>
      <c r="M589" t="s">
        <v>18</v>
      </c>
      <c r="N589">
        <v>19</v>
      </c>
      <c r="O589">
        <v>1</v>
      </c>
      <c r="P589">
        <v>2</v>
      </c>
      <c r="Q589">
        <v>6.4088357149927502</v>
      </c>
      <c r="R589">
        <v>8.9</v>
      </c>
      <c r="T589" s="358" t="str">
        <f t="shared" si="58"/>
        <v>1998MaleAllEth22Poisoning by gases and vapours</v>
      </c>
      <c r="U589" s="360">
        <v>1998</v>
      </c>
      <c r="V589" s="360" t="s">
        <v>20</v>
      </c>
      <c r="W589" s="360" t="s">
        <v>27</v>
      </c>
      <c r="X589" s="360">
        <v>22</v>
      </c>
      <c r="Y589" s="360" t="s">
        <v>46</v>
      </c>
      <c r="Z589" s="360">
        <v>23</v>
      </c>
      <c r="AA589" s="360">
        <v>105</v>
      </c>
      <c r="AB589" s="360">
        <v>21.9</v>
      </c>
    </row>
    <row r="590" spans="1:28" x14ac:dyDescent="0.2">
      <c r="A590" t="str">
        <f t="shared" si="56"/>
        <v>2005AllSexAllEth22</v>
      </c>
      <c r="B590">
        <v>2005</v>
      </c>
      <c r="C590" t="s">
        <v>17</v>
      </c>
      <c r="D590" t="s">
        <v>27</v>
      </c>
      <c r="E590">
        <v>22</v>
      </c>
      <c r="F590">
        <v>109</v>
      </c>
      <c r="G590">
        <v>18.311326143197899</v>
      </c>
      <c r="H590">
        <v>3.4</v>
      </c>
      <c r="J590" s="358" t="str">
        <f t="shared" si="57"/>
        <v>2013MaleMaori192</v>
      </c>
      <c r="K590" s="359">
        <v>2013</v>
      </c>
      <c r="L590" t="s">
        <v>20</v>
      </c>
      <c r="M590" t="s">
        <v>18</v>
      </c>
      <c r="N590">
        <v>19</v>
      </c>
      <c r="O590">
        <v>2</v>
      </c>
      <c r="P590">
        <v>6</v>
      </c>
      <c r="Q590">
        <v>17.9278818688732</v>
      </c>
      <c r="R590">
        <v>14.3</v>
      </c>
      <c r="T590" s="358" t="str">
        <f t="shared" si="58"/>
        <v>1998MaleAllEth23Poisoning by gases and vapours</v>
      </c>
      <c r="U590" s="360">
        <v>1998</v>
      </c>
      <c r="V590" s="360" t="s">
        <v>20</v>
      </c>
      <c r="W590" s="360" t="s">
        <v>27</v>
      </c>
      <c r="X590" s="360">
        <v>23</v>
      </c>
      <c r="Y590" s="360" t="s">
        <v>46</v>
      </c>
      <c r="Z590" s="360">
        <v>49</v>
      </c>
      <c r="AA590" s="360">
        <v>195</v>
      </c>
      <c r="AB590" s="360">
        <v>25.1</v>
      </c>
    </row>
    <row r="591" spans="1:28" x14ac:dyDescent="0.2">
      <c r="A591" t="str">
        <f t="shared" si="56"/>
        <v>2005AllSexAllEth23</v>
      </c>
      <c r="B591">
        <v>2005</v>
      </c>
      <c r="C591" t="s">
        <v>17</v>
      </c>
      <c r="D591" t="s">
        <v>27</v>
      </c>
      <c r="E591">
        <v>23</v>
      </c>
      <c r="F591">
        <v>219</v>
      </c>
      <c r="G591">
        <v>18.5221208251224</v>
      </c>
      <c r="H591">
        <v>2.5</v>
      </c>
      <c r="J591" s="358" t="str">
        <f t="shared" si="57"/>
        <v>2013MaleMaori193</v>
      </c>
      <c r="K591" s="359">
        <v>2013</v>
      </c>
      <c r="L591" t="s">
        <v>20</v>
      </c>
      <c r="M591" t="s">
        <v>18</v>
      </c>
      <c r="N591">
        <v>19</v>
      </c>
      <c r="O591">
        <v>3</v>
      </c>
      <c r="P591">
        <v>7</v>
      </c>
      <c r="Q591">
        <v>11.708213632388301</v>
      </c>
      <c r="R591">
        <v>8.6999999999999993</v>
      </c>
      <c r="T591" s="358" t="str">
        <f t="shared" si="58"/>
        <v>1998MaleAllEth24Poisoning by gases and vapours</v>
      </c>
      <c r="U591" s="360">
        <v>1998</v>
      </c>
      <c r="V591" s="360" t="s">
        <v>20</v>
      </c>
      <c r="W591" s="360" t="s">
        <v>27</v>
      </c>
      <c r="X591" s="360">
        <v>24</v>
      </c>
      <c r="Y591" s="360" t="s">
        <v>46</v>
      </c>
      <c r="Z591" s="360">
        <v>19</v>
      </c>
      <c r="AA591" s="360">
        <v>90</v>
      </c>
      <c r="AB591" s="360">
        <v>21.1</v>
      </c>
    </row>
    <row r="592" spans="1:28" x14ac:dyDescent="0.2">
      <c r="A592" t="str">
        <f t="shared" si="56"/>
        <v>2005AllSexAllEth24</v>
      </c>
      <c r="B592">
        <v>2005</v>
      </c>
      <c r="C592" t="s">
        <v>17</v>
      </c>
      <c r="D592" t="s">
        <v>27</v>
      </c>
      <c r="E592">
        <v>24</v>
      </c>
      <c r="F592">
        <v>136</v>
      </c>
      <c r="G592">
        <v>13.998970663921799</v>
      </c>
      <c r="H592">
        <v>2.4</v>
      </c>
      <c r="J592" s="358" t="str">
        <f t="shared" si="57"/>
        <v>2013MaleMaori194</v>
      </c>
      <c r="K592" s="359">
        <v>2013</v>
      </c>
      <c r="L592" t="s">
        <v>20</v>
      </c>
      <c r="M592" t="s">
        <v>18</v>
      </c>
      <c r="N592">
        <v>19</v>
      </c>
      <c r="O592">
        <v>4</v>
      </c>
      <c r="P592">
        <v>17</v>
      </c>
      <c r="Q592">
        <v>23.2503882927688</v>
      </c>
      <c r="R592">
        <v>11.1</v>
      </c>
      <c r="T592" s="358" t="str">
        <f t="shared" si="58"/>
        <v>1998MaleAllEth25Poisoning by gases and vapours</v>
      </c>
      <c r="U592" s="360">
        <v>1998</v>
      </c>
      <c r="V592" s="360" t="s">
        <v>20</v>
      </c>
      <c r="W592" s="360" t="s">
        <v>27</v>
      </c>
      <c r="X592" s="360">
        <v>25</v>
      </c>
      <c r="Y592" s="360" t="s">
        <v>46</v>
      </c>
      <c r="Z592" s="360">
        <v>20</v>
      </c>
      <c r="AA592" s="360">
        <v>48</v>
      </c>
      <c r="AB592" s="360">
        <v>41.7</v>
      </c>
    </row>
    <row r="593" spans="1:28" x14ac:dyDescent="0.2">
      <c r="A593" t="str">
        <f t="shared" si="56"/>
        <v>2005AllSexAllEth25</v>
      </c>
      <c r="B593">
        <v>2005</v>
      </c>
      <c r="C593" t="s">
        <v>17</v>
      </c>
      <c r="D593" t="s">
        <v>27</v>
      </c>
      <c r="E593">
        <v>25</v>
      </c>
      <c r="F593">
        <v>48</v>
      </c>
      <c r="G593">
        <v>9.6622247272434496</v>
      </c>
      <c r="H593">
        <v>2.7</v>
      </c>
      <c r="J593" s="358" t="str">
        <f t="shared" si="57"/>
        <v>2013MaleMaori195</v>
      </c>
      <c r="K593" s="359">
        <v>2013</v>
      </c>
      <c r="L593" t="s">
        <v>20</v>
      </c>
      <c r="M593" t="s">
        <v>18</v>
      </c>
      <c r="N593">
        <v>19</v>
      </c>
      <c r="O593">
        <v>5</v>
      </c>
      <c r="P593">
        <v>33</v>
      </c>
      <c r="Q593">
        <v>28.871051560293999</v>
      </c>
      <c r="R593">
        <v>9.9</v>
      </c>
      <c r="T593" s="358" t="str">
        <f t="shared" si="58"/>
        <v>1998MaleAllEth22Poisoning by solids and liquids</v>
      </c>
      <c r="U593" s="360">
        <v>1998</v>
      </c>
      <c r="V593" s="360" t="s">
        <v>20</v>
      </c>
      <c r="W593" s="360" t="s">
        <v>27</v>
      </c>
      <c r="X593" s="360">
        <v>22</v>
      </c>
      <c r="Y593" s="360" t="s">
        <v>47</v>
      </c>
      <c r="Z593" s="360">
        <v>3</v>
      </c>
      <c r="AA593" s="360">
        <v>105</v>
      </c>
      <c r="AB593" s="360">
        <v>2.9</v>
      </c>
    </row>
    <row r="594" spans="1:28" x14ac:dyDescent="0.2">
      <c r="A594" t="str">
        <f t="shared" si="56"/>
        <v>2005AllSexMaori21</v>
      </c>
      <c r="B594">
        <v>2005</v>
      </c>
      <c r="C594" t="s">
        <v>17</v>
      </c>
      <c r="D594" t="s">
        <v>18</v>
      </c>
      <c r="E594">
        <v>21</v>
      </c>
      <c r="F594">
        <v>2</v>
      </c>
      <c r="J594" s="358" t="str">
        <f t="shared" si="57"/>
        <v>2014MaleMaori191</v>
      </c>
      <c r="K594" s="359">
        <v>2014</v>
      </c>
      <c r="L594" t="s">
        <v>20</v>
      </c>
      <c r="M594" t="s">
        <v>18</v>
      </c>
      <c r="N594">
        <v>19</v>
      </c>
      <c r="O594">
        <v>1</v>
      </c>
      <c r="P594">
        <v>5</v>
      </c>
      <c r="Q594">
        <v>18.935906179491401</v>
      </c>
      <c r="R594">
        <v>16.600000000000001</v>
      </c>
      <c r="T594" s="358" t="str">
        <f t="shared" si="58"/>
        <v>1998MaleAllEth23Poisoning by solids and liquids</v>
      </c>
      <c r="U594" s="360">
        <v>1998</v>
      </c>
      <c r="V594" s="360" t="s">
        <v>20</v>
      </c>
      <c r="W594" s="360" t="s">
        <v>27</v>
      </c>
      <c r="X594" s="360">
        <v>23</v>
      </c>
      <c r="Y594" s="360" t="s">
        <v>47</v>
      </c>
      <c r="Z594" s="360">
        <v>16</v>
      </c>
      <c r="AA594" s="360">
        <v>195</v>
      </c>
      <c r="AB594" s="360">
        <v>8.1999999999999993</v>
      </c>
    </row>
    <row r="595" spans="1:28" x14ac:dyDescent="0.2">
      <c r="A595" t="str">
        <f t="shared" si="56"/>
        <v>2005AllSexMaori22</v>
      </c>
      <c r="B595">
        <v>2005</v>
      </c>
      <c r="C595" t="s">
        <v>17</v>
      </c>
      <c r="D595" t="s">
        <v>18</v>
      </c>
      <c r="E595">
        <v>22</v>
      </c>
      <c r="F595">
        <v>40</v>
      </c>
      <c r="G595">
        <v>35.010940919037203</v>
      </c>
      <c r="H595">
        <v>10.8</v>
      </c>
      <c r="J595" s="358" t="str">
        <f t="shared" si="57"/>
        <v>2014MaleMaori192</v>
      </c>
      <c r="K595" s="359">
        <v>2014</v>
      </c>
      <c r="L595" t="s">
        <v>20</v>
      </c>
      <c r="M595" t="s">
        <v>18</v>
      </c>
      <c r="N595">
        <v>19</v>
      </c>
      <c r="O595">
        <v>2</v>
      </c>
      <c r="P595">
        <v>4</v>
      </c>
      <c r="Q595">
        <v>10.3397722545037</v>
      </c>
      <c r="R595">
        <v>10.1</v>
      </c>
      <c r="T595" s="358" t="str">
        <f t="shared" si="58"/>
        <v>1998MaleAllEth24Poisoning by solids and liquids</v>
      </c>
      <c r="U595" s="360">
        <v>1998</v>
      </c>
      <c r="V595" s="360" t="s">
        <v>20</v>
      </c>
      <c r="W595" s="360" t="s">
        <v>27</v>
      </c>
      <c r="X595" s="360">
        <v>24</v>
      </c>
      <c r="Y595" s="360" t="s">
        <v>47</v>
      </c>
      <c r="Z595" s="360">
        <v>9</v>
      </c>
      <c r="AA595" s="360">
        <v>90</v>
      </c>
      <c r="AB595" s="360">
        <v>10</v>
      </c>
    </row>
    <row r="596" spans="1:28" x14ac:dyDescent="0.2">
      <c r="A596" t="str">
        <f t="shared" si="56"/>
        <v>2005AllSexMaori23</v>
      </c>
      <c r="B596">
        <v>2005</v>
      </c>
      <c r="C596" t="s">
        <v>17</v>
      </c>
      <c r="D596" t="s">
        <v>18</v>
      </c>
      <c r="E596">
        <v>23</v>
      </c>
      <c r="F596">
        <v>54</v>
      </c>
      <c r="G596">
        <v>31.865927062433599</v>
      </c>
      <c r="H596">
        <v>8.5</v>
      </c>
      <c r="J596" s="358" t="str">
        <f t="shared" si="57"/>
        <v>2014MaleMaori193</v>
      </c>
      <c r="K596" s="359">
        <v>2014</v>
      </c>
      <c r="L596" t="s">
        <v>20</v>
      </c>
      <c r="M596" t="s">
        <v>18</v>
      </c>
      <c r="N596">
        <v>19</v>
      </c>
      <c r="O596">
        <v>3</v>
      </c>
      <c r="P596">
        <v>15</v>
      </c>
      <c r="Q596">
        <v>30.433324877167099</v>
      </c>
      <c r="R596">
        <v>15.4</v>
      </c>
      <c r="T596" s="358" t="str">
        <f t="shared" si="58"/>
        <v>1998MaleAllEth25Poisoning by solids and liquids</v>
      </c>
      <c r="U596" s="360">
        <v>1998</v>
      </c>
      <c r="V596" s="360" t="s">
        <v>20</v>
      </c>
      <c r="W596" s="360" t="s">
        <v>27</v>
      </c>
      <c r="X596" s="360">
        <v>25</v>
      </c>
      <c r="Y596" s="360" t="s">
        <v>47</v>
      </c>
      <c r="Z596" s="360">
        <v>3</v>
      </c>
      <c r="AA596" s="360">
        <v>48</v>
      </c>
      <c r="AB596" s="360">
        <v>6.2</v>
      </c>
    </row>
    <row r="597" spans="1:28" x14ac:dyDescent="0.2">
      <c r="A597" t="str">
        <f t="shared" si="56"/>
        <v>2005AllSexMaori24</v>
      </c>
      <c r="B597">
        <v>2005</v>
      </c>
      <c r="C597" t="s">
        <v>17</v>
      </c>
      <c r="D597" t="s">
        <v>18</v>
      </c>
      <c r="E597">
        <v>24</v>
      </c>
      <c r="F597">
        <v>7</v>
      </c>
      <c r="G597">
        <v>7.4994643239768601</v>
      </c>
      <c r="H597">
        <v>5.6</v>
      </c>
      <c r="J597" s="358" t="str">
        <f t="shared" si="57"/>
        <v>2014MaleMaori194</v>
      </c>
      <c r="K597" s="359">
        <v>2014</v>
      </c>
      <c r="L597" t="s">
        <v>20</v>
      </c>
      <c r="M597" t="s">
        <v>18</v>
      </c>
      <c r="N597">
        <v>19</v>
      </c>
      <c r="O597">
        <v>4</v>
      </c>
      <c r="P597">
        <v>15</v>
      </c>
      <c r="Q597">
        <v>21.004894148871099</v>
      </c>
      <c r="R597">
        <v>10.6</v>
      </c>
      <c r="T597" s="358" t="str">
        <f t="shared" si="58"/>
        <v>1998MaleAllEth23Sharp object</v>
      </c>
      <c r="U597" s="360">
        <v>1998</v>
      </c>
      <c r="V597" s="360" t="s">
        <v>20</v>
      </c>
      <c r="W597" s="360" t="s">
        <v>27</v>
      </c>
      <c r="X597" s="360">
        <v>23</v>
      </c>
      <c r="Y597" s="360" t="s">
        <v>48</v>
      </c>
      <c r="Z597" s="360">
        <v>5</v>
      </c>
      <c r="AA597" s="360">
        <v>195</v>
      </c>
      <c r="AB597" s="360">
        <v>2.6</v>
      </c>
    </row>
    <row r="598" spans="1:28" x14ac:dyDescent="0.2">
      <c r="A598" t="str">
        <f t="shared" si="56"/>
        <v>2005AllSexMaori25</v>
      </c>
      <c r="B598">
        <v>2005</v>
      </c>
      <c r="C598" t="s">
        <v>17</v>
      </c>
      <c r="D598" t="s">
        <v>18</v>
      </c>
      <c r="E598">
        <v>25</v>
      </c>
      <c r="F598">
        <v>2</v>
      </c>
      <c r="G598">
        <v>8.2068116536725508</v>
      </c>
      <c r="H598">
        <v>11.4</v>
      </c>
      <c r="J598" s="358" t="str">
        <f t="shared" si="57"/>
        <v>2014MaleMaori195</v>
      </c>
      <c r="K598" s="359">
        <v>2014</v>
      </c>
      <c r="L598" t="s">
        <v>20</v>
      </c>
      <c r="M598" t="s">
        <v>18</v>
      </c>
      <c r="N598">
        <v>19</v>
      </c>
      <c r="O598">
        <v>5</v>
      </c>
      <c r="P598">
        <v>27</v>
      </c>
      <c r="Q598">
        <v>23.295643297462</v>
      </c>
      <c r="R598">
        <v>8.8000000000000007</v>
      </c>
      <c r="T598" s="358" t="str">
        <f t="shared" si="58"/>
        <v>1998MaleAllEth24Sharp object</v>
      </c>
      <c r="U598" s="360">
        <v>1998</v>
      </c>
      <c r="V598" s="360" t="s">
        <v>20</v>
      </c>
      <c r="W598" s="360" t="s">
        <v>27</v>
      </c>
      <c r="X598" s="360">
        <v>24</v>
      </c>
      <c r="Y598" s="360" t="s">
        <v>48</v>
      </c>
      <c r="Z598" s="360">
        <v>2</v>
      </c>
      <c r="AA598" s="360">
        <v>90</v>
      </c>
      <c r="AB598" s="360">
        <v>2.2000000000000002</v>
      </c>
    </row>
    <row r="599" spans="1:28" x14ac:dyDescent="0.2">
      <c r="A599" t="str">
        <f t="shared" si="56"/>
        <v>2005AllSexNon-Maori21</v>
      </c>
      <c r="B599">
        <v>2005</v>
      </c>
      <c r="C599" t="s">
        <v>17</v>
      </c>
      <c r="D599" t="s">
        <v>19</v>
      </c>
      <c r="E599">
        <v>21</v>
      </c>
      <c r="F599">
        <v>1</v>
      </c>
      <c r="J599" s="358" t="str">
        <f t="shared" si="57"/>
        <v>2015MaleMaori191</v>
      </c>
      <c r="K599" s="359">
        <v>2015</v>
      </c>
      <c r="L599" t="s">
        <v>20</v>
      </c>
      <c r="M599" t="s">
        <v>18</v>
      </c>
      <c r="N599">
        <v>19</v>
      </c>
      <c r="O599">
        <v>1</v>
      </c>
      <c r="P599">
        <v>1</v>
      </c>
      <c r="Q599">
        <v>2.54796592014885</v>
      </c>
      <c r="R599">
        <v>5</v>
      </c>
      <c r="T599" s="358" t="str">
        <f t="shared" si="58"/>
        <v>1998MaleAllEth23Submersion (drowning)</v>
      </c>
      <c r="U599" s="360">
        <v>1998</v>
      </c>
      <c r="V599" s="360" t="s">
        <v>20</v>
      </c>
      <c r="W599" s="360" t="s">
        <v>27</v>
      </c>
      <c r="X599" s="360">
        <v>23</v>
      </c>
      <c r="Y599" s="360" t="s">
        <v>49</v>
      </c>
      <c r="Z599" s="360">
        <v>1</v>
      </c>
      <c r="AA599" s="360">
        <v>195</v>
      </c>
      <c r="AB599" s="360">
        <v>0.5</v>
      </c>
    </row>
    <row r="600" spans="1:28" x14ac:dyDescent="0.2">
      <c r="A600" t="str">
        <f t="shared" si="56"/>
        <v>2005AllSexNon-Maori22</v>
      </c>
      <c r="B600">
        <v>2005</v>
      </c>
      <c r="C600" t="s">
        <v>17</v>
      </c>
      <c r="D600" t="s">
        <v>19</v>
      </c>
      <c r="E600">
        <v>22</v>
      </c>
      <c r="F600">
        <v>69</v>
      </c>
      <c r="G600">
        <v>14.344816116089101</v>
      </c>
      <c r="H600">
        <v>3.4</v>
      </c>
      <c r="J600" s="358" t="str">
        <f t="shared" si="57"/>
        <v>2015MaleMaori192</v>
      </c>
      <c r="K600" s="359">
        <v>2015</v>
      </c>
      <c r="L600" t="s">
        <v>20</v>
      </c>
      <c r="M600" t="s">
        <v>18</v>
      </c>
      <c r="N600">
        <v>19</v>
      </c>
      <c r="O600">
        <v>2</v>
      </c>
      <c r="P600">
        <v>8</v>
      </c>
      <c r="Q600">
        <v>19.612369041484101</v>
      </c>
      <c r="R600">
        <v>13.6</v>
      </c>
      <c r="T600" s="358" t="str">
        <f t="shared" si="58"/>
        <v>1998MaleAllEth24Submersion (drowning)</v>
      </c>
      <c r="U600" s="360">
        <v>1998</v>
      </c>
      <c r="V600" s="360" t="s">
        <v>20</v>
      </c>
      <c r="W600" s="360" t="s">
        <v>27</v>
      </c>
      <c r="X600" s="360">
        <v>24</v>
      </c>
      <c r="Y600" s="360" t="s">
        <v>49</v>
      </c>
      <c r="Z600" s="360">
        <v>5</v>
      </c>
      <c r="AA600" s="360">
        <v>90</v>
      </c>
      <c r="AB600" s="360">
        <v>5.6</v>
      </c>
    </row>
    <row r="601" spans="1:28" x14ac:dyDescent="0.2">
      <c r="A601" t="str">
        <f t="shared" si="56"/>
        <v>2005AllSexNon-Maori23</v>
      </c>
      <c r="B601">
        <v>2005</v>
      </c>
      <c r="C601" t="s">
        <v>17</v>
      </c>
      <c r="D601" t="s">
        <v>19</v>
      </c>
      <c r="E601">
        <v>23</v>
      </c>
      <c r="F601">
        <v>165</v>
      </c>
      <c r="G601">
        <v>16.289699973344099</v>
      </c>
      <c r="H601">
        <v>2.5</v>
      </c>
      <c r="J601" s="358" t="str">
        <f t="shared" si="57"/>
        <v>2015MaleMaori193</v>
      </c>
      <c r="K601" s="359">
        <v>2015</v>
      </c>
      <c r="L601" t="s">
        <v>20</v>
      </c>
      <c r="M601" t="s">
        <v>18</v>
      </c>
      <c r="N601">
        <v>19</v>
      </c>
      <c r="O601">
        <v>3</v>
      </c>
      <c r="P601">
        <v>13</v>
      </c>
      <c r="Q601">
        <v>24.332958240537401</v>
      </c>
      <c r="R601">
        <v>13.2</v>
      </c>
      <c r="T601" s="358" t="str">
        <f t="shared" si="58"/>
        <v>1998MaleAllEth25Submersion (drowning)</v>
      </c>
      <c r="U601" s="360">
        <v>1998</v>
      </c>
      <c r="V601" s="360" t="s">
        <v>20</v>
      </c>
      <c r="W601" s="360" t="s">
        <v>27</v>
      </c>
      <c r="X601" s="360">
        <v>25</v>
      </c>
      <c r="Y601" s="360" t="s">
        <v>49</v>
      </c>
      <c r="Z601" s="360">
        <v>1</v>
      </c>
      <c r="AA601" s="360">
        <v>48</v>
      </c>
      <c r="AB601" s="360">
        <v>2.1</v>
      </c>
    </row>
    <row r="602" spans="1:28" x14ac:dyDescent="0.2">
      <c r="A602" t="str">
        <f t="shared" si="56"/>
        <v>2005AllSexNon-Maori24</v>
      </c>
      <c r="B602">
        <v>2005</v>
      </c>
      <c r="C602" t="s">
        <v>17</v>
      </c>
      <c r="D602" t="s">
        <v>19</v>
      </c>
      <c r="E602">
        <v>24</v>
      </c>
      <c r="F602">
        <v>129</v>
      </c>
      <c r="G602">
        <v>14.689805957912</v>
      </c>
      <c r="H602">
        <v>2.5</v>
      </c>
      <c r="J602" s="358" t="str">
        <f t="shared" si="57"/>
        <v>2015MaleMaori194</v>
      </c>
      <c r="K602" s="359">
        <v>2015</v>
      </c>
      <c r="L602" t="s">
        <v>20</v>
      </c>
      <c r="M602" t="s">
        <v>18</v>
      </c>
      <c r="N602">
        <v>19</v>
      </c>
      <c r="O602">
        <v>4</v>
      </c>
      <c r="P602">
        <v>19</v>
      </c>
      <c r="Q602">
        <v>26.345547729502702</v>
      </c>
      <c r="R602">
        <v>11.8</v>
      </c>
      <c r="T602" s="358" t="str">
        <f t="shared" si="58"/>
        <v>1998MaleMaori22Firearms and explosives</v>
      </c>
      <c r="U602" s="360">
        <v>1998</v>
      </c>
      <c r="V602" s="360" t="s">
        <v>20</v>
      </c>
      <c r="W602" s="360" t="s">
        <v>18</v>
      </c>
      <c r="X602" s="360">
        <v>22</v>
      </c>
      <c r="Y602" s="360" t="s">
        <v>42</v>
      </c>
      <c r="Z602" s="360">
        <v>4</v>
      </c>
      <c r="AA602" s="360">
        <v>30</v>
      </c>
      <c r="AB602" s="360">
        <v>13.3</v>
      </c>
    </row>
    <row r="603" spans="1:28" x14ac:dyDescent="0.2">
      <c r="A603" t="str">
        <f t="shared" si="56"/>
        <v>2005AllSexNon-Maori25</v>
      </c>
      <c r="B603">
        <v>2005</v>
      </c>
      <c r="C603" t="s">
        <v>17</v>
      </c>
      <c r="D603" t="s">
        <v>19</v>
      </c>
      <c r="E603">
        <v>25</v>
      </c>
      <c r="F603">
        <v>46</v>
      </c>
      <c r="G603">
        <v>9.7373044601088008</v>
      </c>
      <c r="H603">
        <v>2.8</v>
      </c>
      <c r="J603" s="358" t="str">
        <f t="shared" si="57"/>
        <v>2015MaleMaori195</v>
      </c>
      <c r="K603" s="359">
        <v>2015</v>
      </c>
      <c r="L603" t="s">
        <v>20</v>
      </c>
      <c r="M603" t="s">
        <v>18</v>
      </c>
      <c r="N603">
        <v>19</v>
      </c>
      <c r="O603">
        <v>5</v>
      </c>
      <c r="P603">
        <v>36</v>
      </c>
      <c r="Q603">
        <v>32.210296410222497</v>
      </c>
      <c r="R603">
        <v>10.5</v>
      </c>
      <c r="T603" s="358" t="str">
        <f t="shared" si="58"/>
        <v>1998MaleMaori23Firearms and explosives</v>
      </c>
      <c r="U603" s="360">
        <v>1998</v>
      </c>
      <c r="V603" s="360" t="s">
        <v>20</v>
      </c>
      <c r="W603" s="360" t="s">
        <v>18</v>
      </c>
      <c r="X603" s="360">
        <v>23</v>
      </c>
      <c r="Y603" s="360" t="s">
        <v>42</v>
      </c>
      <c r="Z603" s="360">
        <v>2</v>
      </c>
      <c r="AA603" s="360">
        <v>40</v>
      </c>
      <c r="AB603" s="360">
        <v>5</v>
      </c>
    </row>
    <row r="604" spans="1:28" x14ac:dyDescent="0.2">
      <c r="A604" t="str">
        <f t="shared" si="56"/>
        <v>2005FemaleAllEth21</v>
      </c>
      <c r="B604">
        <v>2005</v>
      </c>
      <c r="C604" t="s">
        <v>8</v>
      </c>
      <c r="D604" t="s">
        <v>27</v>
      </c>
      <c r="E604">
        <v>21</v>
      </c>
      <c r="F604">
        <v>2</v>
      </c>
      <c r="J604" s="358" t="str">
        <f t="shared" si="57"/>
        <v>2001MaleNon-Maori191</v>
      </c>
      <c r="K604" s="359">
        <v>2001</v>
      </c>
      <c r="L604" t="s">
        <v>20</v>
      </c>
      <c r="M604" t="s">
        <v>19</v>
      </c>
      <c r="N604">
        <v>19</v>
      </c>
      <c r="O604">
        <v>1</v>
      </c>
      <c r="P604">
        <v>46</v>
      </c>
      <c r="Q604">
        <v>12.753765311137199</v>
      </c>
      <c r="R604">
        <v>3.7</v>
      </c>
      <c r="T604" s="358" t="str">
        <f t="shared" si="58"/>
        <v>1998MaleMaori24Firearms and explosives</v>
      </c>
      <c r="U604" s="360">
        <v>1998</v>
      </c>
      <c r="V604" s="360" t="s">
        <v>20</v>
      </c>
      <c r="W604" s="360" t="s">
        <v>18</v>
      </c>
      <c r="X604" s="360">
        <v>24</v>
      </c>
      <c r="Y604" s="360" t="s">
        <v>42</v>
      </c>
      <c r="Z604" s="360">
        <v>3</v>
      </c>
      <c r="AA604" s="360">
        <v>10</v>
      </c>
      <c r="AB604" s="360">
        <v>30</v>
      </c>
    </row>
    <row r="605" spans="1:28" x14ac:dyDescent="0.2">
      <c r="A605" t="str">
        <f t="shared" si="56"/>
        <v>2005FemaleAllEth22</v>
      </c>
      <c r="B605">
        <v>2005</v>
      </c>
      <c r="C605" t="s">
        <v>8</v>
      </c>
      <c r="D605" t="s">
        <v>27</v>
      </c>
      <c r="E605">
        <v>22</v>
      </c>
      <c r="F605">
        <v>25</v>
      </c>
      <c r="G605">
        <v>8.4895408856289105</v>
      </c>
      <c r="H605">
        <v>3.3</v>
      </c>
      <c r="J605" s="358" t="str">
        <f t="shared" si="57"/>
        <v>2001MaleNon-Maori192</v>
      </c>
      <c r="K605" s="359">
        <v>2001</v>
      </c>
      <c r="L605" t="s">
        <v>20</v>
      </c>
      <c r="M605" t="s">
        <v>19</v>
      </c>
      <c r="N605">
        <v>19</v>
      </c>
      <c r="O605">
        <v>2</v>
      </c>
      <c r="P605">
        <v>51</v>
      </c>
      <c r="Q605">
        <v>13.1822343419113</v>
      </c>
      <c r="R605">
        <v>3.6</v>
      </c>
      <c r="T605" s="358" t="str">
        <f t="shared" si="58"/>
        <v>1998MaleMaori25Firearms and explosives</v>
      </c>
      <c r="U605" s="360">
        <v>1998</v>
      </c>
      <c r="V605" s="360" t="s">
        <v>20</v>
      </c>
      <c r="W605" s="360" t="s">
        <v>18</v>
      </c>
      <c r="X605" s="360">
        <v>25</v>
      </c>
      <c r="Y605" s="360" t="s">
        <v>42</v>
      </c>
      <c r="Z605" s="360">
        <v>1</v>
      </c>
      <c r="AA605" s="360">
        <v>2</v>
      </c>
      <c r="AB605" s="360">
        <v>50</v>
      </c>
    </row>
    <row r="606" spans="1:28" x14ac:dyDescent="0.2">
      <c r="A606" t="str">
        <f t="shared" si="56"/>
        <v>2005FemaleAllEth23</v>
      </c>
      <c r="B606">
        <v>2005</v>
      </c>
      <c r="C606" t="s">
        <v>8</v>
      </c>
      <c r="D606" t="s">
        <v>27</v>
      </c>
      <c r="E606">
        <v>23</v>
      </c>
      <c r="F606">
        <v>58</v>
      </c>
      <c r="G606">
        <v>9.4612009200202305</v>
      </c>
      <c r="H606">
        <v>2.4</v>
      </c>
      <c r="J606" s="358" t="str">
        <f t="shared" si="57"/>
        <v>2001MaleNon-Maori193</v>
      </c>
      <c r="K606" s="359">
        <v>2001</v>
      </c>
      <c r="L606" t="s">
        <v>20</v>
      </c>
      <c r="M606" t="s">
        <v>19</v>
      </c>
      <c r="N606">
        <v>19</v>
      </c>
      <c r="O606">
        <v>3</v>
      </c>
      <c r="P606">
        <v>64</v>
      </c>
      <c r="Q606">
        <v>18.305282757028699</v>
      </c>
      <c r="R606">
        <v>4.5</v>
      </c>
      <c r="T606" s="358" t="str">
        <f t="shared" si="58"/>
        <v>1998MaleMaori21Hanging, strangulation and suffocation</v>
      </c>
      <c r="U606" s="360">
        <v>1998</v>
      </c>
      <c r="V606" s="360" t="s">
        <v>20</v>
      </c>
      <c r="W606" s="360" t="s">
        <v>18</v>
      </c>
      <c r="X606" s="360">
        <v>21</v>
      </c>
      <c r="Y606" s="360" t="s">
        <v>43</v>
      </c>
      <c r="Z606" s="360">
        <v>6</v>
      </c>
      <c r="AA606" s="360">
        <v>6</v>
      </c>
      <c r="AB606" s="360">
        <v>100</v>
      </c>
    </row>
    <row r="607" spans="1:28" x14ac:dyDescent="0.2">
      <c r="A607" t="str">
        <f t="shared" si="56"/>
        <v>2005FemaleAllEth24</v>
      </c>
      <c r="B607">
        <v>2005</v>
      </c>
      <c r="C607" t="s">
        <v>8</v>
      </c>
      <c r="D607" t="s">
        <v>27</v>
      </c>
      <c r="E607">
        <v>24</v>
      </c>
      <c r="F607">
        <v>31</v>
      </c>
      <c r="G607">
        <v>6.2923720212722802</v>
      </c>
      <c r="H607">
        <v>2.2000000000000002</v>
      </c>
      <c r="J607" s="358" t="str">
        <f t="shared" si="57"/>
        <v>2001MaleNon-Maori194</v>
      </c>
      <c r="K607" s="359">
        <v>2001</v>
      </c>
      <c r="L607" t="s">
        <v>20</v>
      </c>
      <c r="M607" t="s">
        <v>19</v>
      </c>
      <c r="N607">
        <v>19</v>
      </c>
      <c r="O607">
        <v>4</v>
      </c>
      <c r="P607">
        <v>77</v>
      </c>
      <c r="Q607">
        <v>24.0862494386717</v>
      </c>
      <c r="R607">
        <v>5.4</v>
      </c>
      <c r="T607" s="358" t="str">
        <f t="shared" si="58"/>
        <v>1998MaleMaori22Hanging, strangulation and suffocation</v>
      </c>
      <c r="U607" s="360">
        <v>1998</v>
      </c>
      <c r="V607" s="360" t="s">
        <v>20</v>
      </c>
      <c r="W607" s="360" t="s">
        <v>18</v>
      </c>
      <c r="X607" s="360">
        <v>22</v>
      </c>
      <c r="Y607" s="360" t="s">
        <v>43</v>
      </c>
      <c r="Z607" s="360">
        <v>18</v>
      </c>
      <c r="AA607" s="360">
        <v>30</v>
      </c>
      <c r="AB607" s="360">
        <v>60</v>
      </c>
    </row>
    <row r="608" spans="1:28" x14ac:dyDescent="0.2">
      <c r="A608" t="str">
        <f t="shared" si="56"/>
        <v>2005FemaleAllEth25</v>
      </c>
      <c r="B608">
        <v>2005</v>
      </c>
      <c r="C608" t="s">
        <v>8</v>
      </c>
      <c r="D608" t="s">
        <v>27</v>
      </c>
      <c r="E608">
        <v>25</v>
      </c>
      <c r="F608">
        <v>16</v>
      </c>
      <c r="G608">
        <v>5.8025676361790097</v>
      </c>
      <c r="H608">
        <v>2.8</v>
      </c>
      <c r="J608" s="358" t="str">
        <f t="shared" si="57"/>
        <v>2001MaleNon-Maori195</v>
      </c>
      <c r="K608" s="359">
        <v>2001</v>
      </c>
      <c r="L608" t="s">
        <v>20</v>
      </c>
      <c r="M608" t="s">
        <v>19</v>
      </c>
      <c r="N608">
        <v>19</v>
      </c>
      <c r="O608">
        <v>5</v>
      </c>
      <c r="P608">
        <v>54</v>
      </c>
      <c r="Q608">
        <v>20.890638611172498</v>
      </c>
      <c r="R608">
        <v>5.6</v>
      </c>
      <c r="T608" s="358" t="str">
        <f t="shared" si="58"/>
        <v>1998MaleMaori23Hanging, strangulation and suffocation</v>
      </c>
      <c r="U608" s="360">
        <v>1998</v>
      </c>
      <c r="V608" s="360" t="s">
        <v>20</v>
      </c>
      <c r="W608" s="360" t="s">
        <v>18</v>
      </c>
      <c r="X608" s="360">
        <v>23</v>
      </c>
      <c r="Y608" s="360" t="s">
        <v>43</v>
      </c>
      <c r="Z608" s="360">
        <v>30</v>
      </c>
      <c r="AA608" s="360">
        <v>40</v>
      </c>
      <c r="AB608" s="360">
        <v>75</v>
      </c>
    </row>
    <row r="609" spans="1:28" x14ac:dyDescent="0.2">
      <c r="A609" t="str">
        <f t="shared" si="56"/>
        <v>2005FemaleMaori21</v>
      </c>
      <c r="B609">
        <v>2005</v>
      </c>
      <c r="C609" t="s">
        <v>8</v>
      </c>
      <c r="D609" t="s">
        <v>18</v>
      </c>
      <c r="E609">
        <v>21</v>
      </c>
      <c r="F609">
        <v>2</v>
      </c>
      <c r="J609" s="358" t="str">
        <f t="shared" si="57"/>
        <v>2002MaleNon-Maori191</v>
      </c>
      <c r="K609" s="359">
        <v>2002</v>
      </c>
      <c r="L609" t="s">
        <v>20</v>
      </c>
      <c r="M609" t="s">
        <v>19</v>
      </c>
      <c r="N609">
        <v>19</v>
      </c>
      <c r="O609">
        <v>1</v>
      </c>
      <c r="P609">
        <v>38</v>
      </c>
      <c r="Q609">
        <v>10.282137902642299</v>
      </c>
      <c r="R609">
        <v>3.3</v>
      </c>
      <c r="T609" s="358" t="str">
        <f t="shared" si="58"/>
        <v>1998MaleMaori24Hanging, strangulation and suffocation</v>
      </c>
      <c r="U609" s="360">
        <v>1998</v>
      </c>
      <c r="V609" s="360" t="s">
        <v>20</v>
      </c>
      <c r="W609" s="360" t="s">
        <v>18</v>
      </c>
      <c r="X609" s="360">
        <v>24</v>
      </c>
      <c r="Y609" s="360" t="s">
        <v>43</v>
      </c>
      <c r="Z609" s="360">
        <v>3</v>
      </c>
      <c r="AA609" s="360">
        <v>10</v>
      </c>
      <c r="AB609" s="360">
        <v>30</v>
      </c>
    </row>
    <row r="610" spans="1:28" x14ac:dyDescent="0.2">
      <c r="A610" t="str">
        <f t="shared" si="56"/>
        <v>2005FemaleMaori22</v>
      </c>
      <c r="B610">
        <v>2005</v>
      </c>
      <c r="C610" t="s">
        <v>8</v>
      </c>
      <c r="D610" t="s">
        <v>18</v>
      </c>
      <c r="E610">
        <v>22</v>
      </c>
      <c r="F610">
        <v>11</v>
      </c>
      <c r="G610">
        <v>18.9753320683112</v>
      </c>
      <c r="H610">
        <v>11.2</v>
      </c>
      <c r="J610" s="358" t="str">
        <f t="shared" si="57"/>
        <v>2002MaleNon-Maori192</v>
      </c>
      <c r="K610" s="359">
        <v>2002</v>
      </c>
      <c r="L610" t="s">
        <v>20</v>
      </c>
      <c r="M610" t="s">
        <v>19</v>
      </c>
      <c r="N610">
        <v>19</v>
      </c>
      <c r="O610">
        <v>2</v>
      </c>
      <c r="P610">
        <v>73</v>
      </c>
      <c r="Q610">
        <v>19.4847210075656</v>
      </c>
      <c r="R610">
        <v>4.5</v>
      </c>
      <c r="T610" s="358" t="str">
        <f t="shared" si="58"/>
        <v>1998MaleMaori22Jumping from a high place</v>
      </c>
      <c r="U610" s="360">
        <v>1998</v>
      </c>
      <c r="V610" s="360" t="s">
        <v>20</v>
      </c>
      <c r="W610" s="360" t="s">
        <v>18</v>
      </c>
      <c r="X610" s="360">
        <v>22</v>
      </c>
      <c r="Y610" s="360" t="s">
        <v>44</v>
      </c>
      <c r="Z610" s="360">
        <v>2</v>
      </c>
      <c r="AA610" s="360">
        <v>30</v>
      </c>
      <c r="AB610" s="360">
        <v>6.7</v>
      </c>
    </row>
    <row r="611" spans="1:28" x14ac:dyDescent="0.2">
      <c r="A611" t="str">
        <f t="shared" si="56"/>
        <v>2005FemaleMaori23</v>
      </c>
      <c r="B611">
        <v>2005</v>
      </c>
      <c r="C611" t="s">
        <v>8</v>
      </c>
      <c r="D611" t="s">
        <v>18</v>
      </c>
      <c r="E611">
        <v>23</v>
      </c>
      <c r="F611">
        <v>12</v>
      </c>
      <c r="G611">
        <v>13.386880856760399</v>
      </c>
      <c r="H611">
        <v>7.6</v>
      </c>
      <c r="J611" s="358" t="str">
        <f t="shared" si="57"/>
        <v>2002MaleNon-Maori193</v>
      </c>
      <c r="K611" s="359">
        <v>2002</v>
      </c>
      <c r="L611" t="s">
        <v>20</v>
      </c>
      <c r="M611" t="s">
        <v>19</v>
      </c>
      <c r="N611">
        <v>19</v>
      </c>
      <c r="O611">
        <v>3</v>
      </c>
      <c r="P611">
        <v>56</v>
      </c>
      <c r="Q611">
        <v>15.020065279296</v>
      </c>
      <c r="R611">
        <v>3.9</v>
      </c>
      <c r="T611" s="358" t="str">
        <f t="shared" si="58"/>
        <v>1998MaleMaori22Other</v>
      </c>
      <c r="U611" s="360">
        <v>1998</v>
      </c>
      <c r="V611" s="360" t="s">
        <v>20</v>
      </c>
      <c r="W611" s="360" t="s">
        <v>18</v>
      </c>
      <c r="X611" s="360">
        <v>22</v>
      </c>
      <c r="Y611" s="360" t="s">
        <v>45</v>
      </c>
      <c r="Z611" s="360">
        <v>2</v>
      </c>
      <c r="AA611" s="360">
        <v>30</v>
      </c>
      <c r="AB611" s="360">
        <v>6.7</v>
      </c>
    </row>
    <row r="612" spans="1:28" x14ac:dyDescent="0.2">
      <c r="A612" t="str">
        <f t="shared" si="56"/>
        <v>2005FemaleMaori24</v>
      </c>
      <c r="B612">
        <v>2005</v>
      </c>
      <c r="C612" t="s">
        <v>8</v>
      </c>
      <c r="D612" t="s">
        <v>18</v>
      </c>
      <c r="E612">
        <v>24</v>
      </c>
      <c r="F612">
        <v>2</v>
      </c>
      <c r="G612">
        <v>4.12456176531244</v>
      </c>
      <c r="H612">
        <v>5.7</v>
      </c>
      <c r="J612" s="358" t="str">
        <f t="shared" si="57"/>
        <v>2002MaleNon-Maori194</v>
      </c>
      <c r="K612" s="359">
        <v>2002</v>
      </c>
      <c r="L612" t="s">
        <v>20</v>
      </c>
      <c r="M612" t="s">
        <v>19</v>
      </c>
      <c r="N612">
        <v>19</v>
      </c>
      <c r="O612">
        <v>4</v>
      </c>
      <c r="P612">
        <v>56</v>
      </c>
      <c r="Q612">
        <v>16.896061799918701</v>
      </c>
      <c r="R612">
        <v>4.4000000000000004</v>
      </c>
      <c r="T612" s="358" t="str">
        <f t="shared" si="58"/>
        <v>1998MaleMaori23Other</v>
      </c>
      <c r="U612" s="360">
        <v>1998</v>
      </c>
      <c r="V612" s="360" t="s">
        <v>20</v>
      </c>
      <c r="W612" s="360" t="s">
        <v>18</v>
      </c>
      <c r="X612" s="360">
        <v>23</v>
      </c>
      <c r="Y612" s="360" t="s">
        <v>45</v>
      </c>
      <c r="Z612" s="360">
        <v>3</v>
      </c>
      <c r="AA612" s="360">
        <v>40</v>
      </c>
      <c r="AB612" s="360">
        <v>7.5</v>
      </c>
    </row>
    <row r="613" spans="1:28" x14ac:dyDescent="0.2">
      <c r="A613" t="str">
        <f t="shared" si="56"/>
        <v>2005FemaleMaori25</v>
      </c>
      <c r="B613">
        <v>2005</v>
      </c>
      <c r="C613" t="s">
        <v>8</v>
      </c>
      <c r="D613" t="s">
        <v>18</v>
      </c>
      <c r="E613">
        <v>25</v>
      </c>
      <c r="F613">
        <v>0</v>
      </c>
      <c r="G613">
        <v>0</v>
      </c>
      <c r="J613" s="358" t="str">
        <f t="shared" si="57"/>
        <v>2002MaleNon-Maori195</v>
      </c>
      <c r="K613" s="359">
        <v>2002</v>
      </c>
      <c r="L613" t="s">
        <v>20</v>
      </c>
      <c r="M613" t="s">
        <v>19</v>
      </c>
      <c r="N613">
        <v>19</v>
      </c>
      <c r="O613">
        <v>5</v>
      </c>
      <c r="P613">
        <v>53</v>
      </c>
      <c r="Q613">
        <v>20.190358192406201</v>
      </c>
      <c r="R613">
        <v>5.4</v>
      </c>
      <c r="T613" s="358" t="str">
        <f t="shared" si="58"/>
        <v>1998MaleMaori24Other</v>
      </c>
      <c r="U613" s="360">
        <v>1998</v>
      </c>
      <c r="V613" s="360" t="s">
        <v>20</v>
      </c>
      <c r="W613" s="360" t="s">
        <v>18</v>
      </c>
      <c r="X613" s="360">
        <v>24</v>
      </c>
      <c r="Y613" s="360" t="s">
        <v>45</v>
      </c>
      <c r="Z613" s="360">
        <v>1</v>
      </c>
      <c r="AA613" s="360">
        <v>10</v>
      </c>
      <c r="AB613" s="360">
        <v>10</v>
      </c>
    </row>
    <row r="614" spans="1:28" x14ac:dyDescent="0.2">
      <c r="A614" t="str">
        <f t="shared" si="56"/>
        <v>2005FemaleNon-Maori21</v>
      </c>
      <c r="B614">
        <v>2005</v>
      </c>
      <c r="C614" t="s">
        <v>8</v>
      </c>
      <c r="D614" t="s">
        <v>19</v>
      </c>
      <c r="E614">
        <v>21</v>
      </c>
      <c r="F614">
        <v>0</v>
      </c>
      <c r="J614" s="358" t="str">
        <f t="shared" si="57"/>
        <v>2003MaleNon-Maori191</v>
      </c>
      <c r="K614" s="359">
        <v>2003</v>
      </c>
      <c r="L614" t="s">
        <v>20</v>
      </c>
      <c r="M614" t="s">
        <v>19</v>
      </c>
      <c r="N614">
        <v>19</v>
      </c>
      <c r="O614">
        <v>1</v>
      </c>
      <c r="P614">
        <v>45</v>
      </c>
      <c r="Q614">
        <v>11.3303866169214</v>
      </c>
      <c r="R614">
        <v>3.3</v>
      </c>
      <c r="T614" s="358" t="str">
        <f t="shared" si="58"/>
        <v>1998MaleMaori22Poisoning by gases and vapours</v>
      </c>
      <c r="U614" s="360">
        <v>1998</v>
      </c>
      <c r="V614" s="360" t="s">
        <v>20</v>
      </c>
      <c r="W614" s="360" t="s">
        <v>18</v>
      </c>
      <c r="X614" s="360">
        <v>22</v>
      </c>
      <c r="Y614" s="360" t="s">
        <v>46</v>
      </c>
      <c r="Z614" s="360">
        <v>3</v>
      </c>
      <c r="AA614" s="360">
        <v>30</v>
      </c>
      <c r="AB614" s="360">
        <v>10</v>
      </c>
    </row>
    <row r="615" spans="1:28" x14ac:dyDescent="0.2">
      <c r="A615" t="str">
        <f t="shared" si="56"/>
        <v>2005FemaleNon-Maori22</v>
      </c>
      <c r="B615">
        <v>2005</v>
      </c>
      <c r="C615" t="s">
        <v>8</v>
      </c>
      <c r="D615" t="s">
        <v>19</v>
      </c>
      <c r="E615">
        <v>22</v>
      </c>
      <c r="F615">
        <v>14</v>
      </c>
      <c r="G615">
        <v>5.9194114413766901</v>
      </c>
      <c r="H615">
        <v>3.1</v>
      </c>
      <c r="J615" s="358" t="str">
        <f t="shared" si="57"/>
        <v>2003MaleNon-Maori192</v>
      </c>
      <c r="K615" s="359">
        <v>2003</v>
      </c>
      <c r="L615" t="s">
        <v>20</v>
      </c>
      <c r="M615" t="s">
        <v>19</v>
      </c>
      <c r="N615">
        <v>19</v>
      </c>
      <c r="O615">
        <v>2</v>
      </c>
      <c r="P615">
        <v>52</v>
      </c>
      <c r="Q615">
        <v>12.8317075745463</v>
      </c>
      <c r="R615">
        <v>3.5</v>
      </c>
      <c r="T615" s="358" t="str">
        <f t="shared" si="58"/>
        <v>1998MaleMaori23Poisoning by gases and vapours</v>
      </c>
      <c r="U615" s="360">
        <v>1998</v>
      </c>
      <c r="V615" s="360" t="s">
        <v>20</v>
      </c>
      <c r="W615" s="360" t="s">
        <v>18</v>
      </c>
      <c r="X615" s="360">
        <v>23</v>
      </c>
      <c r="Y615" s="360" t="s">
        <v>46</v>
      </c>
      <c r="Z615" s="360">
        <v>4</v>
      </c>
      <c r="AA615" s="360">
        <v>40</v>
      </c>
      <c r="AB615" s="360">
        <v>10</v>
      </c>
    </row>
    <row r="616" spans="1:28" x14ac:dyDescent="0.2">
      <c r="A616" t="str">
        <f t="shared" si="56"/>
        <v>2005FemaleNon-Maori23</v>
      </c>
      <c r="B616">
        <v>2005</v>
      </c>
      <c r="C616" t="s">
        <v>8</v>
      </c>
      <c r="D616" t="s">
        <v>19</v>
      </c>
      <c r="E616">
        <v>23</v>
      </c>
      <c r="F616">
        <v>46</v>
      </c>
      <c r="G616">
        <v>8.7888572574944099</v>
      </c>
      <c r="H616">
        <v>2.5</v>
      </c>
      <c r="J616" s="358" t="str">
        <f t="shared" si="57"/>
        <v>2003MaleNon-Maori193</v>
      </c>
      <c r="K616" s="359">
        <v>2003</v>
      </c>
      <c r="L616" t="s">
        <v>20</v>
      </c>
      <c r="M616" t="s">
        <v>19</v>
      </c>
      <c r="N616">
        <v>19</v>
      </c>
      <c r="O616">
        <v>3</v>
      </c>
      <c r="P616">
        <v>72</v>
      </c>
      <c r="Q616">
        <v>18.481654810046098</v>
      </c>
      <c r="R616">
        <v>4.3</v>
      </c>
      <c r="T616" s="358" t="str">
        <f t="shared" si="58"/>
        <v>1998MaleMaori24Poisoning by gases and vapours</v>
      </c>
      <c r="U616" s="360">
        <v>1998</v>
      </c>
      <c r="V616" s="360" t="s">
        <v>20</v>
      </c>
      <c r="W616" s="360" t="s">
        <v>18</v>
      </c>
      <c r="X616" s="360">
        <v>24</v>
      </c>
      <c r="Y616" s="360" t="s">
        <v>46</v>
      </c>
      <c r="Z616" s="360">
        <v>1</v>
      </c>
      <c r="AA616" s="360">
        <v>10</v>
      </c>
      <c r="AB616" s="360">
        <v>10</v>
      </c>
    </row>
    <row r="617" spans="1:28" x14ac:dyDescent="0.2">
      <c r="A617" t="str">
        <f t="shared" si="56"/>
        <v>2005FemaleNon-Maori24</v>
      </c>
      <c r="B617">
        <v>2005</v>
      </c>
      <c r="C617" t="s">
        <v>8</v>
      </c>
      <c r="D617" t="s">
        <v>19</v>
      </c>
      <c r="E617">
        <v>24</v>
      </c>
      <c r="F617">
        <v>29</v>
      </c>
      <c r="G617">
        <v>6.5290316770605799</v>
      </c>
      <c r="H617">
        <v>2.4</v>
      </c>
      <c r="J617" s="358" t="str">
        <f t="shared" si="57"/>
        <v>2003MaleNon-Maori194</v>
      </c>
      <c r="K617" s="359">
        <v>2003</v>
      </c>
      <c r="L617" t="s">
        <v>20</v>
      </c>
      <c r="M617" t="s">
        <v>19</v>
      </c>
      <c r="N617">
        <v>19</v>
      </c>
      <c r="O617">
        <v>4</v>
      </c>
      <c r="P617">
        <v>81</v>
      </c>
      <c r="Q617">
        <v>24.1096623328785</v>
      </c>
      <c r="R617">
        <v>5.3</v>
      </c>
      <c r="T617" s="358" t="str">
        <f t="shared" si="58"/>
        <v>1998MaleMaori25Poisoning by gases and vapours</v>
      </c>
      <c r="U617" s="360">
        <v>1998</v>
      </c>
      <c r="V617" s="360" t="s">
        <v>20</v>
      </c>
      <c r="W617" s="360" t="s">
        <v>18</v>
      </c>
      <c r="X617" s="360">
        <v>25</v>
      </c>
      <c r="Y617" s="360" t="s">
        <v>46</v>
      </c>
      <c r="Z617" s="360">
        <v>1</v>
      </c>
      <c r="AA617" s="360">
        <v>2</v>
      </c>
      <c r="AB617" s="360">
        <v>50</v>
      </c>
    </row>
    <row r="618" spans="1:28" x14ac:dyDescent="0.2">
      <c r="A618" t="str">
        <f t="shared" si="56"/>
        <v>2005FemaleNon-Maori25</v>
      </c>
      <c r="B618">
        <v>2005</v>
      </c>
      <c r="C618" t="s">
        <v>8</v>
      </c>
      <c r="D618" t="s">
        <v>19</v>
      </c>
      <c r="E618">
        <v>25</v>
      </c>
      <c r="F618">
        <v>16</v>
      </c>
      <c r="G618">
        <v>6.0966316110349004</v>
      </c>
      <c r="H618">
        <v>3</v>
      </c>
      <c r="J618" s="358" t="str">
        <f t="shared" si="57"/>
        <v>2003MaleNon-Maori195</v>
      </c>
      <c r="K618" s="359">
        <v>2003</v>
      </c>
      <c r="L618" t="s">
        <v>20</v>
      </c>
      <c r="M618" t="s">
        <v>19</v>
      </c>
      <c r="N618">
        <v>19</v>
      </c>
      <c r="O618">
        <v>5</v>
      </c>
      <c r="P618">
        <v>51</v>
      </c>
      <c r="Q618">
        <v>18.809959858696299</v>
      </c>
      <c r="R618">
        <v>5.2</v>
      </c>
      <c r="T618" s="358" t="str">
        <f t="shared" si="58"/>
        <v>1998MaleMaori22Poisoning by solids and liquids</v>
      </c>
      <c r="U618" s="360">
        <v>1998</v>
      </c>
      <c r="V618" s="360" t="s">
        <v>20</v>
      </c>
      <c r="W618" s="360" t="s">
        <v>18</v>
      </c>
      <c r="X618" s="360">
        <v>22</v>
      </c>
      <c r="Y618" s="360" t="s">
        <v>47</v>
      </c>
      <c r="Z618" s="360">
        <v>1</v>
      </c>
      <c r="AA618" s="360">
        <v>30</v>
      </c>
      <c r="AB618" s="360">
        <v>3.3</v>
      </c>
    </row>
    <row r="619" spans="1:28" x14ac:dyDescent="0.2">
      <c r="A619" t="str">
        <f t="shared" si="56"/>
        <v>2005MaleAllEth21</v>
      </c>
      <c r="B619">
        <v>2005</v>
      </c>
      <c r="C619" t="s">
        <v>20</v>
      </c>
      <c r="D619" t="s">
        <v>27</v>
      </c>
      <c r="E619">
        <v>21</v>
      </c>
      <c r="F619">
        <v>1</v>
      </c>
      <c r="J619" s="358" t="str">
        <f t="shared" si="57"/>
        <v>2004MaleNon-Maori191</v>
      </c>
      <c r="K619" s="359">
        <v>2004</v>
      </c>
      <c r="L619" t="s">
        <v>20</v>
      </c>
      <c r="M619" t="s">
        <v>19</v>
      </c>
      <c r="N619">
        <v>19</v>
      </c>
      <c r="O619">
        <v>1</v>
      </c>
      <c r="P619">
        <v>52</v>
      </c>
      <c r="Q619">
        <v>13.9962346634225</v>
      </c>
      <c r="R619">
        <v>3.8</v>
      </c>
      <c r="T619" s="358" t="str">
        <f t="shared" si="58"/>
        <v>1998MaleMaori24Poisoning by solids and liquids</v>
      </c>
      <c r="U619" s="360">
        <v>1998</v>
      </c>
      <c r="V619" s="360" t="s">
        <v>20</v>
      </c>
      <c r="W619" s="360" t="s">
        <v>18</v>
      </c>
      <c r="X619" s="360">
        <v>24</v>
      </c>
      <c r="Y619" s="360" t="s">
        <v>47</v>
      </c>
      <c r="Z619" s="360">
        <v>2</v>
      </c>
      <c r="AA619" s="360">
        <v>10</v>
      </c>
      <c r="AB619" s="360">
        <v>20</v>
      </c>
    </row>
    <row r="620" spans="1:28" x14ac:dyDescent="0.2">
      <c r="A620" t="str">
        <f t="shared" si="56"/>
        <v>2005MaleAllEth22</v>
      </c>
      <c r="B620">
        <v>2005</v>
      </c>
      <c r="C620" t="s">
        <v>20</v>
      </c>
      <c r="D620" t="s">
        <v>27</v>
      </c>
      <c r="E620">
        <v>22</v>
      </c>
      <c r="F620">
        <v>84</v>
      </c>
      <c r="G620">
        <v>27.9273887891482</v>
      </c>
      <c r="H620">
        <v>6</v>
      </c>
      <c r="J620" s="358" t="str">
        <f t="shared" si="57"/>
        <v>2004MaleNon-Maori192</v>
      </c>
      <c r="K620" s="359">
        <v>2004</v>
      </c>
      <c r="L620" t="s">
        <v>20</v>
      </c>
      <c r="M620" t="s">
        <v>19</v>
      </c>
      <c r="N620">
        <v>19</v>
      </c>
      <c r="O620">
        <v>2</v>
      </c>
      <c r="P620">
        <v>45</v>
      </c>
      <c r="Q620">
        <v>11.351337602618401</v>
      </c>
      <c r="R620">
        <v>3.3</v>
      </c>
      <c r="T620" s="358" t="str">
        <f t="shared" si="58"/>
        <v>1998MaleMaori23Sharp object</v>
      </c>
      <c r="U620" s="360">
        <v>1998</v>
      </c>
      <c r="V620" s="360" t="s">
        <v>20</v>
      </c>
      <c r="W620" s="360" t="s">
        <v>18</v>
      </c>
      <c r="X620" s="360">
        <v>23</v>
      </c>
      <c r="Y620" s="360" t="s">
        <v>48</v>
      </c>
      <c r="Z620" s="360">
        <v>1</v>
      </c>
      <c r="AA620" s="360">
        <v>40</v>
      </c>
      <c r="AB620" s="360">
        <v>2.5</v>
      </c>
    </row>
    <row r="621" spans="1:28" x14ac:dyDescent="0.2">
      <c r="A621" t="str">
        <f t="shared" si="56"/>
        <v>2005MaleAllEth23</v>
      </c>
      <c r="B621">
        <v>2005</v>
      </c>
      <c r="C621" t="s">
        <v>20</v>
      </c>
      <c r="D621" t="s">
        <v>27</v>
      </c>
      <c r="E621">
        <v>23</v>
      </c>
      <c r="F621">
        <v>161</v>
      </c>
      <c r="G621">
        <v>28.278854091651599</v>
      </c>
      <c r="H621">
        <v>4.4000000000000004</v>
      </c>
      <c r="J621" s="358" t="str">
        <f t="shared" si="57"/>
        <v>2004MaleNon-Maori193</v>
      </c>
      <c r="K621" s="359">
        <v>2004</v>
      </c>
      <c r="L621" t="s">
        <v>20</v>
      </c>
      <c r="M621" t="s">
        <v>19</v>
      </c>
      <c r="N621">
        <v>19</v>
      </c>
      <c r="O621">
        <v>3</v>
      </c>
      <c r="P621">
        <v>64</v>
      </c>
      <c r="Q621">
        <v>16.9569933886809</v>
      </c>
      <c r="R621">
        <v>4.2</v>
      </c>
      <c r="T621" s="358" t="str">
        <f t="shared" si="58"/>
        <v>1998MaleNon-Maori22Firearms and explosives</v>
      </c>
      <c r="U621" s="360">
        <v>1998</v>
      </c>
      <c r="V621" s="360" t="s">
        <v>20</v>
      </c>
      <c r="W621" s="360" t="s">
        <v>19</v>
      </c>
      <c r="X621" s="360">
        <v>22</v>
      </c>
      <c r="Y621" s="360" t="s">
        <v>42</v>
      </c>
      <c r="Z621" s="360">
        <v>11</v>
      </c>
      <c r="AA621" s="360">
        <v>75</v>
      </c>
      <c r="AB621" s="360">
        <v>14.7</v>
      </c>
    </row>
    <row r="622" spans="1:28" x14ac:dyDescent="0.2">
      <c r="A622" t="str">
        <f t="shared" si="56"/>
        <v>2005MaleAllEth24</v>
      </c>
      <c r="B622">
        <v>2005</v>
      </c>
      <c r="C622" t="s">
        <v>20</v>
      </c>
      <c r="D622" t="s">
        <v>27</v>
      </c>
      <c r="E622">
        <v>24</v>
      </c>
      <c r="F622">
        <v>105</v>
      </c>
      <c r="G622">
        <v>21.927992648901501</v>
      </c>
      <c r="H622">
        <v>4.2</v>
      </c>
      <c r="J622" s="358" t="str">
        <f t="shared" si="57"/>
        <v>2004MaleNon-Maori194</v>
      </c>
      <c r="K622" s="359">
        <v>2004</v>
      </c>
      <c r="L622" t="s">
        <v>20</v>
      </c>
      <c r="M622" t="s">
        <v>19</v>
      </c>
      <c r="N622">
        <v>19</v>
      </c>
      <c r="O622">
        <v>4</v>
      </c>
      <c r="P622">
        <v>68</v>
      </c>
      <c r="Q622">
        <v>19.192801221500499</v>
      </c>
      <c r="R622">
        <v>4.5999999999999996</v>
      </c>
      <c r="T622" s="358" t="str">
        <f t="shared" si="58"/>
        <v>1998MaleNon-Maori23Firearms and explosives</v>
      </c>
      <c r="U622" s="360">
        <v>1998</v>
      </c>
      <c r="V622" s="360" t="s">
        <v>20</v>
      </c>
      <c r="W622" s="360" t="s">
        <v>19</v>
      </c>
      <c r="X622" s="360">
        <v>23</v>
      </c>
      <c r="Y622" s="360" t="s">
        <v>42</v>
      </c>
      <c r="Z622" s="360">
        <v>20</v>
      </c>
      <c r="AA622" s="360">
        <v>155</v>
      </c>
      <c r="AB622" s="360">
        <v>12.9</v>
      </c>
    </row>
    <row r="623" spans="1:28" x14ac:dyDescent="0.2">
      <c r="A623" t="str">
        <f t="shared" si="56"/>
        <v>2005MaleAllEth25</v>
      </c>
      <c r="B623">
        <v>2005</v>
      </c>
      <c r="C623" t="s">
        <v>20</v>
      </c>
      <c r="D623" t="s">
        <v>27</v>
      </c>
      <c r="E623">
        <v>25</v>
      </c>
      <c r="F623">
        <v>32</v>
      </c>
      <c r="G623">
        <v>14.4783277531445</v>
      </c>
      <c r="H623">
        <v>5</v>
      </c>
      <c r="J623" s="358" t="str">
        <f t="shared" si="57"/>
        <v>2004MaleNon-Maori195</v>
      </c>
      <c r="K623" s="359">
        <v>2004</v>
      </c>
      <c r="L623" t="s">
        <v>20</v>
      </c>
      <c r="M623" t="s">
        <v>19</v>
      </c>
      <c r="N623">
        <v>19</v>
      </c>
      <c r="O623">
        <v>5</v>
      </c>
      <c r="P623">
        <v>55</v>
      </c>
      <c r="Q623">
        <v>19.187790229537299</v>
      </c>
      <c r="R623">
        <v>5.0999999999999996</v>
      </c>
      <c r="T623" s="358" t="str">
        <f t="shared" si="58"/>
        <v>1998MaleNon-Maori24Firearms and explosives</v>
      </c>
      <c r="U623" s="360">
        <v>1998</v>
      </c>
      <c r="V623" s="360" t="s">
        <v>20</v>
      </c>
      <c r="W623" s="360" t="s">
        <v>19</v>
      </c>
      <c r="X623" s="360">
        <v>24</v>
      </c>
      <c r="Y623" s="360" t="s">
        <v>42</v>
      </c>
      <c r="Z623" s="360">
        <v>24</v>
      </c>
      <c r="AA623" s="360">
        <v>80</v>
      </c>
      <c r="AB623" s="360">
        <v>30</v>
      </c>
    </row>
    <row r="624" spans="1:28" x14ac:dyDescent="0.2">
      <c r="A624" t="str">
        <f t="shared" si="56"/>
        <v>2005MaleMaori21</v>
      </c>
      <c r="B624">
        <v>2005</v>
      </c>
      <c r="C624" t="s">
        <v>20</v>
      </c>
      <c r="D624" t="s">
        <v>18</v>
      </c>
      <c r="E624">
        <v>21</v>
      </c>
      <c r="F624">
        <v>0</v>
      </c>
      <c r="J624" s="358" t="str">
        <f t="shared" si="57"/>
        <v>2005MaleNon-Maori191</v>
      </c>
      <c r="K624" s="359">
        <v>2005</v>
      </c>
      <c r="L624" t="s">
        <v>20</v>
      </c>
      <c r="M624" t="s">
        <v>19</v>
      </c>
      <c r="N624">
        <v>19</v>
      </c>
      <c r="O624">
        <v>1</v>
      </c>
      <c r="P624">
        <v>51</v>
      </c>
      <c r="Q624">
        <v>12.8896303906303</v>
      </c>
      <c r="R624">
        <v>3.5</v>
      </c>
      <c r="T624" s="358" t="str">
        <f t="shared" si="58"/>
        <v>1998MaleNon-Maori25Firearms and explosives</v>
      </c>
      <c r="U624" s="360">
        <v>1998</v>
      </c>
      <c r="V624" s="360" t="s">
        <v>20</v>
      </c>
      <c r="W624" s="360" t="s">
        <v>19</v>
      </c>
      <c r="X624" s="360">
        <v>25</v>
      </c>
      <c r="Y624" s="360" t="s">
        <v>42</v>
      </c>
      <c r="Z624" s="360">
        <v>6</v>
      </c>
      <c r="AA624" s="360">
        <v>46</v>
      </c>
      <c r="AB624" s="360">
        <v>13</v>
      </c>
    </row>
    <row r="625" spans="1:28" x14ac:dyDescent="0.2">
      <c r="A625" t="str">
        <f t="shared" si="56"/>
        <v>2005MaleMaori22</v>
      </c>
      <c r="B625">
        <v>2005</v>
      </c>
      <c r="C625" t="s">
        <v>20</v>
      </c>
      <c r="D625" t="s">
        <v>18</v>
      </c>
      <c r="E625">
        <v>22</v>
      </c>
      <c r="F625">
        <v>29</v>
      </c>
      <c r="G625">
        <v>51.5280739161336</v>
      </c>
      <c r="H625">
        <v>18.8</v>
      </c>
      <c r="J625" s="358" t="str">
        <f t="shared" si="57"/>
        <v>2005MaleNon-Maori192</v>
      </c>
      <c r="K625" s="359">
        <v>2005</v>
      </c>
      <c r="L625" t="s">
        <v>20</v>
      </c>
      <c r="M625" t="s">
        <v>19</v>
      </c>
      <c r="N625">
        <v>19</v>
      </c>
      <c r="O625">
        <v>2</v>
      </c>
      <c r="P625">
        <v>52</v>
      </c>
      <c r="Q625">
        <v>12.879034697928599</v>
      </c>
      <c r="R625">
        <v>3.5</v>
      </c>
      <c r="T625" s="358" t="str">
        <f t="shared" si="58"/>
        <v>1998MaleNon-Maori21Hanging, strangulation and suffocation</v>
      </c>
      <c r="U625" s="360">
        <v>1998</v>
      </c>
      <c r="V625" s="360" t="s">
        <v>20</v>
      </c>
      <c r="W625" s="360" t="s">
        <v>19</v>
      </c>
      <c r="X625" s="360">
        <v>21</v>
      </c>
      <c r="Y625" s="360" t="s">
        <v>43</v>
      </c>
      <c r="Z625" s="360">
        <v>2</v>
      </c>
      <c r="AA625" s="360">
        <v>2</v>
      </c>
      <c r="AB625" s="360">
        <v>100</v>
      </c>
    </row>
    <row r="626" spans="1:28" x14ac:dyDescent="0.2">
      <c r="A626" t="str">
        <f t="shared" si="56"/>
        <v>2005MaleMaori23</v>
      </c>
      <c r="B626">
        <v>2005</v>
      </c>
      <c r="C626" t="s">
        <v>20</v>
      </c>
      <c r="D626" t="s">
        <v>18</v>
      </c>
      <c r="E626">
        <v>23</v>
      </c>
      <c r="F626">
        <v>42</v>
      </c>
      <c r="G626">
        <v>52.618391380606397</v>
      </c>
      <c r="H626">
        <v>15.9</v>
      </c>
      <c r="J626" s="358" t="str">
        <f t="shared" si="57"/>
        <v>2005MaleNon-Maori193</v>
      </c>
      <c r="K626" s="359">
        <v>2005</v>
      </c>
      <c r="L626" t="s">
        <v>20</v>
      </c>
      <c r="M626" t="s">
        <v>19</v>
      </c>
      <c r="N626">
        <v>19</v>
      </c>
      <c r="O626">
        <v>3</v>
      </c>
      <c r="P626">
        <v>54</v>
      </c>
      <c r="Q626">
        <v>14.394697297807699</v>
      </c>
      <c r="R626">
        <v>3.8</v>
      </c>
      <c r="T626" s="358" t="str">
        <f t="shared" si="58"/>
        <v>1998MaleNon-Maori22Hanging, strangulation and suffocation</v>
      </c>
      <c r="U626" s="360">
        <v>1998</v>
      </c>
      <c r="V626" s="360" t="s">
        <v>20</v>
      </c>
      <c r="W626" s="360" t="s">
        <v>19</v>
      </c>
      <c r="X626" s="360">
        <v>22</v>
      </c>
      <c r="Y626" s="360" t="s">
        <v>43</v>
      </c>
      <c r="Z626" s="360">
        <v>35</v>
      </c>
      <c r="AA626" s="360">
        <v>75</v>
      </c>
      <c r="AB626" s="360">
        <v>46.7</v>
      </c>
    </row>
    <row r="627" spans="1:28" x14ac:dyDescent="0.2">
      <c r="A627" t="str">
        <f t="shared" si="56"/>
        <v>2005MaleMaori24</v>
      </c>
      <c r="B627">
        <v>2005</v>
      </c>
      <c r="C627" t="s">
        <v>20</v>
      </c>
      <c r="D627" t="s">
        <v>18</v>
      </c>
      <c r="E627">
        <v>24</v>
      </c>
      <c r="F627">
        <v>5</v>
      </c>
      <c r="G627">
        <v>11.148272017837201</v>
      </c>
      <c r="H627">
        <v>9.8000000000000007</v>
      </c>
      <c r="J627" s="358" t="str">
        <f t="shared" si="57"/>
        <v>2005MaleNon-Maori194</v>
      </c>
      <c r="K627" s="359">
        <v>2005</v>
      </c>
      <c r="L627" t="s">
        <v>20</v>
      </c>
      <c r="M627" t="s">
        <v>19</v>
      </c>
      <c r="N627">
        <v>19</v>
      </c>
      <c r="O627">
        <v>4</v>
      </c>
      <c r="P627">
        <v>68</v>
      </c>
      <c r="Q627">
        <v>19.559096716241701</v>
      </c>
      <c r="R627">
        <v>4.5999999999999996</v>
      </c>
      <c r="T627" s="358" t="str">
        <f t="shared" si="58"/>
        <v>1998MaleNon-Maori23Hanging, strangulation and suffocation</v>
      </c>
      <c r="U627" s="360">
        <v>1998</v>
      </c>
      <c r="V627" s="360" t="s">
        <v>20</v>
      </c>
      <c r="W627" s="360" t="s">
        <v>19</v>
      </c>
      <c r="X627" s="360">
        <v>23</v>
      </c>
      <c r="Y627" s="360" t="s">
        <v>43</v>
      </c>
      <c r="Z627" s="360">
        <v>59</v>
      </c>
      <c r="AA627" s="360">
        <v>155</v>
      </c>
      <c r="AB627" s="360">
        <v>38.1</v>
      </c>
    </row>
    <row r="628" spans="1:28" x14ac:dyDescent="0.2">
      <c r="A628" t="str">
        <f t="shared" si="56"/>
        <v>2005MaleMaori25</v>
      </c>
      <c r="B628">
        <v>2005</v>
      </c>
      <c r="C628" t="s">
        <v>20</v>
      </c>
      <c r="D628" t="s">
        <v>18</v>
      </c>
      <c r="E628">
        <v>25</v>
      </c>
      <c r="F628">
        <v>2</v>
      </c>
      <c r="G628">
        <v>18.06684733514</v>
      </c>
      <c r="H628">
        <v>25</v>
      </c>
      <c r="J628" s="358" t="str">
        <f t="shared" si="57"/>
        <v>2005MaleNon-Maori195</v>
      </c>
      <c r="K628" s="359">
        <v>2005</v>
      </c>
      <c r="L628" t="s">
        <v>20</v>
      </c>
      <c r="M628" t="s">
        <v>19</v>
      </c>
      <c r="N628">
        <v>19</v>
      </c>
      <c r="O628">
        <v>5</v>
      </c>
      <c r="P628">
        <v>66</v>
      </c>
      <c r="Q628">
        <v>24.3988457531437</v>
      </c>
      <c r="R628">
        <v>5.9</v>
      </c>
      <c r="T628" s="358" t="str">
        <f t="shared" si="58"/>
        <v>1998MaleNon-Maori24Hanging, strangulation and suffocation</v>
      </c>
      <c r="U628" s="360">
        <v>1998</v>
      </c>
      <c r="V628" s="360" t="s">
        <v>20</v>
      </c>
      <c r="W628" s="360" t="s">
        <v>19</v>
      </c>
      <c r="X628" s="360">
        <v>24</v>
      </c>
      <c r="Y628" s="360" t="s">
        <v>43</v>
      </c>
      <c r="Z628" s="360">
        <v>22</v>
      </c>
      <c r="AA628" s="360">
        <v>80</v>
      </c>
      <c r="AB628" s="360">
        <v>27.5</v>
      </c>
    </row>
    <row r="629" spans="1:28" x14ac:dyDescent="0.2">
      <c r="A629" t="str">
        <f t="shared" si="56"/>
        <v>2005MaleNon-Maori21</v>
      </c>
      <c r="B629">
        <v>2005</v>
      </c>
      <c r="C629" t="s">
        <v>20</v>
      </c>
      <c r="D629" t="s">
        <v>19</v>
      </c>
      <c r="E629">
        <v>21</v>
      </c>
      <c r="F629">
        <v>1</v>
      </c>
      <c r="J629" s="358" t="str">
        <f t="shared" si="57"/>
        <v>2006MaleNon-Maori191</v>
      </c>
      <c r="K629" s="359">
        <v>2006</v>
      </c>
      <c r="L629" t="s">
        <v>20</v>
      </c>
      <c r="M629" t="s">
        <v>19</v>
      </c>
      <c r="N629">
        <v>19</v>
      </c>
      <c r="O629">
        <v>1</v>
      </c>
      <c r="P629">
        <v>43</v>
      </c>
      <c r="Q629">
        <v>10.5524724620385</v>
      </c>
      <c r="R629">
        <v>3.2</v>
      </c>
      <c r="T629" s="358" t="str">
        <f t="shared" si="58"/>
        <v>1998MaleNon-Maori25Hanging, strangulation and suffocation</v>
      </c>
      <c r="U629" s="360">
        <v>1998</v>
      </c>
      <c r="V629" s="360" t="s">
        <v>20</v>
      </c>
      <c r="W629" s="360" t="s">
        <v>19</v>
      </c>
      <c r="X629" s="360">
        <v>25</v>
      </c>
      <c r="Y629" s="360" t="s">
        <v>43</v>
      </c>
      <c r="Z629" s="360">
        <v>14</v>
      </c>
      <c r="AA629" s="360">
        <v>46</v>
      </c>
      <c r="AB629" s="360">
        <v>30.4</v>
      </c>
    </row>
    <row r="630" spans="1:28" x14ac:dyDescent="0.2">
      <c r="A630" t="str">
        <f t="shared" si="56"/>
        <v>2005MaleNon-Maori22</v>
      </c>
      <c r="B630">
        <v>2005</v>
      </c>
      <c r="C630" t="s">
        <v>20</v>
      </c>
      <c r="D630" t="s">
        <v>19</v>
      </c>
      <c r="E630">
        <v>22</v>
      </c>
      <c r="F630">
        <v>55</v>
      </c>
      <c r="G630">
        <v>22.494887525562401</v>
      </c>
      <c r="H630">
        <v>5.9</v>
      </c>
      <c r="J630" s="358" t="str">
        <f t="shared" si="57"/>
        <v>2006MaleNon-Maori192</v>
      </c>
      <c r="K630" s="359">
        <v>2006</v>
      </c>
      <c r="L630" t="s">
        <v>20</v>
      </c>
      <c r="M630" t="s">
        <v>19</v>
      </c>
      <c r="N630">
        <v>19</v>
      </c>
      <c r="O630">
        <v>2</v>
      </c>
      <c r="P630">
        <v>59</v>
      </c>
      <c r="Q630">
        <v>14.284049594892601</v>
      </c>
      <c r="R630">
        <v>3.6</v>
      </c>
      <c r="T630" s="358" t="str">
        <f t="shared" si="58"/>
        <v>1998MaleNon-Maori22Jumping from a high place</v>
      </c>
      <c r="U630" s="360">
        <v>1998</v>
      </c>
      <c r="V630" s="360" t="s">
        <v>20</v>
      </c>
      <c r="W630" s="360" t="s">
        <v>19</v>
      </c>
      <c r="X630" s="360">
        <v>22</v>
      </c>
      <c r="Y630" s="360" t="s">
        <v>44</v>
      </c>
      <c r="Z630" s="360">
        <v>5</v>
      </c>
      <c r="AA630" s="360">
        <v>75</v>
      </c>
      <c r="AB630" s="360">
        <v>6.7</v>
      </c>
    </row>
    <row r="631" spans="1:28" x14ac:dyDescent="0.2">
      <c r="A631" t="str">
        <f t="shared" si="56"/>
        <v>2005MaleNon-Maori23</v>
      </c>
      <c r="B631">
        <v>2005</v>
      </c>
      <c r="C631" t="s">
        <v>20</v>
      </c>
      <c r="D631" t="s">
        <v>19</v>
      </c>
      <c r="E631">
        <v>23</v>
      </c>
      <c r="F631">
        <v>119</v>
      </c>
      <c r="G631">
        <v>24.3100243100243</v>
      </c>
      <c r="H631">
        <v>4.4000000000000004</v>
      </c>
      <c r="J631" s="358" t="str">
        <f t="shared" si="57"/>
        <v>2006MaleNon-Maori193</v>
      </c>
      <c r="K631" s="359">
        <v>2006</v>
      </c>
      <c r="L631" t="s">
        <v>20</v>
      </c>
      <c r="M631" t="s">
        <v>19</v>
      </c>
      <c r="N631">
        <v>19</v>
      </c>
      <c r="O631">
        <v>3</v>
      </c>
      <c r="P631">
        <v>64</v>
      </c>
      <c r="Q631">
        <v>16.5574483677449</v>
      </c>
      <c r="R631">
        <v>4.0999999999999996</v>
      </c>
      <c r="T631" s="358" t="str">
        <f t="shared" si="58"/>
        <v>1998MaleNon-Maori23Jumping from a high place</v>
      </c>
      <c r="U631" s="360">
        <v>1998</v>
      </c>
      <c r="V631" s="360" t="s">
        <v>20</v>
      </c>
      <c r="W631" s="360" t="s">
        <v>19</v>
      </c>
      <c r="X631" s="360">
        <v>23</v>
      </c>
      <c r="Y631" s="360" t="s">
        <v>44</v>
      </c>
      <c r="Z631" s="360">
        <v>3</v>
      </c>
      <c r="AA631" s="360">
        <v>155</v>
      </c>
      <c r="AB631" s="360">
        <v>1.9</v>
      </c>
    </row>
    <row r="632" spans="1:28" x14ac:dyDescent="0.2">
      <c r="A632" t="str">
        <f t="shared" si="56"/>
        <v>2005MaleNon-Maori24</v>
      </c>
      <c r="B632">
        <v>2005</v>
      </c>
      <c r="C632" t="s">
        <v>20</v>
      </c>
      <c r="D632" t="s">
        <v>19</v>
      </c>
      <c r="E632">
        <v>24</v>
      </c>
      <c r="F632">
        <v>100</v>
      </c>
      <c r="G632">
        <v>23.042005576165302</v>
      </c>
      <c r="H632">
        <v>4.5</v>
      </c>
      <c r="J632" s="358" t="str">
        <f t="shared" si="57"/>
        <v>2006MaleNon-Maori194</v>
      </c>
      <c r="K632" s="359">
        <v>2006</v>
      </c>
      <c r="L632" t="s">
        <v>20</v>
      </c>
      <c r="M632" t="s">
        <v>19</v>
      </c>
      <c r="N632">
        <v>19</v>
      </c>
      <c r="O632">
        <v>4</v>
      </c>
      <c r="P632">
        <v>58</v>
      </c>
      <c r="Q632">
        <v>16.6525567469455</v>
      </c>
      <c r="R632">
        <v>4.3</v>
      </c>
      <c r="T632" s="358" t="str">
        <f t="shared" si="58"/>
        <v>1998MaleNon-Maori24Jumping from a high place</v>
      </c>
      <c r="U632" s="360">
        <v>1998</v>
      </c>
      <c r="V632" s="360" t="s">
        <v>20</v>
      </c>
      <c r="W632" s="360" t="s">
        <v>19</v>
      </c>
      <c r="X632" s="360">
        <v>24</v>
      </c>
      <c r="Y632" s="360" t="s">
        <v>44</v>
      </c>
      <c r="Z632" s="360">
        <v>1</v>
      </c>
      <c r="AA632" s="360">
        <v>80</v>
      </c>
      <c r="AB632" s="360">
        <v>1.2</v>
      </c>
    </row>
    <row r="633" spans="1:28" x14ac:dyDescent="0.2">
      <c r="A633" t="str">
        <f t="shared" si="56"/>
        <v>2005MaleNon-Maori25</v>
      </c>
      <c r="B633">
        <v>2005</v>
      </c>
      <c r="C633" t="s">
        <v>20</v>
      </c>
      <c r="D633" t="s">
        <v>19</v>
      </c>
      <c r="E633">
        <v>25</v>
      </c>
      <c r="F633">
        <v>30</v>
      </c>
      <c r="G633">
        <v>14.2891164562991</v>
      </c>
      <c r="H633">
        <v>5.0999999999999996</v>
      </c>
      <c r="J633" s="358" t="str">
        <f t="shared" si="57"/>
        <v>2006MaleNon-Maori195</v>
      </c>
      <c r="K633" s="359">
        <v>2006</v>
      </c>
      <c r="L633" t="s">
        <v>20</v>
      </c>
      <c r="M633" t="s">
        <v>19</v>
      </c>
      <c r="N633">
        <v>19</v>
      </c>
      <c r="O633">
        <v>5</v>
      </c>
      <c r="P633">
        <v>75</v>
      </c>
      <c r="Q633">
        <v>26.759839230412901</v>
      </c>
      <c r="R633">
        <v>6.1</v>
      </c>
      <c r="T633" s="358" t="str">
        <f t="shared" si="58"/>
        <v>1998MaleNon-Maori22Other</v>
      </c>
      <c r="U633" s="360">
        <v>1998</v>
      </c>
      <c r="V633" s="360" t="s">
        <v>20</v>
      </c>
      <c r="W633" s="360" t="s">
        <v>19</v>
      </c>
      <c r="X633" s="360">
        <v>22</v>
      </c>
      <c r="Y633" s="360" t="s">
        <v>45</v>
      </c>
      <c r="Z633" s="360">
        <v>2</v>
      </c>
      <c r="AA633" s="360">
        <v>75</v>
      </c>
      <c r="AB633" s="360">
        <v>2.7</v>
      </c>
    </row>
    <row r="634" spans="1:28" x14ac:dyDescent="0.2">
      <c r="A634" t="str">
        <f t="shared" si="56"/>
        <v>2006AllSexAllEth21</v>
      </c>
      <c r="B634">
        <v>2006</v>
      </c>
      <c r="C634" t="s">
        <v>17</v>
      </c>
      <c r="D634" t="s">
        <v>27</v>
      </c>
      <c r="E634">
        <v>21</v>
      </c>
      <c r="F634">
        <v>6</v>
      </c>
      <c r="J634" s="358" t="str">
        <f t="shared" si="57"/>
        <v>2007MaleNon-Maori191</v>
      </c>
      <c r="K634" s="359">
        <v>2007</v>
      </c>
      <c r="L634" t="s">
        <v>20</v>
      </c>
      <c r="M634" t="s">
        <v>19</v>
      </c>
      <c r="N634">
        <v>19</v>
      </c>
      <c r="O634">
        <v>1</v>
      </c>
      <c r="P634">
        <v>43</v>
      </c>
      <c r="Q634">
        <v>10.7712869359511</v>
      </c>
      <c r="R634">
        <v>3.2</v>
      </c>
      <c r="T634" s="358" t="str">
        <f t="shared" si="58"/>
        <v>1998MaleNon-Maori23Other</v>
      </c>
      <c r="U634" s="360">
        <v>1998</v>
      </c>
      <c r="V634" s="360" t="s">
        <v>20</v>
      </c>
      <c r="W634" s="360" t="s">
        <v>19</v>
      </c>
      <c r="X634" s="360">
        <v>23</v>
      </c>
      <c r="Y634" s="360" t="s">
        <v>45</v>
      </c>
      <c r="Z634" s="360">
        <v>7</v>
      </c>
      <c r="AA634" s="360">
        <v>155</v>
      </c>
      <c r="AB634" s="360">
        <v>4.5</v>
      </c>
    </row>
    <row r="635" spans="1:28" x14ac:dyDescent="0.2">
      <c r="A635" t="str">
        <f t="shared" si="56"/>
        <v>2006AllSexAllEth22</v>
      </c>
      <c r="B635">
        <v>2006</v>
      </c>
      <c r="C635" t="s">
        <v>17</v>
      </c>
      <c r="D635" t="s">
        <v>27</v>
      </c>
      <c r="E635">
        <v>22</v>
      </c>
      <c r="F635">
        <v>119</v>
      </c>
      <c r="G635">
        <v>19.688621961913299</v>
      </c>
      <c r="H635">
        <v>3.5</v>
      </c>
      <c r="J635" s="358" t="str">
        <f t="shared" si="57"/>
        <v>2007MaleNon-Maori192</v>
      </c>
      <c r="K635" s="359">
        <v>2007</v>
      </c>
      <c r="L635" t="s">
        <v>20</v>
      </c>
      <c r="M635" t="s">
        <v>19</v>
      </c>
      <c r="N635">
        <v>19</v>
      </c>
      <c r="O635">
        <v>2</v>
      </c>
      <c r="P635">
        <v>49</v>
      </c>
      <c r="Q635">
        <v>11.4481341885209</v>
      </c>
      <c r="R635">
        <v>3.2</v>
      </c>
      <c r="T635" s="358" t="str">
        <f t="shared" si="58"/>
        <v>1998MaleNon-Maori24Other</v>
      </c>
      <c r="U635" s="360">
        <v>1998</v>
      </c>
      <c r="V635" s="360" t="s">
        <v>20</v>
      </c>
      <c r="W635" s="360" t="s">
        <v>19</v>
      </c>
      <c r="X635" s="360">
        <v>24</v>
      </c>
      <c r="Y635" s="360" t="s">
        <v>45</v>
      </c>
      <c r="Z635" s="360">
        <v>1</v>
      </c>
      <c r="AA635" s="360">
        <v>80</v>
      </c>
      <c r="AB635" s="360">
        <v>1.2</v>
      </c>
    </row>
    <row r="636" spans="1:28" x14ac:dyDescent="0.2">
      <c r="A636" t="str">
        <f t="shared" si="56"/>
        <v>2006AllSexAllEth23</v>
      </c>
      <c r="B636">
        <v>2006</v>
      </c>
      <c r="C636" t="s">
        <v>17</v>
      </c>
      <c r="D636" t="s">
        <v>27</v>
      </c>
      <c r="E636">
        <v>23</v>
      </c>
      <c r="F636">
        <v>207</v>
      </c>
      <c r="G636">
        <v>17.510023854235399</v>
      </c>
      <c r="H636">
        <v>2.4</v>
      </c>
      <c r="J636" s="358" t="str">
        <f t="shared" si="57"/>
        <v>2007MaleNon-Maori193</v>
      </c>
      <c r="K636" s="359">
        <v>2007</v>
      </c>
      <c r="L636" t="s">
        <v>20</v>
      </c>
      <c r="M636" t="s">
        <v>19</v>
      </c>
      <c r="N636">
        <v>19</v>
      </c>
      <c r="O636">
        <v>3</v>
      </c>
      <c r="P636">
        <v>69</v>
      </c>
      <c r="Q636">
        <v>17.822504095062602</v>
      </c>
      <c r="R636">
        <v>4.2</v>
      </c>
      <c r="T636" s="358" t="str">
        <f t="shared" si="58"/>
        <v>1998MaleNon-Maori25Other</v>
      </c>
      <c r="U636" s="360">
        <v>1998</v>
      </c>
      <c r="V636" s="360" t="s">
        <v>20</v>
      </c>
      <c r="W636" s="360" t="s">
        <v>19</v>
      </c>
      <c r="X636" s="360">
        <v>25</v>
      </c>
      <c r="Y636" s="360" t="s">
        <v>45</v>
      </c>
      <c r="Z636" s="360">
        <v>3</v>
      </c>
      <c r="AA636" s="360">
        <v>46</v>
      </c>
      <c r="AB636" s="360">
        <v>6.5</v>
      </c>
    </row>
    <row r="637" spans="1:28" x14ac:dyDescent="0.2">
      <c r="A637" t="str">
        <f t="shared" si="56"/>
        <v>2006AllSexAllEth24</v>
      </c>
      <c r="B637">
        <v>2006</v>
      </c>
      <c r="C637" t="s">
        <v>17</v>
      </c>
      <c r="D637" t="s">
        <v>27</v>
      </c>
      <c r="E637">
        <v>24</v>
      </c>
      <c r="F637">
        <v>141</v>
      </c>
      <c r="G637">
        <v>14.119060731988201</v>
      </c>
      <c r="H637">
        <v>2.2999999999999998</v>
      </c>
      <c r="J637" s="358" t="str">
        <f t="shared" si="57"/>
        <v>2007MaleNon-Maori194</v>
      </c>
      <c r="K637" s="359">
        <v>2007</v>
      </c>
      <c r="L637" t="s">
        <v>20</v>
      </c>
      <c r="M637" t="s">
        <v>19</v>
      </c>
      <c r="N637">
        <v>19</v>
      </c>
      <c r="O637">
        <v>4</v>
      </c>
      <c r="P637">
        <v>75</v>
      </c>
      <c r="Q637">
        <v>20.135752255220499</v>
      </c>
      <c r="R637">
        <v>4.5999999999999996</v>
      </c>
      <c r="T637" s="358" t="str">
        <f t="shared" si="58"/>
        <v>1998MaleNon-Maori22Poisoning by gases and vapours</v>
      </c>
      <c r="U637" s="360">
        <v>1998</v>
      </c>
      <c r="V637" s="360" t="s">
        <v>20</v>
      </c>
      <c r="W637" s="360" t="s">
        <v>19</v>
      </c>
      <c r="X637" s="360">
        <v>22</v>
      </c>
      <c r="Y637" s="360" t="s">
        <v>46</v>
      </c>
      <c r="Z637" s="360">
        <v>20</v>
      </c>
      <c r="AA637" s="360">
        <v>75</v>
      </c>
      <c r="AB637" s="360">
        <v>26.7</v>
      </c>
    </row>
    <row r="638" spans="1:28" x14ac:dyDescent="0.2">
      <c r="A638" t="str">
        <f t="shared" si="56"/>
        <v>2006AllSexAllEth25</v>
      </c>
      <c r="B638">
        <v>2006</v>
      </c>
      <c r="C638" t="s">
        <v>17</v>
      </c>
      <c r="D638" t="s">
        <v>27</v>
      </c>
      <c r="E638">
        <v>25</v>
      </c>
      <c r="F638">
        <v>51</v>
      </c>
      <c r="G638">
        <v>9.97125931139656</v>
      </c>
      <c r="H638">
        <v>2.7</v>
      </c>
      <c r="J638" s="358" t="str">
        <f t="shared" si="57"/>
        <v>2007MaleNon-Maori195</v>
      </c>
      <c r="K638" s="359">
        <v>2007</v>
      </c>
      <c r="L638" t="s">
        <v>20</v>
      </c>
      <c r="M638" t="s">
        <v>19</v>
      </c>
      <c r="N638">
        <v>19</v>
      </c>
      <c r="O638">
        <v>5</v>
      </c>
      <c r="P638">
        <v>55</v>
      </c>
      <c r="Q638">
        <v>19.439037793318999</v>
      </c>
      <c r="R638">
        <v>5.0999999999999996</v>
      </c>
      <c r="T638" s="358" t="str">
        <f t="shared" si="58"/>
        <v>1998MaleNon-Maori23Poisoning by gases and vapours</v>
      </c>
      <c r="U638" s="360">
        <v>1998</v>
      </c>
      <c r="V638" s="360" t="s">
        <v>20</v>
      </c>
      <c r="W638" s="360" t="s">
        <v>19</v>
      </c>
      <c r="X638" s="360">
        <v>23</v>
      </c>
      <c r="Y638" s="360" t="s">
        <v>46</v>
      </c>
      <c r="Z638" s="360">
        <v>45</v>
      </c>
      <c r="AA638" s="360">
        <v>155</v>
      </c>
      <c r="AB638" s="360">
        <v>29</v>
      </c>
    </row>
    <row r="639" spans="1:28" x14ac:dyDescent="0.2">
      <c r="A639" t="str">
        <f t="shared" si="56"/>
        <v>2006AllSexMaori21</v>
      </c>
      <c r="B639">
        <v>2006</v>
      </c>
      <c r="C639" t="s">
        <v>17</v>
      </c>
      <c r="D639" t="s">
        <v>18</v>
      </c>
      <c r="E639">
        <v>21</v>
      </c>
      <c r="F639">
        <v>4</v>
      </c>
      <c r="J639" s="358" t="str">
        <f t="shared" si="57"/>
        <v>2008MaleNon-Maori191</v>
      </c>
      <c r="K639" s="359">
        <v>2008</v>
      </c>
      <c r="L639" t="s">
        <v>20</v>
      </c>
      <c r="M639" t="s">
        <v>19</v>
      </c>
      <c r="N639">
        <v>19</v>
      </c>
      <c r="O639">
        <v>1</v>
      </c>
      <c r="P639">
        <v>60</v>
      </c>
      <c r="Q639">
        <v>15.0051657459185</v>
      </c>
      <c r="R639">
        <v>3.8</v>
      </c>
      <c r="T639" s="358" t="str">
        <f t="shared" si="58"/>
        <v>1998MaleNon-Maori24Poisoning by gases and vapours</v>
      </c>
      <c r="U639" s="360">
        <v>1998</v>
      </c>
      <c r="V639" s="360" t="s">
        <v>20</v>
      </c>
      <c r="W639" s="360" t="s">
        <v>19</v>
      </c>
      <c r="X639" s="360">
        <v>24</v>
      </c>
      <c r="Y639" s="360" t="s">
        <v>46</v>
      </c>
      <c r="Z639" s="360">
        <v>18</v>
      </c>
      <c r="AA639" s="360">
        <v>80</v>
      </c>
      <c r="AB639" s="360">
        <v>22.5</v>
      </c>
    </row>
    <row r="640" spans="1:28" x14ac:dyDescent="0.2">
      <c r="A640" t="str">
        <f t="shared" si="56"/>
        <v>2006AllSexMaori22</v>
      </c>
      <c r="B640">
        <v>2006</v>
      </c>
      <c r="C640" t="s">
        <v>17</v>
      </c>
      <c r="D640" t="s">
        <v>18</v>
      </c>
      <c r="E640">
        <v>22</v>
      </c>
      <c r="F640">
        <v>37</v>
      </c>
      <c r="G640">
        <v>31.8498751829216</v>
      </c>
      <c r="H640">
        <v>10.3</v>
      </c>
      <c r="J640" s="358" t="str">
        <f t="shared" si="57"/>
        <v>2008MaleNon-Maori192</v>
      </c>
      <c r="K640" s="359">
        <v>2008</v>
      </c>
      <c r="L640" t="s">
        <v>20</v>
      </c>
      <c r="M640" t="s">
        <v>19</v>
      </c>
      <c r="N640">
        <v>19</v>
      </c>
      <c r="O640">
        <v>2</v>
      </c>
      <c r="P640">
        <v>57</v>
      </c>
      <c r="Q640">
        <v>13.771646037425899</v>
      </c>
      <c r="R640">
        <v>3.6</v>
      </c>
      <c r="T640" s="358" t="str">
        <f t="shared" si="58"/>
        <v>1998MaleNon-Maori25Poisoning by gases and vapours</v>
      </c>
      <c r="U640" s="360">
        <v>1998</v>
      </c>
      <c r="V640" s="360" t="s">
        <v>20</v>
      </c>
      <c r="W640" s="360" t="s">
        <v>19</v>
      </c>
      <c r="X640" s="360">
        <v>25</v>
      </c>
      <c r="Y640" s="360" t="s">
        <v>46</v>
      </c>
      <c r="Z640" s="360">
        <v>19</v>
      </c>
      <c r="AA640" s="360">
        <v>46</v>
      </c>
      <c r="AB640" s="360">
        <v>41.3</v>
      </c>
    </row>
    <row r="641" spans="1:28" x14ac:dyDescent="0.2">
      <c r="A641" t="str">
        <f t="shared" si="56"/>
        <v>2006AllSexMaori23</v>
      </c>
      <c r="B641">
        <v>2006</v>
      </c>
      <c r="C641" t="s">
        <v>17</v>
      </c>
      <c r="D641" t="s">
        <v>18</v>
      </c>
      <c r="E641">
        <v>23</v>
      </c>
      <c r="F641">
        <v>54</v>
      </c>
      <c r="G641">
        <v>31.802120141342801</v>
      </c>
      <c r="H641">
        <v>8.5</v>
      </c>
      <c r="J641" s="358" t="str">
        <f t="shared" si="57"/>
        <v>2008MaleNon-Maori193</v>
      </c>
      <c r="K641" s="359">
        <v>2008</v>
      </c>
      <c r="L641" t="s">
        <v>20</v>
      </c>
      <c r="M641" t="s">
        <v>19</v>
      </c>
      <c r="N641">
        <v>19</v>
      </c>
      <c r="O641">
        <v>3</v>
      </c>
      <c r="P641">
        <v>63</v>
      </c>
      <c r="Q641">
        <v>15.8485418753567</v>
      </c>
      <c r="R641">
        <v>3.9</v>
      </c>
      <c r="T641" s="358" t="str">
        <f t="shared" si="58"/>
        <v>1998MaleNon-Maori22Poisoning by solids and liquids</v>
      </c>
      <c r="U641" s="360">
        <v>1998</v>
      </c>
      <c r="V641" s="360" t="s">
        <v>20</v>
      </c>
      <c r="W641" s="360" t="s">
        <v>19</v>
      </c>
      <c r="X641" s="360">
        <v>22</v>
      </c>
      <c r="Y641" s="360" t="s">
        <v>47</v>
      </c>
      <c r="Z641" s="360">
        <v>2</v>
      </c>
      <c r="AA641" s="360">
        <v>75</v>
      </c>
      <c r="AB641" s="360">
        <v>2.7</v>
      </c>
    </row>
    <row r="642" spans="1:28" x14ac:dyDescent="0.2">
      <c r="A642" t="str">
        <f t="shared" si="56"/>
        <v>2006AllSexMaori24</v>
      </c>
      <c r="B642">
        <v>2006</v>
      </c>
      <c r="C642" t="s">
        <v>17</v>
      </c>
      <c r="D642" t="s">
        <v>18</v>
      </c>
      <c r="E642">
        <v>24</v>
      </c>
      <c r="F642">
        <v>12</v>
      </c>
      <c r="G642">
        <v>12.327922745017499</v>
      </c>
      <c r="H642">
        <v>7</v>
      </c>
      <c r="J642" s="358" t="str">
        <f t="shared" si="57"/>
        <v>2008MaleNon-Maori194</v>
      </c>
      <c r="K642" s="359">
        <v>2008</v>
      </c>
      <c r="L642" t="s">
        <v>20</v>
      </c>
      <c r="M642" t="s">
        <v>19</v>
      </c>
      <c r="N642">
        <v>19</v>
      </c>
      <c r="O642">
        <v>4</v>
      </c>
      <c r="P642">
        <v>65</v>
      </c>
      <c r="Q642">
        <v>18.340575025541199</v>
      </c>
      <c r="R642">
        <v>4.5</v>
      </c>
      <c r="T642" s="358" t="str">
        <f t="shared" si="58"/>
        <v>1998MaleNon-Maori23Poisoning by solids and liquids</v>
      </c>
      <c r="U642" s="360">
        <v>1998</v>
      </c>
      <c r="V642" s="360" t="s">
        <v>20</v>
      </c>
      <c r="W642" s="360" t="s">
        <v>19</v>
      </c>
      <c r="X642" s="360">
        <v>23</v>
      </c>
      <c r="Y642" s="360" t="s">
        <v>47</v>
      </c>
      <c r="Z642" s="360">
        <v>16</v>
      </c>
      <c r="AA642" s="360">
        <v>155</v>
      </c>
      <c r="AB642" s="360">
        <v>10.3</v>
      </c>
    </row>
    <row r="643" spans="1:28" x14ac:dyDescent="0.2">
      <c r="A643" t="str">
        <f t="shared" si="56"/>
        <v>2006AllSexMaori25</v>
      </c>
      <c r="B643">
        <v>2006</v>
      </c>
      <c r="C643" t="s">
        <v>17</v>
      </c>
      <c r="D643" t="s">
        <v>18</v>
      </c>
      <c r="E643">
        <v>25</v>
      </c>
      <c r="F643">
        <v>1</v>
      </c>
      <c r="G643">
        <v>3.88953714507974</v>
      </c>
      <c r="H643">
        <v>7.6</v>
      </c>
      <c r="J643" s="358" t="str">
        <f t="shared" si="57"/>
        <v>2008MaleNon-Maori195</v>
      </c>
      <c r="K643" s="359">
        <v>2008</v>
      </c>
      <c r="L643" t="s">
        <v>20</v>
      </c>
      <c r="M643" t="s">
        <v>19</v>
      </c>
      <c r="N643">
        <v>19</v>
      </c>
      <c r="O643">
        <v>5</v>
      </c>
      <c r="P643">
        <v>62</v>
      </c>
      <c r="Q643">
        <v>20.992153056675399</v>
      </c>
      <c r="R643">
        <v>5.2</v>
      </c>
      <c r="T643" s="358" t="str">
        <f t="shared" si="58"/>
        <v>1998MaleNon-Maori24Poisoning by solids and liquids</v>
      </c>
      <c r="U643" s="360">
        <v>1998</v>
      </c>
      <c r="V643" s="360" t="s">
        <v>20</v>
      </c>
      <c r="W643" s="360" t="s">
        <v>19</v>
      </c>
      <c r="X643" s="360">
        <v>24</v>
      </c>
      <c r="Y643" s="360" t="s">
        <v>47</v>
      </c>
      <c r="Z643" s="360">
        <v>7</v>
      </c>
      <c r="AA643" s="360">
        <v>80</v>
      </c>
      <c r="AB643" s="360">
        <v>8.8000000000000007</v>
      </c>
    </row>
    <row r="644" spans="1:28" x14ac:dyDescent="0.2">
      <c r="A644" t="str">
        <f t="shared" ref="A644:A707" si="59">B644&amp;C644&amp;D644&amp;E644</f>
        <v>2006AllSexNon-Maori21</v>
      </c>
      <c r="B644">
        <v>2006</v>
      </c>
      <c r="C644" t="s">
        <v>17</v>
      </c>
      <c r="D644" t="s">
        <v>19</v>
      </c>
      <c r="E644">
        <v>21</v>
      </c>
      <c r="F644">
        <v>2</v>
      </c>
      <c r="J644" s="358" t="str">
        <f t="shared" ref="J644:J707" si="60">K644&amp;L644&amp;M644&amp;N644&amp;O644</f>
        <v>2009MaleNon-Maori191</v>
      </c>
      <c r="K644" s="359">
        <v>2009</v>
      </c>
      <c r="L644" t="s">
        <v>20</v>
      </c>
      <c r="M644" t="s">
        <v>19</v>
      </c>
      <c r="N644">
        <v>19</v>
      </c>
      <c r="O644">
        <v>1</v>
      </c>
      <c r="P644">
        <v>58</v>
      </c>
      <c r="Q644">
        <v>13.4281647686625</v>
      </c>
      <c r="R644">
        <v>3.5</v>
      </c>
      <c r="T644" s="358" t="str">
        <f t="shared" si="58"/>
        <v>1998MaleNon-Maori25Poisoning by solids and liquids</v>
      </c>
      <c r="U644" s="360">
        <v>1998</v>
      </c>
      <c r="V644" s="360" t="s">
        <v>20</v>
      </c>
      <c r="W644" s="360" t="s">
        <v>19</v>
      </c>
      <c r="X644" s="360">
        <v>25</v>
      </c>
      <c r="Y644" s="360" t="s">
        <v>47</v>
      </c>
      <c r="Z644" s="360">
        <v>3</v>
      </c>
      <c r="AA644" s="360">
        <v>46</v>
      </c>
      <c r="AB644" s="360">
        <v>6.5</v>
      </c>
    </row>
    <row r="645" spans="1:28" x14ac:dyDescent="0.2">
      <c r="A645" t="str">
        <f t="shared" si="59"/>
        <v>2006AllSexNon-Maori22</v>
      </c>
      <c r="B645">
        <v>2006</v>
      </c>
      <c r="C645" t="s">
        <v>17</v>
      </c>
      <c r="D645" t="s">
        <v>19</v>
      </c>
      <c r="E645">
        <v>22</v>
      </c>
      <c r="F645">
        <v>82</v>
      </c>
      <c r="G645">
        <v>16.795018843191901</v>
      </c>
      <c r="H645">
        <v>3.6</v>
      </c>
      <c r="J645" s="358" t="str">
        <f t="shared" si="60"/>
        <v>2009MaleNon-Maori192</v>
      </c>
      <c r="K645" s="359">
        <v>2009</v>
      </c>
      <c r="L645" t="s">
        <v>20</v>
      </c>
      <c r="M645" t="s">
        <v>19</v>
      </c>
      <c r="N645">
        <v>19</v>
      </c>
      <c r="O645">
        <v>2</v>
      </c>
      <c r="P645">
        <v>64</v>
      </c>
      <c r="Q645">
        <v>15.103967527192401</v>
      </c>
      <c r="R645">
        <v>3.7</v>
      </c>
      <c r="T645" s="358" t="str">
        <f t="shared" ref="T645:T708" si="61">U645&amp;V645&amp;W645&amp;X645&amp;Y645</f>
        <v>1998MaleNon-Maori23Sharp object</v>
      </c>
      <c r="U645" s="360">
        <v>1998</v>
      </c>
      <c r="V645" s="360" t="s">
        <v>20</v>
      </c>
      <c r="W645" s="360" t="s">
        <v>19</v>
      </c>
      <c r="X645" s="360">
        <v>23</v>
      </c>
      <c r="Y645" s="360" t="s">
        <v>48</v>
      </c>
      <c r="Z645" s="360">
        <v>4</v>
      </c>
      <c r="AA645" s="360">
        <v>155</v>
      </c>
      <c r="AB645" s="360">
        <v>2.6</v>
      </c>
    </row>
    <row r="646" spans="1:28" x14ac:dyDescent="0.2">
      <c r="A646" t="str">
        <f t="shared" si="59"/>
        <v>2006AllSexNon-Maori23</v>
      </c>
      <c r="B646">
        <v>2006</v>
      </c>
      <c r="C646" t="s">
        <v>17</v>
      </c>
      <c r="D646" t="s">
        <v>19</v>
      </c>
      <c r="E646">
        <v>23</v>
      </c>
      <c r="F646">
        <v>153</v>
      </c>
      <c r="G646">
        <v>15.112902269898701</v>
      </c>
      <c r="H646">
        <v>2.4</v>
      </c>
      <c r="J646" s="358" t="str">
        <f t="shared" si="60"/>
        <v>2009MaleNon-Maori193</v>
      </c>
      <c r="K646" s="359">
        <v>2009</v>
      </c>
      <c r="L646" t="s">
        <v>20</v>
      </c>
      <c r="M646" t="s">
        <v>19</v>
      </c>
      <c r="N646">
        <v>19</v>
      </c>
      <c r="O646">
        <v>3</v>
      </c>
      <c r="P646">
        <v>54</v>
      </c>
      <c r="Q646">
        <v>14.067320582897301</v>
      </c>
      <c r="R646">
        <v>3.8</v>
      </c>
      <c r="T646" s="358" t="str">
        <f t="shared" si="61"/>
        <v>1998MaleNon-Maori24Sharp object</v>
      </c>
      <c r="U646" s="360">
        <v>1998</v>
      </c>
      <c r="V646" s="360" t="s">
        <v>20</v>
      </c>
      <c r="W646" s="360" t="s">
        <v>19</v>
      </c>
      <c r="X646" s="360">
        <v>24</v>
      </c>
      <c r="Y646" s="360" t="s">
        <v>48</v>
      </c>
      <c r="Z646" s="360">
        <v>2</v>
      </c>
      <c r="AA646" s="360">
        <v>80</v>
      </c>
      <c r="AB646" s="360">
        <v>2.5</v>
      </c>
    </row>
    <row r="647" spans="1:28" x14ac:dyDescent="0.2">
      <c r="A647" t="str">
        <f t="shared" si="59"/>
        <v>2006AllSexNon-Maori24</v>
      </c>
      <c r="B647">
        <v>2006</v>
      </c>
      <c r="C647" t="s">
        <v>17</v>
      </c>
      <c r="D647" t="s">
        <v>19</v>
      </c>
      <c r="E647">
        <v>24</v>
      </c>
      <c r="F647">
        <v>129</v>
      </c>
      <c r="G647">
        <v>14.3125006934351</v>
      </c>
      <c r="H647">
        <v>2.5</v>
      </c>
      <c r="J647" s="358" t="str">
        <f t="shared" si="60"/>
        <v>2009MaleNon-Maori194</v>
      </c>
      <c r="K647" s="359">
        <v>2009</v>
      </c>
      <c r="L647" t="s">
        <v>20</v>
      </c>
      <c r="M647" t="s">
        <v>19</v>
      </c>
      <c r="N647">
        <v>19</v>
      </c>
      <c r="O647">
        <v>4</v>
      </c>
      <c r="P647">
        <v>84</v>
      </c>
      <c r="Q647">
        <v>23.035740658921998</v>
      </c>
      <c r="R647">
        <v>4.9000000000000004</v>
      </c>
      <c r="T647" s="358" t="str">
        <f t="shared" si="61"/>
        <v>1998MaleNon-Maori23Submersion (drowning)</v>
      </c>
      <c r="U647" s="360">
        <v>1998</v>
      </c>
      <c r="V647" s="360" t="s">
        <v>20</v>
      </c>
      <c r="W647" s="360" t="s">
        <v>19</v>
      </c>
      <c r="X647" s="360">
        <v>23</v>
      </c>
      <c r="Y647" s="360" t="s">
        <v>49</v>
      </c>
      <c r="Z647" s="360">
        <v>1</v>
      </c>
      <c r="AA647" s="360">
        <v>155</v>
      </c>
      <c r="AB647" s="360">
        <v>0.6</v>
      </c>
    </row>
    <row r="648" spans="1:28" x14ac:dyDescent="0.2">
      <c r="A648" t="str">
        <f t="shared" si="59"/>
        <v>2006AllSexNon-Maori25</v>
      </c>
      <c r="B648">
        <v>2006</v>
      </c>
      <c r="C648" t="s">
        <v>17</v>
      </c>
      <c r="D648" t="s">
        <v>19</v>
      </c>
      <c r="E648">
        <v>25</v>
      </c>
      <c r="F648">
        <v>50</v>
      </c>
      <c r="G648">
        <v>10.293148880105401</v>
      </c>
      <c r="H648">
        <v>2.9</v>
      </c>
      <c r="J648" s="358" t="str">
        <f t="shared" si="60"/>
        <v>2009MaleNon-Maori195</v>
      </c>
      <c r="K648" s="359">
        <v>2009</v>
      </c>
      <c r="L648" t="s">
        <v>20</v>
      </c>
      <c r="M648" t="s">
        <v>19</v>
      </c>
      <c r="N648">
        <v>19</v>
      </c>
      <c r="O648">
        <v>5</v>
      </c>
      <c r="P648">
        <v>73</v>
      </c>
      <c r="Q648">
        <v>25.3542292212984</v>
      </c>
      <c r="R648">
        <v>5.8</v>
      </c>
      <c r="T648" s="358" t="str">
        <f t="shared" si="61"/>
        <v>1998MaleNon-Maori24Submersion (drowning)</v>
      </c>
      <c r="U648" s="360">
        <v>1998</v>
      </c>
      <c r="V648" s="360" t="s">
        <v>20</v>
      </c>
      <c r="W648" s="360" t="s">
        <v>19</v>
      </c>
      <c r="X648" s="360">
        <v>24</v>
      </c>
      <c r="Y648" s="360" t="s">
        <v>49</v>
      </c>
      <c r="Z648" s="360">
        <v>5</v>
      </c>
      <c r="AA648" s="360">
        <v>80</v>
      </c>
      <c r="AB648" s="360">
        <v>6.2</v>
      </c>
    </row>
    <row r="649" spans="1:28" x14ac:dyDescent="0.2">
      <c r="A649" t="str">
        <f t="shared" si="59"/>
        <v>2006FemaleAllEth21</v>
      </c>
      <c r="B649">
        <v>2006</v>
      </c>
      <c r="C649" t="s">
        <v>8</v>
      </c>
      <c r="D649" t="s">
        <v>27</v>
      </c>
      <c r="E649">
        <v>21</v>
      </c>
      <c r="F649">
        <v>4</v>
      </c>
      <c r="J649" s="358" t="str">
        <f t="shared" si="60"/>
        <v>2010MaleNon-Maori191</v>
      </c>
      <c r="K649" s="359">
        <v>2010</v>
      </c>
      <c r="L649" t="s">
        <v>20</v>
      </c>
      <c r="M649" t="s">
        <v>19</v>
      </c>
      <c r="N649">
        <v>19</v>
      </c>
      <c r="O649">
        <v>1</v>
      </c>
      <c r="P649">
        <v>59</v>
      </c>
      <c r="Q649">
        <v>14.654977861938701</v>
      </c>
      <c r="R649">
        <v>3.7</v>
      </c>
      <c r="T649" s="358" t="str">
        <f t="shared" si="61"/>
        <v>1998MaleNon-Maori25Submersion (drowning)</v>
      </c>
      <c r="U649" s="360">
        <v>1998</v>
      </c>
      <c r="V649" s="360" t="s">
        <v>20</v>
      </c>
      <c r="W649" s="360" t="s">
        <v>19</v>
      </c>
      <c r="X649" s="360">
        <v>25</v>
      </c>
      <c r="Y649" s="360" t="s">
        <v>49</v>
      </c>
      <c r="Z649" s="360">
        <v>1</v>
      </c>
      <c r="AA649" s="360">
        <v>46</v>
      </c>
      <c r="AB649" s="360">
        <v>2.2000000000000002</v>
      </c>
    </row>
    <row r="650" spans="1:28" x14ac:dyDescent="0.2">
      <c r="A650" t="str">
        <f t="shared" si="59"/>
        <v>2006FemaleAllEth22</v>
      </c>
      <c r="B650">
        <v>2006</v>
      </c>
      <c r="C650" t="s">
        <v>8</v>
      </c>
      <c r="D650" t="s">
        <v>27</v>
      </c>
      <c r="E650">
        <v>22</v>
      </c>
      <c r="F650">
        <v>24</v>
      </c>
      <c r="G650">
        <v>8.01496126102057</v>
      </c>
      <c r="H650">
        <v>3.2</v>
      </c>
      <c r="J650" s="358" t="str">
        <f t="shared" si="60"/>
        <v>2010MaleNon-Maori192</v>
      </c>
      <c r="K650" s="359">
        <v>2010</v>
      </c>
      <c r="L650" t="s">
        <v>20</v>
      </c>
      <c r="M650" t="s">
        <v>19</v>
      </c>
      <c r="N650">
        <v>19</v>
      </c>
      <c r="O650">
        <v>2</v>
      </c>
      <c r="P650">
        <v>53</v>
      </c>
      <c r="Q650">
        <v>11.613285118140499</v>
      </c>
      <c r="R650">
        <v>3.1</v>
      </c>
      <c r="T650" s="358" t="str">
        <f t="shared" si="61"/>
        <v>1999AllSexAllEth22Firearms and explosives</v>
      </c>
      <c r="U650" s="360">
        <v>1999</v>
      </c>
      <c r="V650" s="360" t="s">
        <v>17</v>
      </c>
      <c r="W650" s="360" t="s">
        <v>27</v>
      </c>
      <c r="X650" s="360">
        <v>22</v>
      </c>
      <c r="Y650" s="360" t="s">
        <v>42</v>
      </c>
      <c r="Z650" s="360">
        <v>4</v>
      </c>
      <c r="AA650" s="360">
        <v>120</v>
      </c>
      <c r="AB650" s="360">
        <v>3.3</v>
      </c>
    </row>
    <row r="651" spans="1:28" x14ac:dyDescent="0.2">
      <c r="A651" t="str">
        <f t="shared" si="59"/>
        <v>2006FemaleAllEth23</v>
      </c>
      <c r="B651">
        <v>2006</v>
      </c>
      <c r="C651" t="s">
        <v>8</v>
      </c>
      <c r="D651" t="s">
        <v>27</v>
      </c>
      <c r="E651">
        <v>23</v>
      </c>
      <c r="F651">
        <v>60</v>
      </c>
      <c r="G651">
        <v>9.7785165990319296</v>
      </c>
      <c r="H651">
        <v>2.5</v>
      </c>
      <c r="J651" s="358" t="str">
        <f t="shared" si="60"/>
        <v>2010MaleNon-Maori193</v>
      </c>
      <c r="K651" s="359">
        <v>2010</v>
      </c>
      <c r="L651" t="s">
        <v>20</v>
      </c>
      <c r="M651" t="s">
        <v>19</v>
      </c>
      <c r="N651">
        <v>19</v>
      </c>
      <c r="O651">
        <v>3</v>
      </c>
      <c r="P651">
        <v>65</v>
      </c>
      <c r="Q651">
        <v>16.304602303714901</v>
      </c>
      <c r="R651">
        <v>4</v>
      </c>
      <c r="T651" s="358" t="str">
        <f t="shared" si="61"/>
        <v>1999AllSexAllEth23Firearms and explosives</v>
      </c>
      <c r="U651" s="360">
        <v>1999</v>
      </c>
      <c r="V651" s="360" t="s">
        <v>17</v>
      </c>
      <c r="W651" s="360" t="s">
        <v>27</v>
      </c>
      <c r="X651" s="360">
        <v>23</v>
      </c>
      <c r="Y651" s="360" t="s">
        <v>42</v>
      </c>
      <c r="Z651" s="360">
        <v>22</v>
      </c>
      <c r="AA651" s="360">
        <v>235</v>
      </c>
      <c r="AB651" s="360">
        <v>9.4</v>
      </c>
    </row>
    <row r="652" spans="1:28" x14ac:dyDescent="0.2">
      <c r="A652" t="str">
        <f t="shared" si="59"/>
        <v>2006FemaleAllEth24</v>
      </c>
      <c r="B652">
        <v>2006</v>
      </c>
      <c r="C652" t="s">
        <v>8</v>
      </c>
      <c r="D652" t="s">
        <v>27</v>
      </c>
      <c r="E652">
        <v>24</v>
      </c>
      <c r="F652">
        <v>31</v>
      </c>
      <c r="G652">
        <v>6.1083743842364502</v>
      </c>
      <c r="H652">
        <v>2.2000000000000002</v>
      </c>
      <c r="J652" s="358" t="str">
        <f t="shared" si="60"/>
        <v>2010MaleNon-Maori194</v>
      </c>
      <c r="K652" s="359">
        <v>2010</v>
      </c>
      <c r="L652" t="s">
        <v>20</v>
      </c>
      <c r="M652" t="s">
        <v>19</v>
      </c>
      <c r="N652">
        <v>19</v>
      </c>
      <c r="O652">
        <v>4</v>
      </c>
      <c r="P652">
        <v>74</v>
      </c>
      <c r="Q652">
        <v>19.382440981287999</v>
      </c>
      <c r="R652">
        <v>4.4000000000000004</v>
      </c>
      <c r="T652" s="358" t="str">
        <f t="shared" si="61"/>
        <v>1999AllSexAllEth24Firearms and explosives</v>
      </c>
      <c r="U652" s="360">
        <v>1999</v>
      </c>
      <c r="V652" s="360" t="s">
        <v>17</v>
      </c>
      <c r="W652" s="360" t="s">
        <v>27</v>
      </c>
      <c r="X652" s="360">
        <v>24</v>
      </c>
      <c r="Y652" s="360" t="s">
        <v>42</v>
      </c>
      <c r="Z652" s="360">
        <v>13</v>
      </c>
      <c r="AA652" s="360">
        <v>104</v>
      </c>
      <c r="AB652" s="360">
        <v>12.5</v>
      </c>
    </row>
    <row r="653" spans="1:28" x14ac:dyDescent="0.2">
      <c r="A653" t="str">
        <f t="shared" si="59"/>
        <v>2006FemaleAllEth25</v>
      </c>
      <c r="B653">
        <v>2006</v>
      </c>
      <c r="C653" t="s">
        <v>8</v>
      </c>
      <c r="D653" t="s">
        <v>27</v>
      </c>
      <c r="E653">
        <v>25</v>
      </c>
      <c r="F653">
        <v>18</v>
      </c>
      <c r="G653">
        <v>6.3701029833315603</v>
      </c>
      <c r="H653">
        <v>2.9</v>
      </c>
      <c r="J653" s="358" t="str">
        <f t="shared" si="60"/>
        <v>2010MaleNon-Maori195</v>
      </c>
      <c r="K653" s="359">
        <v>2010</v>
      </c>
      <c r="L653" t="s">
        <v>20</v>
      </c>
      <c r="M653" t="s">
        <v>19</v>
      </c>
      <c r="N653">
        <v>19</v>
      </c>
      <c r="O653">
        <v>5</v>
      </c>
      <c r="P653">
        <v>50</v>
      </c>
      <c r="Q653">
        <v>17.686372073144199</v>
      </c>
      <c r="R653">
        <v>4.9000000000000004</v>
      </c>
      <c r="T653" s="358" t="str">
        <f t="shared" si="61"/>
        <v>1999AllSexAllEth25Firearms and explosives</v>
      </c>
      <c r="U653" s="360">
        <v>1999</v>
      </c>
      <c r="V653" s="360" t="s">
        <v>17</v>
      </c>
      <c r="W653" s="360" t="s">
        <v>27</v>
      </c>
      <c r="X653" s="360">
        <v>25</v>
      </c>
      <c r="Y653" s="360" t="s">
        <v>42</v>
      </c>
      <c r="Z653" s="360">
        <v>8</v>
      </c>
      <c r="AA653" s="360">
        <v>52</v>
      </c>
      <c r="AB653" s="360">
        <v>15.4</v>
      </c>
    </row>
    <row r="654" spans="1:28" x14ac:dyDescent="0.2">
      <c r="A654" t="str">
        <f t="shared" si="59"/>
        <v>2006FemaleMaori21</v>
      </c>
      <c r="B654">
        <v>2006</v>
      </c>
      <c r="C654" t="s">
        <v>8</v>
      </c>
      <c r="D654" t="s">
        <v>18</v>
      </c>
      <c r="E654">
        <v>21</v>
      </c>
      <c r="F654">
        <v>4</v>
      </c>
      <c r="J654" s="358" t="str">
        <f t="shared" si="60"/>
        <v>2011MaleNon-Maori191</v>
      </c>
      <c r="K654" s="359">
        <v>2011</v>
      </c>
      <c r="L654" t="s">
        <v>20</v>
      </c>
      <c r="M654" t="s">
        <v>19</v>
      </c>
      <c r="N654">
        <v>19</v>
      </c>
      <c r="O654">
        <v>1</v>
      </c>
      <c r="P654">
        <v>51</v>
      </c>
      <c r="Q654">
        <v>12.4017455819814</v>
      </c>
      <c r="R654">
        <v>3.4</v>
      </c>
      <c r="T654" s="358" t="str">
        <f t="shared" si="61"/>
        <v>1999AllSexAllEth21Hanging, strangulation and suffocation</v>
      </c>
      <c r="U654" s="360">
        <v>1999</v>
      </c>
      <c r="V654" s="360" t="s">
        <v>17</v>
      </c>
      <c r="W654" s="360" t="s">
        <v>27</v>
      </c>
      <c r="X654" s="360">
        <v>21</v>
      </c>
      <c r="Y654" s="360" t="s">
        <v>43</v>
      </c>
      <c r="Z654" s="360">
        <v>6</v>
      </c>
      <c r="AA654" s="360">
        <v>6</v>
      </c>
      <c r="AB654" s="360">
        <v>100</v>
      </c>
    </row>
    <row r="655" spans="1:28" x14ac:dyDescent="0.2">
      <c r="A655" t="str">
        <f t="shared" si="59"/>
        <v>2006FemaleMaori22</v>
      </c>
      <c r="B655">
        <v>2006</v>
      </c>
      <c r="C655" t="s">
        <v>8</v>
      </c>
      <c r="D655" t="s">
        <v>18</v>
      </c>
      <c r="E655">
        <v>22</v>
      </c>
      <c r="F655">
        <v>8</v>
      </c>
      <c r="G655">
        <v>13.552430967304799</v>
      </c>
      <c r="H655">
        <v>9.4</v>
      </c>
      <c r="J655" s="358" t="str">
        <f t="shared" si="60"/>
        <v>2011MaleNon-Maori192</v>
      </c>
      <c r="K655" s="359">
        <v>2011</v>
      </c>
      <c r="L655" t="s">
        <v>20</v>
      </c>
      <c r="M655" t="s">
        <v>19</v>
      </c>
      <c r="N655">
        <v>19</v>
      </c>
      <c r="O655">
        <v>2</v>
      </c>
      <c r="P655">
        <v>48</v>
      </c>
      <c r="Q655">
        <v>12.1780894972156</v>
      </c>
      <c r="R655">
        <v>3.4</v>
      </c>
      <c r="T655" s="358" t="str">
        <f t="shared" si="61"/>
        <v>1999AllSexAllEth22Hanging, strangulation and suffocation</v>
      </c>
      <c r="U655" s="360">
        <v>1999</v>
      </c>
      <c r="V655" s="360" t="s">
        <v>17</v>
      </c>
      <c r="W655" s="360" t="s">
        <v>27</v>
      </c>
      <c r="X655" s="360">
        <v>22</v>
      </c>
      <c r="Y655" s="360" t="s">
        <v>43</v>
      </c>
      <c r="Z655" s="360">
        <v>82</v>
      </c>
      <c r="AA655" s="360">
        <v>120</v>
      </c>
      <c r="AB655" s="360">
        <v>68.3</v>
      </c>
    </row>
    <row r="656" spans="1:28" x14ac:dyDescent="0.2">
      <c r="A656" t="str">
        <f t="shared" si="59"/>
        <v>2006FemaleMaori23</v>
      </c>
      <c r="B656">
        <v>2006</v>
      </c>
      <c r="C656" t="s">
        <v>8</v>
      </c>
      <c r="D656" t="s">
        <v>18</v>
      </c>
      <c r="E656">
        <v>23</v>
      </c>
      <c r="F656">
        <v>18</v>
      </c>
      <c r="G656">
        <v>20.028930677645501</v>
      </c>
      <c r="H656">
        <v>9.3000000000000007</v>
      </c>
      <c r="J656" s="358" t="str">
        <f t="shared" si="60"/>
        <v>2011MaleNon-Maori193</v>
      </c>
      <c r="K656" s="359">
        <v>2011</v>
      </c>
      <c r="L656" t="s">
        <v>20</v>
      </c>
      <c r="M656" t="s">
        <v>19</v>
      </c>
      <c r="N656">
        <v>19</v>
      </c>
      <c r="O656">
        <v>3</v>
      </c>
      <c r="P656">
        <v>77</v>
      </c>
      <c r="Q656">
        <v>18.497443643090701</v>
      </c>
      <c r="R656">
        <v>4.0999999999999996</v>
      </c>
      <c r="T656" s="358" t="str">
        <f t="shared" si="61"/>
        <v>1999AllSexAllEth23Hanging, strangulation and suffocation</v>
      </c>
      <c r="U656" s="360">
        <v>1999</v>
      </c>
      <c r="V656" s="360" t="s">
        <v>17</v>
      </c>
      <c r="W656" s="360" t="s">
        <v>27</v>
      </c>
      <c r="X656" s="360">
        <v>23</v>
      </c>
      <c r="Y656" s="360" t="s">
        <v>43</v>
      </c>
      <c r="Z656" s="360">
        <v>95</v>
      </c>
      <c r="AA656" s="360">
        <v>235</v>
      </c>
      <c r="AB656" s="360">
        <v>40.4</v>
      </c>
    </row>
    <row r="657" spans="1:28" x14ac:dyDescent="0.2">
      <c r="A657" t="str">
        <f t="shared" si="59"/>
        <v>2006FemaleMaori24</v>
      </c>
      <c r="B657">
        <v>2006</v>
      </c>
      <c r="C657" t="s">
        <v>8</v>
      </c>
      <c r="D657" t="s">
        <v>18</v>
      </c>
      <c r="E657">
        <v>24</v>
      </c>
      <c r="F657">
        <v>2</v>
      </c>
      <c r="G657">
        <v>3.9362330249950799</v>
      </c>
      <c r="H657">
        <v>5.5</v>
      </c>
      <c r="J657" s="358" t="str">
        <f t="shared" si="60"/>
        <v>2011MaleNon-Maori194</v>
      </c>
      <c r="K657" s="359">
        <v>2011</v>
      </c>
      <c r="L657" t="s">
        <v>20</v>
      </c>
      <c r="M657" t="s">
        <v>19</v>
      </c>
      <c r="N657">
        <v>19</v>
      </c>
      <c r="O657">
        <v>4</v>
      </c>
      <c r="P657">
        <v>52</v>
      </c>
      <c r="Q657">
        <v>14.0731509914225</v>
      </c>
      <c r="R657">
        <v>3.8</v>
      </c>
      <c r="T657" s="358" t="str">
        <f t="shared" si="61"/>
        <v>1999AllSexAllEth24Hanging, strangulation and suffocation</v>
      </c>
      <c r="U657" s="360">
        <v>1999</v>
      </c>
      <c r="V657" s="360" t="s">
        <v>17</v>
      </c>
      <c r="W657" s="360" t="s">
        <v>27</v>
      </c>
      <c r="X657" s="360">
        <v>24</v>
      </c>
      <c r="Y657" s="360" t="s">
        <v>43</v>
      </c>
      <c r="Z657" s="360">
        <v>40</v>
      </c>
      <c r="AA657" s="360">
        <v>104</v>
      </c>
      <c r="AB657" s="360">
        <v>38.5</v>
      </c>
    </row>
    <row r="658" spans="1:28" x14ac:dyDescent="0.2">
      <c r="A658" t="str">
        <f t="shared" si="59"/>
        <v>2006FemaleMaori25</v>
      </c>
      <c r="B658">
        <v>2006</v>
      </c>
      <c r="C658" t="s">
        <v>8</v>
      </c>
      <c r="D658" t="s">
        <v>18</v>
      </c>
      <c r="E658">
        <v>25</v>
      </c>
      <c r="F658">
        <v>1</v>
      </c>
      <c r="G658">
        <v>7.1377587437544596</v>
      </c>
      <c r="H658">
        <v>14</v>
      </c>
      <c r="J658" s="358" t="str">
        <f t="shared" si="60"/>
        <v>2011MaleNon-Maori195</v>
      </c>
      <c r="K658" s="359">
        <v>2011</v>
      </c>
      <c r="L658" t="s">
        <v>20</v>
      </c>
      <c r="M658" t="s">
        <v>19</v>
      </c>
      <c r="N658">
        <v>19</v>
      </c>
      <c r="O658">
        <v>5</v>
      </c>
      <c r="P658">
        <v>55</v>
      </c>
      <c r="Q658">
        <v>18.156906881502199</v>
      </c>
      <c r="R658">
        <v>4.8</v>
      </c>
      <c r="T658" s="358" t="str">
        <f t="shared" si="61"/>
        <v>1999AllSexAllEth25Hanging, strangulation and suffocation</v>
      </c>
      <c r="U658" s="360">
        <v>1999</v>
      </c>
      <c r="V658" s="360" t="s">
        <v>17</v>
      </c>
      <c r="W658" s="360" t="s">
        <v>27</v>
      </c>
      <c r="X658" s="360">
        <v>25</v>
      </c>
      <c r="Y658" s="360" t="s">
        <v>43</v>
      </c>
      <c r="Z658" s="360">
        <v>19</v>
      </c>
      <c r="AA658" s="360">
        <v>52</v>
      </c>
      <c r="AB658" s="360">
        <v>36.5</v>
      </c>
    </row>
    <row r="659" spans="1:28" x14ac:dyDescent="0.2">
      <c r="A659" t="str">
        <f t="shared" si="59"/>
        <v>2006FemaleNon-Maori21</v>
      </c>
      <c r="B659">
        <v>2006</v>
      </c>
      <c r="C659" t="s">
        <v>8</v>
      </c>
      <c r="D659" t="s">
        <v>19</v>
      </c>
      <c r="E659">
        <v>21</v>
      </c>
      <c r="F659">
        <v>0</v>
      </c>
      <c r="J659" s="358" t="str">
        <f t="shared" si="60"/>
        <v>2012MaleNon-Maori191</v>
      </c>
      <c r="K659" s="359">
        <v>2012</v>
      </c>
      <c r="L659" t="s">
        <v>20</v>
      </c>
      <c r="M659" t="s">
        <v>19</v>
      </c>
      <c r="N659">
        <v>19</v>
      </c>
      <c r="O659">
        <v>1</v>
      </c>
      <c r="P659">
        <v>42</v>
      </c>
      <c r="Q659">
        <v>9.9663542055824799</v>
      </c>
      <c r="R659">
        <v>3</v>
      </c>
      <c r="T659" s="358" t="str">
        <f t="shared" si="61"/>
        <v>1999AllSexAllEth22Jumping from a high place</v>
      </c>
      <c r="U659" s="360">
        <v>1999</v>
      </c>
      <c r="V659" s="360" t="s">
        <v>17</v>
      </c>
      <c r="W659" s="360" t="s">
        <v>27</v>
      </c>
      <c r="X659" s="360">
        <v>22</v>
      </c>
      <c r="Y659" s="360" t="s">
        <v>44</v>
      </c>
      <c r="Z659" s="360">
        <v>9</v>
      </c>
      <c r="AA659" s="360">
        <v>120</v>
      </c>
      <c r="AB659" s="360">
        <v>7.5</v>
      </c>
    </row>
    <row r="660" spans="1:28" x14ac:dyDescent="0.2">
      <c r="A660" t="str">
        <f t="shared" si="59"/>
        <v>2006FemaleNon-Maori22</v>
      </c>
      <c r="B660">
        <v>2006</v>
      </c>
      <c r="C660" t="s">
        <v>8</v>
      </c>
      <c r="D660" t="s">
        <v>19</v>
      </c>
      <c r="E660">
        <v>22</v>
      </c>
      <c r="F660">
        <v>16</v>
      </c>
      <c r="G660">
        <v>6.6552972006156201</v>
      </c>
      <c r="H660">
        <v>3.3</v>
      </c>
      <c r="J660" s="358" t="str">
        <f t="shared" si="60"/>
        <v>2012MaleNon-Maori192</v>
      </c>
      <c r="K660" s="359">
        <v>2012</v>
      </c>
      <c r="L660" t="s">
        <v>20</v>
      </c>
      <c r="M660" t="s">
        <v>19</v>
      </c>
      <c r="N660">
        <v>19</v>
      </c>
      <c r="O660">
        <v>2</v>
      </c>
      <c r="P660">
        <v>56</v>
      </c>
      <c r="Q660">
        <v>13.123524499254399</v>
      </c>
      <c r="R660">
        <v>3.4</v>
      </c>
      <c r="T660" s="358" t="str">
        <f t="shared" si="61"/>
        <v>1999AllSexAllEth23Jumping from a high place</v>
      </c>
      <c r="U660" s="360">
        <v>1999</v>
      </c>
      <c r="V660" s="360" t="s">
        <v>17</v>
      </c>
      <c r="W660" s="360" t="s">
        <v>27</v>
      </c>
      <c r="X660" s="360">
        <v>23</v>
      </c>
      <c r="Y660" s="360" t="s">
        <v>44</v>
      </c>
      <c r="Z660" s="360">
        <v>4</v>
      </c>
      <c r="AA660" s="360">
        <v>235</v>
      </c>
      <c r="AB660" s="360">
        <v>1.7</v>
      </c>
    </row>
    <row r="661" spans="1:28" x14ac:dyDescent="0.2">
      <c r="A661" t="str">
        <f t="shared" si="59"/>
        <v>2006FemaleNon-Maori23</v>
      </c>
      <c r="B661">
        <v>2006</v>
      </c>
      <c r="C661" t="s">
        <v>8</v>
      </c>
      <c r="D661" t="s">
        <v>19</v>
      </c>
      <c r="E661">
        <v>23</v>
      </c>
      <c r="F661">
        <v>42</v>
      </c>
      <c r="G661">
        <v>8.0195524325975693</v>
      </c>
      <c r="H661">
        <v>2.4</v>
      </c>
      <c r="J661" s="358" t="str">
        <f t="shared" si="60"/>
        <v>2012MaleNon-Maori193</v>
      </c>
      <c r="K661" s="359">
        <v>2012</v>
      </c>
      <c r="L661" t="s">
        <v>20</v>
      </c>
      <c r="M661" t="s">
        <v>19</v>
      </c>
      <c r="N661">
        <v>19</v>
      </c>
      <c r="O661">
        <v>3</v>
      </c>
      <c r="P661">
        <v>81</v>
      </c>
      <c r="Q661">
        <v>20.2589607903159</v>
      </c>
      <c r="R661">
        <v>4.4000000000000004</v>
      </c>
      <c r="T661" s="358" t="str">
        <f t="shared" si="61"/>
        <v>1999AllSexAllEth24Jumping from a high place</v>
      </c>
      <c r="U661" s="360">
        <v>1999</v>
      </c>
      <c r="V661" s="360" t="s">
        <v>17</v>
      </c>
      <c r="W661" s="360" t="s">
        <v>27</v>
      </c>
      <c r="X661" s="360">
        <v>24</v>
      </c>
      <c r="Y661" s="360" t="s">
        <v>44</v>
      </c>
      <c r="Z661" s="360">
        <v>2</v>
      </c>
      <c r="AA661" s="360">
        <v>104</v>
      </c>
      <c r="AB661" s="360">
        <v>1.9</v>
      </c>
    </row>
    <row r="662" spans="1:28" x14ac:dyDescent="0.2">
      <c r="A662" t="str">
        <f t="shared" si="59"/>
        <v>2006FemaleNon-Maori24</v>
      </c>
      <c r="B662">
        <v>2006</v>
      </c>
      <c r="C662" t="s">
        <v>8</v>
      </c>
      <c r="D662" t="s">
        <v>19</v>
      </c>
      <c r="E662">
        <v>24</v>
      </c>
      <c r="F662">
        <v>29</v>
      </c>
      <c r="G662">
        <v>6.3500405088791103</v>
      </c>
      <c r="H662">
        <v>2.2999999999999998</v>
      </c>
      <c r="J662" s="358" t="str">
        <f t="shared" si="60"/>
        <v>2012MaleNon-Maori194</v>
      </c>
      <c r="K662" s="359">
        <v>2012</v>
      </c>
      <c r="L662" t="s">
        <v>20</v>
      </c>
      <c r="M662" t="s">
        <v>19</v>
      </c>
      <c r="N662">
        <v>19</v>
      </c>
      <c r="O662">
        <v>4</v>
      </c>
      <c r="P662">
        <v>73</v>
      </c>
      <c r="Q662">
        <v>20.290563770475998</v>
      </c>
      <c r="R662">
        <v>4.7</v>
      </c>
      <c r="T662" s="358" t="str">
        <f t="shared" si="61"/>
        <v>1999AllSexAllEth25Jumping from a high place</v>
      </c>
      <c r="U662" s="360">
        <v>1999</v>
      </c>
      <c r="V662" s="360" t="s">
        <v>17</v>
      </c>
      <c r="W662" s="360" t="s">
        <v>27</v>
      </c>
      <c r="X662" s="360">
        <v>25</v>
      </c>
      <c r="Y662" s="360" t="s">
        <v>44</v>
      </c>
      <c r="Z662" s="360">
        <v>2</v>
      </c>
      <c r="AA662" s="360">
        <v>52</v>
      </c>
      <c r="AB662" s="360">
        <v>3.8</v>
      </c>
    </row>
    <row r="663" spans="1:28" x14ac:dyDescent="0.2">
      <c r="A663" t="str">
        <f t="shared" si="59"/>
        <v>2006FemaleNon-Maori25</v>
      </c>
      <c r="B663">
        <v>2006</v>
      </c>
      <c r="C663" t="s">
        <v>8</v>
      </c>
      <c r="D663" t="s">
        <v>19</v>
      </c>
      <c r="E663">
        <v>25</v>
      </c>
      <c r="F663">
        <v>17</v>
      </c>
      <c r="G663">
        <v>6.3300565981531101</v>
      </c>
      <c r="H663">
        <v>3</v>
      </c>
      <c r="J663" s="358" t="str">
        <f t="shared" si="60"/>
        <v>2012MaleNon-Maori195</v>
      </c>
      <c r="K663" s="359">
        <v>2012</v>
      </c>
      <c r="L663" t="s">
        <v>20</v>
      </c>
      <c r="M663" t="s">
        <v>19</v>
      </c>
      <c r="N663">
        <v>19</v>
      </c>
      <c r="O663">
        <v>5</v>
      </c>
      <c r="P663">
        <v>60</v>
      </c>
      <c r="Q663">
        <v>19.779717128426199</v>
      </c>
      <c r="R663">
        <v>5</v>
      </c>
      <c r="T663" s="358" t="str">
        <f t="shared" si="61"/>
        <v>1999AllSexAllEth22Other</v>
      </c>
      <c r="U663" s="360">
        <v>1999</v>
      </c>
      <c r="V663" s="360" t="s">
        <v>17</v>
      </c>
      <c r="W663" s="360" t="s">
        <v>27</v>
      </c>
      <c r="X663" s="360">
        <v>22</v>
      </c>
      <c r="Y663" s="360" t="s">
        <v>45</v>
      </c>
      <c r="Z663" s="360">
        <v>4</v>
      </c>
      <c r="AA663" s="360">
        <v>120</v>
      </c>
      <c r="AB663" s="360">
        <v>3.3</v>
      </c>
    </row>
    <row r="664" spans="1:28" x14ac:dyDescent="0.2">
      <c r="A664" t="str">
        <f t="shared" si="59"/>
        <v>2006MaleAllEth21</v>
      </c>
      <c r="B664">
        <v>2006</v>
      </c>
      <c r="C664" t="s">
        <v>20</v>
      </c>
      <c r="D664" t="s">
        <v>27</v>
      </c>
      <c r="E664">
        <v>21</v>
      </c>
      <c r="F664">
        <v>2</v>
      </c>
      <c r="J664" s="358" t="str">
        <f t="shared" si="60"/>
        <v>2013MaleNon-Maori191</v>
      </c>
      <c r="K664" s="359">
        <v>2013</v>
      </c>
      <c r="L664" t="s">
        <v>20</v>
      </c>
      <c r="M664" t="s">
        <v>19</v>
      </c>
      <c r="N664">
        <v>19</v>
      </c>
      <c r="O664">
        <v>1</v>
      </c>
      <c r="P664">
        <v>51</v>
      </c>
      <c r="Q664">
        <v>10.2027962723015</v>
      </c>
      <c r="R664">
        <v>2.8</v>
      </c>
      <c r="T664" s="358" t="str">
        <f t="shared" si="61"/>
        <v>1999AllSexAllEth23Other</v>
      </c>
      <c r="U664" s="360">
        <v>1999</v>
      </c>
      <c r="V664" s="360" t="s">
        <v>17</v>
      </c>
      <c r="W664" s="360" t="s">
        <v>27</v>
      </c>
      <c r="X664" s="360">
        <v>23</v>
      </c>
      <c r="Y664" s="360" t="s">
        <v>45</v>
      </c>
      <c r="Z664" s="360">
        <v>9</v>
      </c>
      <c r="AA664" s="360">
        <v>235</v>
      </c>
      <c r="AB664" s="360">
        <v>3.8</v>
      </c>
    </row>
    <row r="665" spans="1:28" x14ac:dyDescent="0.2">
      <c r="A665" t="str">
        <f t="shared" si="59"/>
        <v>2006MaleAllEth22</v>
      </c>
      <c r="B665">
        <v>2006</v>
      </c>
      <c r="C665" t="s">
        <v>20</v>
      </c>
      <c r="D665" t="s">
        <v>27</v>
      </c>
      <c r="E665">
        <v>22</v>
      </c>
      <c r="F665">
        <v>95</v>
      </c>
      <c r="G665">
        <v>31.150604977538801</v>
      </c>
      <c r="H665">
        <v>6.3</v>
      </c>
      <c r="J665" s="358" t="str">
        <f t="shared" si="60"/>
        <v>2013MaleNon-Maori192</v>
      </c>
      <c r="K665" s="359">
        <v>2013</v>
      </c>
      <c r="L665" t="s">
        <v>20</v>
      </c>
      <c r="M665" t="s">
        <v>19</v>
      </c>
      <c r="N665">
        <v>19</v>
      </c>
      <c r="O665">
        <v>2</v>
      </c>
      <c r="P665">
        <v>49</v>
      </c>
      <c r="Q665">
        <v>10.8217030374452</v>
      </c>
      <c r="R665">
        <v>3</v>
      </c>
      <c r="T665" s="358" t="str">
        <f t="shared" si="61"/>
        <v>1999AllSexAllEth24Other</v>
      </c>
      <c r="U665" s="360">
        <v>1999</v>
      </c>
      <c r="V665" s="360" t="s">
        <v>17</v>
      </c>
      <c r="W665" s="360" t="s">
        <v>27</v>
      </c>
      <c r="X665" s="360">
        <v>24</v>
      </c>
      <c r="Y665" s="360" t="s">
        <v>45</v>
      </c>
      <c r="Z665" s="360">
        <v>4</v>
      </c>
      <c r="AA665" s="360">
        <v>104</v>
      </c>
      <c r="AB665" s="360">
        <v>3.8</v>
      </c>
    </row>
    <row r="666" spans="1:28" x14ac:dyDescent="0.2">
      <c r="A666" t="str">
        <f t="shared" si="59"/>
        <v>2006MaleAllEth23</v>
      </c>
      <c r="B666">
        <v>2006</v>
      </c>
      <c r="C666" t="s">
        <v>20</v>
      </c>
      <c r="D666" t="s">
        <v>27</v>
      </c>
      <c r="E666">
        <v>23</v>
      </c>
      <c r="F666">
        <v>147</v>
      </c>
      <c r="G666">
        <v>25.852972212451601</v>
      </c>
      <c r="H666">
        <v>4.2</v>
      </c>
      <c r="J666" s="358" t="str">
        <f t="shared" si="60"/>
        <v>2013MaleNon-Maori193</v>
      </c>
      <c r="K666" s="359">
        <v>2013</v>
      </c>
      <c r="L666" t="s">
        <v>20</v>
      </c>
      <c r="M666" t="s">
        <v>19</v>
      </c>
      <c r="N666">
        <v>19</v>
      </c>
      <c r="O666">
        <v>3</v>
      </c>
      <c r="P666">
        <v>66</v>
      </c>
      <c r="Q666">
        <v>14.5885071239288</v>
      </c>
      <c r="R666">
        <v>3.5</v>
      </c>
      <c r="T666" s="358" t="str">
        <f t="shared" si="61"/>
        <v>1999AllSexAllEth25Other</v>
      </c>
      <c r="U666" s="360">
        <v>1999</v>
      </c>
      <c r="V666" s="360" t="s">
        <v>17</v>
      </c>
      <c r="W666" s="360" t="s">
        <v>27</v>
      </c>
      <c r="X666" s="360">
        <v>25</v>
      </c>
      <c r="Y666" s="360" t="s">
        <v>45</v>
      </c>
      <c r="Z666" s="360">
        <v>1</v>
      </c>
      <c r="AA666" s="360">
        <v>52</v>
      </c>
      <c r="AB666" s="360">
        <v>1.9</v>
      </c>
    </row>
    <row r="667" spans="1:28" x14ac:dyDescent="0.2">
      <c r="A667" t="str">
        <f t="shared" si="59"/>
        <v>2006MaleAllEth24</v>
      </c>
      <c r="B667">
        <v>2006</v>
      </c>
      <c r="C667" t="s">
        <v>20</v>
      </c>
      <c r="D667" t="s">
        <v>27</v>
      </c>
      <c r="E667">
        <v>24</v>
      </c>
      <c r="F667">
        <v>110</v>
      </c>
      <c r="G667">
        <v>22.397328609533101</v>
      </c>
      <c r="H667">
        <v>4.2</v>
      </c>
      <c r="J667" s="358" t="str">
        <f t="shared" si="60"/>
        <v>2013MaleNon-Maori194</v>
      </c>
      <c r="K667" s="359">
        <v>2013</v>
      </c>
      <c r="L667" t="s">
        <v>20</v>
      </c>
      <c r="M667" t="s">
        <v>19</v>
      </c>
      <c r="N667">
        <v>19</v>
      </c>
      <c r="O667">
        <v>4</v>
      </c>
      <c r="P667">
        <v>59</v>
      </c>
      <c r="Q667">
        <v>15.3335084772225</v>
      </c>
      <c r="R667">
        <v>3.9</v>
      </c>
      <c r="T667" s="358" t="str">
        <f t="shared" si="61"/>
        <v>1999AllSexAllEth22Poisoning by gases and vapours</v>
      </c>
      <c r="U667" s="360">
        <v>1999</v>
      </c>
      <c r="V667" s="360" t="s">
        <v>17</v>
      </c>
      <c r="W667" s="360" t="s">
        <v>27</v>
      </c>
      <c r="X667" s="360">
        <v>22</v>
      </c>
      <c r="Y667" s="360" t="s">
        <v>46</v>
      </c>
      <c r="Z667" s="360">
        <v>15</v>
      </c>
      <c r="AA667" s="360">
        <v>120</v>
      </c>
      <c r="AB667" s="360">
        <v>12.5</v>
      </c>
    </row>
    <row r="668" spans="1:28" x14ac:dyDescent="0.2">
      <c r="A668" t="str">
        <f t="shared" si="59"/>
        <v>2006MaleAllEth25</v>
      </c>
      <c r="B668">
        <v>2006</v>
      </c>
      <c r="C668" t="s">
        <v>20</v>
      </c>
      <c r="D668" t="s">
        <v>27</v>
      </c>
      <c r="E668">
        <v>25</v>
      </c>
      <c r="F668">
        <v>33</v>
      </c>
      <c r="G668">
        <v>14.4167758846658</v>
      </c>
      <c r="H668">
        <v>4.9000000000000004</v>
      </c>
      <c r="J668" s="358" t="str">
        <f t="shared" si="60"/>
        <v>2013MaleNon-Maori195</v>
      </c>
      <c r="K668" s="359">
        <v>2013</v>
      </c>
      <c r="L668" t="s">
        <v>20</v>
      </c>
      <c r="M668" t="s">
        <v>19</v>
      </c>
      <c r="N668">
        <v>19</v>
      </c>
      <c r="O668">
        <v>5</v>
      </c>
      <c r="P668">
        <v>56</v>
      </c>
      <c r="Q668">
        <v>18.285314815882401</v>
      </c>
      <c r="R668">
        <v>4.8</v>
      </c>
      <c r="T668" s="358" t="str">
        <f t="shared" si="61"/>
        <v>1999AllSexAllEth23Poisoning by gases and vapours</v>
      </c>
      <c r="U668" s="360">
        <v>1999</v>
      </c>
      <c r="V668" s="360" t="s">
        <v>17</v>
      </c>
      <c r="W668" s="360" t="s">
        <v>27</v>
      </c>
      <c r="X668" s="360">
        <v>23</v>
      </c>
      <c r="Y668" s="360" t="s">
        <v>46</v>
      </c>
      <c r="Z668" s="360">
        <v>71</v>
      </c>
      <c r="AA668" s="360">
        <v>235</v>
      </c>
      <c r="AB668" s="360">
        <v>30.2</v>
      </c>
    </row>
    <row r="669" spans="1:28" x14ac:dyDescent="0.2">
      <c r="A669" t="str">
        <f t="shared" si="59"/>
        <v>2006MaleMaori21</v>
      </c>
      <c r="B669">
        <v>2006</v>
      </c>
      <c r="C669" t="s">
        <v>20</v>
      </c>
      <c r="D669" t="s">
        <v>18</v>
      </c>
      <c r="E669">
        <v>21</v>
      </c>
      <c r="F669">
        <v>0</v>
      </c>
      <c r="J669" s="358" t="str">
        <f t="shared" si="60"/>
        <v>2014MaleNon-Maori191</v>
      </c>
      <c r="K669" s="359">
        <v>2014</v>
      </c>
      <c r="L669" t="s">
        <v>20</v>
      </c>
      <c r="M669" t="s">
        <v>19</v>
      </c>
      <c r="N669">
        <v>19</v>
      </c>
      <c r="O669">
        <v>1</v>
      </c>
      <c r="P669">
        <v>44</v>
      </c>
      <c r="Q669">
        <v>9.6889486532678202</v>
      </c>
      <c r="R669">
        <v>2.9</v>
      </c>
      <c r="T669" s="358" t="str">
        <f t="shared" si="61"/>
        <v>1999AllSexAllEth24Poisoning by gases and vapours</v>
      </c>
      <c r="U669" s="360">
        <v>1999</v>
      </c>
      <c r="V669" s="360" t="s">
        <v>17</v>
      </c>
      <c r="W669" s="360" t="s">
        <v>27</v>
      </c>
      <c r="X669" s="360">
        <v>24</v>
      </c>
      <c r="Y669" s="360" t="s">
        <v>46</v>
      </c>
      <c r="Z669" s="360">
        <v>20</v>
      </c>
      <c r="AA669" s="360">
        <v>104</v>
      </c>
      <c r="AB669" s="360">
        <v>19.2</v>
      </c>
    </row>
    <row r="670" spans="1:28" x14ac:dyDescent="0.2">
      <c r="A670" t="str">
        <f t="shared" si="59"/>
        <v>2006MaleMaori22</v>
      </c>
      <c r="B670">
        <v>2006</v>
      </c>
      <c r="C670" t="s">
        <v>20</v>
      </c>
      <c r="D670" t="s">
        <v>18</v>
      </c>
      <c r="E670">
        <v>22</v>
      </c>
      <c r="F670">
        <v>29</v>
      </c>
      <c r="G670">
        <v>50.752537626881299</v>
      </c>
      <c r="H670">
        <v>18.5</v>
      </c>
      <c r="J670" s="358" t="str">
        <f t="shared" si="60"/>
        <v>2014MaleNon-Maori192</v>
      </c>
      <c r="K670" s="359">
        <v>2014</v>
      </c>
      <c r="L670" t="s">
        <v>20</v>
      </c>
      <c r="M670" t="s">
        <v>19</v>
      </c>
      <c r="N670">
        <v>19</v>
      </c>
      <c r="O670">
        <v>2</v>
      </c>
      <c r="P670">
        <v>45</v>
      </c>
      <c r="Q670">
        <v>10.552451508608</v>
      </c>
      <c r="R670">
        <v>3.1</v>
      </c>
      <c r="T670" s="358" t="str">
        <f t="shared" si="61"/>
        <v>1999AllSexAllEth25Poisoning by gases and vapours</v>
      </c>
      <c r="U670" s="360">
        <v>1999</v>
      </c>
      <c r="V670" s="360" t="s">
        <v>17</v>
      </c>
      <c r="W670" s="360" t="s">
        <v>27</v>
      </c>
      <c r="X670" s="360">
        <v>25</v>
      </c>
      <c r="Y670" s="360" t="s">
        <v>46</v>
      </c>
      <c r="Z670" s="360">
        <v>11</v>
      </c>
      <c r="AA670" s="360">
        <v>52</v>
      </c>
      <c r="AB670" s="360">
        <v>21.2</v>
      </c>
    </row>
    <row r="671" spans="1:28" x14ac:dyDescent="0.2">
      <c r="A671" t="str">
        <f t="shared" si="59"/>
        <v>2006MaleMaori23</v>
      </c>
      <c r="B671">
        <v>2006</v>
      </c>
      <c r="C671" t="s">
        <v>20</v>
      </c>
      <c r="D671" t="s">
        <v>18</v>
      </c>
      <c r="E671">
        <v>23</v>
      </c>
      <c r="F671">
        <v>36</v>
      </c>
      <c r="G671">
        <v>45.028142589118197</v>
      </c>
      <c r="H671">
        <v>14.7</v>
      </c>
      <c r="J671" s="358" t="str">
        <f t="shared" si="60"/>
        <v>2014MaleNon-Maori193</v>
      </c>
      <c r="K671" s="359">
        <v>2014</v>
      </c>
      <c r="L671" t="s">
        <v>20</v>
      </c>
      <c r="M671" t="s">
        <v>19</v>
      </c>
      <c r="N671">
        <v>19</v>
      </c>
      <c r="O671">
        <v>3</v>
      </c>
      <c r="P671">
        <v>56</v>
      </c>
      <c r="Q671">
        <v>13.3782840802933</v>
      </c>
      <c r="R671">
        <v>3.5</v>
      </c>
      <c r="T671" s="358" t="str">
        <f t="shared" si="61"/>
        <v>1999AllSexAllEth22Poisoning by solids and liquids</v>
      </c>
      <c r="U671" s="360">
        <v>1999</v>
      </c>
      <c r="V671" s="360" t="s">
        <v>17</v>
      </c>
      <c r="W671" s="360" t="s">
        <v>27</v>
      </c>
      <c r="X671" s="360">
        <v>22</v>
      </c>
      <c r="Y671" s="360" t="s">
        <v>47</v>
      </c>
      <c r="Z671" s="360">
        <v>6</v>
      </c>
      <c r="AA671" s="360">
        <v>120</v>
      </c>
      <c r="AB671" s="360">
        <v>5</v>
      </c>
    </row>
    <row r="672" spans="1:28" x14ac:dyDescent="0.2">
      <c r="A672" t="str">
        <f t="shared" si="59"/>
        <v>2006MaleMaori24</v>
      </c>
      <c r="B672">
        <v>2006</v>
      </c>
      <c r="C672" t="s">
        <v>20</v>
      </c>
      <c r="D672" t="s">
        <v>18</v>
      </c>
      <c r="E672">
        <v>24</v>
      </c>
      <c r="F672">
        <v>10</v>
      </c>
      <c r="G672">
        <v>21.4868929952729</v>
      </c>
      <c r="H672">
        <v>13.3</v>
      </c>
      <c r="J672" s="358" t="str">
        <f t="shared" si="60"/>
        <v>2014MaleNon-Maori194</v>
      </c>
      <c r="K672" s="359">
        <v>2014</v>
      </c>
      <c r="L672" t="s">
        <v>20</v>
      </c>
      <c r="M672" t="s">
        <v>19</v>
      </c>
      <c r="N672">
        <v>19</v>
      </c>
      <c r="O672">
        <v>4</v>
      </c>
      <c r="P672">
        <v>77</v>
      </c>
      <c r="Q672">
        <v>18.7599100460179</v>
      </c>
      <c r="R672">
        <v>4.2</v>
      </c>
      <c r="T672" s="358" t="str">
        <f t="shared" si="61"/>
        <v>1999AllSexAllEth23Poisoning by solids and liquids</v>
      </c>
      <c r="U672" s="360">
        <v>1999</v>
      </c>
      <c r="V672" s="360" t="s">
        <v>17</v>
      </c>
      <c r="W672" s="360" t="s">
        <v>27</v>
      </c>
      <c r="X672" s="360">
        <v>23</v>
      </c>
      <c r="Y672" s="360" t="s">
        <v>47</v>
      </c>
      <c r="Z672" s="360">
        <v>23</v>
      </c>
      <c r="AA672" s="360">
        <v>235</v>
      </c>
      <c r="AB672" s="360">
        <v>9.8000000000000007</v>
      </c>
    </row>
    <row r="673" spans="1:28" x14ac:dyDescent="0.2">
      <c r="A673" t="str">
        <f t="shared" si="59"/>
        <v>2006MaleMaori25</v>
      </c>
      <c r="B673">
        <v>2006</v>
      </c>
      <c r="C673" t="s">
        <v>20</v>
      </c>
      <c r="D673" t="s">
        <v>18</v>
      </c>
      <c r="E673">
        <v>25</v>
      </c>
      <c r="F673">
        <v>0</v>
      </c>
      <c r="G673">
        <v>0</v>
      </c>
      <c r="J673" s="358" t="str">
        <f t="shared" si="60"/>
        <v>2014MaleNon-Maori195</v>
      </c>
      <c r="K673" s="359">
        <v>2014</v>
      </c>
      <c r="L673" t="s">
        <v>20</v>
      </c>
      <c r="M673" t="s">
        <v>19</v>
      </c>
      <c r="N673">
        <v>19</v>
      </c>
      <c r="O673">
        <v>5</v>
      </c>
      <c r="P673">
        <v>76</v>
      </c>
      <c r="Q673">
        <v>23.8023479127752</v>
      </c>
      <c r="R673">
        <v>5.4</v>
      </c>
      <c r="T673" s="358" t="str">
        <f t="shared" si="61"/>
        <v>1999AllSexAllEth24Poisoning by solids and liquids</v>
      </c>
      <c r="U673" s="360">
        <v>1999</v>
      </c>
      <c r="V673" s="360" t="s">
        <v>17</v>
      </c>
      <c r="W673" s="360" t="s">
        <v>27</v>
      </c>
      <c r="X673" s="360">
        <v>24</v>
      </c>
      <c r="Y673" s="360" t="s">
        <v>47</v>
      </c>
      <c r="Z673" s="360">
        <v>18</v>
      </c>
      <c r="AA673" s="360">
        <v>104</v>
      </c>
      <c r="AB673" s="360">
        <v>17.3</v>
      </c>
    </row>
    <row r="674" spans="1:28" x14ac:dyDescent="0.2">
      <c r="A674" t="str">
        <f t="shared" si="59"/>
        <v>2006MaleNon-Maori21</v>
      </c>
      <c r="B674">
        <v>2006</v>
      </c>
      <c r="C674" t="s">
        <v>20</v>
      </c>
      <c r="D674" t="s">
        <v>19</v>
      </c>
      <c r="E674">
        <v>21</v>
      </c>
      <c r="F674">
        <v>2</v>
      </c>
      <c r="J674" s="358" t="str">
        <f t="shared" si="60"/>
        <v>2015MaleNon-Maori191</v>
      </c>
      <c r="K674" s="359">
        <v>2015</v>
      </c>
      <c r="L674" t="s">
        <v>20</v>
      </c>
      <c r="M674" t="s">
        <v>19</v>
      </c>
      <c r="N674">
        <v>19</v>
      </c>
      <c r="O674">
        <v>1</v>
      </c>
      <c r="P674">
        <v>58</v>
      </c>
      <c r="Q674">
        <v>12.877360975518799</v>
      </c>
      <c r="R674">
        <v>3.3</v>
      </c>
      <c r="T674" s="358" t="str">
        <f t="shared" si="61"/>
        <v>1999AllSexAllEth25Poisoning by solids and liquids</v>
      </c>
      <c r="U674" s="360">
        <v>1999</v>
      </c>
      <c r="V674" s="360" t="s">
        <v>17</v>
      </c>
      <c r="W674" s="360" t="s">
        <v>27</v>
      </c>
      <c r="X674" s="360">
        <v>25</v>
      </c>
      <c r="Y674" s="360" t="s">
        <v>47</v>
      </c>
      <c r="Z674" s="360">
        <v>5</v>
      </c>
      <c r="AA674" s="360">
        <v>52</v>
      </c>
      <c r="AB674" s="360">
        <v>9.6</v>
      </c>
    </row>
    <row r="675" spans="1:28" x14ac:dyDescent="0.2">
      <c r="A675" t="str">
        <f t="shared" si="59"/>
        <v>2006MaleNon-Maori22</v>
      </c>
      <c r="B675">
        <v>2006</v>
      </c>
      <c r="C675" t="s">
        <v>20</v>
      </c>
      <c r="D675" t="s">
        <v>19</v>
      </c>
      <c r="E675">
        <v>22</v>
      </c>
      <c r="F675">
        <v>66</v>
      </c>
      <c r="G675">
        <v>26.6311584553928</v>
      </c>
      <c r="H675">
        <v>6.4</v>
      </c>
      <c r="J675" s="358" t="str">
        <f t="shared" si="60"/>
        <v>2015MaleNon-Maori192</v>
      </c>
      <c r="K675" s="359">
        <v>2015</v>
      </c>
      <c r="L675" t="s">
        <v>20</v>
      </c>
      <c r="M675" t="s">
        <v>19</v>
      </c>
      <c r="N675">
        <v>19</v>
      </c>
      <c r="O675">
        <v>2</v>
      </c>
      <c r="P675">
        <v>62</v>
      </c>
      <c r="Q675">
        <v>12.8986502914779</v>
      </c>
      <c r="R675">
        <v>3.2</v>
      </c>
      <c r="T675" s="358" t="str">
        <f t="shared" si="61"/>
        <v>1999AllSexAllEth23Sharp object</v>
      </c>
      <c r="U675" s="360">
        <v>1999</v>
      </c>
      <c r="V675" s="360" t="s">
        <v>17</v>
      </c>
      <c r="W675" s="360" t="s">
        <v>27</v>
      </c>
      <c r="X675" s="360">
        <v>23</v>
      </c>
      <c r="Y675" s="360" t="s">
        <v>48</v>
      </c>
      <c r="Z675" s="360">
        <v>6</v>
      </c>
      <c r="AA675" s="360">
        <v>235</v>
      </c>
      <c r="AB675" s="360">
        <v>2.6</v>
      </c>
    </row>
    <row r="676" spans="1:28" x14ac:dyDescent="0.2">
      <c r="A676" t="str">
        <f t="shared" si="59"/>
        <v>2006MaleNon-Maori23</v>
      </c>
      <c r="B676">
        <v>2006</v>
      </c>
      <c r="C676" t="s">
        <v>20</v>
      </c>
      <c r="D676" t="s">
        <v>19</v>
      </c>
      <c r="E676">
        <v>23</v>
      </c>
      <c r="F676">
        <v>111</v>
      </c>
      <c r="G676">
        <v>22.715645144786698</v>
      </c>
      <c r="H676">
        <v>4.2</v>
      </c>
      <c r="J676" s="358" t="str">
        <f t="shared" si="60"/>
        <v>2015MaleNon-Maori193</v>
      </c>
      <c r="K676" s="359">
        <v>2015</v>
      </c>
      <c r="L676" t="s">
        <v>20</v>
      </c>
      <c r="M676" t="s">
        <v>19</v>
      </c>
      <c r="N676">
        <v>19</v>
      </c>
      <c r="O676">
        <v>3</v>
      </c>
      <c r="P676">
        <v>47</v>
      </c>
      <c r="Q676">
        <v>10.929541768217501</v>
      </c>
      <c r="R676">
        <v>3.1</v>
      </c>
      <c r="T676" s="358" t="str">
        <f t="shared" si="61"/>
        <v>1999AllSexAllEth24Sharp object</v>
      </c>
      <c r="U676" s="360">
        <v>1999</v>
      </c>
      <c r="V676" s="360" t="s">
        <v>17</v>
      </c>
      <c r="W676" s="360" t="s">
        <v>27</v>
      </c>
      <c r="X676" s="360">
        <v>24</v>
      </c>
      <c r="Y676" s="360" t="s">
        <v>48</v>
      </c>
      <c r="Z676" s="360">
        <v>1</v>
      </c>
      <c r="AA676" s="360">
        <v>104</v>
      </c>
      <c r="AB676" s="360">
        <v>1</v>
      </c>
    </row>
    <row r="677" spans="1:28" x14ac:dyDescent="0.2">
      <c r="A677" t="str">
        <f t="shared" si="59"/>
        <v>2006MaleNon-Maori24</v>
      </c>
      <c r="B677">
        <v>2006</v>
      </c>
      <c r="C677" t="s">
        <v>20</v>
      </c>
      <c r="D677" t="s">
        <v>19</v>
      </c>
      <c r="E677">
        <v>24</v>
      </c>
      <c r="F677">
        <v>100</v>
      </c>
      <c r="G677">
        <v>22.492633662475502</v>
      </c>
      <c r="H677">
        <v>4.4000000000000004</v>
      </c>
      <c r="J677" s="358" t="str">
        <f t="shared" si="60"/>
        <v>2015MaleNon-Maori194</v>
      </c>
      <c r="K677" s="359">
        <v>2015</v>
      </c>
      <c r="L677" t="s">
        <v>20</v>
      </c>
      <c r="M677" t="s">
        <v>19</v>
      </c>
      <c r="N677">
        <v>19</v>
      </c>
      <c r="O677">
        <v>4</v>
      </c>
      <c r="P677">
        <v>70</v>
      </c>
      <c r="Q677">
        <v>17.341024683070199</v>
      </c>
      <c r="R677">
        <v>4.0999999999999996</v>
      </c>
      <c r="T677" s="358" t="str">
        <f t="shared" si="61"/>
        <v>1999AllSexAllEth25Sharp object</v>
      </c>
      <c r="U677" s="360">
        <v>1999</v>
      </c>
      <c r="V677" s="360" t="s">
        <v>17</v>
      </c>
      <c r="W677" s="360" t="s">
        <v>27</v>
      </c>
      <c r="X677" s="360">
        <v>25</v>
      </c>
      <c r="Y677" s="360" t="s">
        <v>48</v>
      </c>
      <c r="Z677" s="360">
        <v>1</v>
      </c>
      <c r="AA677" s="360">
        <v>52</v>
      </c>
      <c r="AB677" s="360">
        <v>1.9</v>
      </c>
    </row>
    <row r="678" spans="1:28" x14ac:dyDescent="0.2">
      <c r="A678" t="str">
        <f t="shared" si="59"/>
        <v>2006MaleNon-Maori25</v>
      </c>
      <c r="B678">
        <v>2006</v>
      </c>
      <c r="C678" t="s">
        <v>20</v>
      </c>
      <c r="D678" t="s">
        <v>19</v>
      </c>
      <c r="E678">
        <v>25</v>
      </c>
      <c r="F678">
        <v>33</v>
      </c>
      <c r="G678">
        <v>15.1933701657459</v>
      </c>
      <c r="H678">
        <v>5.2</v>
      </c>
      <c r="J678" s="358" t="str">
        <f t="shared" si="60"/>
        <v>2015MaleNon-Maori195</v>
      </c>
      <c r="K678" s="359">
        <v>2015</v>
      </c>
      <c r="L678" t="s">
        <v>20</v>
      </c>
      <c r="M678" t="s">
        <v>19</v>
      </c>
      <c r="N678">
        <v>19</v>
      </c>
      <c r="O678">
        <v>5</v>
      </c>
      <c r="P678">
        <v>62</v>
      </c>
      <c r="Q678">
        <v>19.236731270527901</v>
      </c>
      <c r="R678">
        <v>4.8</v>
      </c>
      <c r="T678" s="358" t="str">
        <f t="shared" si="61"/>
        <v>1999AllSexAllEth23Submersion (drowning)</v>
      </c>
      <c r="U678" s="360">
        <v>1999</v>
      </c>
      <c r="V678" s="360" t="s">
        <v>17</v>
      </c>
      <c r="W678" s="360" t="s">
        <v>27</v>
      </c>
      <c r="X678" s="360">
        <v>23</v>
      </c>
      <c r="Y678" s="360" t="s">
        <v>49</v>
      </c>
      <c r="Z678" s="360">
        <v>5</v>
      </c>
      <c r="AA678" s="360">
        <v>235</v>
      </c>
      <c r="AB678" s="360">
        <v>2.1</v>
      </c>
    </row>
    <row r="679" spans="1:28" x14ac:dyDescent="0.2">
      <c r="A679" t="str">
        <f t="shared" si="59"/>
        <v>2007AllSexAllEth21</v>
      </c>
      <c r="B679">
        <v>2007</v>
      </c>
      <c r="C679" t="s">
        <v>17</v>
      </c>
      <c r="D679" t="s">
        <v>27</v>
      </c>
      <c r="E679">
        <v>21</v>
      </c>
      <c r="F679">
        <v>2</v>
      </c>
      <c r="J679" s="358" t="str">
        <f t="shared" si="60"/>
        <v>2001AllSexAllEth211</v>
      </c>
      <c r="K679" s="359">
        <v>2001</v>
      </c>
      <c r="L679" t="s">
        <v>17</v>
      </c>
      <c r="M679" t="s">
        <v>27</v>
      </c>
      <c r="N679">
        <v>21</v>
      </c>
      <c r="O679">
        <v>1</v>
      </c>
      <c r="P679">
        <v>0</v>
      </c>
      <c r="T679" s="358" t="str">
        <f t="shared" si="61"/>
        <v>1999AllSexAllEth24Submersion (drowning)</v>
      </c>
      <c r="U679" s="360">
        <v>1999</v>
      </c>
      <c r="V679" s="360" t="s">
        <v>17</v>
      </c>
      <c r="W679" s="360" t="s">
        <v>27</v>
      </c>
      <c r="X679" s="360">
        <v>24</v>
      </c>
      <c r="Y679" s="360" t="s">
        <v>49</v>
      </c>
      <c r="Z679" s="360">
        <v>6</v>
      </c>
      <c r="AA679" s="360">
        <v>104</v>
      </c>
      <c r="AB679" s="360">
        <v>5.8</v>
      </c>
    </row>
    <row r="680" spans="1:28" x14ac:dyDescent="0.2">
      <c r="A680" t="str">
        <f t="shared" si="59"/>
        <v>2007AllSexAllEth22</v>
      </c>
      <c r="B680">
        <v>2007</v>
      </c>
      <c r="C680" t="s">
        <v>17</v>
      </c>
      <c r="D680" t="s">
        <v>27</v>
      </c>
      <c r="E680">
        <v>22</v>
      </c>
      <c r="F680">
        <v>94</v>
      </c>
      <c r="G680">
        <v>15.499274502044599</v>
      </c>
      <c r="H680">
        <v>3.1</v>
      </c>
      <c r="J680" s="358" t="str">
        <f t="shared" si="60"/>
        <v>2001AllSexAllEth212</v>
      </c>
      <c r="K680" s="359">
        <v>2001</v>
      </c>
      <c r="L680" t="s">
        <v>17</v>
      </c>
      <c r="M680" t="s">
        <v>27</v>
      </c>
      <c r="N680">
        <v>21</v>
      </c>
      <c r="O680">
        <v>2</v>
      </c>
      <c r="P680">
        <v>0</v>
      </c>
      <c r="T680" s="358" t="str">
        <f t="shared" si="61"/>
        <v>1999AllSexAllEth25Submersion (drowning)</v>
      </c>
      <c r="U680" s="360">
        <v>1999</v>
      </c>
      <c r="V680" s="360" t="s">
        <v>17</v>
      </c>
      <c r="W680" s="360" t="s">
        <v>27</v>
      </c>
      <c r="X680" s="360">
        <v>25</v>
      </c>
      <c r="Y680" s="360" t="s">
        <v>49</v>
      </c>
      <c r="Z680" s="360">
        <v>5</v>
      </c>
      <c r="AA680" s="360">
        <v>52</v>
      </c>
      <c r="AB680" s="360">
        <v>9.6</v>
      </c>
    </row>
    <row r="681" spans="1:28" x14ac:dyDescent="0.2">
      <c r="A681" t="str">
        <f t="shared" si="59"/>
        <v>2007AllSexAllEth23</v>
      </c>
      <c r="B681">
        <v>2007</v>
      </c>
      <c r="C681" t="s">
        <v>17</v>
      </c>
      <c r="D681" t="s">
        <v>27</v>
      </c>
      <c r="E681">
        <v>23</v>
      </c>
      <c r="F681">
        <v>213</v>
      </c>
      <c r="G681">
        <v>18.0761233928799</v>
      </c>
      <c r="H681">
        <v>2.4</v>
      </c>
      <c r="J681" s="358" t="str">
        <f t="shared" si="60"/>
        <v>2001AllSexAllEth213</v>
      </c>
      <c r="K681" s="359">
        <v>2001</v>
      </c>
      <c r="L681" t="s">
        <v>17</v>
      </c>
      <c r="M681" t="s">
        <v>27</v>
      </c>
      <c r="N681">
        <v>21</v>
      </c>
      <c r="O681">
        <v>3</v>
      </c>
      <c r="P681">
        <v>1</v>
      </c>
      <c r="T681" s="358" t="str">
        <f t="shared" si="61"/>
        <v>1999AllSexMaori23Firearms and explosives</v>
      </c>
      <c r="U681" s="360">
        <v>1999</v>
      </c>
      <c r="V681" s="360" t="s">
        <v>17</v>
      </c>
      <c r="W681" s="360" t="s">
        <v>18</v>
      </c>
      <c r="X681" s="360">
        <v>23</v>
      </c>
      <c r="Y681" s="360" t="s">
        <v>42</v>
      </c>
      <c r="Z681" s="360">
        <v>2</v>
      </c>
      <c r="AA681" s="360">
        <v>41</v>
      </c>
      <c r="AB681" s="360">
        <v>4.9000000000000004</v>
      </c>
    </row>
    <row r="682" spans="1:28" x14ac:dyDescent="0.2">
      <c r="A682" t="str">
        <f t="shared" si="59"/>
        <v>2007AllSexAllEth24</v>
      </c>
      <c r="B682">
        <v>2007</v>
      </c>
      <c r="C682" t="s">
        <v>17</v>
      </c>
      <c r="D682" t="s">
        <v>27</v>
      </c>
      <c r="E682">
        <v>24</v>
      </c>
      <c r="F682">
        <v>142</v>
      </c>
      <c r="G682">
        <v>13.8509559110417</v>
      </c>
      <c r="H682">
        <v>2.2999999999999998</v>
      </c>
      <c r="J682" s="358" t="str">
        <f t="shared" si="60"/>
        <v>2001AllSexAllEth214</v>
      </c>
      <c r="K682" s="359">
        <v>2001</v>
      </c>
      <c r="L682" t="s">
        <v>17</v>
      </c>
      <c r="M682" t="s">
        <v>27</v>
      </c>
      <c r="N682">
        <v>21</v>
      </c>
      <c r="O682">
        <v>4</v>
      </c>
      <c r="P682">
        <v>0</v>
      </c>
      <c r="T682" s="358" t="str">
        <f t="shared" si="61"/>
        <v>1999AllSexMaori21Hanging, strangulation and suffocation</v>
      </c>
      <c r="U682" s="360">
        <v>1999</v>
      </c>
      <c r="V682" s="360" t="s">
        <v>17</v>
      </c>
      <c r="W682" s="360" t="s">
        <v>18</v>
      </c>
      <c r="X682" s="360">
        <v>21</v>
      </c>
      <c r="Y682" s="360" t="s">
        <v>43</v>
      </c>
      <c r="Z682" s="360">
        <v>4</v>
      </c>
      <c r="AA682" s="360">
        <v>4</v>
      </c>
      <c r="AB682" s="360">
        <v>100</v>
      </c>
    </row>
    <row r="683" spans="1:28" x14ac:dyDescent="0.2">
      <c r="A683" t="str">
        <f t="shared" si="59"/>
        <v>2007AllSexAllEth25</v>
      </c>
      <c r="B683">
        <v>2007</v>
      </c>
      <c r="C683" t="s">
        <v>17</v>
      </c>
      <c r="D683" t="s">
        <v>27</v>
      </c>
      <c r="E683">
        <v>25</v>
      </c>
      <c r="F683">
        <v>50</v>
      </c>
      <c r="G683">
        <v>9.5254424568021197</v>
      </c>
      <c r="H683">
        <v>2.6</v>
      </c>
      <c r="J683" s="358" t="str">
        <f t="shared" si="60"/>
        <v>2001AllSexAllEth215</v>
      </c>
      <c r="K683" s="359">
        <v>2001</v>
      </c>
      <c r="L683" t="s">
        <v>17</v>
      </c>
      <c r="M683" t="s">
        <v>27</v>
      </c>
      <c r="N683">
        <v>21</v>
      </c>
      <c r="O683">
        <v>5</v>
      </c>
      <c r="P683">
        <v>2</v>
      </c>
      <c r="T683" s="358" t="str">
        <f t="shared" si="61"/>
        <v>1999AllSexMaori22Hanging, strangulation and suffocation</v>
      </c>
      <c r="U683" s="360">
        <v>1999</v>
      </c>
      <c r="V683" s="360" t="s">
        <v>17</v>
      </c>
      <c r="W683" s="360" t="s">
        <v>18</v>
      </c>
      <c r="X683" s="360">
        <v>22</v>
      </c>
      <c r="Y683" s="360" t="s">
        <v>43</v>
      </c>
      <c r="Z683" s="360">
        <v>27</v>
      </c>
      <c r="AA683" s="360">
        <v>33</v>
      </c>
      <c r="AB683" s="360">
        <v>81.8</v>
      </c>
    </row>
    <row r="684" spans="1:28" x14ac:dyDescent="0.2">
      <c r="A684" t="str">
        <f t="shared" si="59"/>
        <v>2007AllSexMaori21</v>
      </c>
      <c r="B684">
        <v>2007</v>
      </c>
      <c r="C684" t="s">
        <v>17</v>
      </c>
      <c r="D684" t="s">
        <v>18</v>
      </c>
      <c r="E684">
        <v>21</v>
      </c>
      <c r="F684">
        <v>1</v>
      </c>
      <c r="J684" s="358" t="str">
        <f t="shared" si="60"/>
        <v>2001AllSexAllEth221</v>
      </c>
      <c r="K684" s="359">
        <v>2001</v>
      </c>
      <c r="L684" t="s">
        <v>17</v>
      </c>
      <c r="M684" t="s">
        <v>27</v>
      </c>
      <c r="N684">
        <v>22</v>
      </c>
      <c r="O684">
        <v>1</v>
      </c>
      <c r="P684">
        <v>15</v>
      </c>
      <c r="Q684">
        <v>16.729610173626799</v>
      </c>
      <c r="R684">
        <v>8.5</v>
      </c>
      <c r="T684" s="358" t="str">
        <f t="shared" si="61"/>
        <v>1999AllSexMaori23Hanging, strangulation and suffocation</v>
      </c>
      <c r="U684" s="360">
        <v>1999</v>
      </c>
      <c r="V684" s="360" t="s">
        <v>17</v>
      </c>
      <c r="W684" s="360" t="s">
        <v>18</v>
      </c>
      <c r="X684" s="360">
        <v>23</v>
      </c>
      <c r="Y684" s="360" t="s">
        <v>43</v>
      </c>
      <c r="Z684" s="360">
        <v>28</v>
      </c>
      <c r="AA684" s="360">
        <v>41</v>
      </c>
      <c r="AB684" s="360">
        <v>68.3</v>
      </c>
    </row>
    <row r="685" spans="1:28" x14ac:dyDescent="0.2">
      <c r="A685" t="str">
        <f t="shared" si="59"/>
        <v>2007AllSexMaori22</v>
      </c>
      <c r="B685">
        <v>2007</v>
      </c>
      <c r="C685" t="s">
        <v>17</v>
      </c>
      <c r="D685" t="s">
        <v>18</v>
      </c>
      <c r="E685">
        <v>22</v>
      </c>
      <c r="F685">
        <v>33</v>
      </c>
      <c r="G685">
        <v>27.961362480935399</v>
      </c>
      <c r="H685">
        <v>9.5</v>
      </c>
      <c r="J685" s="358" t="str">
        <f t="shared" si="60"/>
        <v>2001AllSexAllEth222</v>
      </c>
      <c r="K685" s="359">
        <v>2001</v>
      </c>
      <c r="L685" t="s">
        <v>17</v>
      </c>
      <c r="M685" t="s">
        <v>27</v>
      </c>
      <c r="N685">
        <v>22</v>
      </c>
      <c r="O685">
        <v>2</v>
      </c>
      <c r="P685">
        <v>10</v>
      </c>
      <c r="Q685">
        <v>10.484575321201</v>
      </c>
      <c r="R685">
        <v>6.5</v>
      </c>
      <c r="T685" s="358" t="str">
        <f t="shared" si="61"/>
        <v>1999AllSexMaori22Jumping from a high place</v>
      </c>
      <c r="U685" s="360">
        <v>1999</v>
      </c>
      <c r="V685" s="360" t="s">
        <v>17</v>
      </c>
      <c r="W685" s="360" t="s">
        <v>18</v>
      </c>
      <c r="X685" s="360">
        <v>22</v>
      </c>
      <c r="Y685" s="360" t="s">
        <v>44</v>
      </c>
      <c r="Z685" s="360">
        <v>2</v>
      </c>
      <c r="AA685" s="360">
        <v>33</v>
      </c>
      <c r="AB685" s="360">
        <v>6.1</v>
      </c>
    </row>
    <row r="686" spans="1:28" x14ac:dyDescent="0.2">
      <c r="A686" t="str">
        <f t="shared" si="59"/>
        <v>2007AllSexMaori23</v>
      </c>
      <c r="B686">
        <v>2007</v>
      </c>
      <c r="C686" t="s">
        <v>17</v>
      </c>
      <c r="D686" t="s">
        <v>18</v>
      </c>
      <c r="E686">
        <v>23</v>
      </c>
      <c r="F686">
        <v>50</v>
      </c>
      <c r="G686">
        <v>29.570051451889501</v>
      </c>
      <c r="H686">
        <v>8.1999999999999993</v>
      </c>
      <c r="J686" s="358" t="str">
        <f t="shared" si="60"/>
        <v>2001AllSexAllEth223</v>
      </c>
      <c r="K686" s="359">
        <v>2001</v>
      </c>
      <c r="L686" t="s">
        <v>17</v>
      </c>
      <c r="M686" t="s">
        <v>27</v>
      </c>
      <c r="N686">
        <v>22</v>
      </c>
      <c r="O686">
        <v>3</v>
      </c>
      <c r="P686">
        <v>17</v>
      </c>
      <c r="Q686">
        <v>16.4865708832703</v>
      </c>
      <c r="R686">
        <v>7.8</v>
      </c>
      <c r="T686" s="358" t="str">
        <f t="shared" si="61"/>
        <v>1999AllSexMaori22Other</v>
      </c>
      <c r="U686" s="360">
        <v>1999</v>
      </c>
      <c r="V686" s="360" t="s">
        <v>17</v>
      </c>
      <c r="W686" s="360" t="s">
        <v>18</v>
      </c>
      <c r="X686" s="360">
        <v>22</v>
      </c>
      <c r="Y686" s="360" t="s">
        <v>45</v>
      </c>
      <c r="Z686" s="360">
        <v>1</v>
      </c>
      <c r="AA686" s="360">
        <v>33</v>
      </c>
      <c r="AB686" s="360">
        <v>3</v>
      </c>
    </row>
    <row r="687" spans="1:28" x14ac:dyDescent="0.2">
      <c r="A687" t="str">
        <f t="shared" si="59"/>
        <v>2007AllSexMaori24</v>
      </c>
      <c r="B687">
        <v>2007</v>
      </c>
      <c r="C687" t="s">
        <v>17</v>
      </c>
      <c r="D687" t="s">
        <v>18</v>
      </c>
      <c r="E687">
        <v>24</v>
      </c>
      <c r="F687">
        <v>12</v>
      </c>
      <c r="G687">
        <v>11.773940345368899</v>
      </c>
      <c r="H687">
        <v>6.7</v>
      </c>
      <c r="J687" s="358" t="str">
        <f t="shared" si="60"/>
        <v>2001AllSexAllEth224</v>
      </c>
      <c r="K687" s="359">
        <v>2001</v>
      </c>
      <c r="L687" t="s">
        <v>17</v>
      </c>
      <c r="M687" t="s">
        <v>27</v>
      </c>
      <c r="N687">
        <v>22</v>
      </c>
      <c r="O687">
        <v>4</v>
      </c>
      <c r="P687">
        <v>25</v>
      </c>
      <c r="Q687">
        <v>22.089857484240301</v>
      </c>
      <c r="R687">
        <v>8.6999999999999993</v>
      </c>
      <c r="T687" s="358" t="str">
        <f t="shared" si="61"/>
        <v>1999AllSexMaori23Other</v>
      </c>
      <c r="U687" s="360">
        <v>1999</v>
      </c>
      <c r="V687" s="360" t="s">
        <v>17</v>
      </c>
      <c r="W687" s="360" t="s">
        <v>18</v>
      </c>
      <c r="X687" s="360">
        <v>23</v>
      </c>
      <c r="Y687" s="360" t="s">
        <v>45</v>
      </c>
      <c r="Z687" s="360">
        <v>5</v>
      </c>
      <c r="AA687" s="360">
        <v>41</v>
      </c>
      <c r="AB687" s="360">
        <v>12.2</v>
      </c>
    </row>
    <row r="688" spans="1:28" x14ac:dyDescent="0.2">
      <c r="A688" t="str">
        <f t="shared" si="59"/>
        <v>2007AllSexMaori25</v>
      </c>
      <c r="B688">
        <v>2007</v>
      </c>
      <c r="C688" t="s">
        <v>17</v>
      </c>
      <c r="D688" t="s">
        <v>18</v>
      </c>
      <c r="E688">
        <v>25</v>
      </c>
      <c r="F688">
        <v>1</v>
      </c>
      <c r="G688">
        <v>3.7188545927854202</v>
      </c>
      <c r="H688">
        <v>7.3</v>
      </c>
      <c r="J688" s="358" t="str">
        <f t="shared" si="60"/>
        <v>2001AllSexAllEth225</v>
      </c>
      <c r="K688" s="359">
        <v>2001</v>
      </c>
      <c r="L688" t="s">
        <v>17</v>
      </c>
      <c r="M688" t="s">
        <v>27</v>
      </c>
      <c r="N688">
        <v>22</v>
      </c>
      <c r="O688">
        <v>5</v>
      </c>
      <c r="P688">
        <v>26</v>
      </c>
      <c r="Q688">
        <v>19.708605142052999</v>
      </c>
      <c r="R688">
        <v>7.6</v>
      </c>
      <c r="T688" s="358" t="str">
        <f t="shared" si="61"/>
        <v>1999AllSexMaori22Poisoning by gases and vapours</v>
      </c>
      <c r="U688" s="360">
        <v>1999</v>
      </c>
      <c r="V688" s="360" t="s">
        <v>17</v>
      </c>
      <c r="W688" s="360" t="s">
        <v>18</v>
      </c>
      <c r="X688" s="360">
        <v>22</v>
      </c>
      <c r="Y688" s="360" t="s">
        <v>46</v>
      </c>
      <c r="Z688" s="360">
        <v>2</v>
      </c>
      <c r="AA688" s="360">
        <v>33</v>
      </c>
      <c r="AB688" s="360">
        <v>6.1</v>
      </c>
    </row>
    <row r="689" spans="1:28" x14ac:dyDescent="0.2">
      <c r="A689" t="str">
        <f t="shared" si="59"/>
        <v>2007AllSexNon-Maori21</v>
      </c>
      <c r="B689">
        <v>2007</v>
      </c>
      <c r="C689" t="s">
        <v>17</v>
      </c>
      <c r="D689" t="s">
        <v>19</v>
      </c>
      <c r="E689">
        <v>21</v>
      </c>
      <c r="F689">
        <v>1</v>
      </c>
      <c r="J689" s="358" t="str">
        <f t="shared" si="60"/>
        <v>2001AllSexAllEth231</v>
      </c>
      <c r="K689" s="359">
        <v>2001</v>
      </c>
      <c r="L689" t="s">
        <v>17</v>
      </c>
      <c r="M689" t="s">
        <v>27</v>
      </c>
      <c r="N689">
        <v>23</v>
      </c>
      <c r="O689">
        <v>1</v>
      </c>
      <c r="P689">
        <v>28</v>
      </c>
      <c r="Q689">
        <v>12.461563544677301</v>
      </c>
      <c r="R689">
        <v>4.5999999999999996</v>
      </c>
      <c r="T689" s="358" t="str">
        <f t="shared" si="61"/>
        <v>1999AllSexMaori23Poisoning by gases and vapours</v>
      </c>
      <c r="U689" s="360">
        <v>1999</v>
      </c>
      <c r="V689" s="360" t="s">
        <v>17</v>
      </c>
      <c r="W689" s="360" t="s">
        <v>18</v>
      </c>
      <c r="X689" s="360">
        <v>23</v>
      </c>
      <c r="Y689" s="360" t="s">
        <v>46</v>
      </c>
      <c r="Z689" s="360">
        <v>3</v>
      </c>
      <c r="AA689" s="360">
        <v>41</v>
      </c>
      <c r="AB689" s="360">
        <v>7.3</v>
      </c>
    </row>
    <row r="690" spans="1:28" x14ac:dyDescent="0.2">
      <c r="A690" t="str">
        <f t="shared" si="59"/>
        <v>2007AllSexNon-Maori22</v>
      </c>
      <c r="B690">
        <v>2007</v>
      </c>
      <c r="C690" t="s">
        <v>17</v>
      </c>
      <c r="D690" t="s">
        <v>19</v>
      </c>
      <c r="E690">
        <v>22</v>
      </c>
      <c r="F690">
        <v>61</v>
      </c>
      <c r="G690">
        <v>12.488228309380499</v>
      </c>
      <c r="H690">
        <v>3.1</v>
      </c>
      <c r="J690" s="358" t="str">
        <f t="shared" si="60"/>
        <v>2001AllSexAllEth232</v>
      </c>
      <c r="K690" s="359">
        <v>2001</v>
      </c>
      <c r="L690" t="s">
        <v>17</v>
      </c>
      <c r="M690" t="s">
        <v>27</v>
      </c>
      <c r="N690">
        <v>23</v>
      </c>
      <c r="O690">
        <v>2</v>
      </c>
      <c r="P690">
        <v>41</v>
      </c>
      <c r="Q690">
        <v>17.290450854477498</v>
      </c>
      <c r="R690">
        <v>5.3</v>
      </c>
      <c r="T690" s="358" t="str">
        <f t="shared" si="61"/>
        <v>1999AllSexMaori22Poisoning by solids and liquids</v>
      </c>
      <c r="U690" s="360">
        <v>1999</v>
      </c>
      <c r="V690" s="360" t="s">
        <v>17</v>
      </c>
      <c r="W690" s="360" t="s">
        <v>18</v>
      </c>
      <c r="X690" s="360">
        <v>22</v>
      </c>
      <c r="Y690" s="360" t="s">
        <v>47</v>
      </c>
      <c r="Z690" s="360">
        <v>1</v>
      </c>
      <c r="AA690" s="360">
        <v>33</v>
      </c>
      <c r="AB690" s="360">
        <v>3</v>
      </c>
    </row>
    <row r="691" spans="1:28" x14ac:dyDescent="0.2">
      <c r="A691" t="str">
        <f t="shared" si="59"/>
        <v>2007AllSexNon-Maori23</v>
      </c>
      <c r="B691">
        <v>2007</v>
      </c>
      <c r="C691" t="s">
        <v>17</v>
      </c>
      <c r="D691" t="s">
        <v>19</v>
      </c>
      <c r="E691">
        <v>23</v>
      </c>
      <c r="F691">
        <v>163</v>
      </c>
      <c r="G691">
        <v>16.1504468620574</v>
      </c>
      <c r="H691">
        <v>2.5</v>
      </c>
      <c r="J691" s="358" t="str">
        <f t="shared" si="60"/>
        <v>2001AllSexAllEth233</v>
      </c>
      <c r="K691" s="359">
        <v>2001</v>
      </c>
      <c r="L691" t="s">
        <v>17</v>
      </c>
      <c r="M691" t="s">
        <v>27</v>
      </c>
      <c r="N691">
        <v>23</v>
      </c>
      <c r="O691">
        <v>3</v>
      </c>
      <c r="P691">
        <v>48</v>
      </c>
      <c r="Q691">
        <v>20.1994527077463</v>
      </c>
      <c r="R691">
        <v>5.7</v>
      </c>
      <c r="T691" s="358" t="str">
        <f t="shared" si="61"/>
        <v>1999AllSexMaori23Poisoning by solids and liquids</v>
      </c>
      <c r="U691" s="360">
        <v>1999</v>
      </c>
      <c r="V691" s="360" t="s">
        <v>17</v>
      </c>
      <c r="W691" s="360" t="s">
        <v>18</v>
      </c>
      <c r="X691" s="360">
        <v>23</v>
      </c>
      <c r="Y691" s="360" t="s">
        <v>47</v>
      </c>
      <c r="Z691" s="360">
        <v>3</v>
      </c>
      <c r="AA691" s="360">
        <v>41</v>
      </c>
      <c r="AB691" s="360">
        <v>7.3</v>
      </c>
    </row>
    <row r="692" spans="1:28" x14ac:dyDescent="0.2">
      <c r="A692" t="str">
        <f t="shared" si="59"/>
        <v>2007AllSexNon-Maori24</v>
      </c>
      <c r="B692">
        <v>2007</v>
      </c>
      <c r="C692" t="s">
        <v>17</v>
      </c>
      <c r="D692" t="s">
        <v>19</v>
      </c>
      <c r="E692">
        <v>24</v>
      </c>
      <c r="F692">
        <v>130</v>
      </c>
      <c r="G692">
        <v>14.0802356814834</v>
      </c>
      <c r="H692">
        <v>2.4</v>
      </c>
      <c r="J692" s="358" t="str">
        <f t="shared" si="60"/>
        <v>2001AllSexAllEth234</v>
      </c>
      <c r="K692" s="359">
        <v>2001</v>
      </c>
      <c r="L692" t="s">
        <v>17</v>
      </c>
      <c r="M692" t="s">
        <v>27</v>
      </c>
      <c r="N692">
        <v>23</v>
      </c>
      <c r="O692">
        <v>4</v>
      </c>
      <c r="P692">
        <v>55</v>
      </c>
      <c r="Q692">
        <v>23.549846084108399</v>
      </c>
      <c r="R692">
        <v>6.2</v>
      </c>
      <c r="T692" s="358" t="str">
        <f t="shared" si="61"/>
        <v>1999AllSexMaori24Poisoning by solids and liquids</v>
      </c>
      <c r="U692" s="360">
        <v>1999</v>
      </c>
      <c r="V692" s="360" t="s">
        <v>17</v>
      </c>
      <c r="W692" s="360" t="s">
        <v>18</v>
      </c>
      <c r="X692" s="360">
        <v>24</v>
      </c>
      <c r="Y692" s="360" t="s">
        <v>47</v>
      </c>
      <c r="Z692" s="360">
        <v>1</v>
      </c>
      <c r="AA692" s="360">
        <v>1</v>
      </c>
      <c r="AB692" s="360">
        <v>100</v>
      </c>
    </row>
    <row r="693" spans="1:28" x14ac:dyDescent="0.2">
      <c r="A693" t="str">
        <f t="shared" si="59"/>
        <v>2007AllSexNon-Maori25</v>
      </c>
      <c r="B693">
        <v>2007</v>
      </c>
      <c r="C693" t="s">
        <v>17</v>
      </c>
      <c r="D693" t="s">
        <v>19</v>
      </c>
      <c r="E693">
        <v>25</v>
      </c>
      <c r="F693">
        <v>49</v>
      </c>
      <c r="G693">
        <v>9.8389622906710592</v>
      </c>
      <c r="H693">
        <v>2.8</v>
      </c>
      <c r="J693" s="358" t="str">
        <f t="shared" si="60"/>
        <v>2001AllSexAllEth235</v>
      </c>
      <c r="K693" s="359">
        <v>2001</v>
      </c>
      <c r="L693" t="s">
        <v>17</v>
      </c>
      <c r="M693" t="s">
        <v>27</v>
      </c>
      <c r="N693">
        <v>23</v>
      </c>
      <c r="O693">
        <v>5</v>
      </c>
      <c r="P693">
        <v>50</v>
      </c>
      <c r="Q693">
        <v>22.784254278939699</v>
      </c>
      <c r="R693">
        <v>6.3</v>
      </c>
      <c r="T693" s="358" t="str">
        <f t="shared" si="61"/>
        <v>1999AllSexNon-Maori22Firearms and explosives</v>
      </c>
      <c r="U693" s="360">
        <v>1999</v>
      </c>
      <c r="V693" s="360" t="s">
        <v>17</v>
      </c>
      <c r="W693" s="360" t="s">
        <v>19</v>
      </c>
      <c r="X693" s="360">
        <v>22</v>
      </c>
      <c r="Y693" s="360" t="s">
        <v>42</v>
      </c>
      <c r="Z693" s="360">
        <v>4</v>
      </c>
      <c r="AA693" s="360">
        <v>87</v>
      </c>
      <c r="AB693" s="360">
        <v>4.5999999999999996</v>
      </c>
    </row>
    <row r="694" spans="1:28" x14ac:dyDescent="0.2">
      <c r="A694" t="str">
        <f t="shared" si="59"/>
        <v>2007FemaleAllEth21</v>
      </c>
      <c r="B694">
        <v>2007</v>
      </c>
      <c r="C694" t="s">
        <v>8</v>
      </c>
      <c r="D694" t="s">
        <v>27</v>
      </c>
      <c r="E694">
        <v>21</v>
      </c>
      <c r="F694">
        <v>1</v>
      </c>
      <c r="J694" s="358" t="str">
        <f t="shared" si="60"/>
        <v>2001AllSexAllEth241</v>
      </c>
      <c r="K694" s="359">
        <v>2001</v>
      </c>
      <c r="L694" t="s">
        <v>17</v>
      </c>
      <c r="M694" t="s">
        <v>27</v>
      </c>
      <c r="N694">
        <v>24</v>
      </c>
      <c r="O694">
        <v>1</v>
      </c>
      <c r="P694">
        <v>12</v>
      </c>
      <c r="Q694">
        <v>5.6756089527660203</v>
      </c>
      <c r="R694">
        <v>3.2</v>
      </c>
      <c r="T694" s="358" t="str">
        <f t="shared" si="61"/>
        <v>1999AllSexNon-Maori23Firearms and explosives</v>
      </c>
      <c r="U694" s="360">
        <v>1999</v>
      </c>
      <c r="V694" s="360" t="s">
        <v>17</v>
      </c>
      <c r="W694" s="360" t="s">
        <v>19</v>
      </c>
      <c r="X694" s="360">
        <v>23</v>
      </c>
      <c r="Y694" s="360" t="s">
        <v>42</v>
      </c>
      <c r="Z694" s="360">
        <v>20</v>
      </c>
      <c r="AA694" s="360">
        <v>194</v>
      </c>
      <c r="AB694" s="360">
        <v>10.3</v>
      </c>
    </row>
    <row r="695" spans="1:28" x14ac:dyDescent="0.2">
      <c r="A695" t="str">
        <f t="shared" si="59"/>
        <v>2007FemaleAllEth22</v>
      </c>
      <c r="B695">
        <v>2007</v>
      </c>
      <c r="C695" t="s">
        <v>8</v>
      </c>
      <c r="D695" t="s">
        <v>27</v>
      </c>
      <c r="E695">
        <v>22</v>
      </c>
      <c r="F695">
        <v>23</v>
      </c>
      <c r="G695">
        <v>7.64119601328904</v>
      </c>
      <c r="H695">
        <v>3.1</v>
      </c>
      <c r="J695" s="358" t="str">
        <f t="shared" si="60"/>
        <v>2001AllSexAllEth242</v>
      </c>
      <c r="K695" s="359">
        <v>2001</v>
      </c>
      <c r="L695" t="s">
        <v>17</v>
      </c>
      <c r="M695" t="s">
        <v>27</v>
      </c>
      <c r="N695">
        <v>24</v>
      </c>
      <c r="O695">
        <v>2</v>
      </c>
      <c r="P695">
        <v>13</v>
      </c>
      <c r="Q695">
        <v>6.9651917695211099</v>
      </c>
      <c r="R695">
        <v>3.8</v>
      </c>
      <c r="T695" s="358" t="str">
        <f t="shared" si="61"/>
        <v>1999AllSexNon-Maori24Firearms and explosives</v>
      </c>
      <c r="U695" s="360">
        <v>1999</v>
      </c>
      <c r="V695" s="360" t="s">
        <v>17</v>
      </c>
      <c r="W695" s="360" t="s">
        <v>19</v>
      </c>
      <c r="X695" s="360">
        <v>24</v>
      </c>
      <c r="Y695" s="360" t="s">
        <v>42</v>
      </c>
      <c r="Z695" s="360">
        <v>13</v>
      </c>
      <c r="AA695" s="360">
        <v>103</v>
      </c>
      <c r="AB695" s="360">
        <v>12.6</v>
      </c>
    </row>
    <row r="696" spans="1:28" x14ac:dyDescent="0.2">
      <c r="A696" t="str">
        <f t="shared" si="59"/>
        <v>2007FemaleAllEth23</v>
      </c>
      <c r="B696">
        <v>2007</v>
      </c>
      <c r="C696" t="s">
        <v>8</v>
      </c>
      <c r="D696" t="s">
        <v>27</v>
      </c>
      <c r="E696">
        <v>23</v>
      </c>
      <c r="F696">
        <v>48</v>
      </c>
      <c r="G696">
        <v>7.8448036347590202</v>
      </c>
      <c r="H696">
        <v>2.2000000000000002</v>
      </c>
      <c r="J696" s="358" t="str">
        <f t="shared" si="60"/>
        <v>2001AllSexAllEth243</v>
      </c>
      <c r="K696" s="359">
        <v>2001</v>
      </c>
      <c r="L696" t="s">
        <v>17</v>
      </c>
      <c r="M696" t="s">
        <v>27</v>
      </c>
      <c r="N696">
        <v>24</v>
      </c>
      <c r="O696">
        <v>3</v>
      </c>
      <c r="P696">
        <v>20</v>
      </c>
      <c r="Q696">
        <v>11.888486519605101</v>
      </c>
      <c r="R696">
        <v>5.2</v>
      </c>
      <c r="T696" s="358" t="str">
        <f t="shared" si="61"/>
        <v>1999AllSexNon-Maori25Firearms and explosives</v>
      </c>
      <c r="U696" s="360">
        <v>1999</v>
      </c>
      <c r="V696" s="360" t="s">
        <v>17</v>
      </c>
      <c r="W696" s="360" t="s">
        <v>19</v>
      </c>
      <c r="X696" s="360">
        <v>25</v>
      </c>
      <c r="Y696" s="360" t="s">
        <v>42</v>
      </c>
      <c r="Z696" s="360">
        <v>8</v>
      </c>
      <c r="AA696" s="360">
        <v>52</v>
      </c>
      <c r="AB696" s="360">
        <v>15.4</v>
      </c>
    </row>
    <row r="697" spans="1:28" x14ac:dyDescent="0.2">
      <c r="A697" t="str">
        <f t="shared" si="59"/>
        <v>2007FemaleAllEth24</v>
      </c>
      <c r="B697">
        <v>2007</v>
      </c>
      <c r="C697" t="s">
        <v>8</v>
      </c>
      <c r="D697" t="s">
        <v>27</v>
      </c>
      <c r="E697">
        <v>24</v>
      </c>
      <c r="F697">
        <v>40</v>
      </c>
      <c r="G697">
        <v>7.6637161359543198</v>
      </c>
      <c r="H697">
        <v>2.4</v>
      </c>
      <c r="J697" s="358" t="str">
        <f t="shared" si="60"/>
        <v>2001AllSexAllEth244</v>
      </c>
      <c r="K697" s="359">
        <v>2001</v>
      </c>
      <c r="L697" t="s">
        <v>17</v>
      </c>
      <c r="M697" t="s">
        <v>27</v>
      </c>
      <c r="N697">
        <v>24</v>
      </c>
      <c r="O697">
        <v>4</v>
      </c>
      <c r="P697">
        <v>15</v>
      </c>
      <c r="Q697">
        <v>9.7544107608367092</v>
      </c>
      <c r="R697">
        <v>4.9000000000000004</v>
      </c>
      <c r="T697" s="358" t="str">
        <f t="shared" si="61"/>
        <v>1999AllSexNon-Maori21Hanging, strangulation and suffocation</v>
      </c>
      <c r="U697" s="360">
        <v>1999</v>
      </c>
      <c r="V697" s="360" t="s">
        <v>17</v>
      </c>
      <c r="W697" s="360" t="s">
        <v>19</v>
      </c>
      <c r="X697" s="360">
        <v>21</v>
      </c>
      <c r="Y697" s="360" t="s">
        <v>43</v>
      </c>
      <c r="Z697" s="360">
        <v>2</v>
      </c>
      <c r="AA697" s="360">
        <v>2</v>
      </c>
      <c r="AB697" s="360">
        <v>100</v>
      </c>
    </row>
    <row r="698" spans="1:28" x14ac:dyDescent="0.2">
      <c r="A698" t="str">
        <f t="shared" si="59"/>
        <v>2007FemaleAllEth25</v>
      </c>
      <c r="B698">
        <v>2007</v>
      </c>
      <c r="C698" t="s">
        <v>8</v>
      </c>
      <c r="D698" t="s">
        <v>27</v>
      </c>
      <c r="E698">
        <v>25</v>
      </c>
      <c r="F698">
        <v>8</v>
      </c>
      <c r="G698">
        <v>2.7696036004846798</v>
      </c>
      <c r="H698">
        <v>1.9</v>
      </c>
      <c r="J698" s="358" t="str">
        <f t="shared" si="60"/>
        <v>2001AllSexAllEth245</v>
      </c>
      <c r="K698" s="359">
        <v>2001</v>
      </c>
      <c r="L698" t="s">
        <v>17</v>
      </c>
      <c r="M698" t="s">
        <v>27</v>
      </c>
      <c r="N698">
        <v>24</v>
      </c>
      <c r="O698">
        <v>5</v>
      </c>
      <c r="P698">
        <v>17</v>
      </c>
      <c r="Q698">
        <v>12.4142201006105</v>
      </c>
      <c r="R698">
        <v>5.9</v>
      </c>
      <c r="T698" s="358" t="str">
        <f t="shared" si="61"/>
        <v>1999AllSexNon-Maori22Hanging, strangulation and suffocation</v>
      </c>
      <c r="U698" s="360">
        <v>1999</v>
      </c>
      <c r="V698" s="360" t="s">
        <v>17</v>
      </c>
      <c r="W698" s="360" t="s">
        <v>19</v>
      </c>
      <c r="X698" s="360">
        <v>22</v>
      </c>
      <c r="Y698" s="360" t="s">
        <v>43</v>
      </c>
      <c r="Z698" s="360">
        <v>55</v>
      </c>
      <c r="AA698" s="360">
        <v>87</v>
      </c>
      <c r="AB698" s="360">
        <v>63.2</v>
      </c>
    </row>
    <row r="699" spans="1:28" x14ac:dyDescent="0.2">
      <c r="A699" t="str">
        <f t="shared" si="59"/>
        <v>2007FemaleMaori21</v>
      </c>
      <c r="B699">
        <v>2007</v>
      </c>
      <c r="C699" t="s">
        <v>8</v>
      </c>
      <c r="D699" t="s">
        <v>18</v>
      </c>
      <c r="E699">
        <v>21</v>
      </c>
      <c r="F699">
        <v>1</v>
      </c>
      <c r="J699" s="358" t="str">
        <f t="shared" si="60"/>
        <v>2001AllSexAllEth251</v>
      </c>
      <c r="K699" s="359">
        <v>2001</v>
      </c>
      <c r="L699" t="s">
        <v>17</v>
      </c>
      <c r="M699" t="s">
        <v>27</v>
      </c>
      <c r="N699">
        <v>25</v>
      </c>
      <c r="O699">
        <v>1</v>
      </c>
      <c r="P699">
        <v>8</v>
      </c>
      <c r="Q699">
        <v>9.0435300336080395</v>
      </c>
      <c r="R699">
        <v>6.3</v>
      </c>
      <c r="T699" s="358" t="str">
        <f t="shared" si="61"/>
        <v>1999AllSexNon-Maori23Hanging, strangulation and suffocation</v>
      </c>
      <c r="U699" s="360">
        <v>1999</v>
      </c>
      <c r="V699" s="360" t="s">
        <v>17</v>
      </c>
      <c r="W699" s="360" t="s">
        <v>19</v>
      </c>
      <c r="X699" s="360">
        <v>23</v>
      </c>
      <c r="Y699" s="360" t="s">
        <v>43</v>
      </c>
      <c r="Z699" s="360">
        <v>67</v>
      </c>
      <c r="AA699" s="360">
        <v>194</v>
      </c>
      <c r="AB699" s="360">
        <v>34.5</v>
      </c>
    </row>
    <row r="700" spans="1:28" x14ac:dyDescent="0.2">
      <c r="A700" t="str">
        <f t="shared" si="59"/>
        <v>2007FemaleMaori22</v>
      </c>
      <c r="B700">
        <v>2007</v>
      </c>
      <c r="C700" t="s">
        <v>8</v>
      </c>
      <c r="D700" t="s">
        <v>18</v>
      </c>
      <c r="E700">
        <v>22</v>
      </c>
      <c r="F700">
        <v>10</v>
      </c>
      <c r="G700">
        <v>16.686133822793298</v>
      </c>
      <c r="H700">
        <v>10.3</v>
      </c>
      <c r="J700" s="358" t="str">
        <f t="shared" si="60"/>
        <v>2001AllSexAllEth252</v>
      </c>
      <c r="K700" s="359">
        <v>2001</v>
      </c>
      <c r="L700" t="s">
        <v>17</v>
      </c>
      <c r="M700" t="s">
        <v>27</v>
      </c>
      <c r="N700">
        <v>25</v>
      </c>
      <c r="O700">
        <v>2</v>
      </c>
      <c r="P700">
        <v>10</v>
      </c>
      <c r="Q700">
        <v>10.5368578545774</v>
      </c>
      <c r="R700">
        <v>6.5</v>
      </c>
      <c r="T700" s="358" t="str">
        <f t="shared" si="61"/>
        <v>1999AllSexNon-Maori24Hanging, strangulation and suffocation</v>
      </c>
      <c r="U700" s="360">
        <v>1999</v>
      </c>
      <c r="V700" s="360" t="s">
        <v>17</v>
      </c>
      <c r="W700" s="360" t="s">
        <v>19</v>
      </c>
      <c r="X700" s="360">
        <v>24</v>
      </c>
      <c r="Y700" s="360" t="s">
        <v>43</v>
      </c>
      <c r="Z700" s="360">
        <v>40</v>
      </c>
      <c r="AA700" s="360">
        <v>103</v>
      </c>
      <c r="AB700" s="360">
        <v>38.799999999999997</v>
      </c>
    </row>
    <row r="701" spans="1:28" x14ac:dyDescent="0.2">
      <c r="A701" t="str">
        <f t="shared" si="59"/>
        <v>2007FemaleMaori23</v>
      </c>
      <c r="B701">
        <v>2007</v>
      </c>
      <c r="C701" t="s">
        <v>8</v>
      </c>
      <c r="D701" t="s">
        <v>18</v>
      </c>
      <c r="E701">
        <v>23</v>
      </c>
      <c r="F701">
        <v>11</v>
      </c>
      <c r="G701">
        <v>12.280897621971601</v>
      </c>
      <c r="H701">
        <v>7.3</v>
      </c>
      <c r="J701" s="358" t="str">
        <f t="shared" si="60"/>
        <v>2001AllSexAllEth253</v>
      </c>
      <c r="K701" s="359">
        <v>2001</v>
      </c>
      <c r="L701" t="s">
        <v>17</v>
      </c>
      <c r="M701" t="s">
        <v>27</v>
      </c>
      <c r="N701">
        <v>25</v>
      </c>
      <c r="O701">
        <v>3</v>
      </c>
      <c r="P701">
        <v>14</v>
      </c>
      <c r="Q701">
        <v>14.1197679868965</v>
      </c>
      <c r="R701">
        <v>7.4</v>
      </c>
      <c r="T701" s="358" t="str">
        <f t="shared" si="61"/>
        <v>1999AllSexNon-Maori25Hanging, strangulation and suffocation</v>
      </c>
      <c r="U701" s="360">
        <v>1999</v>
      </c>
      <c r="V701" s="360" t="s">
        <v>17</v>
      </c>
      <c r="W701" s="360" t="s">
        <v>19</v>
      </c>
      <c r="X701" s="360">
        <v>25</v>
      </c>
      <c r="Y701" s="360" t="s">
        <v>43</v>
      </c>
      <c r="Z701" s="360">
        <v>19</v>
      </c>
      <c r="AA701" s="360">
        <v>52</v>
      </c>
      <c r="AB701" s="360">
        <v>36.5</v>
      </c>
    </row>
    <row r="702" spans="1:28" x14ac:dyDescent="0.2">
      <c r="A702" t="str">
        <f t="shared" si="59"/>
        <v>2007FemaleMaori24</v>
      </c>
      <c r="B702">
        <v>2007</v>
      </c>
      <c r="C702" t="s">
        <v>8</v>
      </c>
      <c r="D702" t="s">
        <v>18</v>
      </c>
      <c r="E702">
        <v>24</v>
      </c>
      <c r="F702">
        <v>1</v>
      </c>
      <c r="G702">
        <v>1.87195806813927</v>
      </c>
      <c r="H702">
        <v>3.7</v>
      </c>
      <c r="J702" s="358" t="str">
        <f t="shared" si="60"/>
        <v>2001AllSexAllEth254</v>
      </c>
      <c r="K702" s="359">
        <v>2001</v>
      </c>
      <c r="L702" t="s">
        <v>17</v>
      </c>
      <c r="M702" t="s">
        <v>27</v>
      </c>
      <c r="N702">
        <v>25</v>
      </c>
      <c r="O702">
        <v>4</v>
      </c>
      <c r="P702">
        <v>16</v>
      </c>
      <c r="Q702">
        <v>16.002669503759499</v>
      </c>
      <c r="R702">
        <v>7.8</v>
      </c>
      <c r="T702" s="358" t="str">
        <f t="shared" si="61"/>
        <v>1999AllSexNon-Maori22Jumping from a high place</v>
      </c>
      <c r="U702" s="360">
        <v>1999</v>
      </c>
      <c r="V702" s="360" t="s">
        <v>17</v>
      </c>
      <c r="W702" s="360" t="s">
        <v>19</v>
      </c>
      <c r="X702" s="360">
        <v>22</v>
      </c>
      <c r="Y702" s="360" t="s">
        <v>44</v>
      </c>
      <c r="Z702" s="360">
        <v>7</v>
      </c>
      <c r="AA702" s="360">
        <v>87</v>
      </c>
      <c r="AB702" s="360">
        <v>8</v>
      </c>
    </row>
    <row r="703" spans="1:28" x14ac:dyDescent="0.2">
      <c r="A703" t="str">
        <f t="shared" si="59"/>
        <v>2007FemaleMaori25</v>
      </c>
      <c r="B703">
        <v>2007</v>
      </c>
      <c r="C703" t="s">
        <v>8</v>
      </c>
      <c r="D703" t="s">
        <v>18</v>
      </c>
      <c r="E703">
        <v>25</v>
      </c>
      <c r="F703">
        <v>0</v>
      </c>
      <c r="G703">
        <v>0</v>
      </c>
      <c r="J703" s="358" t="str">
        <f t="shared" si="60"/>
        <v>2001AllSexAllEth255</v>
      </c>
      <c r="K703" s="359">
        <v>2001</v>
      </c>
      <c r="L703" t="s">
        <v>17</v>
      </c>
      <c r="M703" t="s">
        <v>27</v>
      </c>
      <c r="N703">
        <v>25</v>
      </c>
      <c r="O703">
        <v>5</v>
      </c>
      <c r="P703">
        <v>13</v>
      </c>
      <c r="Q703">
        <v>16.6541636067195</v>
      </c>
      <c r="R703">
        <v>9.1</v>
      </c>
      <c r="T703" s="358" t="str">
        <f t="shared" si="61"/>
        <v>1999AllSexNon-Maori23Jumping from a high place</v>
      </c>
      <c r="U703" s="360">
        <v>1999</v>
      </c>
      <c r="V703" s="360" t="s">
        <v>17</v>
      </c>
      <c r="W703" s="360" t="s">
        <v>19</v>
      </c>
      <c r="X703" s="360">
        <v>23</v>
      </c>
      <c r="Y703" s="360" t="s">
        <v>44</v>
      </c>
      <c r="Z703" s="360">
        <v>4</v>
      </c>
      <c r="AA703" s="360">
        <v>194</v>
      </c>
      <c r="AB703" s="360">
        <v>2.1</v>
      </c>
    </row>
    <row r="704" spans="1:28" x14ac:dyDescent="0.2">
      <c r="A704" t="str">
        <f t="shared" si="59"/>
        <v>2007FemaleNon-Maori21</v>
      </c>
      <c r="B704">
        <v>2007</v>
      </c>
      <c r="C704" t="s">
        <v>8</v>
      </c>
      <c r="D704" t="s">
        <v>19</v>
      </c>
      <c r="E704">
        <v>21</v>
      </c>
      <c r="F704">
        <v>0</v>
      </c>
      <c r="J704" s="358" t="str">
        <f t="shared" si="60"/>
        <v>2001AllSexMaori211</v>
      </c>
      <c r="K704" s="359">
        <v>2001</v>
      </c>
      <c r="L704" t="s">
        <v>17</v>
      </c>
      <c r="M704" t="s">
        <v>18</v>
      </c>
      <c r="N704">
        <v>21</v>
      </c>
      <c r="O704">
        <v>1</v>
      </c>
      <c r="P704">
        <v>0</v>
      </c>
      <c r="T704" s="358" t="str">
        <f t="shared" si="61"/>
        <v>1999AllSexNon-Maori24Jumping from a high place</v>
      </c>
      <c r="U704" s="360">
        <v>1999</v>
      </c>
      <c r="V704" s="360" t="s">
        <v>17</v>
      </c>
      <c r="W704" s="360" t="s">
        <v>19</v>
      </c>
      <c r="X704" s="360">
        <v>24</v>
      </c>
      <c r="Y704" s="360" t="s">
        <v>44</v>
      </c>
      <c r="Z704" s="360">
        <v>2</v>
      </c>
      <c r="AA704" s="360">
        <v>103</v>
      </c>
      <c r="AB704" s="360">
        <v>1.9</v>
      </c>
    </row>
    <row r="705" spans="1:28" x14ac:dyDescent="0.2">
      <c r="A705" t="str">
        <f t="shared" si="59"/>
        <v>2007FemaleNon-Maori22</v>
      </c>
      <c r="B705">
        <v>2007</v>
      </c>
      <c r="C705" t="s">
        <v>8</v>
      </c>
      <c r="D705" t="s">
        <v>19</v>
      </c>
      <c r="E705">
        <v>22</v>
      </c>
      <c r="F705">
        <v>13</v>
      </c>
      <c r="G705">
        <v>5.3926245488862197</v>
      </c>
      <c r="H705">
        <v>2.9</v>
      </c>
      <c r="J705" s="358" t="str">
        <f t="shared" si="60"/>
        <v>2001AllSexMaori212</v>
      </c>
      <c r="K705" s="359">
        <v>2001</v>
      </c>
      <c r="L705" t="s">
        <v>17</v>
      </c>
      <c r="M705" t="s">
        <v>18</v>
      </c>
      <c r="N705">
        <v>21</v>
      </c>
      <c r="O705">
        <v>2</v>
      </c>
      <c r="P705">
        <v>0</v>
      </c>
      <c r="T705" s="358" t="str">
        <f t="shared" si="61"/>
        <v>1999AllSexNon-Maori25Jumping from a high place</v>
      </c>
      <c r="U705" s="360">
        <v>1999</v>
      </c>
      <c r="V705" s="360" t="s">
        <v>17</v>
      </c>
      <c r="W705" s="360" t="s">
        <v>19</v>
      </c>
      <c r="X705" s="360">
        <v>25</v>
      </c>
      <c r="Y705" s="360" t="s">
        <v>44</v>
      </c>
      <c r="Z705" s="360">
        <v>2</v>
      </c>
      <c r="AA705" s="360">
        <v>52</v>
      </c>
      <c r="AB705" s="360">
        <v>3.8</v>
      </c>
    </row>
    <row r="706" spans="1:28" x14ac:dyDescent="0.2">
      <c r="A706" t="str">
        <f t="shared" si="59"/>
        <v>2007FemaleNon-Maori23</v>
      </c>
      <c r="B706">
        <v>2007</v>
      </c>
      <c r="C706" t="s">
        <v>8</v>
      </c>
      <c r="D706" t="s">
        <v>19</v>
      </c>
      <c r="E706">
        <v>23</v>
      </c>
      <c r="F706">
        <v>37</v>
      </c>
      <c r="G706">
        <v>7.0840513115067996</v>
      </c>
      <c r="H706">
        <v>2.2999999999999998</v>
      </c>
      <c r="J706" s="358" t="str">
        <f t="shared" si="60"/>
        <v>2001AllSexMaori213</v>
      </c>
      <c r="K706" s="359">
        <v>2001</v>
      </c>
      <c r="L706" t="s">
        <v>17</v>
      </c>
      <c r="M706" t="s">
        <v>18</v>
      </c>
      <c r="N706">
        <v>21</v>
      </c>
      <c r="O706">
        <v>3</v>
      </c>
      <c r="P706">
        <v>0</v>
      </c>
      <c r="T706" s="358" t="str">
        <f t="shared" si="61"/>
        <v>1999AllSexNon-Maori22Other</v>
      </c>
      <c r="U706" s="360">
        <v>1999</v>
      </c>
      <c r="V706" s="360" t="s">
        <v>17</v>
      </c>
      <c r="W706" s="360" t="s">
        <v>19</v>
      </c>
      <c r="X706" s="360">
        <v>22</v>
      </c>
      <c r="Y706" s="360" t="s">
        <v>45</v>
      </c>
      <c r="Z706" s="360">
        <v>3</v>
      </c>
      <c r="AA706" s="360">
        <v>87</v>
      </c>
      <c r="AB706" s="360">
        <v>3.4</v>
      </c>
    </row>
    <row r="707" spans="1:28" x14ac:dyDescent="0.2">
      <c r="A707" t="str">
        <f t="shared" si="59"/>
        <v>2007FemaleNon-Maori24</v>
      </c>
      <c r="B707">
        <v>2007</v>
      </c>
      <c r="C707" t="s">
        <v>8</v>
      </c>
      <c r="D707" t="s">
        <v>19</v>
      </c>
      <c r="E707">
        <v>24</v>
      </c>
      <c r="F707">
        <v>39</v>
      </c>
      <c r="G707">
        <v>8.3240843507214208</v>
      </c>
      <c r="H707">
        <v>2.6</v>
      </c>
      <c r="J707" s="358" t="str">
        <f t="shared" si="60"/>
        <v>2001AllSexMaori214</v>
      </c>
      <c r="K707" s="359">
        <v>2001</v>
      </c>
      <c r="L707" t="s">
        <v>17</v>
      </c>
      <c r="M707" t="s">
        <v>18</v>
      </c>
      <c r="N707">
        <v>21</v>
      </c>
      <c r="O707">
        <v>4</v>
      </c>
      <c r="P707">
        <v>0</v>
      </c>
      <c r="T707" s="358" t="str">
        <f t="shared" si="61"/>
        <v>1999AllSexNon-Maori23Other</v>
      </c>
      <c r="U707" s="360">
        <v>1999</v>
      </c>
      <c r="V707" s="360" t="s">
        <v>17</v>
      </c>
      <c r="W707" s="360" t="s">
        <v>19</v>
      </c>
      <c r="X707" s="360">
        <v>23</v>
      </c>
      <c r="Y707" s="360" t="s">
        <v>45</v>
      </c>
      <c r="Z707" s="360">
        <v>4</v>
      </c>
      <c r="AA707" s="360">
        <v>194</v>
      </c>
      <c r="AB707" s="360">
        <v>2.1</v>
      </c>
    </row>
    <row r="708" spans="1:28" x14ac:dyDescent="0.2">
      <c r="A708" t="str">
        <f t="shared" ref="A708:A771" si="62">B708&amp;C708&amp;D708&amp;E708</f>
        <v>2007FemaleNon-Maori25</v>
      </c>
      <c r="B708">
        <v>2007</v>
      </c>
      <c r="C708" t="s">
        <v>8</v>
      </c>
      <c r="D708" t="s">
        <v>19</v>
      </c>
      <c r="E708">
        <v>25</v>
      </c>
      <c r="F708">
        <v>8</v>
      </c>
      <c r="G708">
        <v>2.91779123203735</v>
      </c>
      <c r="H708">
        <v>2</v>
      </c>
      <c r="J708" s="358" t="str">
        <f t="shared" ref="J708:J771" si="63">K708&amp;L708&amp;M708&amp;N708&amp;O708</f>
        <v>2001AllSexMaori215</v>
      </c>
      <c r="K708" s="359">
        <v>2001</v>
      </c>
      <c r="L708" t="s">
        <v>17</v>
      </c>
      <c r="M708" t="s">
        <v>18</v>
      </c>
      <c r="N708">
        <v>21</v>
      </c>
      <c r="O708">
        <v>5</v>
      </c>
      <c r="P708">
        <v>1</v>
      </c>
      <c r="T708" s="358" t="str">
        <f t="shared" si="61"/>
        <v>1999AllSexNon-Maori24Other</v>
      </c>
      <c r="U708" s="360">
        <v>1999</v>
      </c>
      <c r="V708" s="360" t="s">
        <v>17</v>
      </c>
      <c r="W708" s="360" t="s">
        <v>19</v>
      </c>
      <c r="X708" s="360">
        <v>24</v>
      </c>
      <c r="Y708" s="360" t="s">
        <v>45</v>
      </c>
      <c r="Z708" s="360">
        <v>4</v>
      </c>
      <c r="AA708" s="360">
        <v>103</v>
      </c>
      <c r="AB708" s="360">
        <v>3.9</v>
      </c>
    </row>
    <row r="709" spans="1:28" x14ac:dyDescent="0.2">
      <c r="A709" t="str">
        <f t="shared" si="62"/>
        <v>2007MaleAllEth21</v>
      </c>
      <c r="B709">
        <v>2007</v>
      </c>
      <c r="C709" t="s">
        <v>20</v>
      </c>
      <c r="D709" t="s">
        <v>27</v>
      </c>
      <c r="E709">
        <v>21</v>
      </c>
      <c r="F709">
        <v>1</v>
      </c>
      <c r="J709" s="358" t="str">
        <f t="shared" si="63"/>
        <v>2001AllSexMaori221</v>
      </c>
      <c r="K709" s="359">
        <v>2001</v>
      </c>
      <c r="L709" t="s">
        <v>17</v>
      </c>
      <c r="M709" t="s">
        <v>18</v>
      </c>
      <c r="N709">
        <v>22</v>
      </c>
      <c r="O709">
        <v>1</v>
      </c>
      <c r="P709">
        <v>0</v>
      </c>
      <c r="Q709">
        <v>0</v>
      </c>
      <c r="T709" s="358" t="str">
        <f t="shared" ref="T709:T772" si="64">U709&amp;V709&amp;W709&amp;X709&amp;Y709</f>
        <v>1999AllSexNon-Maori25Other</v>
      </c>
      <c r="U709" s="360">
        <v>1999</v>
      </c>
      <c r="V709" s="360" t="s">
        <v>17</v>
      </c>
      <c r="W709" s="360" t="s">
        <v>19</v>
      </c>
      <c r="X709" s="360">
        <v>25</v>
      </c>
      <c r="Y709" s="360" t="s">
        <v>45</v>
      </c>
      <c r="Z709" s="360">
        <v>1</v>
      </c>
      <c r="AA709" s="360">
        <v>52</v>
      </c>
      <c r="AB709" s="360">
        <v>1.9</v>
      </c>
    </row>
    <row r="710" spans="1:28" x14ac:dyDescent="0.2">
      <c r="A710" t="str">
        <f t="shared" si="62"/>
        <v>2007MaleAllEth22</v>
      </c>
      <c r="B710">
        <v>2007</v>
      </c>
      <c r="C710" t="s">
        <v>20</v>
      </c>
      <c r="D710" t="s">
        <v>27</v>
      </c>
      <c r="E710">
        <v>22</v>
      </c>
      <c r="F710">
        <v>71</v>
      </c>
      <c r="G710">
        <v>23.2421107764829</v>
      </c>
      <c r="H710">
        <v>5.4</v>
      </c>
      <c r="J710" s="358" t="str">
        <f t="shared" si="63"/>
        <v>2001AllSexMaori222</v>
      </c>
      <c r="K710" s="359">
        <v>2001</v>
      </c>
      <c r="L710" t="s">
        <v>17</v>
      </c>
      <c r="M710" t="s">
        <v>18</v>
      </c>
      <c r="N710">
        <v>22</v>
      </c>
      <c r="O710">
        <v>2</v>
      </c>
      <c r="P710">
        <v>3</v>
      </c>
      <c r="Q710">
        <v>27.2798649529946</v>
      </c>
      <c r="R710">
        <v>30.9</v>
      </c>
      <c r="T710" s="358" t="str">
        <f t="shared" si="64"/>
        <v>1999AllSexNon-Maori22Poisoning by gases and vapours</v>
      </c>
      <c r="U710" s="360">
        <v>1999</v>
      </c>
      <c r="V710" s="360" t="s">
        <v>17</v>
      </c>
      <c r="W710" s="360" t="s">
        <v>19</v>
      </c>
      <c r="X710" s="360">
        <v>22</v>
      </c>
      <c r="Y710" s="360" t="s">
        <v>46</v>
      </c>
      <c r="Z710" s="360">
        <v>13</v>
      </c>
      <c r="AA710" s="360">
        <v>87</v>
      </c>
      <c r="AB710" s="360">
        <v>14.9</v>
      </c>
    </row>
    <row r="711" spans="1:28" x14ac:dyDescent="0.2">
      <c r="A711" t="str">
        <f t="shared" si="62"/>
        <v>2007MaleAllEth23</v>
      </c>
      <c r="B711">
        <v>2007</v>
      </c>
      <c r="C711" t="s">
        <v>20</v>
      </c>
      <c r="D711" t="s">
        <v>27</v>
      </c>
      <c r="E711">
        <v>23</v>
      </c>
      <c r="F711">
        <v>165</v>
      </c>
      <c r="G711">
        <v>29.127756103588901</v>
      </c>
      <c r="H711">
        <v>4.4000000000000004</v>
      </c>
      <c r="J711" s="358" t="str">
        <f t="shared" si="63"/>
        <v>2001AllSexMaori223</v>
      </c>
      <c r="K711" s="359">
        <v>2001</v>
      </c>
      <c r="L711" t="s">
        <v>17</v>
      </c>
      <c r="M711" t="s">
        <v>18</v>
      </c>
      <c r="N711">
        <v>22</v>
      </c>
      <c r="O711">
        <v>3</v>
      </c>
      <c r="P711">
        <v>2</v>
      </c>
      <c r="Q711">
        <v>11.953346248708501</v>
      </c>
      <c r="R711">
        <v>16.600000000000001</v>
      </c>
      <c r="T711" s="358" t="str">
        <f t="shared" si="64"/>
        <v>1999AllSexNon-Maori23Poisoning by gases and vapours</v>
      </c>
      <c r="U711" s="360">
        <v>1999</v>
      </c>
      <c r="V711" s="360" t="s">
        <v>17</v>
      </c>
      <c r="W711" s="360" t="s">
        <v>19</v>
      </c>
      <c r="X711" s="360">
        <v>23</v>
      </c>
      <c r="Y711" s="360" t="s">
        <v>46</v>
      </c>
      <c r="Z711" s="360">
        <v>68</v>
      </c>
      <c r="AA711" s="360">
        <v>194</v>
      </c>
      <c r="AB711" s="360">
        <v>35.1</v>
      </c>
    </row>
    <row r="712" spans="1:28" x14ac:dyDescent="0.2">
      <c r="A712" t="str">
        <f t="shared" si="62"/>
        <v>2007MaleAllEth24</v>
      </c>
      <c r="B712">
        <v>2007</v>
      </c>
      <c r="C712" t="s">
        <v>20</v>
      </c>
      <c r="D712" t="s">
        <v>27</v>
      </c>
      <c r="E712">
        <v>24</v>
      </c>
      <c r="F712">
        <v>102</v>
      </c>
      <c r="G712">
        <v>20.267853594563402</v>
      </c>
      <c r="H712">
        <v>3.9</v>
      </c>
      <c r="J712" s="358" t="str">
        <f t="shared" si="63"/>
        <v>2001AllSexMaori224</v>
      </c>
      <c r="K712" s="359">
        <v>2001</v>
      </c>
      <c r="L712" t="s">
        <v>17</v>
      </c>
      <c r="M712" t="s">
        <v>18</v>
      </c>
      <c r="N712">
        <v>22</v>
      </c>
      <c r="O712">
        <v>4</v>
      </c>
      <c r="P712">
        <v>7</v>
      </c>
      <c r="Q712">
        <v>28.2132561090888</v>
      </c>
      <c r="R712">
        <v>20.9</v>
      </c>
      <c r="T712" s="358" t="str">
        <f t="shared" si="64"/>
        <v>1999AllSexNon-Maori24Poisoning by gases and vapours</v>
      </c>
      <c r="U712" s="360">
        <v>1999</v>
      </c>
      <c r="V712" s="360" t="s">
        <v>17</v>
      </c>
      <c r="W712" s="360" t="s">
        <v>19</v>
      </c>
      <c r="X712" s="360">
        <v>24</v>
      </c>
      <c r="Y712" s="360" t="s">
        <v>46</v>
      </c>
      <c r="Z712" s="360">
        <v>20</v>
      </c>
      <c r="AA712" s="360">
        <v>103</v>
      </c>
      <c r="AB712" s="360">
        <v>19.399999999999999</v>
      </c>
    </row>
    <row r="713" spans="1:28" x14ac:dyDescent="0.2">
      <c r="A713" t="str">
        <f t="shared" si="62"/>
        <v>2007MaleAllEth25</v>
      </c>
      <c r="B713">
        <v>2007</v>
      </c>
      <c r="C713" t="s">
        <v>20</v>
      </c>
      <c r="D713" t="s">
        <v>27</v>
      </c>
      <c r="E713">
        <v>25</v>
      </c>
      <c r="F713">
        <v>42</v>
      </c>
      <c r="G713">
        <v>17.793594306049801</v>
      </c>
      <c r="H713">
        <v>5.4</v>
      </c>
      <c r="J713" s="358" t="str">
        <f t="shared" si="63"/>
        <v>2001AllSexMaori225</v>
      </c>
      <c r="K713" s="359">
        <v>2001</v>
      </c>
      <c r="L713" t="s">
        <v>17</v>
      </c>
      <c r="M713" t="s">
        <v>18</v>
      </c>
      <c r="N713">
        <v>22</v>
      </c>
      <c r="O713">
        <v>5</v>
      </c>
      <c r="P713">
        <v>14</v>
      </c>
      <c r="Q713">
        <v>32.111853424652203</v>
      </c>
      <c r="R713">
        <v>16.8</v>
      </c>
      <c r="T713" s="358" t="str">
        <f t="shared" si="64"/>
        <v>1999AllSexNon-Maori25Poisoning by gases and vapours</v>
      </c>
      <c r="U713" s="360">
        <v>1999</v>
      </c>
      <c r="V713" s="360" t="s">
        <v>17</v>
      </c>
      <c r="W713" s="360" t="s">
        <v>19</v>
      </c>
      <c r="X713" s="360">
        <v>25</v>
      </c>
      <c r="Y713" s="360" t="s">
        <v>46</v>
      </c>
      <c r="Z713" s="360">
        <v>11</v>
      </c>
      <c r="AA713" s="360">
        <v>52</v>
      </c>
      <c r="AB713" s="360">
        <v>21.2</v>
      </c>
    </row>
    <row r="714" spans="1:28" x14ac:dyDescent="0.2">
      <c r="A714" t="str">
        <f t="shared" si="62"/>
        <v>2007MaleMaori21</v>
      </c>
      <c r="B714">
        <v>2007</v>
      </c>
      <c r="C714" t="s">
        <v>20</v>
      </c>
      <c r="D714" t="s">
        <v>18</v>
      </c>
      <c r="E714">
        <v>21</v>
      </c>
      <c r="F714">
        <v>0</v>
      </c>
      <c r="J714" s="358" t="str">
        <f t="shared" si="63"/>
        <v>2001AllSexMaori231</v>
      </c>
      <c r="K714" s="359">
        <v>2001</v>
      </c>
      <c r="L714" t="s">
        <v>17</v>
      </c>
      <c r="M714" t="s">
        <v>18</v>
      </c>
      <c r="N714">
        <v>23</v>
      </c>
      <c r="O714">
        <v>1</v>
      </c>
      <c r="P714">
        <v>2</v>
      </c>
      <c r="Q714">
        <v>14.5033766950013</v>
      </c>
      <c r="R714">
        <v>20.100000000000001</v>
      </c>
      <c r="T714" s="358" t="str">
        <f t="shared" si="64"/>
        <v>1999AllSexNon-Maori22Poisoning by solids and liquids</v>
      </c>
      <c r="U714" s="360">
        <v>1999</v>
      </c>
      <c r="V714" s="360" t="s">
        <v>17</v>
      </c>
      <c r="W714" s="360" t="s">
        <v>19</v>
      </c>
      <c r="X714" s="360">
        <v>22</v>
      </c>
      <c r="Y714" s="360" t="s">
        <v>47</v>
      </c>
      <c r="Z714" s="360">
        <v>5</v>
      </c>
      <c r="AA714" s="360">
        <v>87</v>
      </c>
      <c r="AB714" s="360">
        <v>5.7</v>
      </c>
    </row>
    <row r="715" spans="1:28" x14ac:dyDescent="0.2">
      <c r="A715" t="str">
        <f t="shared" si="62"/>
        <v>2007MaleMaori22</v>
      </c>
      <c r="B715">
        <v>2007</v>
      </c>
      <c r="C715" t="s">
        <v>20</v>
      </c>
      <c r="D715" t="s">
        <v>18</v>
      </c>
      <c r="E715">
        <v>22</v>
      </c>
      <c r="F715">
        <v>23</v>
      </c>
      <c r="G715">
        <v>39.593733861249802</v>
      </c>
      <c r="H715">
        <v>16.2</v>
      </c>
      <c r="J715" s="358" t="str">
        <f t="shared" si="63"/>
        <v>2001AllSexMaori232</v>
      </c>
      <c r="K715" s="359">
        <v>2001</v>
      </c>
      <c r="L715" t="s">
        <v>17</v>
      </c>
      <c r="M715" t="s">
        <v>18</v>
      </c>
      <c r="N715">
        <v>23</v>
      </c>
      <c r="O715">
        <v>2</v>
      </c>
      <c r="P715">
        <v>3</v>
      </c>
      <c r="Q715">
        <v>14.9154885275704</v>
      </c>
      <c r="R715">
        <v>16.899999999999999</v>
      </c>
      <c r="T715" s="358" t="str">
        <f t="shared" si="64"/>
        <v>1999AllSexNon-Maori23Poisoning by solids and liquids</v>
      </c>
      <c r="U715" s="360">
        <v>1999</v>
      </c>
      <c r="V715" s="360" t="s">
        <v>17</v>
      </c>
      <c r="W715" s="360" t="s">
        <v>19</v>
      </c>
      <c r="X715" s="360">
        <v>23</v>
      </c>
      <c r="Y715" s="360" t="s">
        <v>47</v>
      </c>
      <c r="Z715" s="360">
        <v>20</v>
      </c>
      <c r="AA715" s="360">
        <v>194</v>
      </c>
      <c r="AB715" s="360">
        <v>10.3</v>
      </c>
    </row>
    <row r="716" spans="1:28" x14ac:dyDescent="0.2">
      <c r="A716" t="str">
        <f t="shared" si="62"/>
        <v>2007MaleMaori23</v>
      </c>
      <c r="B716">
        <v>2007</v>
      </c>
      <c r="C716" t="s">
        <v>20</v>
      </c>
      <c r="D716" t="s">
        <v>18</v>
      </c>
      <c r="E716">
        <v>23</v>
      </c>
      <c r="F716">
        <v>39</v>
      </c>
      <c r="G716">
        <v>49.044265593561398</v>
      </c>
      <c r="H716">
        <v>15.4</v>
      </c>
      <c r="J716" s="358" t="str">
        <f t="shared" si="63"/>
        <v>2001AllSexMaori233</v>
      </c>
      <c r="K716" s="359">
        <v>2001</v>
      </c>
      <c r="L716" t="s">
        <v>17</v>
      </c>
      <c r="M716" t="s">
        <v>18</v>
      </c>
      <c r="N716">
        <v>23</v>
      </c>
      <c r="O716">
        <v>3</v>
      </c>
      <c r="P716">
        <v>10</v>
      </c>
      <c r="Q716">
        <v>35.507778351896803</v>
      </c>
      <c r="R716">
        <v>22</v>
      </c>
      <c r="T716" s="358" t="str">
        <f t="shared" si="64"/>
        <v>1999AllSexNon-Maori24Poisoning by solids and liquids</v>
      </c>
      <c r="U716" s="360">
        <v>1999</v>
      </c>
      <c r="V716" s="360" t="s">
        <v>17</v>
      </c>
      <c r="W716" s="360" t="s">
        <v>19</v>
      </c>
      <c r="X716" s="360">
        <v>24</v>
      </c>
      <c r="Y716" s="360" t="s">
        <v>47</v>
      </c>
      <c r="Z716" s="360">
        <v>17</v>
      </c>
      <c r="AA716" s="360">
        <v>103</v>
      </c>
      <c r="AB716" s="360">
        <v>16.5</v>
      </c>
    </row>
    <row r="717" spans="1:28" x14ac:dyDescent="0.2">
      <c r="A717" t="str">
        <f t="shared" si="62"/>
        <v>2007MaleMaori24</v>
      </c>
      <c r="B717">
        <v>2007</v>
      </c>
      <c r="C717" t="s">
        <v>20</v>
      </c>
      <c r="D717" t="s">
        <v>18</v>
      </c>
      <c r="E717">
        <v>24</v>
      </c>
      <c r="F717">
        <v>11</v>
      </c>
      <c r="G717">
        <v>22.680412371134</v>
      </c>
      <c r="H717">
        <v>13.4</v>
      </c>
      <c r="J717" s="358" t="str">
        <f t="shared" si="63"/>
        <v>2001AllSexMaori234</v>
      </c>
      <c r="K717" s="359">
        <v>2001</v>
      </c>
      <c r="L717" t="s">
        <v>17</v>
      </c>
      <c r="M717" t="s">
        <v>18</v>
      </c>
      <c r="N717">
        <v>23</v>
      </c>
      <c r="O717">
        <v>4</v>
      </c>
      <c r="P717">
        <v>8</v>
      </c>
      <c r="Q717">
        <v>19.8632650691256</v>
      </c>
      <c r="R717">
        <v>13.8</v>
      </c>
      <c r="T717" s="358" t="str">
        <f t="shared" si="64"/>
        <v>1999AllSexNon-Maori25Poisoning by solids and liquids</v>
      </c>
      <c r="U717" s="360">
        <v>1999</v>
      </c>
      <c r="V717" s="360" t="s">
        <v>17</v>
      </c>
      <c r="W717" s="360" t="s">
        <v>19</v>
      </c>
      <c r="X717" s="360">
        <v>25</v>
      </c>
      <c r="Y717" s="360" t="s">
        <v>47</v>
      </c>
      <c r="Z717" s="360">
        <v>5</v>
      </c>
      <c r="AA717" s="360">
        <v>52</v>
      </c>
      <c r="AB717" s="360">
        <v>9.6</v>
      </c>
    </row>
    <row r="718" spans="1:28" x14ac:dyDescent="0.2">
      <c r="A718" t="str">
        <f t="shared" si="62"/>
        <v>2007MaleMaori25</v>
      </c>
      <c r="B718">
        <v>2007</v>
      </c>
      <c r="C718" t="s">
        <v>20</v>
      </c>
      <c r="D718" t="s">
        <v>18</v>
      </c>
      <c r="E718">
        <v>25</v>
      </c>
      <c r="F718">
        <v>1</v>
      </c>
      <c r="G718">
        <v>8.1967213114754092</v>
      </c>
      <c r="H718">
        <v>16.100000000000001</v>
      </c>
      <c r="J718" s="358" t="str">
        <f t="shared" si="63"/>
        <v>2001AllSexMaori235</v>
      </c>
      <c r="K718" s="359">
        <v>2001</v>
      </c>
      <c r="L718" t="s">
        <v>17</v>
      </c>
      <c r="M718" t="s">
        <v>18</v>
      </c>
      <c r="N718">
        <v>23</v>
      </c>
      <c r="O718">
        <v>5</v>
      </c>
      <c r="P718">
        <v>15</v>
      </c>
      <c r="Q718">
        <v>22.645408984947299</v>
      </c>
      <c r="R718">
        <v>11.5</v>
      </c>
      <c r="T718" s="358" t="str">
        <f t="shared" si="64"/>
        <v>1999AllSexNon-Maori23Sharp object</v>
      </c>
      <c r="U718" s="360">
        <v>1999</v>
      </c>
      <c r="V718" s="360" t="s">
        <v>17</v>
      </c>
      <c r="W718" s="360" t="s">
        <v>19</v>
      </c>
      <c r="X718" s="360">
        <v>23</v>
      </c>
      <c r="Y718" s="360" t="s">
        <v>48</v>
      </c>
      <c r="Z718" s="360">
        <v>6</v>
      </c>
      <c r="AA718" s="360">
        <v>194</v>
      </c>
      <c r="AB718" s="360">
        <v>3.1</v>
      </c>
    </row>
    <row r="719" spans="1:28" x14ac:dyDescent="0.2">
      <c r="A719" t="str">
        <f t="shared" si="62"/>
        <v>2007MaleNon-Maori21</v>
      </c>
      <c r="B719">
        <v>2007</v>
      </c>
      <c r="C719" t="s">
        <v>20</v>
      </c>
      <c r="D719" t="s">
        <v>19</v>
      </c>
      <c r="E719">
        <v>21</v>
      </c>
      <c r="F719">
        <v>1</v>
      </c>
      <c r="J719" s="358" t="str">
        <f t="shared" si="63"/>
        <v>2001AllSexMaori241</v>
      </c>
      <c r="K719" s="359">
        <v>2001</v>
      </c>
      <c r="L719" t="s">
        <v>17</v>
      </c>
      <c r="M719" t="s">
        <v>18</v>
      </c>
      <c r="N719">
        <v>24</v>
      </c>
      <c r="O719">
        <v>1</v>
      </c>
      <c r="P719">
        <v>0</v>
      </c>
      <c r="Q719">
        <v>0</v>
      </c>
      <c r="T719" s="358" t="str">
        <f t="shared" si="64"/>
        <v>1999AllSexNon-Maori24Sharp object</v>
      </c>
      <c r="U719" s="360">
        <v>1999</v>
      </c>
      <c r="V719" s="360" t="s">
        <v>17</v>
      </c>
      <c r="W719" s="360" t="s">
        <v>19</v>
      </c>
      <c r="X719" s="360">
        <v>24</v>
      </c>
      <c r="Y719" s="360" t="s">
        <v>48</v>
      </c>
      <c r="Z719" s="360">
        <v>1</v>
      </c>
      <c r="AA719" s="360">
        <v>103</v>
      </c>
      <c r="AB719" s="360">
        <v>1</v>
      </c>
    </row>
    <row r="720" spans="1:28" x14ac:dyDescent="0.2">
      <c r="A720" t="str">
        <f t="shared" si="62"/>
        <v>2007MaleNon-Maori22</v>
      </c>
      <c r="B720">
        <v>2007</v>
      </c>
      <c r="C720" t="s">
        <v>20</v>
      </c>
      <c r="D720" t="s">
        <v>19</v>
      </c>
      <c r="E720">
        <v>22</v>
      </c>
      <c r="F720">
        <v>48</v>
      </c>
      <c r="G720">
        <v>19.402562755163899</v>
      </c>
      <c r="H720">
        <v>5.5</v>
      </c>
      <c r="J720" s="358" t="str">
        <f t="shared" si="63"/>
        <v>2001AllSexMaori242</v>
      </c>
      <c r="K720" s="359">
        <v>2001</v>
      </c>
      <c r="L720" t="s">
        <v>17</v>
      </c>
      <c r="M720" t="s">
        <v>18</v>
      </c>
      <c r="N720">
        <v>24</v>
      </c>
      <c r="O720">
        <v>2</v>
      </c>
      <c r="P720">
        <v>1</v>
      </c>
      <c r="Q720">
        <v>11.2241084584163</v>
      </c>
      <c r="R720">
        <v>22</v>
      </c>
      <c r="T720" s="358" t="str">
        <f t="shared" si="64"/>
        <v>1999AllSexNon-Maori25Sharp object</v>
      </c>
      <c r="U720" s="360">
        <v>1999</v>
      </c>
      <c r="V720" s="360" t="s">
        <v>17</v>
      </c>
      <c r="W720" s="360" t="s">
        <v>19</v>
      </c>
      <c r="X720" s="360">
        <v>25</v>
      </c>
      <c r="Y720" s="360" t="s">
        <v>48</v>
      </c>
      <c r="Z720" s="360">
        <v>1</v>
      </c>
      <c r="AA720" s="360">
        <v>52</v>
      </c>
      <c r="AB720" s="360">
        <v>1.9</v>
      </c>
    </row>
    <row r="721" spans="1:28" x14ac:dyDescent="0.2">
      <c r="A721" t="str">
        <f t="shared" si="62"/>
        <v>2007MaleNon-Maori23</v>
      </c>
      <c r="B721">
        <v>2007</v>
      </c>
      <c r="C721" t="s">
        <v>20</v>
      </c>
      <c r="D721" t="s">
        <v>19</v>
      </c>
      <c r="E721">
        <v>23</v>
      </c>
      <c r="F721">
        <v>126</v>
      </c>
      <c r="G721">
        <v>25.875346544819799</v>
      </c>
      <c r="H721">
        <v>4.5</v>
      </c>
      <c r="J721" s="358" t="str">
        <f t="shared" si="63"/>
        <v>2001AllSexMaori243</v>
      </c>
      <c r="K721" s="359">
        <v>2001</v>
      </c>
      <c r="L721" t="s">
        <v>17</v>
      </c>
      <c r="M721" t="s">
        <v>18</v>
      </c>
      <c r="N721">
        <v>24</v>
      </c>
      <c r="O721">
        <v>3</v>
      </c>
      <c r="P721">
        <v>0</v>
      </c>
      <c r="Q721">
        <v>0</v>
      </c>
      <c r="T721" s="358" t="str">
        <f t="shared" si="64"/>
        <v>1999AllSexNon-Maori23Submersion (drowning)</v>
      </c>
      <c r="U721" s="360">
        <v>1999</v>
      </c>
      <c r="V721" s="360" t="s">
        <v>17</v>
      </c>
      <c r="W721" s="360" t="s">
        <v>19</v>
      </c>
      <c r="X721" s="360">
        <v>23</v>
      </c>
      <c r="Y721" s="360" t="s">
        <v>49</v>
      </c>
      <c r="Z721" s="360">
        <v>5</v>
      </c>
      <c r="AA721" s="360">
        <v>194</v>
      </c>
      <c r="AB721" s="360">
        <v>2.6</v>
      </c>
    </row>
    <row r="722" spans="1:28" x14ac:dyDescent="0.2">
      <c r="A722" t="str">
        <f t="shared" si="62"/>
        <v>2007MaleNon-Maori24</v>
      </c>
      <c r="B722">
        <v>2007</v>
      </c>
      <c r="C722" t="s">
        <v>20</v>
      </c>
      <c r="D722" t="s">
        <v>19</v>
      </c>
      <c r="E722">
        <v>24</v>
      </c>
      <c r="F722">
        <v>91</v>
      </c>
      <c r="G722">
        <v>20.0105550180315</v>
      </c>
      <c r="H722">
        <v>4.0999999999999996</v>
      </c>
      <c r="J722" s="358" t="str">
        <f t="shared" si="63"/>
        <v>2001AllSexMaori244</v>
      </c>
      <c r="K722" s="359">
        <v>2001</v>
      </c>
      <c r="L722" t="s">
        <v>17</v>
      </c>
      <c r="M722" t="s">
        <v>18</v>
      </c>
      <c r="N722">
        <v>24</v>
      </c>
      <c r="O722">
        <v>4</v>
      </c>
      <c r="P722">
        <v>0</v>
      </c>
      <c r="Q722">
        <v>0</v>
      </c>
      <c r="T722" s="358" t="str">
        <f t="shared" si="64"/>
        <v>1999AllSexNon-Maori24Submersion (drowning)</v>
      </c>
      <c r="U722" s="360">
        <v>1999</v>
      </c>
      <c r="V722" s="360" t="s">
        <v>17</v>
      </c>
      <c r="W722" s="360" t="s">
        <v>19</v>
      </c>
      <c r="X722" s="360">
        <v>24</v>
      </c>
      <c r="Y722" s="360" t="s">
        <v>49</v>
      </c>
      <c r="Z722" s="360">
        <v>6</v>
      </c>
      <c r="AA722" s="360">
        <v>103</v>
      </c>
      <c r="AB722" s="360">
        <v>5.8</v>
      </c>
    </row>
    <row r="723" spans="1:28" x14ac:dyDescent="0.2">
      <c r="A723" t="str">
        <f t="shared" si="62"/>
        <v>2007MaleNon-Maori25</v>
      </c>
      <c r="B723">
        <v>2007</v>
      </c>
      <c r="C723" t="s">
        <v>20</v>
      </c>
      <c r="D723" t="s">
        <v>19</v>
      </c>
      <c r="E723">
        <v>25</v>
      </c>
      <c r="F723">
        <v>41</v>
      </c>
      <c r="G723">
        <v>18.316654753395301</v>
      </c>
      <c r="H723">
        <v>5.6</v>
      </c>
      <c r="J723" s="358" t="str">
        <f t="shared" si="63"/>
        <v>2001AllSexMaori245</v>
      </c>
      <c r="K723" s="359">
        <v>2001</v>
      </c>
      <c r="L723" t="s">
        <v>17</v>
      </c>
      <c r="M723" t="s">
        <v>18</v>
      </c>
      <c r="N723">
        <v>24</v>
      </c>
      <c r="O723">
        <v>5</v>
      </c>
      <c r="P723">
        <v>4</v>
      </c>
      <c r="Q723">
        <v>12.5038348827603</v>
      </c>
      <c r="R723">
        <v>12.3</v>
      </c>
      <c r="T723" s="358" t="str">
        <f t="shared" si="64"/>
        <v>1999AllSexNon-Maori25Submersion (drowning)</v>
      </c>
      <c r="U723" s="360">
        <v>1999</v>
      </c>
      <c r="V723" s="360" t="s">
        <v>17</v>
      </c>
      <c r="W723" s="360" t="s">
        <v>19</v>
      </c>
      <c r="X723" s="360">
        <v>25</v>
      </c>
      <c r="Y723" s="360" t="s">
        <v>49</v>
      </c>
      <c r="Z723" s="360">
        <v>5</v>
      </c>
      <c r="AA723" s="360">
        <v>52</v>
      </c>
      <c r="AB723" s="360">
        <v>9.6</v>
      </c>
    </row>
    <row r="724" spans="1:28" x14ac:dyDescent="0.2">
      <c r="A724" t="str">
        <f t="shared" si="62"/>
        <v>2008AllSexAllEth21</v>
      </c>
      <c r="B724">
        <v>2008</v>
      </c>
      <c r="C724" t="s">
        <v>17</v>
      </c>
      <c r="D724" t="s">
        <v>27</v>
      </c>
      <c r="E724">
        <v>21</v>
      </c>
      <c r="F724">
        <v>5</v>
      </c>
      <c r="J724" s="358" t="str">
        <f t="shared" si="63"/>
        <v>2001AllSexMaori251</v>
      </c>
      <c r="K724" s="359">
        <v>2001</v>
      </c>
      <c r="L724" t="s">
        <v>17</v>
      </c>
      <c r="M724" t="s">
        <v>18</v>
      </c>
      <c r="N724">
        <v>25</v>
      </c>
      <c r="O724">
        <v>1</v>
      </c>
      <c r="P724">
        <v>0</v>
      </c>
      <c r="Q724">
        <v>0</v>
      </c>
      <c r="T724" s="358" t="str">
        <f t="shared" si="64"/>
        <v>1999FemaleAllEth22Firearms and explosives</v>
      </c>
      <c r="U724" s="360">
        <v>1999</v>
      </c>
      <c r="V724" s="360" t="s">
        <v>8</v>
      </c>
      <c r="W724" s="360" t="s">
        <v>27</v>
      </c>
      <c r="X724" s="360">
        <v>22</v>
      </c>
      <c r="Y724" s="360" t="s">
        <v>42</v>
      </c>
      <c r="Z724" s="360">
        <v>1</v>
      </c>
      <c r="AA724" s="360">
        <v>37</v>
      </c>
      <c r="AB724" s="360">
        <v>2.7</v>
      </c>
    </row>
    <row r="725" spans="1:28" x14ac:dyDescent="0.2">
      <c r="A725" t="str">
        <f t="shared" si="62"/>
        <v>2008AllSexAllEth22</v>
      </c>
      <c r="B725">
        <v>2008</v>
      </c>
      <c r="C725" t="s">
        <v>17</v>
      </c>
      <c r="D725" t="s">
        <v>27</v>
      </c>
      <c r="E725">
        <v>22</v>
      </c>
      <c r="F725">
        <v>121</v>
      </c>
      <c r="G725">
        <v>19.949549074242</v>
      </c>
      <c r="H725">
        <v>3.6</v>
      </c>
      <c r="J725" s="358" t="str">
        <f t="shared" si="63"/>
        <v>2001AllSexMaori252</v>
      </c>
      <c r="K725" s="359">
        <v>2001</v>
      </c>
      <c r="L725" t="s">
        <v>17</v>
      </c>
      <c r="M725" t="s">
        <v>18</v>
      </c>
      <c r="N725">
        <v>25</v>
      </c>
      <c r="O725">
        <v>2</v>
      </c>
      <c r="P725">
        <v>0</v>
      </c>
      <c r="Q725">
        <v>0</v>
      </c>
      <c r="T725" s="358" t="str">
        <f t="shared" si="64"/>
        <v>1999FemaleAllEth23Firearms and explosives</v>
      </c>
      <c r="U725" s="360">
        <v>1999</v>
      </c>
      <c r="V725" s="360" t="s">
        <v>8</v>
      </c>
      <c r="W725" s="360" t="s">
        <v>27</v>
      </c>
      <c r="X725" s="360">
        <v>23</v>
      </c>
      <c r="Y725" s="360" t="s">
        <v>42</v>
      </c>
      <c r="Z725" s="360">
        <v>2</v>
      </c>
      <c r="AA725" s="360">
        <v>55</v>
      </c>
      <c r="AB725" s="360">
        <v>3.6</v>
      </c>
    </row>
    <row r="726" spans="1:28" x14ac:dyDescent="0.2">
      <c r="A726" t="str">
        <f t="shared" si="62"/>
        <v>2008AllSexAllEth23</v>
      </c>
      <c r="B726">
        <v>2008</v>
      </c>
      <c r="C726" t="s">
        <v>17</v>
      </c>
      <c r="D726" t="s">
        <v>27</v>
      </c>
      <c r="E726">
        <v>23</v>
      </c>
      <c r="F726">
        <v>182</v>
      </c>
      <c r="G726">
        <v>15.5447937752496</v>
      </c>
      <c r="H726">
        <v>2.2999999999999998</v>
      </c>
      <c r="J726" s="358" t="str">
        <f t="shared" si="63"/>
        <v>2001AllSexMaori253</v>
      </c>
      <c r="K726" s="359">
        <v>2001</v>
      </c>
      <c r="L726" t="s">
        <v>17</v>
      </c>
      <c r="M726" t="s">
        <v>18</v>
      </c>
      <c r="N726">
        <v>25</v>
      </c>
      <c r="O726">
        <v>3</v>
      </c>
      <c r="P726">
        <v>0</v>
      </c>
      <c r="Q726">
        <v>0</v>
      </c>
      <c r="T726" s="358" t="str">
        <f t="shared" si="64"/>
        <v>1999FemaleAllEth25Firearms and explosives</v>
      </c>
      <c r="U726" s="360">
        <v>1999</v>
      </c>
      <c r="V726" s="360" t="s">
        <v>8</v>
      </c>
      <c r="W726" s="360" t="s">
        <v>27</v>
      </c>
      <c r="X726" s="360">
        <v>25</v>
      </c>
      <c r="Y726" s="360" t="s">
        <v>42</v>
      </c>
      <c r="Z726" s="360">
        <v>1</v>
      </c>
      <c r="AA726" s="360">
        <v>16</v>
      </c>
      <c r="AB726" s="360">
        <v>6.2</v>
      </c>
    </row>
    <row r="727" spans="1:28" x14ac:dyDescent="0.2">
      <c r="A727" t="str">
        <f t="shared" si="62"/>
        <v>2008AllSexAllEth24</v>
      </c>
      <c r="B727">
        <v>2008</v>
      </c>
      <c r="C727" t="s">
        <v>17</v>
      </c>
      <c r="D727" t="s">
        <v>27</v>
      </c>
      <c r="E727">
        <v>24</v>
      </c>
      <c r="F727">
        <v>159</v>
      </c>
      <c r="G727">
        <v>15.090829710901501</v>
      </c>
      <c r="H727">
        <v>2.2999999999999998</v>
      </c>
      <c r="J727" s="358" t="str">
        <f t="shared" si="63"/>
        <v>2001AllSexMaori254</v>
      </c>
      <c r="K727" s="359">
        <v>2001</v>
      </c>
      <c r="L727" t="s">
        <v>17</v>
      </c>
      <c r="M727" t="s">
        <v>18</v>
      </c>
      <c r="N727">
        <v>25</v>
      </c>
      <c r="O727">
        <v>4</v>
      </c>
      <c r="P727">
        <v>0</v>
      </c>
      <c r="Q727">
        <v>0</v>
      </c>
      <c r="T727" s="358" t="str">
        <f t="shared" si="64"/>
        <v>1999FemaleAllEth21Hanging, strangulation and suffocation</v>
      </c>
      <c r="U727" s="360">
        <v>1999</v>
      </c>
      <c r="V727" s="360" t="s">
        <v>8</v>
      </c>
      <c r="W727" s="360" t="s">
        <v>27</v>
      </c>
      <c r="X727" s="360">
        <v>21</v>
      </c>
      <c r="Y727" s="360" t="s">
        <v>43</v>
      </c>
      <c r="Z727" s="360">
        <v>3</v>
      </c>
      <c r="AA727" s="360">
        <v>3</v>
      </c>
      <c r="AB727" s="360">
        <v>100</v>
      </c>
    </row>
    <row r="728" spans="1:28" x14ac:dyDescent="0.2">
      <c r="A728" t="str">
        <f t="shared" si="62"/>
        <v>2008AllSexAllEth25</v>
      </c>
      <c r="B728">
        <v>2008</v>
      </c>
      <c r="C728" t="s">
        <v>17</v>
      </c>
      <c r="D728" t="s">
        <v>27</v>
      </c>
      <c r="E728">
        <v>25</v>
      </c>
      <c r="F728">
        <v>51</v>
      </c>
      <c r="G728">
        <v>9.5243431004538106</v>
      </c>
      <c r="H728">
        <v>2.6</v>
      </c>
      <c r="J728" s="358" t="str">
        <f t="shared" si="63"/>
        <v>2001AllSexMaori255</v>
      </c>
      <c r="K728" s="359">
        <v>2001</v>
      </c>
      <c r="L728" t="s">
        <v>17</v>
      </c>
      <c r="M728" t="s">
        <v>18</v>
      </c>
      <c r="N728">
        <v>25</v>
      </c>
      <c r="O728">
        <v>5</v>
      </c>
      <c r="P728">
        <v>2</v>
      </c>
      <c r="Q728">
        <v>22.8727276723891</v>
      </c>
      <c r="R728">
        <v>31.7</v>
      </c>
      <c r="T728" s="358" t="str">
        <f t="shared" si="64"/>
        <v>1999FemaleAllEth22Hanging, strangulation and suffocation</v>
      </c>
      <c r="U728" s="360">
        <v>1999</v>
      </c>
      <c r="V728" s="360" t="s">
        <v>8</v>
      </c>
      <c r="W728" s="360" t="s">
        <v>27</v>
      </c>
      <c r="X728" s="360">
        <v>22</v>
      </c>
      <c r="Y728" s="360" t="s">
        <v>43</v>
      </c>
      <c r="Z728" s="360">
        <v>28</v>
      </c>
      <c r="AA728" s="360">
        <v>37</v>
      </c>
      <c r="AB728" s="360">
        <v>75.7</v>
      </c>
    </row>
    <row r="729" spans="1:28" x14ac:dyDescent="0.2">
      <c r="A729" t="str">
        <f t="shared" si="62"/>
        <v>2008AllSexMaori21</v>
      </c>
      <c r="B729">
        <v>2008</v>
      </c>
      <c r="C729" t="s">
        <v>17</v>
      </c>
      <c r="D729" t="s">
        <v>18</v>
      </c>
      <c r="E729">
        <v>21</v>
      </c>
      <c r="F729">
        <v>4</v>
      </c>
      <c r="J729" s="358" t="str">
        <f t="shared" si="63"/>
        <v>2001AllSexNon-Maori211</v>
      </c>
      <c r="K729" s="359">
        <v>2001</v>
      </c>
      <c r="L729" t="s">
        <v>17</v>
      </c>
      <c r="M729" t="s">
        <v>19</v>
      </c>
      <c r="N729">
        <v>21</v>
      </c>
      <c r="O729">
        <v>1</v>
      </c>
      <c r="P729">
        <v>0</v>
      </c>
      <c r="T729" s="358" t="str">
        <f t="shared" si="64"/>
        <v>1999FemaleAllEth23Hanging, strangulation and suffocation</v>
      </c>
      <c r="U729" s="360">
        <v>1999</v>
      </c>
      <c r="V729" s="360" t="s">
        <v>8</v>
      </c>
      <c r="W729" s="360" t="s">
        <v>27</v>
      </c>
      <c r="X729" s="360">
        <v>23</v>
      </c>
      <c r="Y729" s="360" t="s">
        <v>43</v>
      </c>
      <c r="Z729" s="360">
        <v>18</v>
      </c>
      <c r="AA729" s="360">
        <v>55</v>
      </c>
      <c r="AB729" s="360">
        <v>32.700000000000003</v>
      </c>
    </row>
    <row r="730" spans="1:28" x14ac:dyDescent="0.2">
      <c r="A730" t="str">
        <f t="shared" si="62"/>
        <v>2008AllSexMaori22</v>
      </c>
      <c r="B730">
        <v>2008</v>
      </c>
      <c r="C730" t="s">
        <v>17</v>
      </c>
      <c r="D730" t="s">
        <v>18</v>
      </c>
      <c r="E730">
        <v>22</v>
      </c>
      <c r="F730">
        <v>35</v>
      </c>
      <c r="G730">
        <v>29.247096181164899</v>
      </c>
      <c r="H730">
        <v>9.6999999999999993</v>
      </c>
      <c r="J730" s="358" t="str">
        <f t="shared" si="63"/>
        <v>2001AllSexNon-Maori212</v>
      </c>
      <c r="K730" s="359">
        <v>2001</v>
      </c>
      <c r="L730" t="s">
        <v>17</v>
      </c>
      <c r="M730" t="s">
        <v>19</v>
      </c>
      <c r="N730">
        <v>21</v>
      </c>
      <c r="O730">
        <v>2</v>
      </c>
      <c r="P730">
        <v>0</v>
      </c>
      <c r="T730" s="358" t="str">
        <f t="shared" si="64"/>
        <v>1999FemaleAllEth24Hanging, strangulation and suffocation</v>
      </c>
      <c r="U730" s="360">
        <v>1999</v>
      </c>
      <c r="V730" s="360" t="s">
        <v>8</v>
      </c>
      <c r="W730" s="360" t="s">
        <v>27</v>
      </c>
      <c r="X730" s="360">
        <v>24</v>
      </c>
      <c r="Y730" s="360" t="s">
        <v>43</v>
      </c>
      <c r="Z730" s="360">
        <v>6</v>
      </c>
      <c r="AA730" s="360">
        <v>21</v>
      </c>
      <c r="AB730" s="360">
        <v>28.6</v>
      </c>
    </row>
    <row r="731" spans="1:28" x14ac:dyDescent="0.2">
      <c r="A731" t="str">
        <f t="shared" si="62"/>
        <v>2008AllSexMaori23</v>
      </c>
      <c r="B731">
        <v>2008</v>
      </c>
      <c r="C731" t="s">
        <v>17</v>
      </c>
      <c r="D731" t="s">
        <v>18</v>
      </c>
      <c r="E731">
        <v>23</v>
      </c>
      <c r="F731">
        <v>37</v>
      </c>
      <c r="G731">
        <v>22.0277430493541</v>
      </c>
      <c r="H731">
        <v>7.1</v>
      </c>
      <c r="J731" s="358" t="str">
        <f t="shared" si="63"/>
        <v>2001AllSexNon-Maori213</v>
      </c>
      <c r="K731" s="359">
        <v>2001</v>
      </c>
      <c r="L731" t="s">
        <v>17</v>
      </c>
      <c r="M731" t="s">
        <v>19</v>
      </c>
      <c r="N731">
        <v>21</v>
      </c>
      <c r="O731">
        <v>3</v>
      </c>
      <c r="P731">
        <v>1</v>
      </c>
      <c r="T731" s="358" t="str">
        <f t="shared" si="64"/>
        <v>1999FemaleAllEth25Hanging, strangulation and suffocation</v>
      </c>
      <c r="U731" s="360">
        <v>1999</v>
      </c>
      <c r="V731" s="360" t="s">
        <v>8</v>
      </c>
      <c r="W731" s="360" t="s">
        <v>27</v>
      </c>
      <c r="X731" s="360">
        <v>25</v>
      </c>
      <c r="Y731" s="360" t="s">
        <v>43</v>
      </c>
      <c r="Z731" s="360">
        <v>6</v>
      </c>
      <c r="AA731" s="360">
        <v>16</v>
      </c>
      <c r="AB731" s="360">
        <v>37.5</v>
      </c>
    </row>
    <row r="732" spans="1:28" x14ac:dyDescent="0.2">
      <c r="A732" t="str">
        <f t="shared" si="62"/>
        <v>2008AllSexMaori24</v>
      </c>
      <c r="B732">
        <v>2008</v>
      </c>
      <c r="C732" t="s">
        <v>17</v>
      </c>
      <c r="D732" t="s">
        <v>18</v>
      </c>
      <c r="E732">
        <v>24</v>
      </c>
      <c r="F732">
        <v>10</v>
      </c>
      <c r="G732">
        <v>9.3624192491339802</v>
      </c>
      <c r="H732">
        <v>5.8</v>
      </c>
      <c r="J732" s="358" t="str">
        <f t="shared" si="63"/>
        <v>2001AllSexNon-Maori214</v>
      </c>
      <c r="K732" s="359">
        <v>2001</v>
      </c>
      <c r="L732" t="s">
        <v>17</v>
      </c>
      <c r="M732" t="s">
        <v>19</v>
      </c>
      <c r="N732">
        <v>21</v>
      </c>
      <c r="O732">
        <v>4</v>
      </c>
      <c r="P732">
        <v>0</v>
      </c>
      <c r="T732" s="358" t="str">
        <f t="shared" si="64"/>
        <v>1999FemaleAllEth22Jumping from a high place</v>
      </c>
      <c r="U732" s="360">
        <v>1999</v>
      </c>
      <c r="V732" s="360" t="s">
        <v>8</v>
      </c>
      <c r="W732" s="360" t="s">
        <v>27</v>
      </c>
      <c r="X732" s="360">
        <v>22</v>
      </c>
      <c r="Y732" s="360" t="s">
        <v>44</v>
      </c>
      <c r="Z732" s="360">
        <v>1</v>
      </c>
      <c r="AA732" s="360">
        <v>37</v>
      </c>
      <c r="AB732" s="360">
        <v>2.7</v>
      </c>
    </row>
    <row r="733" spans="1:28" x14ac:dyDescent="0.2">
      <c r="A733" t="str">
        <f t="shared" si="62"/>
        <v>2008AllSexMaori25</v>
      </c>
      <c r="B733">
        <v>2008</v>
      </c>
      <c r="C733" t="s">
        <v>17</v>
      </c>
      <c r="D733" t="s">
        <v>18</v>
      </c>
      <c r="E733">
        <v>25</v>
      </c>
      <c r="F733">
        <v>1</v>
      </c>
      <c r="G733">
        <v>3.5599857600569602</v>
      </c>
      <c r="H733">
        <v>7</v>
      </c>
      <c r="J733" s="358" t="str">
        <f t="shared" si="63"/>
        <v>2001AllSexNon-Maori215</v>
      </c>
      <c r="K733" s="359">
        <v>2001</v>
      </c>
      <c r="L733" t="s">
        <v>17</v>
      </c>
      <c r="M733" t="s">
        <v>19</v>
      </c>
      <c r="N733">
        <v>21</v>
      </c>
      <c r="O733">
        <v>5</v>
      </c>
      <c r="P733">
        <v>1</v>
      </c>
      <c r="T733" s="358" t="str">
        <f t="shared" si="64"/>
        <v>1999FemaleAllEth23Jumping from a high place</v>
      </c>
      <c r="U733" s="360">
        <v>1999</v>
      </c>
      <c r="V733" s="360" t="s">
        <v>8</v>
      </c>
      <c r="W733" s="360" t="s">
        <v>27</v>
      </c>
      <c r="X733" s="360">
        <v>23</v>
      </c>
      <c r="Y733" s="360" t="s">
        <v>44</v>
      </c>
      <c r="Z733" s="360">
        <v>1</v>
      </c>
      <c r="AA733" s="360">
        <v>55</v>
      </c>
      <c r="AB733" s="360">
        <v>1.8</v>
      </c>
    </row>
    <row r="734" spans="1:28" x14ac:dyDescent="0.2">
      <c r="A734" t="str">
        <f t="shared" si="62"/>
        <v>2008AllSexNon-Maori21</v>
      </c>
      <c r="B734">
        <v>2008</v>
      </c>
      <c r="C734" t="s">
        <v>17</v>
      </c>
      <c r="D734" t="s">
        <v>19</v>
      </c>
      <c r="E734">
        <v>21</v>
      </c>
      <c r="F734">
        <v>1</v>
      </c>
      <c r="J734" s="358" t="str">
        <f t="shared" si="63"/>
        <v>2001AllSexNon-Maori221</v>
      </c>
      <c r="K734" s="359">
        <v>2001</v>
      </c>
      <c r="L734" t="s">
        <v>17</v>
      </c>
      <c r="M734" t="s">
        <v>19</v>
      </c>
      <c r="N734">
        <v>22</v>
      </c>
      <c r="O734">
        <v>1</v>
      </c>
      <c r="P734">
        <v>15</v>
      </c>
      <c r="Q734">
        <v>17.6905848755721</v>
      </c>
      <c r="R734">
        <v>9</v>
      </c>
      <c r="T734" s="358" t="str">
        <f t="shared" si="64"/>
        <v>1999FemaleAllEth25Jumping from a high place</v>
      </c>
      <c r="U734" s="360">
        <v>1999</v>
      </c>
      <c r="V734" s="360" t="s">
        <v>8</v>
      </c>
      <c r="W734" s="360" t="s">
        <v>27</v>
      </c>
      <c r="X734" s="360">
        <v>25</v>
      </c>
      <c r="Y734" s="360" t="s">
        <v>44</v>
      </c>
      <c r="Z734" s="360">
        <v>2</v>
      </c>
      <c r="AA734" s="360">
        <v>16</v>
      </c>
      <c r="AB734" s="360">
        <v>12.5</v>
      </c>
    </row>
    <row r="735" spans="1:28" x14ac:dyDescent="0.2">
      <c r="A735" t="str">
        <f t="shared" si="62"/>
        <v>2008AllSexNon-Maori22</v>
      </c>
      <c r="B735">
        <v>2008</v>
      </c>
      <c r="C735" t="s">
        <v>17</v>
      </c>
      <c r="D735" t="s">
        <v>19</v>
      </c>
      <c r="E735">
        <v>22</v>
      </c>
      <c r="F735">
        <v>86</v>
      </c>
      <c r="G735">
        <v>17.6642155855893</v>
      </c>
      <c r="H735">
        <v>3.7</v>
      </c>
      <c r="J735" s="358" t="str">
        <f t="shared" si="63"/>
        <v>2001AllSexNon-Maori222</v>
      </c>
      <c r="K735" s="359">
        <v>2001</v>
      </c>
      <c r="L735" t="s">
        <v>17</v>
      </c>
      <c r="M735" t="s">
        <v>19</v>
      </c>
      <c r="N735">
        <v>22</v>
      </c>
      <c r="O735">
        <v>2</v>
      </c>
      <c r="P735">
        <v>7</v>
      </c>
      <c r="Q735">
        <v>8.1447498572912203</v>
      </c>
      <c r="R735">
        <v>6</v>
      </c>
      <c r="T735" s="358" t="str">
        <f t="shared" si="64"/>
        <v>1999FemaleAllEth23Other</v>
      </c>
      <c r="U735" s="360">
        <v>1999</v>
      </c>
      <c r="V735" s="360" t="s">
        <v>8</v>
      </c>
      <c r="W735" s="360" t="s">
        <v>27</v>
      </c>
      <c r="X735" s="360">
        <v>23</v>
      </c>
      <c r="Y735" s="360" t="s">
        <v>45</v>
      </c>
      <c r="Z735" s="360">
        <v>3</v>
      </c>
      <c r="AA735" s="360">
        <v>55</v>
      </c>
      <c r="AB735" s="360">
        <v>5.5</v>
      </c>
    </row>
    <row r="736" spans="1:28" x14ac:dyDescent="0.2">
      <c r="A736" t="str">
        <f t="shared" si="62"/>
        <v>2008AllSexNon-Maori23</v>
      </c>
      <c r="B736">
        <v>2008</v>
      </c>
      <c r="C736" t="s">
        <v>17</v>
      </c>
      <c r="D736" t="s">
        <v>19</v>
      </c>
      <c r="E736">
        <v>23</v>
      </c>
      <c r="F736">
        <v>145</v>
      </c>
      <c r="G736">
        <v>14.4589366199992</v>
      </c>
      <c r="H736">
        <v>2.4</v>
      </c>
      <c r="J736" s="358" t="str">
        <f t="shared" si="63"/>
        <v>2001AllSexNon-Maori223</v>
      </c>
      <c r="K736" s="359">
        <v>2001</v>
      </c>
      <c r="L736" t="s">
        <v>17</v>
      </c>
      <c r="M736" t="s">
        <v>19</v>
      </c>
      <c r="N736">
        <v>22</v>
      </c>
      <c r="O736">
        <v>3</v>
      </c>
      <c r="P736">
        <v>15</v>
      </c>
      <c r="Q736">
        <v>17.2430824598</v>
      </c>
      <c r="R736">
        <v>8.6999999999999993</v>
      </c>
      <c r="T736" s="358" t="str">
        <f t="shared" si="64"/>
        <v>1999FemaleAllEth24Other</v>
      </c>
      <c r="U736" s="360">
        <v>1999</v>
      </c>
      <c r="V736" s="360" t="s">
        <v>8</v>
      </c>
      <c r="W736" s="360" t="s">
        <v>27</v>
      </c>
      <c r="X736" s="360">
        <v>24</v>
      </c>
      <c r="Y736" s="360" t="s">
        <v>45</v>
      </c>
      <c r="Z736" s="360">
        <v>1</v>
      </c>
      <c r="AA736" s="360">
        <v>21</v>
      </c>
      <c r="AB736" s="360">
        <v>4.8</v>
      </c>
    </row>
    <row r="737" spans="1:28" x14ac:dyDescent="0.2">
      <c r="A737" t="str">
        <f t="shared" si="62"/>
        <v>2008AllSexNon-Maori24</v>
      </c>
      <c r="B737">
        <v>2008</v>
      </c>
      <c r="C737" t="s">
        <v>17</v>
      </c>
      <c r="D737" t="s">
        <v>19</v>
      </c>
      <c r="E737">
        <v>24</v>
      </c>
      <c r="F737">
        <v>149</v>
      </c>
      <c r="G737">
        <v>15.737053896769201</v>
      </c>
      <c r="H737">
        <v>2.5</v>
      </c>
      <c r="J737" s="358" t="str">
        <f t="shared" si="63"/>
        <v>2001AllSexNon-Maori224</v>
      </c>
      <c r="K737" s="359">
        <v>2001</v>
      </c>
      <c r="L737" t="s">
        <v>17</v>
      </c>
      <c r="M737" t="s">
        <v>19</v>
      </c>
      <c r="N737">
        <v>22</v>
      </c>
      <c r="O737">
        <v>4</v>
      </c>
      <c r="P737">
        <v>18</v>
      </c>
      <c r="Q737">
        <v>20.616652964723102</v>
      </c>
      <c r="R737">
        <v>9.5</v>
      </c>
      <c r="T737" s="358" t="str">
        <f t="shared" si="64"/>
        <v>1999FemaleAllEth22Poisoning by gases and vapours</v>
      </c>
      <c r="U737" s="360">
        <v>1999</v>
      </c>
      <c r="V737" s="360" t="s">
        <v>8</v>
      </c>
      <c r="W737" s="360" t="s">
        <v>27</v>
      </c>
      <c r="X737" s="360">
        <v>22</v>
      </c>
      <c r="Y737" s="360" t="s">
        <v>46</v>
      </c>
      <c r="Z737" s="360">
        <v>4</v>
      </c>
      <c r="AA737" s="360">
        <v>37</v>
      </c>
      <c r="AB737" s="360">
        <v>10.8</v>
      </c>
    </row>
    <row r="738" spans="1:28" x14ac:dyDescent="0.2">
      <c r="A738" t="str">
        <f t="shared" si="62"/>
        <v>2008AllSexNon-Maori25</v>
      </c>
      <c r="B738">
        <v>2008</v>
      </c>
      <c r="C738" t="s">
        <v>17</v>
      </c>
      <c r="D738" t="s">
        <v>19</v>
      </c>
      <c r="E738">
        <v>25</v>
      </c>
      <c r="F738">
        <v>50</v>
      </c>
      <c r="G738">
        <v>9.8545468879340898</v>
      </c>
      <c r="H738">
        <v>2.7</v>
      </c>
      <c r="J738" s="358" t="str">
        <f t="shared" si="63"/>
        <v>2001AllSexNon-Maori225</v>
      </c>
      <c r="K738" s="359">
        <v>2001</v>
      </c>
      <c r="L738" t="s">
        <v>17</v>
      </c>
      <c r="M738" t="s">
        <v>19</v>
      </c>
      <c r="N738">
        <v>22</v>
      </c>
      <c r="O738">
        <v>5</v>
      </c>
      <c r="P738">
        <v>12</v>
      </c>
      <c r="Q738">
        <v>14.1668591802989</v>
      </c>
      <c r="R738">
        <v>8</v>
      </c>
      <c r="T738" s="358" t="str">
        <f t="shared" si="64"/>
        <v>1999FemaleAllEth23Poisoning by gases and vapours</v>
      </c>
      <c r="U738" s="360">
        <v>1999</v>
      </c>
      <c r="V738" s="360" t="s">
        <v>8</v>
      </c>
      <c r="W738" s="360" t="s">
        <v>27</v>
      </c>
      <c r="X738" s="360">
        <v>23</v>
      </c>
      <c r="Y738" s="360" t="s">
        <v>46</v>
      </c>
      <c r="Z738" s="360">
        <v>14</v>
      </c>
      <c r="AA738" s="360">
        <v>55</v>
      </c>
      <c r="AB738" s="360">
        <v>25.5</v>
      </c>
    </row>
    <row r="739" spans="1:28" x14ac:dyDescent="0.2">
      <c r="A739" t="str">
        <f t="shared" si="62"/>
        <v>2008FemaleAllEth21</v>
      </c>
      <c r="B739">
        <v>2008</v>
      </c>
      <c r="C739" t="s">
        <v>8</v>
      </c>
      <c r="D739" t="s">
        <v>27</v>
      </c>
      <c r="E739">
        <v>21</v>
      </c>
      <c r="F739">
        <v>3</v>
      </c>
      <c r="J739" s="358" t="str">
        <f t="shared" si="63"/>
        <v>2001AllSexNon-Maori231</v>
      </c>
      <c r="K739" s="359">
        <v>2001</v>
      </c>
      <c r="L739" t="s">
        <v>17</v>
      </c>
      <c r="M739" t="s">
        <v>19</v>
      </c>
      <c r="N739">
        <v>23</v>
      </c>
      <c r="O739">
        <v>1</v>
      </c>
      <c r="P739">
        <v>26</v>
      </c>
      <c r="Q739">
        <v>11.9634015119181</v>
      </c>
      <c r="R739">
        <v>4.5999999999999996</v>
      </c>
      <c r="T739" s="358" t="str">
        <f t="shared" si="64"/>
        <v>1999FemaleAllEth24Poisoning by gases and vapours</v>
      </c>
      <c r="U739" s="360">
        <v>1999</v>
      </c>
      <c r="V739" s="360" t="s">
        <v>8</v>
      </c>
      <c r="W739" s="360" t="s">
        <v>27</v>
      </c>
      <c r="X739" s="360">
        <v>24</v>
      </c>
      <c r="Y739" s="360" t="s">
        <v>46</v>
      </c>
      <c r="Z739" s="360">
        <v>2</v>
      </c>
      <c r="AA739" s="360">
        <v>21</v>
      </c>
      <c r="AB739" s="360">
        <v>9.5</v>
      </c>
    </row>
    <row r="740" spans="1:28" x14ac:dyDescent="0.2">
      <c r="A740" t="str">
        <f t="shared" si="62"/>
        <v>2008FemaleAllEth22</v>
      </c>
      <c r="B740">
        <v>2008</v>
      </c>
      <c r="C740" t="s">
        <v>8</v>
      </c>
      <c r="D740" t="s">
        <v>27</v>
      </c>
      <c r="E740">
        <v>22</v>
      </c>
      <c r="F740">
        <v>38</v>
      </c>
      <c r="G740">
        <v>12.6132704882663</v>
      </c>
      <c r="H740">
        <v>4</v>
      </c>
      <c r="J740" s="358" t="str">
        <f t="shared" si="63"/>
        <v>2001AllSexNon-Maori232</v>
      </c>
      <c r="K740" s="359">
        <v>2001</v>
      </c>
      <c r="L740" t="s">
        <v>17</v>
      </c>
      <c r="M740" t="s">
        <v>19</v>
      </c>
      <c r="N740">
        <v>23</v>
      </c>
      <c r="O740">
        <v>2</v>
      </c>
      <c r="P740">
        <v>38</v>
      </c>
      <c r="Q740">
        <v>17.1993372196237</v>
      </c>
      <c r="R740">
        <v>5.5</v>
      </c>
      <c r="T740" s="358" t="str">
        <f t="shared" si="64"/>
        <v>1999FemaleAllEth25Poisoning by gases and vapours</v>
      </c>
      <c r="U740" s="360">
        <v>1999</v>
      </c>
      <c r="V740" s="360" t="s">
        <v>8</v>
      </c>
      <c r="W740" s="360" t="s">
        <v>27</v>
      </c>
      <c r="X740" s="360">
        <v>25</v>
      </c>
      <c r="Y740" s="360" t="s">
        <v>46</v>
      </c>
      <c r="Z740" s="360">
        <v>2</v>
      </c>
      <c r="AA740" s="360">
        <v>16</v>
      </c>
      <c r="AB740" s="360">
        <v>12.5</v>
      </c>
    </row>
    <row r="741" spans="1:28" x14ac:dyDescent="0.2">
      <c r="A741" t="str">
        <f t="shared" si="62"/>
        <v>2008FemaleAllEth23</v>
      </c>
      <c r="B741">
        <v>2008</v>
      </c>
      <c r="C741" t="s">
        <v>8</v>
      </c>
      <c r="D741" t="s">
        <v>27</v>
      </c>
      <c r="E741">
        <v>23</v>
      </c>
      <c r="F741">
        <v>49</v>
      </c>
      <c r="G741">
        <v>8.05722272465675</v>
      </c>
      <c r="H741">
        <v>2.2999999999999998</v>
      </c>
      <c r="J741" s="358" t="str">
        <f t="shared" si="63"/>
        <v>2001AllSexNon-Maori233</v>
      </c>
      <c r="K741" s="359">
        <v>2001</v>
      </c>
      <c r="L741" t="s">
        <v>17</v>
      </c>
      <c r="M741" t="s">
        <v>19</v>
      </c>
      <c r="N741">
        <v>23</v>
      </c>
      <c r="O741">
        <v>3</v>
      </c>
      <c r="P741">
        <v>38</v>
      </c>
      <c r="Q741">
        <v>18.0534150264122</v>
      </c>
      <c r="R741">
        <v>5.7</v>
      </c>
      <c r="T741" s="358" t="str">
        <f t="shared" si="64"/>
        <v>1999FemaleAllEth22Poisoning by solids and liquids</v>
      </c>
      <c r="U741" s="360">
        <v>1999</v>
      </c>
      <c r="V741" s="360" t="s">
        <v>8</v>
      </c>
      <c r="W741" s="360" t="s">
        <v>27</v>
      </c>
      <c r="X741" s="360">
        <v>22</v>
      </c>
      <c r="Y741" s="360" t="s">
        <v>47</v>
      </c>
      <c r="Z741" s="360">
        <v>3</v>
      </c>
      <c r="AA741" s="360">
        <v>37</v>
      </c>
      <c r="AB741" s="360">
        <v>8.1</v>
      </c>
    </row>
    <row r="742" spans="1:28" x14ac:dyDescent="0.2">
      <c r="A742" t="str">
        <f t="shared" si="62"/>
        <v>2008FemaleAllEth24</v>
      </c>
      <c r="B742">
        <v>2008</v>
      </c>
      <c r="C742" t="s">
        <v>8</v>
      </c>
      <c r="D742" t="s">
        <v>27</v>
      </c>
      <c r="E742">
        <v>24</v>
      </c>
      <c r="F742">
        <v>34</v>
      </c>
      <c r="G742">
        <v>6.3251106894370697</v>
      </c>
      <c r="H742">
        <v>2.1</v>
      </c>
      <c r="J742" s="358" t="str">
        <f t="shared" si="63"/>
        <v>2001AllSexNon-Maori234</v>
      </c>
      <c r="K742" s="359">
        <v>2001</v>
      </c>
      <c r="L742" t="s">
        <v>17</v>
      </c>
      <c r="M742" t="s">
        <v>19</v>
      </c>
      <c r="N742">
        <v>23</v>
      </c>
      <c r="O742">
        <v>4</v>
      </c>
      <c r="P742">
        <v>47</v>
      </c>
      <c r="Q742">
        <v>24.758869512209898</v>
      </c>
      <c r="R742">
        <v>7.1</v>
      </c>
      <c r="T742" s="358" t="str">
        <f t="shared" si="64"/>
        <v>1999FemaleAllEth23Poisoning by solids and liquids</v>
      </c>
      <c r="U742" s="360">
        <v>1999</v>
      </c>
      <c r="V742" s="360" t="s">
        <v>8</v>
      </c>
      <c r="W742" s="360" t="s">
        <v>27</v>
      </c>
      <c r="X742" s="360">
        <v>23</v>
      </c>
      <c r="Y742" s="360" t="s">
        <v>47</v>
      </c>
      <c r="Z742" s="360">
        <v>14</v>
      </c>
      <c r="AA742" s="360">
        <v>55</v>
      </c>
      <c r="AB742" s="360">
        <v>25.5</v>
      </c>
    </row>
    <row r="743" spans="1:28" x14ac:dyDescent="0.2">
      <c r="A743" t="str">
        <f t="shared" si="62"/>
        <v>2008FemaleAllEth25</v>
      </c>
      <c r="B743">
        <v>2008</v>
      </c>
      <c r="C743" t="s">
        <v>8</v>
      </c>
      <c r="D743" t="s">
        <v>27</v>
      </c>
      <c r="E743">
        <v>25</v>
      </c>
      <c r="F743">
        <v>15</v>
      </c>
      <c r="G743">
        <v>5.1070784106772003</v>
      </c>
      <c r="H743">
        <v>2.6</v>
      </c>
      <c r="J743" s="358" t="str">
        <f t="shared" si="63"/>
        <v>2001AllSexNon-Maori235</v>
      </c>
      <c r="K743" s="359">
        <v>2001</v>
      </c>
      <c r="L743" t="s">
        <v>17</v>
      </c>
      <c r="M743" t="s">
        <v>19</v>
      </c>
      <c r="N743">
        <v>23</v>
      </c>
      <c r="O743">
        <v>5</v>
      </c>
      <c r="P743">
        <v>35</v>
      </c>
      <c r="Q743">
        <v>24.0906956309463</v>
      </c>
      <c r="R743">
        <v>8</v>
      </c>
      <c r="T743" s="358" t="str">
        <f t="shared" si="64"/>
        <v>1999FemaleAllEth24Poisoning by solids and liquids</v>
      </c>
      <c r="U743" s="360">
        <v>1999</v>
      </c>
      <c r="V743" s="360" t="s">
        <v>8</v>
      </c>
      <c r="W743" s="360" t="s">
        <v>27</v>
      </c>
      <c r="X743" s="360">
        <v>24</v>
      </c>
      <c r="Y743" s="360" t="s">
        <v>47</v>
      </c>
      <c r="Z743" s="360">
        <v>9</v>
      </c>
      <c r="AA743" s="360">
        <v>21</v>
      </c>
      <c r="AB743" s="360">
        <v>42.9</v>
      </c>
    </row>
    <row r="744" spans="1:28" x14ac:dyDescent="0.2">
      <c r="A744" t="str">
        <f t="shared" si="62"/>
        <v>2008FemaleMaori21</v>
      </c>
      <c r="B744">
        <v>2008</v>
      </c>
      <c r="C744" t="s">
        <v>8</v>
      </c>
      <c r="D744" t="s">
        <v>18</v>
      </c>
      <c r="E744">
        <v>21</v>
      </c>
      <c r="F744">
        <v>2</v>
      </c>
      <c r="J744" s="358" t="str">
        <f t="shared" si="63"/>
        <v>2001AllSexNon-Maori241</v>
      </c>
      <c r="K744" s="359">
        <v>2001</v>
      </c>
      <c r="L744" t="s">
        <v>17</v>
      </c>
      <c r="M744" t="s">
        <v>19</v>
      </c>
      <c r="N744">
        <v>24</v>
      </c>
      <c r="O744">
        <v>1</v>
      </c>
      <c r="P744">
        <v>12</v>
      </c>
      <c r="Q744">
        <v>5.7201700883712601</v>
      </c>
      <c r="R744">
        <v>3.2</v>
      </c>
      <c r="T744" s="358" t="str">
        <f t="shared" si="64"/>
        <v>1999FemaleAllEth25Poisoning by solids and liquids</v>
      </c>
      <c r="U744" s="360">
        <v>1999</v>
      </c>
      <c r="V744" s="360" t="s">
        <v>8</v>
      </c>
      <c r="W744" s="360" t="s">
        <v>27</v>
      </c>
      <c r="X744" s="360">
        <v>25</v>
      </c>
      <c r="Y744" s="360" t="s">
        <v>47</v>
      </c>
      <c r="Z744" s="360">
        <v>4</v>
      </c>
      <c r="AA744" s="360">
        <v>16</v>
      </c>
      <c r="AB744" s="360">
        <v>25</v>
      </c>
    </row>
    <row r="745" spans="1:28" x14ac:dyDescent="0.2">
      <c r="A745" t="str">
        <f t="shared" si="62"/>
        <v>2008FemaleMaori22</v>
      </c>
      <c r="B745">
        <v>2008</v>
      </c>
      <c r="C745" t="s">
        <v>8</v>
      </c>
      <c r="D745" t="s">
        <v>18</v>
      </c>
      <c r="E745">
        <v>22</v>
      </c>
      <c r="F745">
        <v>18</v>
      </c>
      <c r="G745">
        <v>29.6247531270573</v>
      </c>
      <c r="H745">
        <v>13.7</v>
      </c>
      <c r="J745" s="358" t="str">
        <f t="shared" si="63"/>
        <v>2001AllSexNon-Maori242</v>
      </c>
      <c r="K745" s="359">
        <v>2001</v>
      </c>
      <c r="L745" t="s">
        <v>17</v>
      </c>
      <c r="M745" t="s">
        <v>19</v>
      </c>
      <c r="N745">
        <v>24</v>
      </c>
      <c r="O745">
        <v>2</v>
      </c>
      <c r="P745">
        <v>12</v>
      </c>
      <c r="Q745">
        <v>6.6545997726997399</v>
      </c>
      <c r="R745">
        <v>3.8</v>
      </c>
      <c r="T745" s="358" t="str">
        <f t="shared" si="64"/>
        <v>1999FemaleAllEth23Sharp object</v>
      </c>
      <c r="U745" s="360">
        <v>1999</v>
      </c>
      <c r="V745" s="360" t="s">
        <v>8</v>
      </c>
      <c r="W745" s="360" t="s">
        <v>27</v>
      </c>
      <c r="X745" s="360">
        <v>23</v>
      </c>
      <c r="Y745" s="360" t="s">
        <v>48</v>
      </c>
      <c r="Z745" s="360">
        <v>2</v>
      </c>
      <c r="AA745" s="360">
        <v>55</v>
      </c>
      <c r="AB745" s="360">
        <v>3.6</v>
      </c>
    </row>
    <row r="746" spans="1:28" x14ac:dyDescent="0.2">
      <c r="A746" t="str">
        <f t="shared" si="62"/>
        <v>2008FemaleMaori23</v>
      </c>
      <c r="B746">
        <v>2008</v>
      </c>
      <c r="C746" t="s">
        <v>8</v>
      </c>
      <c r="D746" t="s">
        <v>18</v>
      </c>
      <c r="E746">
        <v>23</v>
      </c>
      <c r="F746">
        <v>9</v>
      </c>
      <c r="G746">
        <v>10.0964774512004</v>
      </c>
      <c r="H746">
        <v>6.6</v>
      </c>
      <c r="J746" s="358" t="str">
        <f t="shared" si="63"/>
        <v>2001AllSexNon-Maori243</v>
      </c>
      <c r="K746" s="359">
        <v>2001</v>
      </c>
      <c r="L746" t="s">
        <v>17</v>
      </c>
      <c r="M746" t="s">
        <v>19</v>
      </c>
      <c r="N746">
        <v>24</v>
      </c>
      <c r="O746">
        <v>3</v>
      </c>
      <c r="P746">
        <v>20</v>
      </c>
      <c r="Q746">
        <v>12.794450782041199</v>
      </c>
      <c r="R746">
        <v>5.6</v>
      </c>
      <c r="T746" s="358" t="str">
        <f t="shared" si="64"/>
        <v>1999FemaleAllEth23Submersion (drowning)</v>
      </c>
      <c r="U746" s="360">
        <v>1999</v>
      </c>
      <c r="V746" s="360" t="s">
        <v>8</v>
      </c>
      <c r="W746" s="360" t="s">
        <v>27</v>
      </c>
      <c r="X746" s="360">
        <v>23</v>
      </c>
      <c r="Y746" s="360" t="s">
        <v>49</v>
      </c>
      <c r="Z746" s="360">
        <v>1</v>
      </c>
      <c r="AA746" s="360">
        <v>55</v>
      </c>
      <c r="AB746" s="360">
        <v>1.8</v>
      </c>
    </row>
    <row r="747" spans="1:28" x14ac:dyDescent="0.2">
      <c r="A747" t="str">
        <f t="shared" si="62"/>
        <v>2008FemaleMaori24</v>
      </c>
      <c r="B747">
        <v>2008</v>
      </c>
      <c r="C747" t="s">
        <v>8</v>
      </c>
      <c r="D747" t="s">
        <v>18</v>
      </c>
      <c r="E747">
        <v>24</v>
      </c>
      <c r="F747">
        <v>2</v>
      </c>
      <c r="G747">
        <v>3.5618878005342798</v>
      </c>
      <c r="H747">
        <v>4.9000000000000004</v>
      </c>
      <c r="J747" s="358" t="str">
        <f t="shared" si="63"/>
        <v>2001AllSexNon-Maori244</v>
      </c>
      <c r="K747" s="359">
        <v>2001</v>
      </c>
      <c r="L747" t="s">
        <v>17</v>
      </c>
      <c r="M747" t="s">
        <v>19</v>
      </c>
      <c r="N747">
        <v>24</v>
      </c>
      <c r="O747">
        <v>4</v>
      </c>
      <c r="P747">
        <v>15</v>
      </c>
      <c r="Q747">
        <v>11.1997566596461</v>
      </c>
      <c r="R747">
        <v>5.7</v>
      </c>
      <c r="T747" s="358" t="str">
        <f t="shared" si="64"/>
        <v>1999FemaleAllEth24Submersion (drowning)</v>
      </c>
      <c r="U747" s="360">
        <v>1999</v>
      </c>
      <c r="V747" s="360" t="s">
        <v>8</v>
      </c>
      <c r="W747" s="360" t="s">
        <v>27</v>
      </c>
      <c r="X747" s="360">
        <v>24</v>
      </c>
      <c r="Y747" s="360" t="s">
        <v>49</v>
      </c>
      <c r="Z747" s="360">
        <v>3</v>
      </c>
      <c r="AA747" s="360">
        <v>21</v>
      </c>
      <c r="AB747" s="360">
        <v>14.3</v>
      </c>
    </row>
    <row r="748" spans="1:28" x14ac:dyDescent="0.2">
      <c r="A748" t="str">
        <f t="shared" si="62"/>
        <v>2008FemaleMaori25</v>
      </c>
      <c r="B748">
        <v>2008</v>
      </c>
      <c r="C748" t="s">
        <v>8</v>
      </c>
      <c r="D748" t="s">
        <v>18</v>
      </c>
      <c r="E748">
        <v>25</v>
      </c>
      <c r="F748">
        <v>0</v>
      </c>
      <c r="G748">
        <v>0</v>
      </c>
      <c r="J748" s="358" t="str">
        <f t="shared" si="63"/>
        <v>2001AllSexNon-Maori245</v>
      </c>
      <c r="K748" s="359">
        <v>2001</v>
      </c>
      <c r="L748" t="s">
        <v>17</v>
      </c>
      <c r="M748" t="s">
        <v>19</v>
      </c>
      <c r="N748">
        <v>24</v>
      </c>
      <c r="O748">
        <v>5</v>
      </c>
      <c r="P748">
        <v>13</v>
      </c>
      <c r="Q748">
        <v>13.1751796695017</v>
      </c>
      <c r="R748">
        <v>7.2</v>
      </c>
      <c r="T748" s="358" t="str">
        <f t="shared" si="64"/>
        <v>1999FemaleAllEth25Submersion (drowning)</v>
      </c>
      <c r="U748" s="360">
        <v>1999</v>
      </c>
      <c r="V748" s="360" t="s">
        <v>8</v>
      </c>
      <c r="W748" s="360" t="s">
        <v>27</v>
      </c>
      <c r="X748" s="360">
        <v>25</v>
      </c>
      <c r="Y748" s="360" t="s">
        <v>49</v>
      </c>
      <c r="Z748" s="360">
        <v>1</v>
      </c>
      <c r="AA748" s="360">
        <v>16</v>
      </c>
      <c r="AB748" s="360">
        <v>6.2</v>
      </c>
    </row>
    <row r="749" spans="1:28" x14ac:dyDescent="0.2">
      <c r="A749" t="str">
        <f t="shared" si="62"/>
        <v>2008FemaleNon-Maori21</v>
      </c>
      <c r="B749">
        <v>2008</v>
      </c>
      <c r="C749" t="s">
        <v>8</v>
      </c>
      <c r="D749" t="s">
        <v>19</v>
      </c>
      <c r="E749">
        <v>21</v>
      </c>
      <c r="F749">
        <v>1</v>
      </c>
      <c r="J749" s="358" t="str">
        <f t="shared" si="63"/>
        <v>2001AllSexNon-Maori251</v>
      </c>
      <c r="K749" s="359">
        <v>2001</v>
      </c>
      <c r="L749" t="s">
        <v>17</v>
      </c>
      <c r="M749" t="s">
        <v>19</v>
      </c>
      <c r="N749">
        <v>25</v>
      </c>
      <c r="O749">
        <v>1</v>
      </c>
      <c r="P749">
        <v>8</v>
      </c>
      <c r="Q749">
        <v>8.9719676969896494</v>
      </c>
      <c r="R749">
        <v>6.2</v>
      </c>
      <c r="T749" s="358" t="str">
        <f t="shared" si="64"/>
        <v>1999FemaleMaori21Hanging, strangulation and suffocation</v>
      </c>
      <c r="U749" s="360">
        <v>1999</v>
      </c>
      <c r="V749" s="360" t="s">
        <v>8</v>
      </c>
      <c r="W749" s="360" t="s">
        <v>18</v>
      </c>
      <c r="X749" s="360">
        <v>21</v>
      </c>
      <c r="Y749" s="360" t="s">
        <v>43</v>
      </c>
      <c r="Z749" s="360">
        <v>3</v>
      </c>
      <c r="AA749" s="360">
        <v>3</v>
      </c>
      <c r="AB749" s="360">
        <v>100</v>
      </c>
    </row>
    <row r="750" spans="1:28" x14ac:dyDescent="0.2">
      <c r="A750" t="str">
        <f t="shared" si="62"/>
        <v>2008FemaleNon-Maori22</v>
      </c>
      <c r="B750">
        <v>2008</v>
      </c>
      <c r="C750" t="s">
        <v>8</v>
      </c>
      <c r="D750" t="s">
        <v>19</v>
      </c>
      <c r="E750">
        <v>22</v>
      </c>
      <c r="F750">
        <v>20</v>
      </c>
      <c r="G750">
        <v>8.3156625504137001</v>
      </c>
      <c r="H750">
        <v>3.6</v>
      </c>
      <c r="J750" s="358" t="str">
        <f t="shared" si="63"/>
        <v>2001AllSexNon-Maori252</v>
      </c>
      <c r="K750" s="359">
        <v>2001</v>
      </c>
      <c r="L750" t="s">
        <v>17</v>
      </c>
      <c r="M750" t="s">
        <v>19</v>
      </c>
      <c r="N750">
        <v>25</v>
      </c>
      <c r="O750">
        <v>2</v>
      </c>
      <c r="P750">
        <v>10</v>
      </c>
      <c r="Q750">
        <v>10.6060165357865</v>
      </c>
      <c r="R750">
        <v>6.6</v>
      </c>
      <c r="T750" s="358" t="str">
        <f t="shared" si="64"/>
        <v>1999FemaleMaori22Hanging, strangulation and suffocation</v>
      </c>
      <c r="U750" s="360">
        <v>1999</v>
      </c>
      <c r="V750" s="360" t="s">
        <v>8</v>
      </c>
      <c r="W750" s="360" t="s">
        <v>18</v>
      </c>
      <c r="X750" s="360">
        <v>22</v>
      </c>
      <c r="Y750" s="360" t="s">
        <v>43</v>
      </c>
      <c r="Z750" s="360">
        <v>9</v>
      </c>
      <c r="AA750" s="360">
        <v>10</v>
      </c>
      <c r="AB750" s="360">
        <v>90</v>
      </c>
    </row>
    <row r="751" spans="1:28" x14ac:dyDescent="0.2">
      <c r="A751" t="str">
        <f t="shared" si="62"/>
        <v>2008FemaleNon-Maori23</v>
      </c>
      <c r="B751">
        <v>2008</v>
      </c>
      <c r="C751" t="s">
        <v>8</v>
      </c>
      <c r="D751" t="s">
        <v>19</v>
      </c>
      <c r="E751">
        <v>23</v>
      </c>
      <c r="F751">
        <v>40</v>
      </c>
      <c r="G751">
        <v>7.7069805976763499</v>
      </c>
      <c r="H751">
        <v>2.4</v>
      </c>
      <c r="J751" s="358" t="str">
        <f t="shared" si="63"/>
        <v>2001AllSexNon-Maori253</v>
      </c>
      <c r="K751" s="359">
        <v>2001</v>
      </c>
      <c r="L751" t="s">
        <v>17</v>
      </c>
      <c r="M751" t="s">
        <v>19</v>
      </c>
      <c r="N751">
        <v>25</v>
      </c>
      <c r="O751">
        <v>3</v>
      </c>
      <c r="P751">
        <v>14</v>
      </c>
      <c r="Q751">
        <v>14.4757313405518</v>
      </c>
      <c r="R751">
        <v>7.6</v>
      </c>
      <c r="T751" s="358" t="str">
        <f t="shared" si="64"/>
        <v>1999FemaleMaori23Hanging, strangulation and suffocation</v>
      </c>
      <c r="U751" s="360">
        <v>1999</v>
      </c>
      <c r="V751" s="360" t="s">
        <v>8</v>
      </c>
      <c r="W751" s="360" t="s">
        <v>18</v>
      </c>
      <c r="X751" s="360">
        <v>23</v>
      </c>
      <c r="Y751" s="360" t="s">
        <v>43</v>
      </c>
      <c r="Z751" s="360">
        <v>4</v>
      </c>
      <c r="AA751" s="360">
        <v>7</v>
      </c>
      <c r="AB751" s="360">
        <v>57.1</v>
      </c>
    </row>
    <row r="752" spans="1:28" x14ac:dyDescent="0.2">
      <c r="A752" t="str">
        <f t="shared" si="62"/>
        <v>2008FemaleNon-Maori24</v>
      </c>
      <c r="B752">
        <v>2008</v>
      </c>
      <c r="C752" t="s">
        <v>8</v>
      </c>
      <c r="D752" t="s">
        <v>19</v>
      </c>
      <c r="E752">
        <v>24</v>
      </c>
      <c r="F752">
        <v>32</v>
      </c>
      <c r="G752">
        <v>6.6474168553563597</v>
      </c>
      <c r="H752">
        <v>2.2999999999999998</v>
      </c>
      <c r="J752" s="358" t="str">
        <f t="shared" si="63"/>
        <v>2001AllSexNon-Maori254</v>
      </c>
      <c r="K752" s="359">
        <v>2001</v>
      </c>
      <c r="L752" t="s">
        <v>17</v>
      </c>
      <c r="M752" t="s">
        <v>19</v>
      </c>
      <c r="N752">
        <v>25</v>
      </c>
      <c r="O752">
        <v>4</v>
      </c>
      <c r="P752">
        <v>16</v>
      </c>
      <c r="Q752">
        <v>16.9173703039136</v>
      </c>
      <c r="R752">
        <v>8.3000000000000007</v>
      </c>
      <c r="T752" s="358" t="str">
        <f t="shared" si="64"/>
        <v>1999FemaleMaori23Other</v>
      </c>
      <c r="U752" s="360">
        <v>1999</v>
      </c>
      <c r="V752" s="360" t="s">
        <v>8</v>
      </c>
      <c r="W752" s="360" t="s">
        <v>18</v>
      </c>
      <c r="X752" s="360">
        <v>23</v>
      </c>
      <c r="Y752" s="360" t="s">
        <v>45</v>
      </c>
      <c r="Z752" s="360">
        <v>2</v>
      </c>
      <c r="AA752" s="360">
        <v>7</v>
      </c>
      <c r="AB752" s="360">
        <v>28.6</v>
      </c>
    </row>
    <row r="753" spans="1:28" x14ac:dyDescent="0.2">
      <c r="A753" t="str">
        <f t="shared" si="62"/>
        <v>2008FemaleNon-Maori25</v>
      </c>
      <c r="B753">
        <v>2008</v>
      </c>
      <c r="C753" t="s">
        <v>8</v>
      </c>
      <c r="D753" t="s">
        <v>19</v>
      </c>
      <c r="E753">
        <v>25</v>
      </c>
      <c r="F753">
        <v>15</v>
      </c>
      <c r="G753">
        <v>5.38889886833124</v>
      </c>
      <c r="H753">
        <v>2.7</v>
      </c>
      <c r="J753" s="358" t="str">
        <f t="shared" si="63"/>
        <v>2001AllSexNon-Maori255</v>
      </c>
      <c r="K753" s="359">
        <v>2001</v>
      </c>
      <c r="L753" t="s">
        <v>17</v>
      </c>
      <c r="M753" t="s">
        <v>19</v>
      </c>
      <c r="N753">
        <v>25</v>
      </c>
      <c r="O753">
        <v>5</v>
      </c>
      <c r="P753">
        <v>11</v>
      </c>
      <c r="Q753">
        <v>16.652452257493099</v>
      </c>
      <c r="R753">
        <v>9.8000000000000007</v>
      </c>
      <c r="T753" s="358" t="str">
        <f t="shared" si="64"/>
        <v>1999FemaleMaori22Poisoning by gases and vapours</v>
      </c>
      <c r="U753" s="360">
        <v>1999</v>
      </c>
      <c r="V753" s="360" t="s">
        <v>8</v>
      </c>
      <c r="W753" s="360" t="s">
        <v>18</v>
      </c>
      <c r="X753" s="360">
        <v>22</v>
      </c>
      <c r="Y753" s="360" t="s">
        <v>46</v>
      </c>
      <c r="Z753" s="360">
        <v>1</v>
      </c>
      <c r="AA753" s="360">
        <v>10</v>
      </c>
      <c r="AB753" s="360">
        <v>10</v>
      </c>
    </row>
    <row r="754" spans="1:28" x14ac:dyDescent="0.2">
      <c r="A754" t="str">
        <f t="shared" si="62"/>
        <v>2008MaleAllEth21</v>
      </c>
      <c r="B754">
        <v>2008</v>
      </c>
      <c r="C754" t="s">
        <v>20</v>
      </c>
      <c r="D754" t="s">
        <v>27</v>
      </c>
      <c r="E754">
        <v>21</v>
      </c>
      <c r="F754">
        <v>2</v>
      </c>
      <c r="J754" s="358" t="str">
        <f t="shared" si="63"/>
        <v>2001FemaleAllEth211</v>
      </c>
      <c r="K754" s="359">
        <v>2001</v>
      </c>
      <c r="L754" t="s">
        <v>8</v>
      </c>
      <c r="M754" t="s">
        <v>27</v>
      </c>
      <c r="N754">
        <v>21</v>
      </c>
      <c r="O754">
        <v>1</v>
      </c>
      <c r="P754">
        <v>0</v>
      </c>
      <c r="T754" s="358" t="str">
        <f t="shared" si="64"/>
        <v>1999FemaleMaori23Poisoning by solids and liquids</v>
      </c>
      <c r="U754" s="360">
        <v>1999</v>
      </c>
      <c r="V754" s="360" t="s">
        <v>8</v>
      </c>
      <c r="W754" s="360" t="s">
        <v>18</v>
      </c>
      <c r="X754" s="360">
        <v>23</v>
      </c>
      <c r="Y754" s="360" t="s">
        <v>47</v>
      </c>
      <c r="Z754" s="360">
        <v>1</v>
      </c>
      <c r="AA754" s="360">
        <v>7</v>
      </c>
      <c r="AB754" s="360">
        <v>14.3</v>
      </c>
    </row>
    <row r="755" spans="1:28" x14ac:dyDescent="0.2">
      <c r="A755" t="str">
        <f t="shared" si="62"/>
        <v>2008MaleAllEth22</v>
      </c>
      <c r="B755">
        <v>2008</v>
      </c>
      <c r="C755" t="s">
        <v>20</v>
      </c>
      <c r="D755" t="s">
        <v>27</v>
      </c>
      <c r="E755">
        <v>22</v>
      </c>
      <c r="F755">
        <v>83</v>
      </c>
      <c r="G755">
        <v>27.1899364476184</v>
      </c>
      <c r="H755">
        <v>5.8</v>
      </c>
      <c r="J755" s="358" t="str">
        <f t="shared" si="63"/>
        <v>2001FemaleAllEth212</v>
      </c>
      <c r="K755" s="359">
        <v>2001</v>
      </c>
      <c r="L755" t="s">
        <v>8</v>
      </c>
      <c r="M755" t="s">
        <v>27</v>
      </c>
      <c r="N755">
        <v>21</v>
      </c>
      <c r="O755">
        <v>2</v>
      </c>
      <c r="P755">
        <v>0</v>
      </c>
      <c r="T755" s="358" t="str">
        <f t="shared" si="64"/>
        <v>1999FemaleNon-Maori22Firearms and explosives</v>
      </c>
      <c r="U755" s="360">
        <v>1999</v>
      </c>
      <c r="V755" s="360" t="s">
        <v>8</v>
      </c>
      <c r="W755" s="360" t="s">
        <v>19</v>
      </c>
      <c r="X755" s="360">
        <v>22</v>
      </c>
      <c r="Y755" s="360" t="s">
        <v>42</v>
      </c>
      <c r="Z755" s="360">
        <v>1</v>
      </c>
      <c r="AA755" s="360">
        <v>27</v>
      </c>
      <c r="AB755" s="360">
        <v>3.7</v>
      </c>
    </row>
    <row r="756" spans="1:28" x14ac:dyDescent="0.2">
      <c r="A756" t="str">
        <f t="shared" si="62"/>
        <v>2008MaleAllEth23</v>
      </c>
      <c r="B756">
        <v>2008</v>
      </c>
      <c r="C756" t="s">
        <v>20</v>
      </c>
      <c r="D756" t="s">
        <v>27</v>
      </c>
      <c r="E756">
        <v>23</v>
      </c>
      <c r="F756">
        <v>133</v>
      </c>
      <c r="G756">
        <v>23.638140940193701</v>
      </c>
      <c r="H756">
        <v>4</v>
      </c>
      <c r="J756" s="358" t="str">
        <f t="shared" si="63"/>
        <v>2001FemaleAllEth213</v>
      </c>
      <c r="K756" s="359">
        <v>2001</v>
      </c>
      <c r="L756" t="s">
        <v>8</v>
      </c>
      <c r="M756" t="s">
        <v>27</v>
      </c>
      <c r="N756">
        <v>21</v>
      </c>
      <c r="O756">
        <v>3</v>
      </c>
      <c r="P756">
        <v>0</v>
      </c>
      <c r="T756" s="358" t="str">
        <f t="shared" si="64"/>
        <v>1999FemaleNon-Maori23Firearms and explosives</v>
      </c>
      <c r="U756" s="360">
        <v>1999</v>
      </c>
      <c r="V756" s="360" t="s">
        <v>8</v>
      </c>
      <c r="W756" s="360" t="s">
        <v>19</v>
      </c>
      <c r="X756" s="360">
        <v>23</v>
      </c>
      <c r="Y756" s="360" t="s">
        <v>42</v>
      </c>
      <c r="Z756" s="360">
        <v>2</v>
      </c>
      <c r="AA756" s="360">
        <v>48</v>
      </c>
      <c r="AB756" s="360">
        <v>4.2</v>
      </c>
    </row>
    <row r="757" spans="1:28" x14ac:dyDescent="0.2">
      <c r="A757" t="str">
        <f t="shared" si="62"/>
        <v>2008MaleAllEth24</v>
      </c>
      <c r="B757">
        <v>2008</v>
      </c>
      <c r="C757" t="s">
        <v>20</v>
      </c>
      <c r="D757" t="s">
        <v>27</v>
      </c>
      <c r="E757">
        <v>24</v>
      </c>
      <c r="F757">
        <v>125</v>
      </c>
      <c r="G757">
        <v>24.221050999845001</v>
      </c>
      <c r="H757">
        <v>4.2</v>
      </c>
      <c r="J757" s="358" t="str">
        <f t="shared" si="63"/>
        <v>2001FemaleAllEth214</v>
      </c>
      <c r="K757" s="359">
        <v>2001</v>
      </c>
      <c r="L757" t="s">
        <v>8</v>
      </c>
      <c r="M757" t="s">
        <v>27</v>
      </c>
      <c r="N757">
        <v>21</v>
      </c>
      <c r="O757">
        <v>4</v>
      </c>
      <c r="P757">
        <v>0</v>
      </c>
      <c r="T757" s="358" t="str">
        <f t="shared" si="64"/>
        <v>1999FemaleNon-Maori25Firearms and explosives</v>
      </c>
      <c r="U757" s="360">
        <v>1999</v>
      </c>
      <c r="V757" s="360" t="s">
        <v>8</v>
      </c>
      <c r="W757" s="360" t="s">
        <v>19</v>
      </c>
      <c r="X757" s="360">
        <v>25</v>
      </c>
      <c r="Y757" s="360" t="s">
        <v>42</v>
      </c>
      <c r="Z757" s="360">
        <v>1</v>
      </c>
      <c r="AA757" s="360">
        <v>16</v>
      </c>
      <c r="AB757" s="360">
        <v>6.2</v>
      </c>
    </row>
    <row r="758" spans="1:28" x14ac:dyDescent="0.2">
      <c r="A758" t="str">
        <f t="shared" si="62"/>
        <v>2008MaleAllEth25</v>
      </c>
      <c r="B758">
        <v>2008</v>
      </c>
      <c r="C758" t="s">
        <v>20</v>
      </c>
      <c r="D758" t="s">
        <v>27</v>
      </c>
      <c r="E758">
        <v>25</v>
      </c>
      <c r="F758">
        <v>36</v>
      </c>
      <c r="G758">
        <v>14.890800794176</v>
      </c>
      <c r="H758">
        <v>4.9000000000000004</v>
      </c>
      <c r="J758" s="358" t="str">
        <f t="shared" si="63"/>
        <v>2001FemaleAllEth215</v>
      </c>
      <c r="K758" s="359">
        <v>2001</v>
      </c>
      <c r="L758" t="s">
        <v>8</v>
      </c>
      <c r="M758" t="s">
        <v>27</v>
      </c>
      <c r="N758">
        <v>21</v>
      </c>
      <c r="O758">
        <v>5</v>
      </c>
      <c r="P758">
        <v>2</v>
      </c>
      <c r="T758" s="358" t="str">
        <f t="shared" si="64"/>
        <v>1999FemaleNon-Maori22Hanging, strangulation and suffocation</v>
      </c>
      <c r="U758" s="360">
        <v>1999</v>
      </c>
      <c r="V758" s="360" t="s">
        <v>8</v>
      </c>
      <c r="W758" s="360" t="s">
        <v>19</v>
      </c>
      <c r="X758" s="360">
        <v>22</v>
      </c>
      <c r="Y758" s="360" t="s">
        <v>43</v>
      </c>
      <c r="Z758" s="360">
        <v>19</v>
      </c>
      <c r="AA758" s="360">
        <v>27</v>
      </c>
      <c r="AB758" s="360">
        <v>70.400000000000006</v>
      </c>
    </row>
    <row r="759" spans="1:28" x14ac:dyDescent="0.2">
      <c r="A759" t="str">
        <f t="shared" si="62"/>
        <v>2008MaleMaori21</v>
      </c>
      <c r="B759">
        <v>2008</v>
      </c>
      <c r="C759" t="s">
        <v>20</v>
      </c>
      <c r="D759" t="s">
        <v>18</v>
      </c>
      <c r="E759">
        <v>21</v>
      </c>
      <c r="F759">
        <v>2</v>
      </c>
      <c r="J759" s="358" t="str">
        <f t="shared" si="63"/>
        <v>2001FemaleAllEth221</v>
      </c>
      <c r="K759" s="359">
        <v>2001</v>
      </c>
      <c r="L759" t="s">
        <v>8</v>
      </c>
      <c r="M759" t="s">
        <v>27</v>
      </c>
      <c r="N759">
        <v>22</v>
      </c>
      <c r="O759">
        <v>1</v>
      </c>
      <c r="P759">
        <v>5</v>
      </c>
      <c r="Q759">
        <v>11.662972311677301</v>
      </c>
      <c r="R759">
        <v>10.199999999999999</v>
      </c>
      <c r="T759" s="358" t="str">
        <f t="shared" si="64"/>
        <v>1999FemaleNon-Maori23Hanging, strangulation and suffocation</v>
      </c>
      <c r="U759" s="360">
        <v>1999</v>
      </c>
      <c r="V759" s="360" t="s">
        <v>8</v>
      </c>
      <c r="W759" s="360" t="s">
        <v>19</v>
      </c>
      <c r="X759" s="360">
        <v>23</v>
      </c>
      <c r="Y759" s="360" t="s">
        <v>43</v>
      </c>
      <c r="Z759" s="360">
        <v>14</v>
      </c>
      <c r="AA759" s="360">
        <v>48</v>
      </c>
      <c r="AB759" s="360">
        <v>29.2</v>
      </c>
    </row>
    <row r="760" spans="1:28" x14ac:dyDescent="0.2">
      <c r="A760" t="str">
        <f t="shared" si="62"/>
        <v>2008MaleMaori22</v>
      </c>
      <c r="B760">
        <v>2008</v>
      </c>
      <c r="C760" t="s">
        <v>20</v>
      </c>
      <c r="D760" t="s">
        <v>18</v>
      </c>
      <c r="E760">
        <v>22</v>
      </c>
      <c r="F760">
        <v>17</v>
      </c>
      <c r="G760">
        <v>28.857579358343202</v>
      </c>
      <c r="H760">
        <v>13.7</v>
      </c>
      <c r="J760" s="358" t="str">
        <f t="shared" si="63"/>
        <v>2001FemaleAllEth222</v>
      </c>
      <c r="K760" s="359">
        <v>2001</v>
      </c>
      <c r="L760" t="s">
        <v>8</v>
      </c>
      <c r="M760" t="s">
        <v>27</v>
      </c>
      <c r="N760">
        <v>22</v>
      </c>
      <c r="O760">
        <v>2</v>
      </c>
      <c r="P760">
        <v>3</v>
      </c>
      <c r="Q760">
        <v>6.5256528155788098</v>
      </c>
      <c r="R760">
        <v>7.4</v>
      </c>
      <c r="T760" s="358" t="str">
        <f t="shared" si="64"/>
        <v>1999FemaleNon-Maori24Hanging, strangulation and suffocation</v>
      </c>
      <c r="U760" s="360">
        <v>1999</v>
      </c>
      <c r="V760" s="360" t="s">
        <v>8</v>
      </c>
      <c r="W760" s="360" t="s">
        <v>19</v>
      </c>
      <c r="X760" s="360">
        <v>24</v>
      </c>
      <c r="Y760" s="360" t="s">
        <v>43</v>
      </c>
      <c r="Z760" s="360">
        <v>6</v>
      </c>
      <c r="AA760" s="360">
        <v>21</v>
      </c>
      <c r="AB760" s="360">
        <v>28.6</v>
      </c>
    </row>
    <row r="761" spans="1:28" x14ac:dyDescent="0.2">
      <c r="A761" t="str">
        <f t="shared" si="62"/>
        <v>2008MaleMaori23</v>
      </c>
      <c r="B761">
        <v>2008</v>
      </c>
      <c r="C761" t="s">
        <v>20</v>
      </c>
      <c r="D761" t="s">
        <v>18</v>
      </c>
      <c r="E761">
        <v>23</v>
      </c>
      <c r="F761">
        <v>28</v>
      </c>
      <c r="G761">
        <v>35.523978685612803</v>
      </c>
      <c r="H761">
        <v>13.2</v>
      </c>
      <c r="J761" s="358" t="str">
        <f t="shared" si="63"/>
        <v>2001FemaleAllEth223</v>
      </c>
      <c r="K761" s="359">
        <v>2001</v>
      </c>
      <c r="L761" t="s">
        <v>8</v>
      </c>
      <c r="M761" t="s">
        <v>27</v>
      </c>
      <c r="N761">
        <v>22</v>
      </c>
      <c r="O761">
        <v>3</v>
      </c>
      <c r="P761">
        <v>3</v>
      </c>
      <c r="Q761">
        <v>5.9305841685598297</v>
      </c>
      <c r="R761">
        <v>6.7</v>
      </c>
      <c r="T761" s="358" t="str">
        <f t="shared" si="64"/>
        <v>1999FemaleNon-Maori25Hanging, strangulation and suffocation</v>
      </c>
      <c r="U761" s="360">
        <v>1999</v>
      </c>
      <c r="V761" s="360" t="s">
        <v>8</v>
      </c>
      <c r="W761" s="360" t="s">
        <v>19</v>
      </c>
      <c r="X761" s="360">
        <v>25</v>
      </c>
      <c r="Y761" s="360" t="s">
        <v>43</v>
      </c>
      <c r="Z761" s="360">
        <v>6</v>
      </c>
      <c r="AA761" s="360">
        <v>16</v>
      </c>
      <c r="AB761" s="360">
        <v>37.5</v>
      </c>
    </row>
    <row r="762" spans="1:28" x14ac:dyDescent="0.2">
      <c r="A762" t="str">
        <f t="shared" si="62"/>
        <v>2008MaleMaori24</v>
      </c>
      <c r="B762">
        <v>2008</v>
      </c>
      <c r="C762" t="s">
        <v>20</v>
      </c>
      <c r="D762" t="s">
        <v>18</v>
      </c>
      <c r="E762">
        <v>24</v>
      </c>
      <c r="F762">
        <v>8</v>
      </c>
      <c r="G762">
        <v>15.7946692991116</v>
      </c>
      <c r="H762">
        <v>10.9</v>
      </c>
      <c r="J762" s="358" t="str">
        <f t="shared" si="63"/>
        <v>2001FemaleAllEth224</v>
      </c>
      <c r="K762" s="359">
        <v>2001</v>
      </c>
      <c r="L762" t="s">
        <v>8</v>
      </c>
      <c r="M762" t="s">
        <v>27</v>
      </c>
      <c r="N762">
        <v>22</v>
      </c>
      <c r="O762">
        <v>4</v>
      </c>
      <c r="P762">
        <v>3</v>
      </c>
      <c r="Q762">
        <v>5.3026931823979897</v>
      </c>
      <c r="R762">
        <v>6</v>
      </c>
      <c r="T762" s="358" t="str">
        <f t="shared" si="64"/>
        <v>1999FemaleNon-Maori22Jumping from a high place</v>
      </c>
      <c r="U762" s="360">
        <v>1999</v>
      </c>
      <c r="V762" s="360" t="s">
        <v>8</v>
      </c>
      <c r="W762" s="360" t="s">
        <v>19</v>
      </c>
      <c r="X762" s="360">
        <v>22</v>
      </c>
      <c r="Y762" s="360" t="s">
        <v>44</v>
      </c>
      <c r="Z762" s="360">
        <v>1</v>
      </c>
      <c r="AA762" s="360">
        <v>27</v>
      </c>
      <c r="AB762" s="360">
        <v>3.7</v>
      </c>
    </row>
    <row r="763" spans="1:28" x14ac:dyDescent="0.2">
      <c r="A763" t="str">
        <f t="shared" si="62"/>
        <v>2008MaleMaori25</v>
      </c>
      <c r="B763">
        <v>2008</v>
      </c>
      <c r="C763" t="s">
        <v>20</v>
      </c>
      <c r="D763" t="s">
        <v>18</v>
      </c>
      <c r="E763">
        <v>25</v>
      </c>
      <c r="F763">
        <v>1</v>
      </c>
      <c r="G763">
        <v>7.8554595443833497</v>
      </c>
      <c r="H763">
        <v>15.4</v>
      </c>
      <c r="J763" s="358" t="str">
        <f t="shared" si="63"/>
        <v>2001FemaleAllEth225</v>
      </c>
      <c r="K763" s="359">
        <v>2001</v>
      </c>
      <c r="L763" t="s">
        <v>8</v>
      </c>
      <c r="M763" t="s">
        <v>27</v>
      </c>
      <c r="N763">
        <v>22</v>
      </c>
      <c r="O763">
        <v>5</v>
      </c>
      <c r="P763">
        <v>7</v>
      </c>
      <c r="Q763">
        <v>10.3341459648537</v>
      </c>
      <c r="R763">
        <v>7.7</v>
      </c>
      <c r="T763" s="358" t="str">
        <f t="shared" si="64"/>
        <v>1999FemaleNon-Maori23Jumping from a high place</v>
      </c>
      <c r="U763" s="360">
        <v>1999</v>
      </c>
      <c r="V763" s="360" t="s">
        <v>8</v>
      </c>
      <c r="W763" s="360" t="s">
        <v>19</v>
      </c>
      <c r="X763" s="360">
        <v>23</v>
      </c>
      <c r="Y763" s="360" t="s">
        <v>44</v>
      </c>
      <c r="Z763" s="360">
        <v>1</v>
      </c>
      <c r="AA763" s="360">
        <v>48</v>
      </c>
      <c r="AB763" s="360">
        <v>2.1</v>
      </c>
    </row>
    <row r="764" spans="1:28" x14ac:dyDescent="0.2">
      <c r="A764" t="str">
        <f t="shared" si="62"/>
        <v>2008MaleNon-Maori21</v>
      </c>
      <c r="B764">
        <v>2008</v>
      </c>
      <c r="C764" t="s">
        <v>20</v>
      </c>
      <c r="D764" t="s">
        <v>19</v>
      </c>
      <c r="E764">
        <v>21</v>
      </c>
      <c r="F764">
        <v>0</v>
      </c>
      <c r="J764" s="358" t="str">
        <f t="shared" si="63"/>
        <v>2001FemaleAllEth231</v>
      </c>
      <c r="K764" s="359">
        <v>2001</v>
      </c>
      <c r="L764" t="s">
        <v>8</v>
      </c>
      <c r="M764" t="s">
        <v>27</v>
      </c>
      <c r="N764">
        <v>23</v>
      </c>
      <c r="O764">
        <v>1</v>
      </c>
      <c r="P764">
        <v>8</v>
      </c>
      <c r="Q764">
        <v>6.8148919283831999</v>
      </c>
      <c r="R764">
        <v>4.7</v>
      </c>
      <c r="T764" s="358" t="str">
        <f t="shared" si="64"/>
        <v>1999FemaleNon-Maori25Jumping from a high place</v>
      </c>
      <c r="U764" s="360">
        <v>1999</v>
      </c>
      <c r="V764" s="360" t="s">
        <v>8</v>
      </c>
      <c r="W764" s="360" t="s">
        <v>19</v>
      </c>
      <c r="X764" s="360">
        <v>25</v>
      </c>
      <c r="Y764" s="360" t="s">
        <v>44</v>
      </c>
      <c r="Z764" s="360">
        <v>2</v>
      </c>
      <c r="AA764" s="360">
        <v>16</v>
      </c>
      <c r="AB764" s="360">
        <v>12.5</v>
      </c>
    </row>
    <row r="765" spans="1:28" x14ac:dyDescent="0.2">
      <c r="A765" t="str">
        <f t="shared" si="62"/>
        <v>2008MaleNon-Maori22</v>
      </c>
      <c r="B765">
        <v>2008</v>
      </c>
      <c r="C765" t="s">
        <v>20</v>
      </c>
      <c r="D765" t="s">
        <v>19</v>
      </c>
      <c r="E765">
        <v>22</v>
      </c>
      <c r="F765">
        <v>66</v>
      </c>
      <c r="G765">
        <v>26.791150801704902</v>
      </c>
      <c r="H765">
        <v>6.5</v>
      </c>
      <c r="J765" s="358" t="str">
        <f t="shared" si="63"/>
        <v>2001FemaleAllEth232</v>
      </c>
      <c r="K765" s="359">
        <v>2001</v>
      </c>
      <c r="L765" t="s">
        <v>8</v>
      </c>
      <c r="M765" t="s">
        <v>27</v>
      </c>
      <c r="N765">
        <v>23</v>
      </c>
      <c r="O765">
        <v>2</v>
      </c>
      <c r="P765">
        <v>8</v>
      </c>
      <c r="Q765">
        <v>6.5332695363812903</v>
      </c>
      <c r="R765">
        <v>4.5</v>
      </c>
      <c r="T765" s="358" t="str">
        <f t="shared" si="64"/>
        <v>1999FemaleNon-Maori23Other</v>
      </c>
      <c r="U765" s="360">
        <v>1999</v>
      </c>
      <c r="V765" s="360" t="s">
        <v>8</v>
      </c>
      <c r="W765" s="360" t="s">
        <v>19</v>
      </c>
      <c r="X765" s="360">
        <v>23</v>
      </c>
      <c r="Y765" s="360" t="s">
        <v>45</v>
      </c>
      <c r="Z765" s="360">
        <v>1</v>
      </c>
      <c r="AA765" s="360">
        <v>48</v>
      </c>
      <c r="AB765" s="360">
        <v>2.1</v>
      </c>
    </row>
    <row r="766" spans="1:28" x14ac:dyDescent="0.2">
      <c r="A766" t="str">
        <f t="shared" si="62"/>
        <v>2008MaleNon-Maori23</v>
      </c>
      <c r="B766">
        <v>2008</v>
      </c>
      <c r="C766" t="s">
        <v>20</v>
      </c>
      <c r="D766" t="s">
        <v>19</v>
      </c>
      <c r="E766">
        <v>23</v>
      </c>
      <c r="F766">
        <v>105</v>
      </c>
      <c r="G766">
        <v>21.701837422235101</v>
      </c>
      <c r="H766">
        <v>4.2</v>
      </c>
      <c r="J766" s="358" t="str">
        <f t="shared" si="63"/>
        <v>2001FemaleAllEth233</v>
      </c>
      <c r="K766" s="359">
        <v>2001</v>
      </c>
      <c r="L766" t="s">
        <v>8</v>
      </c>
      <c r="M766" t="s">
        <v>27</v>
      </c>
      <c r="N766">
        <v>23</v>
      </c>
      <c r="O766">
        <v>3</v>
      </c>
      <c r="P766">
        <v>10</v>
      </c>
      <c r="Q766">
        <v>8.2252852644656507</v>
      </c>
      <c r="R766">
        <v>5.0999999999999996</v>
      </c>
      <c r="T766" s="358" t="str">
        <f t="shared" si="64"/>
        <v>1999FemaleNon-Maori24Other</v>
      </c>
      <c r="U766" s="360">
        <v>1999</v>
      </c>
      <c r="V766" s="360" t="s">
        <v>8</v>
      </c>
      <c r="W766" s="360" t="s">
        <v>19</v>
      </c>
      <c r="X766" s="360">
        <v>24</v>
      </c>
      <c r="Y766" s="360" t="s">
        <v>45</v>
      </c>
      <c r="Z766" s="360">
        <v>1</v>
      </c>
      <c r="AA766" s="360">
        <v>21</v>
      </c>
      <c r="AB766" s="360">
        <v>4.8</v>
      </c>
    </row>
    <row r="767" spans="1:28" x14ac:dyDescent="0.2">
      <c r="A767" t="str">
        <f t="shared" si="62"/>
        <v>2008MaleNon-Maori24</v>
      </c>
      <c r="B767">
        <v>2008</v>
      </c>
      <c r="C767" t="s">
        <v>20</v>
      </c>
      <c r="D767" t="s">
        <v>19</v>
      </c>
      <c r="E767">
        <v>24</v>
      </c>
      <c r="F767">
        <v>117</v>
      </c>
      <c r="G767">
        <v>25.138044389059601</v>
      </c>
      <c r="H767">
        <v>4.5999999999999996</v>
      </c>
      <c r="J767" s="358" t="str">
        <f t="shared" si="63"/>
        <v>2001FemaleAllEth234</v>
      </c>
      <c r="K767" s="359">
        <v>2001</v>
      </c>
      <c r="L767" t="s">
        <v>8</v>
      </c>
      <c r="M767" t="s">
        <v>27</v>
      </c>
      <c r="N767">
        <v>23</v>
      </c>
      <c r="O767">
        <v>4</v>
      </c>
      <c r="P767">
        <v>7</v>
      </c>
      <c r="Q767">
        <v>5.8675319438779701</v>
      </c>
      <c r="R767">
        <v>4.3</v>
      </c>
      <c r="T767" s="358" t="str">
        <f t="shared" si="64"/>
        <v>1999FemaleNon-Maori22Poisoning by gases and vapours</v>
      </c>
      <c r="U767" s="360">
        <v>1999</v>
      </c>
      <c r="V767" s="360" t="s">
        <v>8</v>
      </c>
      <c r="W767" s="360" t="s">
        <v>19</v>
      </c>
      <c r="X767" s="360">
        <v>22</v>
      </c>
      <c r="Y767" s="360" t="s">
        <v>46</v>
      </c>
      <c r="Z767" s="360">
        <v>3</v>
      </c>
      <c r="AA767" s="360">
        <v>27</v>
      </c>
      <c r="AB767" s="360">
        <v>11.1</v>
      </c>
    </row>
    <row r="768" spans="1:28" x14ac:dyDescent="0.2">
      <c r="A768" t="str">
        <f t="shared" si="62"/>
        <v>2008MaleNon-Maori25</v>
      </c>
      <c r="B768">
        <v>2008</v>
      </c>
      <c r="C768" t="s">
        <v>20</v>
      </c>
      <c r="D768" t="s">
        <v>19</v>
      </c>
      <c r="E768">
        <v>25</v>
      </c>
      <c r="F768">
        <v>35</v>
      </c>
      <c r="G768">
        <v>15.281840806881201</v>
      </c>
      <c r="H768">
        <v>5.0999999999999996</v>
      </c>
      <c r="J768" s="358" t="str">
        <f t="shared" si="63"/>
        <v>2001FemaleAllEth235</v>
      </c>
      <c r="K768" s="359">
        <v>2001</v>
      </c>
      <c r="L768" t="s">
        <v>8</v>
      </c>
      <c r="M768" t="s">
        <v>27</v>
      </c>
      <c r="N768">
        <v>23</v>
      </c>
      <c r="O768">
        <v>5</v>
      </c>
      <c r="P768">
        <v>13</v>
      </c>
      <c r="Q768">
        <v>11.4072179150469</v>
      </c>
      <c r="R768">
        <v>6.2</v>
      </c>
      <c r="T768" s="358" t="str">
        <f t="shared" si="64"/>
        <v>1999FemaleNon-Maori23Poisoning by gases and vapours</v>
      </c>
      <c r="U768" s="360">
        <v>1999</v>
      </c>
      <c r="V768" s="360" t="s">
        <v>8</v>
      </c>
      <c r="W768" s="360" t="s">
        <v>19</v>
      </c>
      <c r="X768" s="360">
        <v>23</v>
      </c>
      <c r="Y768" s="360" t="s">
        <v>46</v>
      </c>
      <c r="Z768" s="360">
        <v>14</v>
      </c>
      <c r="AA768" s="360">
        <v>48</v>
      </c>
      <c r="AB768" s="360">
        <v>29.2</v>
      </c>
    </row>
    <row r="769" spans="1:28" x14ac:dyDescent="0.2">
      <c r="A769" t="str">
        <f t="shared" si="62"/>
        <v>2009AllSexAllEth21</v>
      </c>
      <c r="B769">
        <v>2009</v>
      </c>
      <c r="C769" t="s">
        <v>17</v>
      </c>
      <c r="D769" t="s">
        <v>27</v>
      </c>
      <c r="E769">
        <v>21</v>
      </c>
      <c r="F769">
        <v>10</v>
      </c>
      <c r="J769" s="358" t="str">
        <f t="shared" si="63"/>
        <v>2001FemaleAllEth241</v>
      </c>
      <c r="K769" s="359">
        <v>2001</v>
      </c>
      <c r="L769" t="s">
        <v>8</v>
      </c>
      <c r="M769" t="s">
        <v>27</v>
      </c>
      <c r="N769">
        <v>24</v>
      </c>
      <c r="O769">
        <v>1</v>
      </c>
      <c r="P769">
        <v>3</v>
      </c>
      <c r="Q769">
        <v>2.8475585039786599</v>
      </c>
      <c r="R769">
        <v>3.2</v>
      </c>
      <c r="T769" s="358" t="str">
        <f t="shared" si="64"/>
        <v>1999FemaleNon-Maori24Poisoning by gases and vapours</v>
      </c>
      <c r="U769" s="360">
        <v>1999</v>
      </c>
      <c r="V769" s="360" t="s">
        <v>8</v>
      </c>
      <c r="W769" s="360" t="s">
        <v>19</v>
      </c>
      <c r="X769" s="360">
        <v>24</v>
      </c>
      <c r="Y769" s="360" t="s">
        <v>46</v>
      </c>
      <c r="Z769" s="360">
        <v>2</v>
      </c>
      <c r="AA769" s="360">
        <v>21</v>
      </c>
      <c r="AB769" s="360">
        <v>9.5</v>
      </c>
    </row>
    <row r="770" spans="1:28" x14ac:dyDescent="0.2">
      <c r="A770" t="str">
        <f t="shared" si="62"/>
        <v>2009AllSexAllEth22</v>
      </c>
      <c r="B770">
        <v>2009</v>
      </c>
      <c r="C770" t="s">
        <v>17</v>
      </c>
      <c r="D770" t="s">
        <v>27</v>
      </c>
      <c r="E770">
        <v>22</v>
      </c>
      <c r="F770">
        <v>116</v>
      </c>
      <c r="G770">
        <v>19.004554539794899</v>
      </c>
      <c r="H770">
        <v>3.5</v>
      </c>
      <c r="J770" s="358" t="str">
        <f t="shared" si="63"/>
        <v>2001FemaleAllEth242</v>
      </c>
      <c r="K770" s="359">
        <v>2001</v>
      </c>
      <c r="L770" t="s">
        <v>8</v>
      </c>
      <c r="M770" t="s">
        <v>27</v>
      </c>
      <c r="N770">
        <v>24</v>
      </c>
      <c r="O770">
        <v>2</v>
      </c>
      <c r="P770">
        <v>5</v>
      </c>
      <c r="Q770">
        <v>5.32540335225909</v>
      </c>
      <c r="R770">
        <v>4.7</v>
      </c>
      <c r="T770" s="358" t="str">
        <f t="shared" si="64"/>
        <v>1999FemaleNon-Maori25Poisoning by gases and vapours</v>
      </c>
      <c r="U770" s="360">
        <v>1999</v>
      </c>
      <c r="V770" s="360" t="s">
        <v>8</v>
      </c>
      <c r="W770" s="360" t="s">
        <v>19</v>
      </c>
      <c r="X770" s="360">
        <v>25</v>
      </c>
      <c r="Y770" s="360" t="s">
        <v>46</v>
      </c>
      <c r="Z770" s="360">
        <v>2</v>
      </c>
      <c r="AA770" s="360">
        <v>16</v>
      </c>
      <c r="AB770" s="360">
        <v>12.5</v>
      </c>
    </row>
    <row r="771" spans="1:28" x14ac:dyDescent="0.2">
      <c r="A771" t="str">
        <f t="shared" si="62"/>
        <v>2009AllSexAllEth23</v>
      </c>
      <c r="B771">
        <v>2009</v>
      </c>
      <c r="C771" t="s">
        <v>17</v>
      </c>
      <c r="D771" t="s">
        <v>27</v>
      </c>
      <c r="E771">
        <v>23</v>
      </c>
      <c r="F771">
        <v>173</v>
      </c>
      <c r="G771">
        <v>14.832724591457</v>
      </c>
      <c r="H771">
        <v>2.2000000000000002</v>
      </c>
      <c r="J771" s="358" t="str">
        <f t="shared" si="63"/>
        <v>2001FemaleAllEth243</v>
      </c>
      <c r="K771" s="359">
        <v>2001</v>
      </c>
      <c r="L771" t="s">
        <v>8</v>
      </c>
      <c r="M771" t="s">
        <v>27</v>
      </c>
      <c r="N771">
        <v>24</v>
      </c>
      <c r="O771">
        <v>3</v>
      </c>
      <c r="P771">
        <v>10</v>
      </c>
      <c r="Q771">
        <v>11.708211457946801</v>
      </c>
      <c r="R771">
        <v>7.3</v>
      </c>
      <c r="T771" s="358" t="str">
        <f t="shared" si="64"/>
        <v>1999FemaleNon-Maori22Poisoning by solids and liquids</v>
      </c>
      <c r="U771" s="360">
        <v>1999</v>
      </c>
      <c r="V771" s="360" t="s">
        <v>8</v>
      </c>
      <c r="W771" s="360" t="s">
        <v>19</v>
      </c>
      <c r="X771" s="360">
        <v>22</v>
      </c>
      <c r="Y771" s="360" t="s">
        <v>47</v>
      </c>
      <c r="Z771" s="360">
        <v>3</v>
      </c>
      <c r="AA771" s="360">
        <v>27</v>
      </c>
      <c r="AB771" s="360">
        <v>11.1</v>
      </c>
    </row>
    <row r="772" spans="1:28" x14ac:dyDescent="0.2">
      <c r="A772" t="str">
        <f t="shared" ref="A772:A835" si="65">B772&amp;C772&amp;D772&amp;E772</f>
        <v>2009AllSexAllEth24</v>
      </c>
      <c r="B772">
        <v>2009</v>
      </c>
      <c r="C772" t="s">
        <v>17</v>
      </c>
      <c r="D772" t="s">
        <v>27</v>
      </c>
      <c r="E772">
        <v>24</v>
      </c>
      <c r="F772">
        <v>159</v>
      </c>
      <c r="G772">
        <v>14.740238068750701</v>
      </c>
      <c r="H772">
        <v>2.2999999999999998</v>
      </c>
      <c r="J772" s="358" t="str">
        <f t="shared" ref="J772:J835" si="66">K772&amp;L772&amp;M772&amp;N772&amp;O772</f>
        <v>2001FemaleAllEth244</v>
      </c>
      <c r="K772" s="359">
        <v>2001</v>
      </c>
      <c r="L772" t="s">
        <v>8</v>
      </c>
      <c r="M772" t="s">
        <v>27</v>
      </c>
      <c r="N772">
        <v>24</v>
      </c>
      <c r="O772">
        <v>4</v>
      </c>
      <c r="P772">
        <v>4</v>
      </c>
      <c r="Q772">
        <v>5.1028486066611096</v>
      </c>
      <c r="R772">
        <v>5</v>
      </c>
      <c r="T772" s="358" t="str">
        <f t="shared" si="64"/>
        <v>1999FemaleNon-Maori23Poisoning by solids and liquids</v>
      </c>
      <c r="U772" s="360">
        <v>1999</v>
      </c>
      <c r="V772" s="360" t="s">
        <v>8</v>
      </c>
      <c r="W772" s="360" t="s">
        <v>19</v>
      </c>
      <c r="X772" s="360">
        <v>23</v>
      </c>
      <c r="Y772" s="360" t="s">
        <v>47</v>
      </c>
      <c r="Z772" s="360">
        <v>13</v>
      </c>
      <c r="AA772" s="360">
        <v>48</v>
      </c>
      <c r="AB772" s="360">
        <v>27.1</v>
      </c>
    </row>
    <row r="773" spans="1:28" x14ac:dyDescent="0.2">
      <c r="A773" t="str">
        <f t="shared" si="65"/>
        <v>2009AllSexAllEth25</v>
      </c>
      <c r="B773">
        <v>2009</v>
      </c>
      <c r="C773" t="s">
        <v>17</v>
      </c>
      <c r="D773" t="s">
        <v>27</v>
      </c>
      <c r="E773">
        <v>25</v>
      </c>
      <c r="F773">
        <v>54</v>
      </c>
      <c r="G773">
        <v>9.8484433988072393</v>
      </c>
      <c r="H773">
        <v>2.6</v>
      </c>
      <c r="J773" s="358" t="str">
        <f t="shared" si="66"/>
        <v>2001FemaleAllEth245</v>
      </c>
      <c r="K773" s="359">
        <v>2001</v>
      </c>
      <c r="L773" t="s">
        <v>8</v>
      </c>
      <c r="M773" t="s">
        <v>27</v>
      </c>
      <c r="N773">
        <v>24</v>
      </c>
      <c r="O773">
        <v>5</v>
      </c>
      <c r="P773">
        <v>3</v>
      </c>
      <c r="Q773">
        <v>4.2955783532586702</v>
      </c>
      <c r="R773">
        <v>4.9000000000000004</v>
      </c>
      <c r="T773" s="358" t="str">
        <f t="shared" ref="T773:T836" si="67">U773&amp;V773&amp;W773&amp;X773&amp;Y773</f>
        <v>1999FemaleNon-Maori24Poisoning by solids and liquids</v>
      </c>
      <c r="U773" s="360">
        <v>1999</v>
      </c>
      <c r="V773" s="360" t="s">
        <v>8</v>
      </c>
      <c r="W773" s="360" t="s">
        <v>19</v>
      </c>
      <c r="X773" s="360">
        <v>24</v>
      </c>
      <c r="Y773" s="360" t="s">
        <v>47</v>
      </c>
      <c r="Z773" s="360">
        <v>9</v>
      </c>
      <c r="AA773" s="360">
        <v>21</v>
      </c>
      <c r="AB773" s="360">
        <v>42.9</v>
      </c>
    </row>
    <row r="774" spans="1:28" x14ac:dyDescent="0.2">
      <c r="A774" t="str">
        <f t="shared" si="65"/>
        <v>2009AllSexMaori21</v>
      </c>
      <c r="B774">
        <v>2009</v>
      </c>
      <c r="C774" t="s">
        <v>17</v>
      </c>
      <c r="D774" t="s">
        <v>18</v>
      </c>
      <c r="E774">
        <v>21</v>
      </c>
      <c r="F774">
        <v>5</v>
      </c>
      <c r="J774" s="358" t="str">
        <f t="shared" si="66"/>
        <v>2001FemaleAllEth251</v>
      </c>
      <c r="K774" s="359">
        <v>2001</v>
      </c>
      <c r="L774" t="s">
        <v>8</v>
      </c>
      <c r="M774" t="s">
        <v>27</v>
      </c>
      <c r="N774">
        <v>25</v>
      </c>
      <c r="O774">
        <v>1</v>
      </c>
      <c r="P774">
        <v>0</v>
      </c>
      <c r="Q774">
        <v>0</v>
      </c>
      <c r="T774" s="358" t="str">
        <f t="shared" si="67"/>
        <v>1999FemaleNon-Maori25Poisoning by solids and liquids</v>
      </c>
      <c r="U774" s="360">
        <v>1999</v>
      </c>
      <c r="V774" s="360" t="s">
        <v>8</v>
      </c>
      <c r="W774" s="360" t="s">
        <v>19</v>
      </c>
      <c r="X774" s="360">
        <v>25</v>
      </c>
      <c r="Y774" s="360" t="s">
        <v>47</v>
      </c>
      <c r="Z774" s="360">
        <v>4</v>
      </c>
      <c r="AA774" s="360">
        <v>16</v>
      </c>
      <c r="AB774" s="360">
        <v>25</v>
      </c>
    </row>
    <row r="775" spans="1:28" x14ac:dyDescent="0.2">
      <c r="A775" t="str">
        <f t="shared" si="65"/>
        <v>2009AllSexMaori22</v>
      </c>
      <c r="B775">
        <v>2009</v>
      </c>
      <c r="C775" t="s">
        <v>17</v>
      </c>
      <c r="D775" t="s">
        <v>18</v>
      </c>
      <c r="E775">
        <v>22</v>
      </c>
      <c r="F775">
        <v>35</v>
      </c>
      <c r="G775">
        <v>28.863598878443</v>
      </c>
      <c r="H775">
        <v>9.6</v>
      </c>
      <c r="J775" s="358" t="str">
        <f t="shared" si="66"/>
        <v>2001FemaleAllEth252</v>
      </c>
      <c r="K775" s="359">
        <v>2001</v>
      </c>
      <c r="L775" t="s">
        <v>8</v>
      </c>
      <c r="M775" t="s">
        <v>27</v>
      </c>
      <c r="N775">
        <v>25</v>
      </c>
      <c r="O775">
        <v>2</v>
      </c>
      <c r="P775">
        <v>1</v>
      </c>
      <c r="Q775">
        <v>1.89253776022583</v>
      </c>
      <c r="R775">
        <v>3.7</v>
      </c>
      <c r="T775" s="358" t="str">
        <f t="shared" si="67"/>
        <v>1999FemaleNon-Maori23Sharp object</v>
      </c>
      <c r="U775" s="360">
        <v>1999</v>
      </c>
      <c r="V775" s="360" t="s">
        <v>8</v>
      </c>
      <c r="W775" s="360" t="s">
        <v>19</v>
      </c>
      <c r="X775" s="360">
        <v>23</v>
      </c>
      <c r="Y775" s="360" t="s">
        <v>48</v>
      </c>
      <c r="Z775" s="360">
        <v>2</v>
      </c>
      <c r="AA775" s="360">
        <v>48</v>
      </c>
      <c r="AB775" s="360">
        <v>4.2</v>
      </c>
    </row>
    <row r="776" spans="1:28" x14ac:dyDescent="0.2">
      <c r="A776" t="str">
        <f t="shared" si="65"/>
        <v>2009AllSexMaori23</v>
      </c>
      <c r="B776">
        <v>2009</v>
      </c>
      <c r="C776" t="s">
        <v>17</v>
      </c>
      <c r="D776" t="s">
        <v>18</v>
      </c>
      <c r="E776">
        <v>23</v>
      </c>
      <c r="F776">
        <v>31</v>
      </c>
      <c r="G776">
        <v>18.520731270163701</v>
      </c>
      <c r="H776">
        <v>6.5</v>
      </c>
      <c r="J776" s="358" t="str">
        <f t="shared" si="66"/>
        <v>2001FemaleAllEth253</v>
      </c>
      <c r="K776" s="359">
        <v>2001</v>
      </c>
      <c r="L776" t="s">
        <v>8</v>
      </c>
      <c r="M776" t="s">
        <v>27</v>
      </c>
      <c r="N776">
        <v>25</v>
      </c>
      <c r="O776">
        <v>3</v>
      </c>
      <c r="P776">
        <v>4</v>
      </c>
      <c r="Q776">
        <v>7.1053718593922603</v>
      </c>
      <c r="R776">
        <v>7</v>
      </c>
      <c r="T776" s="358" t="str">
        <f t="shared" si="67"/>
        <v>1999FemaleNon-Maori23Submersion (drowning)</v>
      </c>
      <c r="U776" s="360">
        <v>1999</v>
      </c>
      <c r="V776" s="360" t="s">
        <v>8</v>
      </c>
      <c r="W776" s="360" t="s">
        <v>19</v>
      </c>
      <c r="X776" s="360">
        <v>23</v>
      </c>
      <c r="Y776" s="360" t="s">
        <v>49</v>
      </c>
      <c r="Z776" s="360">
        <v>1</v>
      </c>
      <c r="AA776" s="360">
        <v>48</v>
      </c>
      <c r="AB776" s="360">
        <v>2.1</v>
      </c>
    </row>
    <row r="777" spans="1:28" x14ac:dyDescent="0.2">
      <c r="A777" t="str">
        <f t="shared" si="65"/>
        <v>2009AllSexMaori24</v>
      </c>
      <c r="B777">
        <v>2009</v>
      </c>
      <c r="C777" t="s">
        <v>17</v>
      </c>
      <c r="D777" t="s">
        <v>18</v>
      </c>
      <c r="E777">
        <v>24</v>
      </c>
      <c r="F777">
        <v>11</v>
      </c>
      <c r="G777">
        <v>9.8858632156016899</v>
      </c>
      <c r="H777">
        <v>5.8</v>
      </c>
      <c r="J777" s="358" t="str">
        <f t="shared" si="66"/>
        <v>2001FemaleAllEth254</v>
      </c>
      <c r="K777" s="359">
        <v>2001</v>
      </c>
      <c r="L777" t="s">
        <v>8</v>
      </c>
      <c r="M777" t="s">
        <v>27</v>
      </c>
      <c r="N777">
        <v>25</v>
      </c>
      <c r="O777">
        <v>4</v>
      </c>
      <c r="P777">
        <v>8</v>
      </c>
      <c r="Q777">
        <v>13.6918768971173</v>
      </c>
      <c r="R777">
        <v>9.5</v>
      </c>
      <c r="T777" s="358" t="str">
        <f t="shared" si="67"/>
        <v>1999FemaleNon-Maori24Submersion (drowning)</v>
      </c>
      <c r="U777" s="360">
        <v>1999</v>
      </c>
      <c r="V777" s="360" t="s">
        <v>8</v>
      </c>
      <c r="W777" s="360" t="s">
        <v>19</v>
      </c>
      <c r="X777" s="360">
        <v>24</v>
      </c>
      <c r="Y777" s="360" t="s">
        <v>49</v>
      </c>
      <c r="Z777" s="360">
        <v>3</v>
      </c>
      <c r="AA777" s="360">
        <v>21</v>
      </c>
      <c r="AB777" s="360">
        <v>14.3</v>
      </c>
    </row>
    <row r="778" spans="1:28" x14ac:dyDescent="0.2">
      <c r="A778" t="str">
        <f t="shared" si="65"/>
        <v>2009AllSexMaori25</v>
      </c>
      <c r="B778">
        <v>2009</v>
      </c>
      <c r="C778" t="s">
        <v>17</v>
      </c>
      <c r="D778" t="s">
        <v>18</v>
      </c>
      <c r="E778">
        <v>25</v>
      </c>
      <c r="F778">
        <v>1</v>
      </c>
      <c r="G778">
        <v>3.4048348655090201</v>
      </c>
      <c r="H778">
        <v>6.7</v>
      </c>
      <c r="J778" s="358" t="str">
        <f t="shared" si="66"/>
        <v>2001FemaleAllEth255</v>
      </c>
      <c r="K778" s="359">
        <v>2001</v>
      </c>
      <c r="L778" t="s">
        <v>8</v>
      </c>
      <c r="M778" t="s">
        <v>27</v>
      </c>
      <c r="N778">
        <v>25</v>
      </c>
      <c r="O778">
        <v>5</v>
      </c>
      <c r="P778">
        <v>3</v>
      </c>
      <c r="Q778">
        <v>6.7374173749445498</v>
      </c>
      <c r="R778">
        <v>7.6</v>
      </c>
      <c r="T778" s="358" t="str">
        <f t="shared" si="67"/>
        <v>1999FemaleNon-Maori25Submersion (drowning)</v>
      </c>
      <c r="U778" s="360">
        <v>1999</v>
      </c>
      <c r="V778" s="360" t="s">
        <v>8</v>
      </c>
      <c r="W778" s="360" t="s">
        <v>19</v>
      </c>
      <c r="X778" s="360">
        <v>25</v>
      </c>
      <c r="Y778" s="360" t="s">
        <v>49</v>
      </c>
      <c r="Z778" s="360">
        <v>1</v>
      </c>
      <c r="AA778" s="360">
        <v>16</v>
      </c>
      <c r="AB778" s="360">
        <v>6.2</v>
      </c>
    </row>
    <row r="779" spans="1:28" x14ac:dyDescent="0.2">
      <c r="A779" t="str">
        <f t="shared" si="65"/>
        <v>2009AllSexNon-Maori21</v>
      </c>
      <c r="B779">
        <v>2009</v>
      </c>
      <c r="C779" t="s">
        <v>17</v>
      </c>
      <c r="D779" t="s">
        <v>19</v>
      </c>
      <c r="E779">
        <v>21</v>
      </c>
      <c r="F779">
        <v>5</v>
      </c>
      <c r="J779" s="358" t="str">
        <f t="shared" si="66"/>
        <v>2001FemaleMaori211</v>
      </c>
      <c r="K779" s="359">
        <v>2001</v>
      </c>
      <c r="L779" t="s">
        <v>8</v>
      </c>
      <c r="M779" t="s">
        <v>18</v>
      </c>
      <c r="N779">
        <v>21</v>
      </c>
      <c r="O779">
        <v>1</v>
      </c>
      <c r="P779">
        <v>0</v>
      </c>
      <c r="T779" s="358" t="str">
        <f t="shared" si="67"/>
        <v>1999MaleAllEth22Firearms and explosives</v>
      </c>
      <c r="U779" s="360">
        <v>1999</v>
      </c>
      <c r="V779" s="360" t="s">
        <v>20</v>
      </c>
      <c r="W779" s="360" t="s">
        <v>27</v>
      </c>
      <c r="X779" s="360">
        <v>22</v>
      </c>
      <c r="Y779" s="360" t="s">
        <v>42</v>
      </c>
      <c r="Z779" s="360">
        <v>3</v>
      </c>
      <c r="AA779" s="360">
        <v>83</v>
      </c>
      <c r="AB779" s="360">
        <v>3.6</v>
      </c>
    </row>
    <row r="780" spans="1:28" x14ac:dyDescent="0.2">
      <c r="A780" t="str">
        <f t="shared" si="65"/>
        <v>2009AllSexNon-Maori22</v>
      </c>
      <c r="B780">
        <v>2009</v>
      </c>
      <c r="C780" t="s">
        <v>17</v>
      </c>
      <c r="D780" t="s">
        <v>19</v>
      </c>
      <c r="E780">
        <v>22</v>
      </c>
      <c r="F780">
        <v>81</v>
      </c>
      <c r="G780">
        <v>16.560353287536799</v>
      </c>
      <c r="H780">
        <v>3.6</v>
      </c>
      <c r="J780" s="358" t="str">
        <f t="shared" si="66"/>
        <v>2001FemaleMaori212</v>
      </c>
      <c r="K780" s="359">
        <v>2001</v>
      </c>
      <c r="L780" t="s">
        <v>8</v>
      </c>
      <c r="M780" t="s">
        <v>18</v>
      </c>
      <c r="N780">
        <v>21</v>
      </c>
      <c r="O780">
        <v>2</v>
      </c>
      <c r="P780">
        <v>0</v>
      </c>
      <c r="T780" s="358" t="str">
        <f t="shared" si="67"/>
        <v>1999MaleAllEth23Firearms and explosives</v>
      </c>
      <c r="U780" s="360">
        <v>1999</v>
      </c>
      <c r="V780" s="360" t="s">
        <v>20</v>
      </c>
      <c r="W780" s="360" t="s">
        <v>27</v>
      </c>
      <c r="X780" s="360">
        <v>23</v>
      </c>
      <c r="Y780" s="360" t="s">
        <v>42</v>
      </c>
      <c r="Z780" s="360">
        <v>20</v>
      </c>
      <c r="AA780" s="360">
        <v>180</v>
      </c>
      <c r="AB780" s="360">
        <v>11.1</v>
      </c>
    </row>
    <row r="781" spans="1:28" x14ac:dyDescent="0.2">
      <c r="A781" t="str">
        <f t="shared" si="65"/>
        <v>2009AllSexNon-Maori23</v>
      </c>
      <c r="B781">
        <v>2009</v>
      </c>
      <c r="C781" t="s">
        <v>17</v>
      </c>
      <c r="D781" t="s">
        <v>19</v>
      </c>
      <c r="E781">
        <v>23</v>
      </c>
      <c r="F781">
        <v>142</v>
      </c>
      <c r="G781">
        <v>14.2147833747097</v>
      </c>
      <c r="H781">
        <v>2.2999999999999998</v>
      </c>
      <c r="J781" s="358" t="str">
        <f t="shared" si="66"/>
        <v>2001FemaleMaori213</v>
      </c>
      <c r="K781" s="359">
        <v>2001</v>
      </c>
      <c r="L781" t="s">
        <v>8</v>
      </c>
      <c r="M781" t="s">
        <v>18</v>
      </c>
      <c r="N781">
        <v>21</v>
      </c>
      <c r="O781">
        <v>3</v>
      </c>
      <c r="P781">
        <v>0</v>
      </c>
      <c r="T781" s="358" t="str">
        <f t="shared" si="67"/>
        <v>1999MaleAllEth24Firearms and explosives</v>
      </c>
      <c r="U781" s="360">
        <v>1999</v>
      </c>
      <c r="V781" s="360" t="s">
        <v>20</v>
      </c>
      <c r="W781" s="360" t="s">
        <v>27</v>
      </c>
      <c r="X781" s="360">
        <v>24</v>
      </c>
      <c r="Y781" s="360" t="s">
        <v>42</v>
      </c>
      <c r="Z781" s="360">
        <v>13</v>
      </c>
      <c r="AA781" s="360">
        <v>83</v>
      </c>
      <c r="AB781" s="360">
        <v>15.7</v>
      </c>
    </row>
    <row r="782" spans="1:28" x14ac:dyDescent="0.2">
      <c r="A782" t="str">
        <f t="shared" si="65"/>
        <v>2009AllSexNon-Maori24</v>
      </c>
      <c r="B782">
        <v>2009</v>
      </c>
      <c r="C782" t="s">
        <v>17</v>
      </c>
      <c r="D782" t="s">
        <v>19</v>
      </c>
      <c r="E782">
        <v>24</v>
      </c>
      <c r="F782">
        <v>148</v>
      </c>
      <c r="G782">
        <v>15.298580746529399</v>
      </c>
      <c r="H782">
        <v>2.5</v>
      </c>
      <c r="J782" s="358" t="str">
        <f t="shared" si="66"/>
        <v>2001FemaleMaori214</v>
      </c>
      <c r="K782" s="359">
        <v>2001</v>
      </c>
      <c r="L782" t="s">
        <v>8</v>
      </c>
      <c r="M782" t="s">
        <v>18</v>
      </c>
      <c r="N782">
        <v>21</v>
      </c>
      <c r="O782">
        <v>4</v>
      </c>
      <c r="P782">
        <v>0</v>
      </c>
      <c r="T782" s="358" t="str">
        <f t="shared" si="67"/>
        <v>1999MaleAllEth25Firearms and explosives</v>
      </c>
      <c r="U782" s="360">
        <v>1999</v>
      </c>
      <c r="V782" s="360" t="s">
        <v>20</v>
      </c>
      <c r="W782" s="360" t="s">
        <v>27</v>
      </c>
      <c r="X782" s="360">
        <v>25</v>
      </c>
      <c r="Y782" s="360" t="s">
        <v>42</v>
      </c>
      <c r="Z782" s="360">
        <v>7</v>
      </c>
      <c r="AA782" s="360">
        <v>36</v>
      </c>
      <c r="AB782" s="360">
        <v>19.399999999999999</v>
      </c>
    </row>
    <row r="783" spans="1:28" x14ac:dyDescent="0.2">
      <c r="A783" t="str">
        <f t="shared" si="65"/>
        <v>2009AllSexNon-Maori25</v>
      </c>
      <c r="B783">
        <v>2009</v>
      </c>
      <c r="C783" t="s">
        <v>17</v>
      </c>
      <c r="D783" t="s">
        <v>19</v>
      </c>
      <c r="E783">
        <v>25</v>
      </c>
      <c r="F783">
        <v>53</v>
      </c>
      <c r="G783">
        <v>10.2131267583921</v>
      </c>
      <c r="H783">
        <v>2.7</v>
      </c>
      <c r="J783" s="358" t="str">
        <f t="shared" si="66"/>
        <v>2001FemaleMaori215</v>
      </c>
      <c r="K783" s="359">
        <v>2001</v>
      </c>
      <c r="L783" t="s">
        <v>8</v>
      </c>
      <c r="M783" t="s">
        <v>18</v>
      </c>
      <c r="N783">
        <v>21</v>
      </c>
      <c r="O783">
        <v>5</v>
      </c>
      <c r="P783">
        <v>1</v>
      </c>
      <c r="T783" s="358" t="str">
        <f t="shared" si="67"/>
        <v>1999MaleAllEth21Hanging, strangulation and suffocation</v>
      </c>
      <c r="U783" s="360">
        <v>1999</v>
      </c>
      <c r="V783" s="360" t="s">
        <v>20</v>
      </c>
      <c r="W783" s="360" t="s">
        <v>27</v>
      </c>
      <c r="X783" s="360">
        <v>21</v>
      </c>
      <c r="Y783" s="360" t="s">
        <v>43</v>
      </c>
      <c r="Z783" s="360">
        <v>3</v>
      </c>
      <c r="AA783" s="360">
        <v>3</v>
      </c>
      <c r="AB783" s="360">
        <v>100</v>
      </c>
    </row>
    <row r="784" spans="1:28" x14ac:dyDescent="0.2">
      <c r="A784" t="str">
        <f t="shared" si="65"/>
        <v>2009FemaleAllEth21</v>
      </c>
      <c r="B784">
        <v>2009</v>
      </c>
      <c r="C784" t="s">
        <v>8</v>
      </c>
      <c r="D784" t="s">
        <v>27</v>
      </c>
      <c r="E784">
        <v>21</v>
      </c>
      <c r="F784">
        <v>4</v>
      </c>
      <c r="J784" s="358" t="str">
        <f t="shared" si="66"/>
        <v>2001FemaleMaori221</v>
      </c>
      <c r="K784" s="359">
        <v>2001</v>
      </c>
      <c r="L784" t="s">
        <v>8</v>
      </c>
      <c r="M784" t="s">
        <v>18</v>
      </c>
      <c r="N784">
        <v>22</v>
      </c>
      <c r="O784">
        <v>1</v>
      </c>
      <c r="P784">
        <v>0</v>
      </c>
      <c r="Q784">
        <v>0</v>
      </c>
      <c r="T784" s="358" t="str">
        <f t="shared" si="67"/>
        <v>1999MaleAllEth22Hanging, strangulation and suffocation</v>
      </c>
      <c r="U784" s="360">
        <v>1999</v>
      </c>
      <c r="V784" s="360" t="s">
        <v>20</v>
      </c>
      <c r="W784" s="360" t="s">
        <v>27</v>
      </c>
      <c r="X784" s="360">
        <v>22</v>
      </c>
      <c r="Y784" s="360" t="s">
        <v>43</v>
      </c>
      <c r="Z784" s="360">
        <v>54</v>
      </c>
      <c r="AA784" s="360">
        <v>83</v>
      </c>
      <c r="AB784" s="360">
        <v>65.099999999999994</v>
      </c>
    </row>
    <row r="785" spans="1:28" x14ac:dyDescent="0.2">
      <c r="A785" t="str">
        <f t="shared" si="65"/>
        <v>2009FemaleAllEth22</v>
      </c>
      <c r="B785">
        <v>2009</v>
      </c>
      <c r="C785" t="s">
        <v>8</v>
      </c>
      <c r="D785" t="s">
        <v>27</v>
      </c>
      <c r="E785">
        <v>22</v>
      </c>
      <c r="F785">
        <v>21</v>
      </c>
      <c r="G785">
        <v>6.9318369367882502</v>
      </c>
      <c r="H785">
        <v>3</v>
      </c>
      <c r="J785" s="358" t="str">
        <f t="shared" si="66"/>
        <v>2001FemaleMaori222</v>
      </c>
      <c r="K785" s="359">
        <v>2001</v>
      </c>
      <c r="L785" t="s">
        <v>8</v>
      </c>
      <c r="M785" t="s">
        <v>18</v>
      </c>
      <c r="N785">
        <v>22</v>
      </c>
      <c r="O785">
        <v>2</v>
      </c>
      <c r="P785">
        <v>1</v>
      </c>
      <c r="Q785">
        <v>18.817013328976699</v>
      </c>
      <c r="R785">
        <v>36.9</v>
      </c>
      <c r="T785" s="358" t="str">
        <f t="shared" si="67"/>
        <v>1999MaleAllEth23Hanging, strangulation and suffocation</v>
      </c>
      <c r="U785" s="360">
        <v>1999</v>
      </c>
      <c r="V785" s="360" t="s">
        <v>20</v>
      </c>
      <c r="W785" s="360" t="s">
        <v>27</v>
      </c>
      <c r="X785" s="360">
        <v>23</v>
      </c>
      <c r="Y785" s="360" t="s">
        <v>43</v>
      </c>
      <c r="Z785" s="360">
        <v>77</v>
      </c>
      <c r="AA785" s="360">
        <v>180</v>
      </c>
      <c r="AB785" s="360">
        <v>42.8</v>
      </c>
    </row>
    <row r="786" spans="1:28" x14ac:dyDescent="0.2">
      <c r="A786" t="str">
        <f t="shared" si="65"/>
        <v>2009FemaleAllEth23</v>
      </c>
      <c r="B786">
        <v>2009</v>
      </c>
      <c r="C786" t="s">
        <v>8</v>
      </c>
      <c r="D786" t="s">
        <v>27</v>
      </c>
      <c r="E786">
        <v>23</v>
      </c>
      <c r="F786">
        <v>41</v>
      </c>
      <c r="G786">
        <v>6.7636675574911704</v>
      </c>
      <c r="H786">
        <v>2.1</v>
      </c>
      <c r="J786" s="358" t="str">
        <f t="shared" si="66"/>
        <v>2001FemaleMaori223</v>
      </c>
      <c r="K786" s="359">
        <v>2001</v>
      </c>
      <c r="L786" t="s">
        <v>8</v>
      </c>
      <c r="M786" t="s">
        <v>18</v>
      </c>
      <c r="N786">
        <v>22</v>
      </c>
      <c r="O786">
        <v>3</v>
      </c>
      <c r="P786">
        <v>1</v>
      </c>
      <c r="Q786">
        <v>12.085224922447701</v>
      </c>
      <c r="R786">
        <v>23.7</v>
      </c>
      <c r="T786" s="358" t="str">
        <f t="shared" si="67"/>
        <v>1999MaleAllEth24Hanging, strangulation and suffocation</v>
      </c>
      <c r="U786" s="360">
        <v>1999</v>
      </c>
      <c r="V786" s="360" t="s">
        <v>20</v>
      </c>
      <c r="W786" s="360" t="s">
        <v>27</v>
      </c>
      <c r="X786" s="360">
        <v>24</v>
      </c>
      <c r="Y786" s="360" t="s">
        <v>43</v>
      </c>
      <c r="Z786" s="360">
        <v>34</v>
      </c>
      <c r="AA786" s="360">
        <v>83</v>
      </c>
      <c r="AB786" s="360">
        <v>41</v>
      </c>
    </row>
    <row r="787" spans="1:28" x14ac:dyDescent="0.2">
      <c r="A787" t="str">
        <f t="shared" si="65"/>
        <v>2009FemaleAllEth24</v>
      </c>
      <c r="B787">
        <v>2009</v>
      </c>
      <c r="C787" t="s">
        <v>8</v>
      </c>
      <c r="D787" t="s">
        <v>27</v>
      </c>
      <c r="E787">
        <v>24</v>
      </c>
      <c r="F787">
        <v>39</v>
      </c>
      <c r="G787">
        <v>7.0749582758870897</v>
      </c>
      <c r="H787">
        <v>2.2000000000000002</v>
      </c>
      <c r="J787" s="358" t="str">
        <f t="shared" si="66"/>
        <v>2001FemaleMaori224</v>
      </c>
      <c r="K787" s="359">
        <v>2001</v>
      </c>
      <c r="L787" t="s">
        <v>8</v>
      </c>
      <c r="M787" t="s">
        <v>18</v>
      </c>
      <c r="N787">
        <v>22</v>
      </c>
      <c r="O787">
        <v>4</v>
      </c>
      <c r="P787">
        <v>2</v>
      </c>
      <c r="Q787">
        <v>15.9859290690655</v>
      </c>
      <c r="R787">
        <v>22.2</v>
      </c>
      <c r="T787" s="358" t="str">
        <f t="shared" si="67"/>
        <v>1999MaleAllEth25Hanging, strangulation and suffocation</v>
      </c>
      <c r="U787" s="360">
        <v>1999</v>
      </c>
      <c r="V787" s="360" t="s">
        <v>20</v>
      </c>
      <c r="W787" s="360" t="s">
        <v>27</v>
      </c>
      <c r="X787" s="360">
        <v>25</v>
      </c>
      <c r="Y787" s="360" t="s">
        <v>43</v>
      </c>
      <c r="Z787" s="360">
        <v>13</v>
      </c>
      <c r="AA787" s="360">
        <v>36</v>
      </c>
      <c r="AB787" s="360">
        <v>36.1</v>
      </c>
    </row>
    <row r="788" spans="1:28" x14ac:dyDescent="0.2">
      <c r="A788" t="str">
        <f t="shared" si="65"/>
        <v>2009FemaleAllEth25</v>
      </c>
      <c r="B788">
        <v>2009</v>
      </c>
      <c r="C788" t="s">
        <v>8</v>
      </c>
      <c r="D788" t="s">
        <v>27</v>
      </c>
      <c r="E788">
        <v>25</v>
      </c>
      <c r="F788">
        <v>13</v>
      </c>
      <c r="G788">
        <v>4.3381052491073504</v>
      </c>
      <c r="H788">
        <v>2.4</v>
      </c>
      <c r="J788" s="358" t="str">
        <f t="shared" si="66"/>
        <v>2001FemaleMaori225</v>
      </c>
      <c r="K788" s="359">
        <v>2001</v>
      </c>
      <c r="L788" t="s">
        <v>8</v>
      </c>
      <c r="M788" t="s">
        <v>18</v>
      </c>
      <c r="N788">
        <v>22</v>
      </c>
      <c r="O788">
        <v>5</v>
      </c>
      <c r="P788">
        <v>5</v>
      </c>
      <c r="Q788">
        <v>22.1659333157885</v>
      </c>
      <c r="R788">
        <v>19.399999999999999</v>
      </c>
      <c r="T788" s="358" t="str">
        <f t="shared" si="67"/>
        <v>1999MaleAllEth22Jumping from a high place</v>
      </c>
      <c r="U788" s="360">
        <v>1999</v>
      </c>
      <c r="V788" s="360" t="s">
        <v>20</v>
      </c>
      <c r="W788" s="360" t="s">
        <v>27</v>
      </c>
      <c r="X788" s="360">
        <v>22</v>
      </c>
      <c r="Y788" s="360" t="s">
        <v>44</v>
      </c>
      <c r="Z788" s="360">
        <v>8</v>
      </c>
      <c r="AA788" s="360">
        <v>83</v>
      </c>
      <c r="AB788" s="360">
        <v>9.6</v>
      </c>
    </row>
    <row r="789" spans="1:28" x14ac:dyDescent="0.2">
      <c r="A789" t="str">
        <f t="shared" si="65"/>
        <v>2009FemaleMaori21</v>
      </c>
      <c r="B789">
        <v>2009</v>
      </c>
      <c r="C789" t="s">
        <v>8</v>
      </c>
      <c r="D789" t="s">
        <v>18</v>
      </c>
      <c r="E789">
        <v>21</v>
      </c>
      <c r="F789">
        <v>2</v>
      </c>
      <c r="J789" s="358" t="str">
        <f t="shared" si="66"/>
        <v>2001FemaleMaori231</v>
      </c>
      <c r="K789" s="359">
        <v>2001</v>
      </c>
      <c r="L789" t="s">
        <v>8</v>
      </c>
      <c r="M789" t="s">
        <v>18</v>
      </c>
      <c r="N789">
        <v>23</v>
      </c>
      <c r="O789">
        <v>1</v>
      </c>
      <c r="P789">
        <v>1</v>
      </c>
      <c r="Q789">
        <v>14.777854941631601</v>
      </c>
      <c r="R789">
        <v>29</v>
      </c>
      <c r="T789" s="358" t="str">
        <f t="shared" si="67"/>
        <v>1999MaleAllEth23Jumping from a high place</v>
      </c>
      <c r="U789" s="360">
        <v>1999</v>
      </c>
      <c r="V789" s="360" t="s">
        <v>20</v>
      </c>
      <c r="W789" s="360" t="s">
        <v>27</v>
      </c>
      <c r="X789" s="360">
        <v>23</v>
      </c>
      <c r="Y789" s="360" t="s">
        <v>44</v>
      </c>
      <c r="Z789" s="360">
        <v>3</v>
      </c>
      <c r="AA789" s="360">
        <v>180</v>
      </c>
      <c r="AB789" s="360">
        <v>1.7</v>
      </c>
    </row>
    <row r="790" spans="1:28" x14ac:dyDescent="0.2">
      <c r="A790" t="str">
        <f t="shared" si="65"/>
        <v>2009FemaleMaori22</v>
      </c>
      <c r="B790">
        <v>2009</v>
      </c>
      <c r="C790" t="s">
        <v>8</v>
      </c>
      <c r="D790" t="s">
        <v>18</v>
      </c>
      <c r="E790">
        <v>22</v>
      </c>
      <c r="F790">
        <v>11</v>
      </c>
      <c r="G790">
        <v>17.889087656529501</v>
      </c>
      <c r="H790">
        <v>10.6</v>
      </c>
      <c r="J790" s="358" t="str">
        <f t="shared" si="66"/>
        <v>2001FemaleMaori232</v>
      </c>
      <c r="K790" s="359">
        <v>2001</v>
      </c>
      <c r="L790" t="s">
        <v>8</v>
      </c>
      <c r="M790" t="s">
        <v>18</v>
      </c>
      <c r="N790">
        <v>23</v>
      </c>
      <c r="O790">
        <v>2</v>
      </c>
      <c r="P790">
        <v>0</v>
      </c>
      <c r="Q790">
        <v>0</v>
      </c>
      <c r="T790" s="358" t="str">
        <f t="shared" si="67"/>
        <v>1999MaleAllEth24Jumping from a high place</v>
      </c>
      <c r="U790" s="360">
        <v>1999</v>
      </c>
      <c r="V790" s="360" t="s">
        <v>20</v>
      </c>
      <c r="W790" s="360" t="s">
        <v>27</v>
      </c>
      <c r="X790" s="360">
        <v>24</v>
      </c>
      <c r="Y790" s="360" t="s">
        <v>44</v>
      </c>
      <c r="Z790" s="360">
        <v>2</v>
      </c>
      <c r="AA790" s="360">
        <v>83</v>
      </c>
      <c r="AB790" s="360">
        <v>2.4</v>
      </c>
    </row>
    <row r="791" spans="1:28" x14ac:dyDescent="0.2">
      <c r="A791" t="str">
        <f t="shared" si="65"/>
        <v>2009FemaleMaori23</v>
      </c>
      <c r="B791">
        <v>2009</v>
      </c>
      <c r="C791" t="s">
        <v>8</v>
      </c>
      <c r="D791" t="s">
        <v>18</v>
      </c>
      <c r="E791">
        <v>23</v>
      </c>
      <c r="F791">
        <v>8</v>
      </c>
      <c r="G791">
        <v>8.9827082865483892</v>
      </c>
      <c r="H791">
        <v>6.2</v>
      </c>
      <c r="J791" s="358" t="str">
        <f t="shared" si="66"/>
        <v>2001FemaleMaori233</v>
      </c>
      <c r="K791" s="359">
        <v>2001</v>
      </c>
      <c r="L791" t="s">
        <v>8</v>
      </c>
      <c r="M791" t="s">
        <v>18</v>
      </c>
      <c r="N791">
        <v>23</v>
      </c>
      <c r="O791">
        <v>3</v>
      </c>
      <c r="P791">
        <v>2</v>
      </c>
      <c r="Q791">
        <v>14.0751236142577</v>
      </c>
      <c r="R791">
        <v>19.5</v>
      </c>
      <c r="T791" s="358" t="str">
        <f t="shared" si="67"/>
        <v>1999MaleAllEth22Other</v>
      </c>
      <c r="U791" s="360">
        <v>1999</v>
      </c>
      <c r="V791" s="360" t="s">
        <v>20</v>
      </c>
      <c r="W791" s="360" t="s">
        <v>27</v>
      </c>
      <c r="X791" s="360">
        <v>22</v>
      </c>
      <c r="Y791" s="360" t="s">
        <v>45</v>
      </c>
      <c r="Z791" s="360">
        <v>4</v>
      </c>
      <c r="AA791" s="360">
        <v>83</v>
      </c>
      <c r="AB791" s="360">
        <v>4.8</v>
      </c>
    </row>
    <row r="792" spans="1:28" x14ac:dyDescent="0.2">
      <c r="A792" t="str">
        <f t="shared" si="65"/>
        <v>2009FemaleMaori24</v>
      </c>
      <c r="B792">
        <v>2009</v>
      </c>
      <c r="C792" t="s">
        <v>8</v>
      </c>
      <c r="D792" t="s">
        <v>18</v>
      </c>
      <c r="E792">
        <v>24</v>
      </c>
      <c r="F792">
        <v>4</v>
      </c>
      <c r="G792">
        <v>6.8247739293635901</v>
      </c>
      <c r="H792">
        <v>6.7</v>
      </c>
      <c r="J792" s="358" t="str">
        <f t="shared" si="66"/>
        <v>2001FemaleMaori234</v>
      </c>
      <c r="K792" s="359">
        <v>2001</v>
      </c>
      <c r="L792" t="s">
        <v>8</v>
      </c>
      <c r="M792" t="s">
        <v>18</v>
      </c>
      <c r="N792">
        <v>23</v>
      </c>
      <c r="O792">
        <v>4</v>
      </c>
      <c r="P792">
        <v>1</v>
      </c>
      <c r="Q792">
        <v>4.7352846786851401</v>
      </c>
      <c r="R792">
        <v>9.3000000000000007</v>
      </c>
      <c r="T792" s="358" t="str">
        <f t="shared" si="67"/>
        <v>1999MaleAllEth23Other</v>
      </c>
      <c r="U792" s="360">
        <v>1999</v>
      </c>
      <c r="V792" s="360" t="s">
        <v>20</v>
      </c>
      <c r="W792" s="360" t="s">
        <v>27</v>
      </c>
      <c r="X792" s="360">
        <v>23</v>
      </c>
      <c r="Y792" s="360" t="s">
        <v>45</v>
      </c>
      <c r="Z792" s="360">
        <v>6</v>
      </c>
      <c r="AA792" s="360">
        <v>180</v>
      </c>
      <c r="AB792" s="360">
        <v>3.3</v>
      </c>
    </row>
    <row r="793" spans="1:28" x14ac:dyDescent="0.2">
      <c r="A793" t="str">
        <f t="shared" si="65"/>
        <v>2009FemaleMaori25</v>
      </c>
      <c r="B793">
        <v>2009</v>
      </c>
      <c r="C793" t="s">
        <v>8</v>
      </c>
      <c r="D793" t="s">
        <v>18</v>
      </c>
      <c r="E793">
        <v>25</v>
      </c>
      <c r="F793">
        <v>0</v>
      </c>
      <c r="G793">
        <v>0</v>
      </c>
      <c r="J793" s="358" t="str">
        <f t="shared" si="66"/>
        <v>2001FemaleMaori235</v>
      </c>
      <c r="K793" s="359">
        <v>2001</v>
      </c>
      <c r="L793" t="s">
        <v>8</v>
      </c>
      <c r="M793" t="s">
        <v>18</v>
      </c>
      <c r="N793">
        <v>23</v>
      </c>
      <c r="O793">
        <v>5</v>
      </c>
      <c r="P793">
        <v>4</v>
      </c>
      <c r="Q793">
        <v>11.0046767399309</v>
      </c>
      <c r="R793">
        <v>10.8</v>
      </c>
      <c r="T793" s="358" t="str">
        <f t="shared" si="67"/>
        <v>1999MaleAllEth24Other</v>
      </c>
      <c r="U793" s="360">
        <v>1999</v>
      </c>
      <c r="V793" s="360" t="s">
        <v>20</v>
      </c>
      <c r="W793" s="360" t="s">
        <v>27</v>
      </c>
      <c r="X793" s="360">
        <v>24</v>
      </c>
      <c r="Y793" s="360" t="s">
        <v>45</v>
      </c>
      <c r="Z793" s="360">
        <v>3</v>
      </c>
      <c r="AA793" s="360">
        <v>83</v>
      </c>
      <c r="AB793" s="360">
        <v>3.6</v>
      </c>
    </row>
    <row r="794" spans="1:28" x14ac:dyDescent="0.2">
      <c r="A794" t="str">
        <f t="shared" si="65"/>
        <v>2009FemaleNon-Maori21</v>
      </c>
      <c r="B794">
        <v>2009</v>
      </c>
      <c r="C794" t="s">
        <v>8</v>
      </c>
      <c r="D794" t="s">
        <v>19</v>
      </c>
      <c r="E794">
        <v>21</v>
      </c>
      <c r="F794">
        <v>2</v>
      </c>
      <c r="J794" s="358" t="str">
        <f t="shared" si="66"/>
        <v>2001FemaleMaori241</v>
      </c>
      <c r="K794" s="359">
        <v>2001</v>
      </c>
      <c r="L794" t="s">
        <v>8</v>
      </c>
      <c r="M794" t="s">
        <v>18</v>
      </c>
      <c r="N794">
        <v>24</v>
      </c>
      <c r="O794">
        <v>1</v>
      </c>
      <c r="P794">
        <v>0</v>
      </c>
      <c r="Q794">
        <v>0</v>
      </c>
      <c r="T794" s="358" t="str">
        <f t="shared" si="67"/>
        <v>1999MaleAllEth25Other</v>
      </c>
      <c r="U794" s="360">
        <v>1999</v>
      </c>
      <c r="V794" s="360" t="s">
        <v>20</v>
      </c>
      <c r="W794" s="360" t="s">
        <v>27</v>
      </c>
      <c r="X794" s="360">
        <v>25</v>
      </c>
      <c r="Y794" s="360" t="s">
        <v>45</v>
      </c>
      <c r="Z794" s="360">
        <v>1</v>
      </c>
      <c r="AA794" s="360">
        <v>36</v>
      </c>
      <c r="AB794" s="360">
        <v>2.8</v>
      </c>
    </row>
    <row r="795" spans="1:28" x14ac:dyDescent="0.2">
      <c r="A795" t="str">
        <f t="shared" si="65"/>
        <v>2009FemaleNon-Maori22</v>
      </c>
      <c r="B795">
        <v>2009</v>
      </c>
      <c r="C795" t="s">
        <v>8</v>
      </c>
      <c r="D795" t="s">
        <v>19</v>
      </c>
      <c r="E795">
        <v>22</v>
      </c>
      <c r="F795">
        <v>10</v>
      </c>
      <c r="G795">
        <v>4.1414727076948603</v>
      </c>
      <c r="H795">
        <v>2.6</v>
      </c>
      <c r="J795" s="358" t="str">
        <f t="shared" si="66"/>
        <v>2001FemaleMaori242</v>
      </c>
      <c r="K795" s="359">
        <v>2001</v>
      </c>
      <c r="L795" t="s">
        <v>8</v>
      </c>
      <c r="M795" t="s">
        <v>18</v>
      </c>
      <c r="N795">
        <v>24</v>
      </c>
      <c r="O795">
        <v>2</v>
      </c>
      <c r="P795">
        <v>0</v>
      </c>
      <c r="Q795">
        <v>0</v>
      </c>
      <c r="T795" s="358" t="str">
        <f t="shared" si="67"/>
        <v>1999MaleAllEth22Poisoning by gases and vapours</v>
      </c>
      <c r="U795" s="360">
        <v>1999</v>
      </c>
      <c r="V795" s="360" t="s">
        <v>20</v>
      </c>
      <c r="W795" s="360" t="s">
        <v>27</v>
      </c>
      <c r="X795" s="360">
        <v>22</v>
      </c>
      <c r="Y795" s="360" t="s">
        <v>46</v>
      </c>
      <c r="Z795" s="360">
        <v>11</v>
      </c>
      <c r="AA795" s="360">
        <v>83</v>
      </c>
      <c r="AB795" s="360">
        <v>13.3</v>
      </c>
    </row>
    <row r="796" spans="1:28" x14ac:dyDescent="0.2">
      <c r="A796" t="str">
        <f t="shared" si="65"/>
        <v>2009FemaleNon-Maori23</v>
      </c>
      <c r="B796">
        <v>2009</v>
      </c>
      <c r="C796" t="s">
        <v>8</v>
      </c>
      <c r="D796" t="s">
        <v>19</v>
      </c>
      <c r="E796">
        <v>23</v>
      </c>
      <c r="F796">
        <v>33</v>
      </c>
      <c r="G796">
        <v>6.3814975247524801</v>
      </c>
      <c r="H796">
        <v>2.2000000000000002</v>
      </c>
      <c r="J796" s="358" t="str">
        <f t="shared" si="66"/>
        <v>2001FemaleMaori243</v>
      </c>
      <c r="K796" s="359">
        <v>2001</v>
      </c>
      <c r="L796" t="s">
        <v>8</v>
      </c>
      <c r="M796" t="s">
        <v>18</v>
      </c>
      <c r="N796">
        <v>24</v>
      </c>
      <c r="O796">
        <v>3</v>
      </c>
      <c r="P796">
        <v>0</v>
      </c>
      <c r="Q796">
        <v>0</v>
      </c>
      <c r="T796" s="358" t="str">
        <f t="shared" si="67"/>
        <v>1999MaleAllEth23Poisoning by gases and vapours</v>
      </c>
      <c r="U796" s="360">
        <v>1999</v>
      </c>
      <c r="V796" s="360" t="s">
        <v>20</v>
      </c>
      <c r="W796" s="360" t="s">
        <v>27</v>
      </c>
      <c r="X796" s="360">
        <v>23</v>
      </c>
      <c r="Y796" s="360" t="s">
        <v>46</v>
      </c>
      <c r="Z796" s="360">
        <v>57</v>
      </c>
      <c r="AA796" s="360">
        <v>180</v>
      </c>
      <c r="AB796" s="360">
        <v>31.7</v>
      </c>
    </row>
    <row r="797" spans="1:28" x14ac:dyDescent="0.2">
      <c r="A797" t="str">
        <f t="shared" si="65"/>
        <v>2009FemaleNon-Maori24</v>
      </c>
      <c r="B797">
        <v>2009</v>
      </c>
      <c r="C797" t="s">
        <v>8</v>
      </c>
      <c r="D797" t="s">
        <v>19</v>
      </c>
      <c r="E797">
        <v>24</v>
      </c>
      <c r="F797">
        <v>35</v>
      </c>
      <c r="G797">
        <v>7.1047236262509399</v>
      </c>
      <c r="H797">
        <v>2.4</v>
      </c>
      <c r="J797" s="358" t="str">
        <f t="shared" si="66"/>
        <v>2001FemaleMaori244</v>
      </c>
      <c r="K797" s="359">
        <v>2001</v>
      </c>
      <c r="L797" t="s">
        <v>8</v>
      </c>
      <c r="M797" t="s">
        <v>18</v>
      </c>
      <c r="N797">
        <v>24</v>
      </c>
      <c r="O797">
        <v>4</v>
      </c>
      <c r="P797">
        <v>0</v>
      </c>
      <c r="Q797">
        <v>0</v>
      </c>
      <c r="T797" s="358" t="str">
        <f t="shared" si="67"/>
        <v>1999MaleAllEth24Poisoning by gases and vapours</v>
      </c>
      <c r="U797" s="360">
        <v>1999</v>
      </c>
      <c r="V797" s="360" t="s">
        <v>20</v>
      </c>
      <c r="W797" s="360" t="s">
        <v>27</v>
      </c>
      <c r="X797" s="360">
        <v>24</v>
      </c>
      <c r="Y797" s="360" t="s">
        <v>46</v>
      </c>
      <c r="Z797" s="360">
        <v>18</v>
      </c>
      <c r="AA797" s="360">
        <v>83</v>
      </c>
      <c r="AB797" s="360">
        <v>21.7</v>
      </c>
    </row>
    <row r="798" spans="1:28" x14ac:dyDescent="0.2">
      <c r="A798" t="str">
        <f t="shared" si="65"/>
        <v>2009FemaleNon-Maori25</v>
      </c>
      <c r="B798">
        <v>2009</v>
      </c>
      <c r="C798" t="s">
        <v>8</v>
      </c>
      <c r="D798" t="s">
        <v>19</v>
      </c>
      <c r="E798">
        <v>25</v>
      </c>
      <c r="F798">
        <v>13</v>
      </c>
      <c r="G798">
        <v>4.5840826545364797</v>
      </c>
      <c r="H798">
        <v>2.5</v>
      </c>
      <c r="J798" s="358" t="str">
        <f t="shared" si="66"/>
        <v>2001FemaleMaori245</v>
      </c>
      <c r="K798" s="359">
        <v>2001</v>
      </c>
      <c r="L798" t="s">
        <v>8</v>
      </c>
      <c r="M798" t="s">
        <v>18</v>
      </c>
      <c r="N798">
        <v>24</v>
      </c>
      <c r="O798">
        <v>5</v>
      </c>
      <c r="P798">
        <v>0</v>
      </c>
      <c r="Q798">
        <v>0</v>
      </c>
      <c r="T798" s="358" t="str">
        <f t="shared" si="67"/>
        <v>1999MaleAllEth25Poisoning by gases and vapours</v>
      </c>
      <c r="U798" s="360">
        <v>1999</v>
      </c>
      <c r="V798" s="360" t="s">
        <v>20</v>
      </c>
      <c r="W798" s="360" t="s">
        <v>27</v>
      </c>
      <c r="X798" s="360">
        <v>25</v>
      </c>
      <c r="Y798" s="360" t="s">
        <v>46</v>
      </c>
      <c r="Z798" s="360">
        <v>9</v>
      </c>
      <c r="AA798" s="360">
        <v>36</v>
      </c>
      <c r="AB798" s="360">
        <v>25</v>
      </c>
    </row>
    <row r="799" spans="1:28" x14ac:dyDescent="0.2">
      <c r="A799" t="str">
        <f t="shared" si="65"/>
        <v>2009MaleAllEth21</v>
      </c>
      <c r="B799">
        <v>2009</v>
      </c>
      <c r="C799" t="s">
        <v>20</v>
      </c>
      <c r="D799" t="s">
        <v>27</v>
      </c>
      <c r="E799">
        <v>21</v>
      </c>
      <c r="F799">
        <v>6</v>
      </c>
      <c r="J799" s="358" t="str">
        <f t="shared" si="66"/>
        <v>2001FemaleMaori251</v>
      </c>
      <c r="K799" s="359">
        <v>2001</v>
      </c>
      <c r="L799" t="s">
        <v>8</v>
      </c>
      <c r="M799" t="s">
        <v>18</v>
      </c>
      <c r="N799">
        <v>25</v>
      </c>
      <c r="O799">
        <v>1</v>
      </c>
      <c r="P799">
        <v>0</v>
      </c>
      <c r="Q799">
        <v>0</v>
      </c>
      <c r="T799" s="358" t="str">
        <f t="shared" si="67"/>
        <v>1999MaleAllEth22Poisoning by solids and liquids</v>
      </c>
      <c r="U799" s="360">
        <v>1999</v>
      </c>
      <c r="V799" s="360" t="s">
        <v>20</v>
      </c>
      <c r="W799" s="360" t="s">
        <v>27</v>
      </c>
      <c r="X799" s="360">
        <v>22</v>
      </c>
      <c r="Y799" s="360" t="s">
        <v>47</v>
      </c>
      <c r="Z799" s="360">
        <v>3</v>
      </c>
      <c r="AA799" s="360">
        <v>83</v>
      </c>
      <c r="AB799" s="360">
        <v>3.6</v>
      </c>
    </row>
    <row r="800" spans="1:28" x14ac:dyDescent="0.2">
      <c r="A800" t="str">
        <f t="shared" si="65"/>
        <v>2009MaleAllEth22</v>
      </c>
      <c r="B800">
        <v>2009</v>
      </c>
      <c r="C800" t="s">
        <v>20</v>
      </c>
      <c r="D800" t="s">
        <v>27</v>
      </c>
      <c r="E800">
        <v>22</v>
      </c>
      <c r="F800">
        <v>95</v>
      </c>
      <c r="G800">
        <v>30.900338277387501</v>
      </c>
      <c r="H800">
        <v>6.2</v>
      </c>
      <c r="J800" s="358" t="str">
        <f t="shared" si="66"/>
        <v>2001FemaleMaori252</v>
      </c>
      <c r="K800" s="359">
        <v>2001</v>
      </c>
      <c r="L800" t="s">
        <v>8</v>
      </c>
      <c r="M800" t="s">
        <v>18</v>
      </c>
      <c r="N800">
        <v>25</v>
      </c>
      <c r="O800">
        <v>2</v>
      </c>
      <c r="P800">
        <v>0</v>
      </c>
      <c r="Q800">
        <v>0</v>
      </c>
      <c r="T800" s="358" t="str">
        <f t="shared" si="67"/>
        <v>1999MaleAllEth23Poisoning by solids and liquids</v>
      </c>
      <c r="U800" s="360">
        <v>1999</v>
      </c>
      <c r="V800" s="360" t="s">
        <v>20</v>
      </c>
      <c r="W800" s="360" t="s">
        <v>27</v>
      </c>
      <c r="X800" s="360">
        <v>23</v>
      </c>
      <c r="Y800" s="360" t="s">
        <v>47</v>
      </c>
      <c r="Z800" s="360">
        <v>9</v>
      </c>
      <c r="AA800" s="360">
        <v>180</v>
      </c>
      <c r="AB800" s="360">
        <v>5</v>
      </c>
    </row>
    <row r="801" spans="1:28" x14ac:dyDescent="0.2">
      <c r="A801" t="str">
        <f t="shared" si="65"/>
        <v>2009MaleAllEth23</v>
      </c>
      <c r="B801">
        <v>2009</v>
      </c>
      <c r="C801" t="s">
        <v>20</v>
      </c>
      <c r="D801" t="s">
        <v>27</v>
      </c>
      <c r="E801">
        <v>23</v>
      </c>
      <c r="F801">
        <v>132</v>
      </c>
      <c r="G801">
        <v>23.565116486655398</v>
      </c>
      <c r="H801">
        <v>4</v>
      </c>
      <c r="J801" s="358" t="str">
        <f t="shared" si="66"/>
        <v>2001FemaleMaori253</v>
      </c>
      <c r="K801" s="359">
        <v>2001</v>
      </c>
      <c r="L801" t="s">
        <v>8</v>
      </c>
      <c r="M801" t="s">
        <v>18</v>
      </c>
      <c r="N801">
        <v>25</v>
      </c>
      <c r="O801">
        <v>3</v>
      </c>
      <c r="P801">
        <v>0</v>
      </c>
      <c r="Q801">
        <v>0</v>
      </c>
      <c r="T801" s="358" t="str">
        <f t="shared" si="67"/>
        <v>1999MaleAllEth24Poisoning by solids and liquids</v>
      </c>
      <c r="U801" s="360">
        <v>1999</v>
      </c>
      <c r="V801" s="360" t="s">
        <v>20</v>
      </c>
      <c r="W801" s="360" t="s">
        <v>27</v>
      </c>
      <c r="X801" s="360">
        <v>24</v>
      </c>
      <c r="Y801" s="360" t="s">
        <v>47</v>
      </c>
      <c r="Z801" s="360">
        <v>9</v>
      </c>
      <c r="AA801" s="360">
        <v>83</v>
      </c>
      <c r="AB801" s="360">
        <v>10.8</v>
      </c>
    </row>
    <row r="802" spans="1:28" x14ac:dyDescent="0.2">
      <c r="A802" t="str">
        <f t="shared" si="65"/>
        <v>2009MaleAllEth24</v>
      </c>
      <c r="B802">
        <v>2009</v>
      </c>
      <c r="C802" t="s">
        <v>20</v>
      </c>
      <c r="D802" t="s">
        <v>27</v>
      </c>
      <c r="E802">
        <v>24</v>
      </c>
      <c r="F802">
        <v>120</v>
      </c>
      <c r="G802">
        <v>22.752265746463902</v>
      </c>
      <c r="H802">
        <v>4.0999999999999996</v>
      </c>
      <c r="J802" s="358" t="str">
        <f t="shared" si="66"/>
        <v>2001FemaleMaori254</v>
      </c>
      <c r="K802" s="359">
        <v>2001</v>
      </c>
      <c r="L802" t="s">
        <v>8</v>
      </c>
      <c r="M802" t="s">
        <v>18</v>
      </c>
      <c r="N802">
        <v>25</v>
      </c>
      <c r="O802">
        <v>4</v>
      </c>
      <c r="P802">
        <v>0</v>
      </c>
      <c r="Q802">
        <v>0</v>
      </c>
      <c r="T802" s="358" t="str">
        <f t="shared" si="67"/>
        <v>1999MaleAllEth25Poisoning by solids and liquids</v>
      </c>
      <c r="U802" s="360">
        <v>1999</v>
      </c>
      <c r="V802" s="360" t="s">
        <v>20</v>
      </c>
      <c r="W802" s="360" t="s">
        <v>27</v>
      </c>
      <c r="X802" s="360">
        <v>25</v>
      </c>
      <c r="Y802" s="360" t="s">
        <v>47</v>
      </c>
      <c r="Z802" s="360">
        <v>1</v>
      </c>
      <c r="AA802" s="360">
        <v>36</v>
      </c>
      <c r="AB802" s="360">
        <v>2.8</v>
      </c>
    </row>
    <row r="803" spans="1:28" x14ac:dyDescent="0.2">
      <c r="A803" t="str">
        <f t="shared" si="65"/>
        <v>2009MaleAllEth25</v>
      </c>
      <c r="B803">
        <v>2009</v>
      </c>
      <c r="C803" t="s">
        <v>20</v>
      </c>
      <c r="D803" t="s">
        <v>27</v>
      </c>
      <c r="E803">
        <v>25</v>
      </c>
      <c r="F803">
        <v>41</v>
      </c>
      <c r="G803">
        <v>16.489703989704001</v>
      </c>
      <c r="H803">
        <v>5</v>
      </c>
      <c r="J803" s="358" t="str">
        <f t="shared" si="66"/>
        <v>2001FemaleMaori255</v>
      </c>
      <c r="K803" s="359">
        <v>2001</v>
      </c>
      <c r="L803" t="s">
        <v>8</v>
      </c>
      <c r="M803" t="s">
        <v>18</v>
      </c>
      <c r="N803">
        <v>25</v>
      </c>
      <c r="O803">
        <v>5</v>
      </c>
      <c r="P803">
        <v>0</v>
      </c>
      <c r="Q803">
        <v>0</v>
      </c>
      <c r="T803" s="358" t="str">
        <f t="shared" si="67"/>
        <v>1999MaleAllEth23Sharp object</v>
      </c>
      <c r="U803" s="360">
        <v>1999</v>
      </c>
      <c r="V803" s="360" t="s">
        <v>20</v>
      </c>
      <c r="W803" s="360" t="s">
        <v>27</v>
      </c>
      <c r="X803" s="360">
        <v>23</v>
      </c>
      <c r="Y803" s="360" t="s">
        <v>48</v>
      </c>
      <c r="Z803" s="360">
        <v>4</v>
      </c>
      <c r="AA803" s="360">
        <v>180</v>
      </c>
      <c r="AB803" s="360">
        <v>2.2000000000000002</v>
      </c>
    </row>
    <row r="804" spans="1:28" x14ac:dyDescent="0.2">
      <c r="A804" t="str">
        <f t="shared" si="65"/>
        <v>2009MaleMaori21</v>
      </c>
      <c r="B804">
        <v>2009</v>
      </c>
      <c r="C804" t="s">
        <v>20</v>
      </c>
      <c r="D804" t="s">
        <v>18</v>
      </c>
      <c r="E804">
        <v>21</v>
      </c>
      <c r="F804">
        <v>3</v>
      </c>
      <c r="J804" s="358" t="str">
        <f t="shared" si="66"/>
        <v>2001FemaleNon-Maori211</v>
      </c>
      <c r="K804" s="359">
        <v>2001</v>
      </c>
      <c r="L804" t="s">
        <v>8</v>
      </c>
      <c r="M804" t="s">
        <v>19</v>
      </c>
      <c r="N804">
        <v>21</v>
      </c>
      <c r="O804">
        <v>1</v>
      </c>
      <c r="P804">
        <v>0</v>
      </c>
      <c r="T804" s="358" t="str">
        <f t="shared" si="67"/>
        <v>1999MaleAllEth24Sharp object</v>
      </c>
      <c r="U804" s="360">
        <v>1999</v>
      </c>
      <c r="V804" s="360" t="s">
        <v>20</v>
      </c>
      <c r="W804" s="360" t="s">
        <v>27</v>
      </c>
      <c r="X804" s="360">
        <v>24</v>
      </c>
      <c r="Y804" s="360" t="s">
        <v>48</v>
      </c>
      <c r="Z804" s="360">
        <v>1</v>
      </c>
      <c r="AA804" s="360">
        <v>83</v>
      </c>
      <c r="AB804" s="360">
        <v>1.2</v>
      </c>
    </row>
    <row r="805" spans="1:28" x14ac:dyDescent="0.2">
      <c r="A805" t="str">
        <f t="shared" si="65"/>
        <v>2009MaleMaori22</v>
      </c>
      <c r="B805">
        <v>2009</v>
      </c>
      <c r="C805" t="s">
        <v>20</v>
      </c>
      <c r="D805" t="s">
        <v>18</v>
      </c>
      <c r="E805">
        <v>22</v>
      </c>
      <c r="F805">
        <v>24</v>
      </c>
      <c r="G805">
        <v>40.140491721023601</v>
      </c>
      <c r="H805">
        <v>16.100000000000001</v>
      </c>
      <c r="J805" s="358" t="str">
        <f t="shared" si="66"/>
        <v>2001FemaleNon-Maori212</v>
      </c>
      <c r="K805" s="359">
        <v>2001</v>
      </c>
      <c r="L805" t="s">
        <v>8</v>
      </c>
      <c r="M805" t="s">
        <v>19</v>
      </c>
      <c r="N805">
        <v>21</v>
      </c>
      <c r="O805">
        <v>2</v>
      </c>
      <c r="P805">
        <v>0</v>
      </c>
      <c r="T805" s="358" t="str">
        <f t="shared" si="67"/>
        <v>1999MaleAllEth25Sharp object</v>
      </c>
      <c r="U805" s="360">
        <v>1999</v>
      </c>
      <c r="V805" s="360" t="s">
        <v>20</v>
      </c>
      <c r="W805" s="360" t="s">
        <v>27</v>
      </c>
      <c r="X805" s="360">
        <v>25</v>
      </c>
      <c r="Y805" s="360" t="s">
        <v>48</v>
      </c>
      <c r="Z805" s="360">
        <v>1</v>
      </c>
      <c r="AA805" s="360">
        <v>36</v>
      </c>
      <c r="AB805" s="360">
        <v>2.8</v>
      </c>
    </row>
    <row r="806" spans="1:28" x14ac:dyDescent="0.2">
      <c r="A806" t="str">
        <f t="shared" si="65"/>
        <v>2009MaleMaori23</v>
      </c>
      <c r="B806">
        <v>2009</v>
      </c>
      <c r="C806" t="s">
        <v>20</v>
      </c>
      <c r="D806" t="s">
        <v>18</v>
      </c>
      <c r="E806">
        <v>23</v>
      </c>
      <c r="F806">
        <v>23</v>
      </c>
      <c r="G806">
        <v>29.362951614962299</v>
      </c>
      <c r="H806">
        <v>12</v>
      </c>
      <c r="J806" s="358" t="str">
        <f t="shared" si="66"/>
        <v>2001FemaleNon-Maori213</v>
      </c>
      <c r="K806" s="359">
        <v>2001</v>
      </c>
      <c r="L806" t="s">
        <v>8</v>
      </c>
      <c r="M806" t="s">
        <v>19</v>
      </c>
      <c r="N806">
        <v>21</v>
      </c>
      <c r="O806">
        <v>3</v>
      </c>
      <c r="P806">
        <v>0</v>
      </c>
      <c r="T806" s="358" t="str">
        <f t="shared" si="67"/>
        <v>1999MaleAllEth23Submersion (drowning)</v>
      </c>
      <c r="U806" s="360">
        <v>1999</v>
      </c>
      <c r="V806" s="360" t="s">
        <v>20</v>
      </c>
      <c r="W806" s="360" t="s">
        <v>27</v>
      </c>
      <c r="X806" s="360">
        <v>23</v>
      </c>
      <c r="Y806" s="360" t="s">
        <v>49</v>
      </c>
      <c r="Z806" s="360">
        <v>4</v>
      </c>
      <c r="AA806" s="360">
        <v>180</v>
      </c>
      <c r="AB806" s="360">
        <v>2.2000000000000002</v>
      </c>
    </row>
    <row r="807" spans="1:28" x14ac:dyDescent="0.2">
      <c r="A807" t="str">
        <f t="shared" si="65"/>
        <v>2009MaleMaori24</v>
      </c>
      <c r="B807">
        <v>2009</v>
      </c>
      <c r="C807" t="s">
        <v>20</v>
      </c>
      <c r="D807" t="s">
        <v>18</v>
      </c>
      <c r="E807">
        <v>24</v>
      </c>
      <c r="F807">
        <v>7</v>
      </c>
      <c r="G807">
        <v>13.292821876186901</v>
      </c>
      <c r="H807">
        <v>9.8000000000000007</v>
      </c>
      <c r="J807" s="358" t="str">
        <f t="shared" si="66"/>
        <v>2001FemaleNon-Maori214</v>
      </c>
      <c r="K807" s="359">
        <v>2001</v>
      </c>
      <c r="L807" t="s">
        <v>8</v>
      </c>
      <c r="M807" t="s">
        <v>19</v>
      </c>
      <c r="N807">
        <v>21</v>
      </c>
      <c r="O807">
        <v>4</v>
      </c>
      <c r="P807">
        <v>0</v>
      </c>
      <c r="T807" s="358" t="str">
        <f t="shared" si="67"/>
        <v>1999MaleAllEth24Submersion (drowning)</v>
      </c>
      <c r="U807" s="360">
        <v>1999</v>
      </c>
      <c r="V807" s="360" t="s">
        <v>20</v>
      </c>
      <c r="W807" s="360" t="s">
        <v>27</v>
      </c>
      <c r="X807" s="360">
        <v>24</v>
      </c>
      <c r="Y807" s="360" t="s">
        <v>49</v>
      </c>
      <c r="Z807" s="360">
        <v>3</v>
      </c>
      <c r="AA807" s="360">
        <v>83</v>
      </c>
      <c r="AB807" s="360">
        <v>3.6</v>
      </c>
    </row>
    <row r="808" spans="1:28" x14ac:dyDescent="0.2">
      <c r="A808" t="str">
        <f t="shared" si="65"/>
        <v>2009MaleMaori25</v>
      </c>
      <c r="B808">
        <v>2009</v>
      </c>
      <c r="C808" t="s">
        <v>20</v>
      </c>
      <c r="D808" t="s">
        <v>18</v>
      </c>
      <c r="E808">
        <v>25</v>
      </c>
      <c r="F808">
        <v>1</v>
      </c>
      <c r="G808">
        <v>7.5244544770504103</v>
      </c>
      <c r="H808">
        <v>14.7</v>
      </c>
      <c r="J808" s="358" t="str">
        <f t="shared" si="66"/>
        <v>2001FemaleNon-Maori215</v>
      </c>
      <c r="K808" s="359">
        <v>2001</v>
      </c>
      <c r="L808" t="s">
        <v>8</v>
      </c>
      <c r="M808" t="s">
        <v>19</v>
      </c>
      <c r="N808">
        <v>21</v>
      </c>
      <c r="O808">
        <v>5</v>
      </c>
      <c r="P808">
        <v>1</v>
      </c>
      <c r="T808" s="358" t="str">
        <f t="shared" si="67"/>
        <v>1999MaleAllEth25Submersion (drowning)</v>
      </c>
      <c r="U808" s="360">
        <v>1999</v>
      </c>
      <c r="V808" s="360" t="s">
        <v>20</v>
      </c>
      <c r="W808" s="360" t="s">
        <v>27</v>
      </c>
      <c r="X808" s="360">
        <v>25</v>
      </c>
      <c r="Y808" s="360" t="s">
        <v>49</v>
      </c>
      <c r="Z808" s="360">
        <v>4</v>
      </c>
      <c r="AA808" s="360">
        <v>36</v>
      </c>
      <c r="AB808" s="360">
        <v>11.1</v>
      </c>
    </row>
    <row r="809" spans="1:28" x14ac:dyDescent="0.2">
      <c r="A809" t="str">
        <f t="shared" si="65"/>
        <v>2009MaleNon-Maori21</v>
      </c>
      <c r="B809">
        <v>2009</v>
      </c>
      <c r="C809" t="s">
        <v>20</v>
      </c>
      <c r="D809" t="s">
        <v>19</v>
      </c>
      <c r="E809">
        <v>21</v>
      </c>
      <c r="F809">
        <v>3</v>
      </c>
      <c r="J809" s="358" t="str">
        <f t="shared" si="66"/>
        <v>2001FemaleNon-Maori221</v>
      </c>
      <c r="K809" s="359">
        <v>2001</v>
      </c>
      <c r="L809" t="s">
        <v>8</v>
      </c>
      <c r="M809" t="s">
        <v>19</v>
      </c>
      <c r="N809">
        <v>22</v>
      </c>
      <c r="O809">
        <v>1</v>
      </c>
      <c r="P809">
        <v>5</v>
      </c>
      <c r="Q809">
        <v>12.360003706641701</v>
      </c>
      <c r="R809">
        <v>10.8</v>
      </c>
      <c r="T809" s="358" t="str">
        <f t="shared" si="67"/>
        <v>1999MaleMaori23Firearms and explosives</v>
      </c>
      <c r="U809" s="360">
        <v>1999</v>
      </c>
      <c r="V809" s="360" t="s">
        <v>20</v>
      </c>
      <c r="W809" s="360" t="s">
        <v>18</v>
      </c>
      <c r="X809" s="360">
        <v>23</v>
      </c>
      <c r="Y809" s="360" t="s">
        <v>42</v>
      </c>
      <c r="Z809" s="360">
        <v>2</v>
      </c>
      <c r="AA809" s="360">
        <v>34</v>
      </c>
      <c r="AB809" s="360">
        <v>5.9</v>
      </c>
    </row>
    <row r="810" spans="1:28" x14ac:dyDescent="0.2">
      <c r="A810" t="str">
        <f t="shared" si="65"/>
        <v>2009MaleNon-Maori22</v>
      </c>
      <c r="B810">
        <v>2009</v>
      </c>
      <c r="C810" t="s">
        <v>20</v>
      </c>
      <c r="D810" t="s">
        <v>19</v>
      </c>
      <c r="E810">
        <v>22</v>
      </c>
      <c r="F810">
        <v>71</v>
      </c>
      <c r="G810">
        <v>28.669493236422401</v>
      </c>
      <c r="H810">
        <v>6.7</v>
      </c>
      <c r="J810" s="358" t="str">
        <f t="shared" si="66"/>
        <v>2001FemaleNon-Maori222</v>
      </c>
      <c r="K810" s="359">
        <v>2001</v>
      </c>
      <c r="L810" t="s">
        <v>8</v>
      </c>
      <c r="M810" t="s">
        <v>19</v>
      </c>
      <c r="N810">
        <v>22</v>
      </c>
      <c r="O810">
        <v>2</v>
      </c>
      <c r="P810">
        <v>2</v>
      </c>
      <c r="Q810">
        <v>4.8332596089072402</v>
      </c>
      <c r="R810">
        <v>6.7</v>
      </c>
      <c r="T810" s="358" t="str">
        <f t="shared" si="67"/>
        <v>1999MaleMaori21Hanging, strangulation and suffocation</v>
      </c>
      <c r="U810" s="360">
        <v>1999</v>
      </c>
      <c r="V810" s="360" t="s">
        <v>20</v>
      </c>
      <c r="W810" s="360" t="s">
        <v>18</v>
      </c>
      <c r="X810" s="360">
        <v>21</v>
      </c>
      <c r="Y810" s="360" t="s">
        <v>43</v>
      </c>
      <c r="Z810" s="360">
        <v>1</v>
      </c>
      <c r="AA810" s="360">
        <v>1</v>
      </c>
      <c r="AB810" s="360">
        <v>100</v>
      </c>
    </row>
    <row r="811" spans="1:28" x14ac:dyDescent="0.2">
      <c r="A811" t="str">
        <f t="shared" si="65"/>
        <v>2009MaleNon-Maori23</v>
      </c>
      <c r="B811">
        <v>2009</v>
      </c>
      <c r="C811" t="s">
        <v>20</v>
      </c>
      <c r="D811" t="s">
        <v>19</v>
      </c>
      <c r="E811">
        <v>23</v>
      </c>
      <c r="F811">
        <v>109</v>
      </c>
      <c r="G811">
        <v>22.622556141297601</v>
      </c>
      <c r="H811">
        <v>4.2</v>
      </c>
      <c r="J811" s="358" t="str">
        <f t="shared" si="66"/>
        <v>2001FemaleNon-Maori223</v>
      </c>
      <c r="K811" s="359">
        <v>2001</v>
      </c>
      <c r="L811" t="s">
        <v>8</v>
      </c>
      <c r="M811" t="s">
        <v>19</v>
      </c>
      <c r="N811">
        <v>22</v>
      </c>
      <c r="O811">
        <v>3</v>
      </c>
      <c r="P811">
        <v>2</v>
      </c>
      <c r="Q811">
        <v>4.6897756957182102</v>
      </c>
      <c r="R811">
        <v>6.5</v>
      </c>
      <c r="T811" s="358" t="str">
        <f t="shared" si="67"/>
        <v>1999MaleMaori22Hanging, strangulation and suffocation</v>
      </c>
      <c r="U811" s="360">
        <v>1999</v>
      </c>
      <c r="V811" s="360" t="s">
        <v>20</v>
      </c>
      <c r="W811" s="360" t="s">
        <v>18</v>
      </c>
      <c r="X811" s="360">
        <v>22</v>
      </c>
      <c r="Y811" s="360" t="s">
        <v>43</v>
      </c>
      <c r="Z811" s="360">
        <v>18</v>
      </c>
      <c r="AA811" s="360">
        <v>23</v>
      </c>
      <c r="AB811" s="360">
        <v>78.3</v>
      </c>
    </row>
    <row r="812" spans="1:28" x14ac:dyDescent="0.2">
      <c r="A812" t="str">
        <f t="shared" si="65"/>
        <v>2009MaleNon-Maori24</v>
      </c>
      <c r="B812">
        <v>2009</v>
      </c>
      <c r="C812" t="s">
        <v>20</v>
      </c>
      <c r="D812" t="s">
        <v>19</v>
      </c>
      <c r="E812">
        <v>24</v>
      </c>
      <c r="F812">
        <v>113</v>
      </c>
      <c r="G812">
        <v>23.8014997051142</v>
      </c>
      <c r="H812">
        <v>4.4000000000000004</v>
      </c>
      <c r="J812" s="358" t="str">
        <f t="shared" si="66"/>
        <v>2001FemaleNon-Maori224</v>
      </c>
      <c r="K812" s="359">
        <v>2001</v>
      </c>
      <c r="L812" t="s">
        <v>8</v>
      </c>
      <c r="M812" t="s">
        <v>19</v>
      </c>
      <c r="N812">
        <v>22</v>
      </c>
      <c r="O812">
        <v>4</v>
      </c>
      <c r="P812">
        <v>1</v>
      </c>
      <c r="Q812">
        <v>2.2938263834036299</v>
      </c>
      <c r="R812">
        <v>4.5</v>
      </c>
      <c r="T812" s="358" t="str">
        <f t="shared" si="67"/>
        <v>1999MaleMaori23Hanging, strangulation and suffocation</v>
      </c>
      <c r="U812" s="360">
        <v>1999</v>
      </c>
      <c r="V812" s="360" t="s">
        <v>20</v>
      </c>
      <c r="W812" s="360" t="s">
        <v>18</v>
      </c>
      <c r="X812" s="360">
        <v>23</v>
      </c>
      <c r="Y812" s="360" t="s">
        <v>43</v>
      </c>
      <c r="Z812" s="360">
        <v>24</v>
      </c>
      <c r="AA812" s="360">
        <v>34</v>
      </c>
      <c r="AB812" s="360">
        <v>70.599999999999994</v>
      </c>
    </row>
    <row r="813" spans="1:28" x14ac:dyDescent="0.2">
      <c r="A813" t="str">
        <f t="shared" si="65"/>
        <v>2009MaleNon-Maori25</v>
      </c>
      <c r="B813">
        <v>2009</v>
      </c>
      <c r="C813" t="s">
        <v>20</v>
      </c>
      <c r="D813" t="s">
        <v>19</v>
      </c>
      <c r="E813">
        <v>25</v>
      </c>
      <c r="F813">
        <v>40</v>
      </c>
      <c r="G813">
        <v>16.995963458678599</v>
      </c>
      <c r="H813">
        <v>5.3</v>
      </c>
      <c r="J813" s="358" t="str">
        <f t="shared" si="66"/>
        <v>2001FemaleNon-Maori225</v>
      </c>
      <c r="K813" s="359">
        <v>2001</v>
      </c>
      <c r="L813" t="s">
        <v>8</v>
      </c>
      <c r="M813" t="s">
        <v>19</v>
      </c>
      <c r="N813">
        <v>22</v>
      </c>
      <c r="O813">
        <v>5</v>
      </c>
      <c r="P813">
        <v>2</v>
      </c>
      <c r="Q813">
        <v>4.60026515238199</v>
      </c>
      <c r="R813">
        <v>6.4</v>
      </c>
      <c r="T813" s="358" t="str">
        <f t="shared" si="67"/>
        <v>1999MaleMaori22Jumping from a high place</v>
      </c>
      <c r="U813" s="360">
        <v>1999</v>
      </c>
      <c r="V813" s="360" t="s">
        <v>20</v>
      </c>
      <c r="W813" s="360" t="s">
        <v>18</v>
      </c>
      <c r="X813" s="360">
        <v>22</v>
      </c>
      <c r="Y813" s="360" t="s">
        <v>44</v>
      </c>
      <c r="Z813" s="360">
        <v>2</v>
      </c>
      <c r="AA813" s="360">
        <v>23</v>
      </c>
      <c r="AB813" s="360">
        <v>8.6999999999999993</v>
      </c>
    </row>
    <row r="814" spans="1:28" x14ac:dyDescent="0.2">
      <c r="A814" t="str">
        <f t="shared" si="65"/>
        <v>2010AllSexAllEth21</v>
      </c>
      <c r="B814">
        <v>2010</v>
      </c>
      <c r="C814" t="s">
        <v>17</v>
      </c>
      <c r="D814" t="s">
        <v>27</v>
      </c>
      <c r="E814">
        <v>21</v>
      </c>
      <c r="F814">
        <v>6</v>
      </c>
      <c r="J814" s="358" t="str">
        <f t="shared" si="66"/>
        <v>2001FemaleNon-Maori231</v>
      </c>
      <c r="K814" s="359">
        <v>2001</v>
      </c>
      <c r="L814" t="s">
        <v>8</v>
      </c>
      <c r="M814" t="s">
        <v>19</v>
      </c>
      <c r="N814">
        <v>23</v>
      </c>
      <c r="O814">
        <v>1</v>
      </c>
      <c r="P814">
        <v>7</v>
      </c>
      <c r="Q814">
        <v>6.1440200161671799</v>
      </c>
      <c r="R814">
        <v>4.5999999999999996</v>
      </c>
      <c r="T814" s="358" t="str">
        <f t="shared" si="67"/>
        <v>1999MaleMaori22Other</v>
      </c>
      <c r="U814" s="360">
        <v>1999</v>
      </c>
      <c r="V814" s="360" t="s">
        <v>20</v>
      </c>
      <c r="W814" s="360" t="s">
        <v>18</v>
      </c>
      <c r="X814" s="360">
        <v>22</v>
      </c>
      <c r="Y814" s="360" t="s">
        <v>45</v>
      </c>
      <c r="Z814" s="360">
        <v>1</v>
      </c>
      <c r="AA814" s="360">
        <v>23</v>
      </c>
      <c r="AB814" s="360">
        <v>4.3</v>
      </c>
    </row>
    <row r="815" spans="1:28" x14ac:dyDescent="0.2">
      <c r="A815" t="str">
        <f t="shared" si="65"/>
        <v>2010AllSexAllEth22</v>
      </c>
      <c r="B815">
        <v>2010</v>
      </c>
      <c r="C815" t="s">
        <v>17</v>
      </c>
      <c r="D815" t="s">
        <v>27</v>
      </c>
      <c r="E815">
        <v>22</v>
      </c>
      <c r="F815">
        <v>111</v>
      </c>
      <c r="G815">
        <v>17.966397979994198</v>
      </c>
      <c r="H815">
        <v>3.3</v>
      </c>
      <c r="J815" s="358" t="str">
        <f t="shared" si="66"/>
        <v>2001FemaleNon-Maori232</v>
      </c>
      <c r="K815" s="359">
        <v>2001</v>
      </c>
      <c r="L815" t="s">
        <v>8</v>
      </c>
      <c r="M815" t="s">
        <v>19</v>
      </c>
      <c r="N815">
        <v>23</v>
      </c>
      <c r="O815">
        <v>2</v>
      </c>
      <c r="P815">
        <v>8</v>
      </c>
      <c r="Q815">
        <v>6.9985357389128904</v>
      </c>
      <c r="R815">
        <v>4.8</v>
      </c>
      <c r="T815" s="358" t="str">
        <f t="shared" si="67"/>
        <v>1999MaleMaori23Other</v>
      </c>
      <c r="U815" s="360">
        <v>1999</v>
      </c>
      <c r="V815" s="360" t="s">
        <v>20</v>
      </c>
      <c r="W815" s="360" t="s">
        <v>18</v>
      </c>
      <c r="X815" s="360">
        <v>23</v>
      </c>
      <c r="Y815" s="360" t="s">
        <v>45</v>
      </c>
      <c r="Z815" s="360">
        <v>3</v>
      </c>
      <c r="AA815" s="360">
        <v>34</v>
      </c>
      <c r="AB815" s="360">
        <v>8.8000000000000007</v>
      </c>
    </row>
    <row r="816" spans="1:28" x14ac:dyDescent="0.2">
      <c r="A816" t="str">
        <f t="shared" si="65"/>
        <v>2010AllSexAllEth23</v>
      </c>
      <c r="B816">
        <v>2010</v>
      </c>
      <c r="C816" t="s">
        <v>17</v>
      </c>
      <c r="D816" t="s">
        <v>27</v>
      </c>
      <c r="E816">
        <v>23</v>
      </c>
      <c r="F816">
        <v>199</v>
      </c>
      <c r="G816">
        <v>17.109007591584799</v>
      </c>
      <c r="H816">
        <v>2.4</v>
      </c>
      <c r="J816" s="358" t="str">
        <f t="shared" si="66"/>
        <v>2001FemaleNon-Maori233</v>
      </c>
      <c r="K816" s="359">
        <v>2001</v>
      </c>
      <c r="L816" t="s">
        <v>8</v>
      </c>
      <c r="M816" t="s">
        <v>19</v>
      </c>
      <c r="N816">
        <v>23</v>
      </c>
      <c r="O816">
        <v>3</v>
      </c>
      <c r="P816">
        <v>8</v>
      </c>
      <c r="Q816">
        <v>7.4192409312898997</v>
      </c>
      <c r="R816">
        <v>5.0999999999999996</v>
      </c>
      <c r="T816" s="358" t="str">
        <f t="shared" si="67"/>
        <v>1999MaleMaori22Poisoning by gases and vapours</v>
      </c>
      <c r="U816" s="360">
        <v>1999</v>
      </c>
      <c r="V816" s="360" t="s">
        <v>20</v>
      </c>
      <c r="W816" s="360" t="s">
        <v>18</v>
      </c>
      <c r="X816" s="360">
        <v>22</v>
      </c>
      <c r="Y816" s="360" t="s">
        <v>46</v>
      </c>
      <c r="Z816" s="360">
        <v>1</v>
      </c>
      <c r="AA816" s="360">
        <v>23</v>
      </c>
      <c r="AB816" s="360">
        <v>4.3</v>
      </c>
    </row>
    <row r="817" spans="1:28" x14ac:dyDescent="0.2">
      <c r="A817" t="str">
        <f t="shared" si="65"/>
        <v>2010AllSexAllEth24</v>
      </c>
      <c r="B817">
        <v>2010</v>
      </c>
      <c r="C817" t="s">
        <v>17</v>
      </c>
      <c r="D817" t="s">
        <v>27</v>
      </c>
      <c r="E817">
        <v>24</v>
      </c>
      <c r="F817">
        <v>161</v>
      </c>
      <c r="G817">
        <v>14.628650347998301</v>
      </c>
      <c r="H817">
        <v>2.2999999999999998</v>
      </c>
      <c r="J817" s="358" t="str">
        <f t="shared" si="66"/>
        <v>2001FemaleNon-Maori234</v>
      </c>
      <c r="K817" s="359">
        <v>2001</v>
      </c>
      <c r="L817" t="s">
        <v>8</v>
      </c>
      <c r="M817" t="s">
        <v>19</v>
      </c>
      <c r="N817">
        <v>23</v>
      </c>
      <c r="O817">
        <v>4</v>
      </c>
      <c r="P817">
        <v>6</v>
      </c>
      <c r="Q817">
        <v>6.2175537897171296</v>
      </c>
      <c r="R817">
        <v>5</v>
      </c>
      <c r="T817" s="358" t="str">
        <f t="shared" si="67"/>
        <v>1999MaleMaori23Poisoning by gases and vapours</v>
      </c>
      <c r="U817" s="360">
        <v>1999</v>
      </c>
      <c r="V817" s="360" t="s">
        <v>20</v>
      </c>
      <c r="W817" s="360" t="s">
        <v>18</v>
      </c>
      <c r="X817" s="360">
        <v>23</v>
      </c>
      <c r="Y817" s="360" t="s">
        <v>46</v>
      </c>
      <c r="Z817" s="360">
        <v>3</v>
      </c>
      <c r="AA817" s="360">
        <v>34</v>
      </c>
      <c r="AB817" s="360">
        <v>8.8000000000000007</v>
      </c>
    </row>
    <row r="818" spans="1:28" x14ac:dyDescent="0.2">
      <c r="A818" t="str">
        <f t="shared" si="65"/>
        <v>2010AllSexAllEth25</v>
      </c>
      <c r="B818">
        <v>2010</v>
      </c>
      <c r="C818" t="s">
        <v>17</v>
      </c>
      <c r="D818" t="s">
        <v>27</v>
      </c>
      <c r="E818">
        <v>25</v>
      </c>
      <c r="F818">
        <v>57</v>
      </c>
      <c r="G818">
        <v>10.1162481142959</v>
      </c>
      <c r="H818">
        <v>2.6</v>
      </c>
      <c r="J818" s="358" t="str">
        <f t="shared" si="66"/>
        <v>2001FemaleNon-Maori235</v>
      </c>
      <c r="K818" s="359">
        <v>2001</v>
      </c>
      <c r="L818" t="s">
        <v>8</v>
      </c>
      <c r="M818" t="s">
        <v>19</v>
      </c>
      <c r="N818">
        <v>23</v>
      </c>
      <c r="O818">
        <v>5</v>
      </c>
      <c r="P818">
        <v>9</v>
      </c>
      <c r="Q818">
        <v>12.2216623408346</v>
      </c>
      <c r="R818">
        <v>8</v>
      </c>
      <c r="T818" s="358" t="str">
        <f t="shared" si="67"/>
        <v>1999MaleMaori22Poisoning by solids and liquids</v>
      </c>
      <c r="U818" s="360">
        <v>1999</v>
      </c>
      <c r="V818" s="360" t="s">
        <v>20</v>
      </c>
      <c r="W818" s="360" t="s">
        <v>18</v>
      </c>
      <c r="X818" s="360">
        <v>22</v>
      </c>
      <c r="Y818" s="360" t="s">
        <v>47</v>
      </c>
      <c r="Z818" s="360">
        <v>1</v>
      </c>
      <c r="AA818" s="360">
        <v>23</v>
      </c>
      <c r="AB818" s="360">
        <v>4.3</v>
      </c>
    </row>
    <row r="819" spans="1:28" x14ac:dyDescent="0.2">
      <c r="A819" t="str">
        <f t="shared" si="65"/>
        <v>2010AllSexMaori21</v>
      </c>
      <c r="B819">
        <v>2010</v>
      </c>
      <c r="C819" t="s">
        <v>17</v>
      </c>
      <c r="D819" t="s">
        <v>18</v>
      </c>
      <c r="E819">
        <v>21</v>
      </c>
      <c r="F819">
        <v>4</v>
      </c>
      <c r="J819" s="358" t="str">
        <f t="shared" si="66"/>
        <v>2001FemaleNon-Maori241</v>
      </c>
      <c r="K819" s="359">
        <v>2001</v>
      </c>
      <c r="L819" t="s">
        <v>8</v>
      </c>
      <c r="M819" t="s">
        <v>19</v>
      </c>
      <c r="N819">
        <v>24</v>
      </c>
      <c r="O819">
        <v>1</v>
      </c>
      <c r="P819">
        <v>3</v>
      </c>
      <c r="Q819">
        <v>2.8647046184495899</v>
      </c>
      <c r="R819">
        <v>3.2</v>
      </c>
      <c r="T819" s="358" t="str">
        <f t="shared" si="67"/>
        <v>1999MaleMaori23Poisoning by solids and liquids</v>
      </c>
      <c r="U819" s="360">
        <v>1999</v>
      </c>
      <c r="V819" s="360" t="s">
        <v>20</v>
      </c>
      <c r="W819" s="360" t="s">
        <v>18</v>
      </c>
      <c r="X819" s="360">
        <v>23</v>
      </c>
      <c r="Y819" s="360" t="s">
        <v>47</v>
      </c>
      <c r="Z819" s="360">
        <v>2</v>
      </c>
      <c r="AA819" s="360">
        <v>34</v>
      </c>
      <c r="AB819" s="360">
        <v>5.9</v>
      </c>
    </row>
    <row r="820" spans="1:28" x14ac:dyDescent="0.2">
      <c r="A820" t="str">
        <f t="shared" si="65"/>
        <v>2010AllSexMaori22</v>
      </c>
      <c r="B820">
        <v>2010</v>
      </c>
      <c r="C820" t="s">
        <v>17</v>
      </c>
      <c r="D820" t="s">
        <v>18</v>
      </c>
      <c r="E820">
        <v>22</v>
      </c>
      <c r="F820">
        <v>42</v>
      </c>
      <c r="G820">
        <v>34.126919639229698</v>
      </c>
      <c r="H820">
        <v>10.3</v>
      </c>
      <c r="J820" s="358" t="str">
        <f t="shared" si="66"/>
        <v>2001FemaleNon-Maori242</v>
      </c>
      <c r="K820" s="359">
        <v>2001</v>
      </c>
      <c r="L820" t="s">
        <v>8</v>
      </c>
      <c r="M820" t="s">
        <v>19</v>
      </c>
      <c r="N820">
        <v>24</v>
      </c>
      <c r="O820">
        <v>2</v>
      </c>
      <c r="P820">
        <v>5</v>
      </c>
      <c r="Q820">
        <v>5.5024285808266598</v>
      </c>
      <c r="R820">
        <v>4.8</v>
      </c>
      <c r="T820" s="358" t="str">
        <f t="shared" si="67"/>
        <v>1999MaleMaori24Poisoning by solids and liquids</v>
      </c>
      <c r="U820" s="360">
        <v>1999</v>
      </c>
      <c r="V820" s="360" t="s">
        <v>20</v>
      </c>
      <c r="W820" s="360" t="s">
        <v>18</v>
      </c>
      <c r="X820" s="360">
        <v>24</v>
      </c>
      <c r="Y820" s="360" t="s">
        <v>47</v>
      </c>
      <c r="Z820" s="360">
        <v>1</v>
      </c>
      <c r="AA820" s="360">
        <v>1</v>
      </c>
      <c r="AB820" s="360">
        <v>100</v>
      </c>
    </row>
    <row r="821" spans="1:28" x14ac:dyDescent="0.2">
      <c r="A821" t="str">
        <f t="shared" si="65"/>
        <v>2010AllSexMaori23</v>
      </c>
      <c r="B821">
        <v>2010</v>
      </c>
      <c r="C821" t="s">
        <v>17</v>
      </c>
      <c r="D821" t="s">
        <v>18</v>
      </c>
      <c r="E821">
        <v>23</v>
      </c>
      <c r="F821">
        <v>41</v>
      </c>
      <c r="G821">
        <v>24.4863831820354</v>
      </c>
      <c r="H821">
        <v>7.5</v>
      </c>
      <c r="J821" s="358" t="str">
        <f t="shared" si="66"/>
        <v>2001FemaleNon-Maori243</v>
      </c>
      <c r="K821" s="359">
        <v>2001</v>
      </c>
      <c r="L821" t="s">
        <v>8</v>
      </c>
      <c r="M821" t="s">
        <v>19</v>
      </c>
      <c r="N821">
        <v>24</v>
      </c>
      <c r="O821">
        <v>3</v>
      </c>
      <c r="P821">
        <v>10</v>
      </c>
      <c r="Q821">
        <v>12.568267240062299</v>
      </c>
      <c r="R821">
        <v>7.8</v>
      </c>
      <c r="T821" s="358" t="str">
        <f t="shared" si="67"/>
        <v>1999MaleNon-Maori22Firearms and explosives</v>
      </c>
      <c r="U821" s="360">
        <v>1999</v>
      </c>
      <c r="V821" s="360" t="s">
        <v>20</v>
      </c>
      <c r="W821" s="360" t="s">
        <v>19</v>
      </c>
      <c r="X821" s="360">
        <v>22</v>
      </c>
      <c r="Y821" s="360" t="s">
        <v>42</v>
      </c>
      <c r="Z821" s="360">
        <v>3</v>
      </c>
      <c r="AA821" s="360">
        <v>60</v>
      </c>
      <c r="AB821" s="360">
        <v>5</v>
      </c>
    </row>
    <row r="822" spans="1:28" x14ac:dyDescent="0.2">
      <c r="A822" t="str">
        <f t="shared" si="65"/>
        <v>2010AllSexMaori24</v>
      </c>
      <c r="B822">
        <v>2010</v>
      </c>
      <c r="C822" t="s">
        <v>17</v>
      </c>
      <c r="D822" t="s">
        <v>18</v>
      </c>
      <c r="E822">
        <v>24</v>
      </c>
      <c r="F822">
        <v>15</v>
      </c>
      <c r="G822">
        <v>12.978023879563899</v>
      </c>
      <c r="H822">
        <v>6.6</v>
      </c>
      <c r="J822" s="358" t="str">
        <f t="shared" si="66"/>
        <v>2001FemaleNon-Maori244</v>
      </c>
      <c r="K822" s="359">
        <v>2001</v>
      </c>
      <c r="L822" t="s">
        <v>8</v>
      </c>
      <c r="M822" t="s">
        <v>19</v>
      </c>
      <c r="N822">
        <v>24</v>
      </c>
      <c r="O822">
        <v>4</v>
      </c>
      <c r="P822">
        <v>4</v>
      </c>
      <c r="Q822">
        <v>5.8640273031031303</v>
      </c>
      <c r="R822">
        <v>5.7</v>
      </c>
      <c r="T822" s="358" t="str">
        <f t="shared" si="67"/>
        <v>1999MaleNon-Maori23Firearms and explosives</v>
      </c>
      <c r="U822" s="360">
        <v>1999</v>
      </c>
      <c r="V822" s="360" t="s">
        <v>20</v>
      </c>
      <c r="W822" s="360" t="s">
        <v>19</v>
      </c>
      <c r="X822" s="360">
        <v>23</v>
      </c>
      <c r="Y822" s="360" t="s">
        <v>42</v>
      </c>
      <c r="Z822" s="360">
        <v>18</v>
      </c>
      <c r="AA822" s="360">
        <v>146</v>
      </c>
      <c r="AB822" s="360">
        <v>12.3</v>
      </c>
    </row>
    <row r="823" spans="1:28" x14ac:dyDescent="0.2">
      <c r="A823" t="str">
        <f t="shared" si="65"/>
        <v>2010AllSexMaori25</v>
      </c>
      <c r="B823">
        <v>2010</v>
      </c>
      <c r="C823" t="s">
        <v>17</v>
      </c>
      <c r="D823" t="s">
        <v>18</v>
      </c>
      <c r="E823">
        <v>25</v>
      </c>
      <c r="F823">
        <v>0</v>
      </c>
      <c r="G823">
        <v>0</v>
      </c>
      <c r="J823" s="358" t="str">
        <f t="shared" si="66"/>
        <v>2001FemaleNon-Maori245</v>
      </c>
      <c r="K823" s="359">
        <v>2001</v>
      </c>
      <c r="L823" t="s">
        <v>8</v>
      </c>
      <c r="M823" t="s">
        <v>19</v>
      </c>
      <c r="N823">
        <v>24</v>
      </c>
      <c r="O823">
        <v>5</v>
      </c>
      <c r="P823">
        <v>3</v>
      </c>
      <c r="Q823">
        <v>6.07161774911504</v>
      </c>
      <c r="R823">
        <v>6.9</v>
      </c>
      <c r="T823" s="358" t="str">
        <f t="shared" si="67"/>
        <v>1999MaleNon-Maori24Firearms and explosives</v>
      </c>
      <c r="U823" s="360">
        <v>1999</v>
      </c>
      <c r="V823" s="360" t="s">
        <v>20</v>
      </c>
      <c r="W823" s="360" t="s">
        <v>19</v>
      </c>
      <c r="X823" s="360">
        <v>24</v>
      </c>
      <c r="Y823" s="360" t="s">
        <v>42</v>
      </c>
      <c r="Z823" s="360">
        <v>13</v>
      </c>
      <c r="AA823" s="360">
        <v>82</v>
      </c>
      <c r="AB823" s="360">
        <v>15.9</v>
      </c>
    </row>
    <row r="824" spans="1:28" x14ac:dyDescent="0.2">
      <c r="A824" t="str">
        <f t="shared" si="65"/>
        <v>2010AllSexNon-Maori21</v>
      </c>
      <c r="B824">
        <v>2010</v>
      </c>
      <c r="C824" t="s">
        <v>17</v>
      </c>
      <c r="D824" t="s">
        <v>19</v>
      </c>
      <c r="E824">
        <v>21</v>
      </c>
      <c r="F824">
        <v>2</v>
      </c>
      <c r="J824" s="358" t="str">
        <f t="shared" si="66"/>
        <v>2001FemaleNon-Maori251</v>
      </c>
      <c r="K824" s="359">
        <v>2001</v>
      </c>
      <c r="L824" t="s">
        <v>8</v>
      </c>
      <c r="M824" t="s">
        <v>19</v>
      </c>
      <c r="N824">
        <v>25</v>
      </c>
      <c r="O824">
        <v>1</v>
      </c>
      <c r="P824">
        <v>0</v>
      </c>
      <c r="Q824">
        <v>0</v>
      </c>
      <c r="T824" s="358" t="str">
        <f t="shared" si="67"/>
        <v>1999MaleNon-Maori25Firearms and explosives</v>
      </c>
      <c r="U824" s="360">
        <v>1999</v>
      </c>
      <c r="V824" s="360" t="s">
        <v>20</v>
      </c>
      <c r="W824" s="360" t="s">
        <v>19</v>
      </c>
      <c r="X824" s="360">
        <v>25</v>
      </c>
      <c r="Y824" s="360" t="s">
        <v>42</v>
      </c>
      <c r="Z824" s="360">
        <v>7</v>
      </c>
      <c r="AA824" s="360">
        <v>36</v>
      </c>
      <c r="AB824" s="360">
        <v>19.399999999999999</v>
      </c>
    </row>
    <row r="825" spans="1:28" x14ac:dyDescent="0.2">
      <c r="A825" t="str">
        <f t="shared" si="65"/>
        <v>2010AllSexNon-Maori22</v>
      </c>
      <c r="B825">
        <v>2010</v>
      </c>
      <c r="C825" t="s">
        <v>17</v>
      </c>
      <c r="D825" t="s">
        <v>19</v>
      </c>
      <c r="E825">
        <v>22</v>
      </c>
      <c r="F825">
        <v>69</v>
      </c>
      <c r="G825">
        <v>13.9464375947448</v>
      </c>
      <c r="H825">
        <v>3.3</v>
      </c>
      <c r="J825" s="358" t="str">
        <f t="shared" si="66"/>
        <v>2001FemaleNon-Maori252</v>
      </c>
      <c r="K825" s="359">
        <v>2001</v>
      </c>
      <c r="L825" t="s">
        <v>8</v>
      </c>
      <c r="M825" t="s">
        <v>19</v>
      </c>
      <c r="N825">
        <v>25</v>
      </c>
      <c r="O825">
        <v>2</v>
      </c>
      <c r="P825">
        <v>1</v>
      </c>
      <c r="Q825">
        <v>1.9062649497828801</v>
      </c>
      <c r="R825">
        <v>3.7</v>
      </c>
      <c r="T825" s="358" t="str">
        <f t="shared" si="67"/>
        <v>1999MaleNon-Maori21Hanging, strangulation and suffocation</v>
      </c>
      <c r="U825" s="360">
        <v>1999</v>
      </c>
      <c r="V825" s="360" t="s">
        <v>20</v>
      </c>
      <c r="W825" s="360" t="s">
        <v>19</v>
      </c>
      <c r="X825" s="360">
        <v>21</v>
      </c>
      <c r="Y825" s="360" t="s">
        <v>43</v>
      </c>
      <c r="Z825" s="360">
        <v>2</v>
      </c>
      <c r="AA825" s="360">
        <v>2</v>
      </c>
      <c r="AB825" s="360">
        <v>100</v>
      </c>
    </row>
    <row r="826" spans="1:28" x14ac:dyDescent="0.2">
      <c r="A826" t="str">
        <f t="shared" si="65"/>
        <v>2010AllSexNon-Maori23</v>
      </c>
      <c r="B826">
        <v>2010</v>
      </c>
      <c r="C826" t="s">
        <v>17</v>
      </c>
      <c r="D826" t="s">
        <v>19</v>
      </c>
      <c r="E826">
        <v>23</v>
      </c>
      <c r="F826">
        <v>158</v>
      </c>
      <c r="G826">
        <v>15.868392772850999</v>
      </c>
      <c r="H826">
        <v>2.5</v>
      </c>
      <c r="J826" s="358" t="str">
        <f t="shared" si="66"/>
        <v>2001FemaleNon-Maori253</v>
      </c>
      <c r="K826" s="359">
        <v>2001</v>
      </c>
      <c r="L826" t="s">
        <v>8</v>
      </c>
      <c r="M826" t="s">
        <v>19</v>
      </c>
      <c r="N826">
        <v>25</v>
      </c>
      <c r="O826">
        <v>3</v>
      </c>
      <c r="P826">
        <v>4</v>
      </c>
      <c r="Q826">
        <v>7.2655079626812196</v>
      </c>
      <c r="R826">
        <v>7.1</v>
      </c>
      <c r="T826" s="358" t="str">
        <f t="shared" si="67"/>
        <v>1999MaleNon-Maori22Hanging, strangulation and suffocation</v>
      </c>
      <c r="U826" s="360">
        <v>1999</v>
      </c>
      <c r="V826" s="360" t="s">
        <v>20</v>
      </c>
      <c r="W826" s="360" t="s">
        <v>19</v>
      </c>
      <c r="X826" s="360">
        <v>22</v>
      </c>
      <c r="Y826" s="360" t="s">
        <v>43</v>
      </c>
      <c r="Z826" s="360">
        <v>36</v>
      </c>
      <c r="AA826" s="360">
        <v>60</v>
      </c>
      <c r="AB826" s="360">
        <v>60</v>
      </c>
    </row>
    <row r="827" spans="1:28" x14ac:dyDescent="0.2">
      <c r="A827" t="str">
        <f t="shared" si="65"/>
        <v>2010AllSexNon-Maori24</v>
      </c>
      <c r="B827">
        <v>2010</v>
      </c>
      <c r="C827" t="s">
        <v>17</v>
      </c>
      <c r="D827" t="s">
        <v>19</v>
      </c>
      <c r="E827">
        <v>24</v>
      </c>
      <c r="F827">
        <v>146</v>
      </c>
      <c r="G827">
        <v>14.822335025380699</v>
      </c>
      <c r="H827">
        <v>2.4</v>
      </c>
      <c r="J827" s="358" t="str">
        <f t="shared" si="66"/>
        <v>2001FemaleNon-Maori254</v>
      </c>
      <c r="K827" s="359">
        <v>2001</v>
      </c>
      <c r="L827" t="s">
        <v>8</v>
      </c>
      <c r="M827" t="s">
        <v>19</v>
      </c>
      <c r="N827">
        <v>25</v>
      </c>
      <c r="O827">
        <v>4</v>
      </c>
      <c r="P827">
        <v>8</v>
      </c>
      <c r="Q827">
        <v>14.4190529392808</v>
      </c>
      <c r="R827">
        <v>10</v>
      </c>
      <c r="T827" s="358" t="str">
        <f t="shared" si="67"/>
        <v>1999MaleNon-Maori23Hanging, strangulation and suffocation</v>
      </c>
      <c r="U827" s="360">
        <v>1999</v>
      </c>
      <c r="V827" s="360" t="s">
        <v>20</v>
      </c>
      <c r="W827" s="360" t="s">
        <v>19</v>
      </c>
      <c r="X827" s="360">
        <v>23</v>
      </c>
      <c r="Y827" s="360" t="s">
        <v>43</v>
      </c>
      <c r="Z827" s="360">
        <v>53</v>
      </c>
      <c r="AA827" s="360">
        <v>146</v>
      </c>
      <c r="AB827" s="360">
        <v>36.299999999999997</v>
      </c>
    </row>
    <row r="828" spans="1:28" x14ac:dyDescent="0.2">
      <c r="A828" t="str">
        <f t="shared" si="65"/>
        <v>2010AllSexNon-Maori25</v>
      </c>
      <c r="B828">
        <v>2010</v>
      </c>
      <c r="C828" t="s">
        <v>17</v>
      </c>
      <c r="D828" t="s">
        <v>19</v>
      </c>
      <c r="E828">
        <v>25</v>
      </c>
      <c r="F828">
        <v>57</v>
      </c>
      <c r="G828">
        <v>10.7016127518165</v>
      </c>
      <c r="H828">
        <v>2.8</v>
      </c>
      <c r="J828" s="358" t="str">
        <f t="shared" si="66"/>
        <v>2001FemaleNon-Maori255</v>
      </c>
      <c r="K828" s="359">
        <v>2001</v>
      </c>
      <c r="L828" t="s">
        <v>8</v>
      </c>
      <c r="M828" t="s">
        <v>19</v>
      </c>
      <c r="N828">
        <v>25</v>
      </c>
      <c r="O828">
        <v>5</v>
      </c>
      <c r="P828">
        <v>3</v>
      </c>
      <c r="Q828">
        <v>7.9004706681151102</v>
      </c>
      <c r="R828">
        <v>8.9</v>
      </c>
      <c r="T828" s="358" t="str">
        <f t="shared" si="67"/>
        <v>1999MaleNon-Maori24Hanging, strangulation and suffocation</v>
      </c>
      <c r="U828" s="360">
        <v>1999</v>
      </c>
      <c r="V828" s="360" t="s">
        <v>20</v>
      </c>
      <c r="W828" s="360" t="s">
        <v>19</v>
      </c>
      <c r="X828" s="360">
        <v>24</v>
      </c>
      <c r="Y828" s="360" t="s">
        <v>43</v>
      </c>
      <c r="Z828" s="360">
        <v>34</v>
      </c>
      <c r="AA828" s="360">
        <v>82</v>
      </c>
      <c r="AB828" s="360">
        <v>41.5</v>
      </c>
    </row>
    <row r="829" spans="1:28" x14ac:dyDescent="0.2">
      <c r="A829" t="str">
        <f t="shared" si="65"/>
        <v>2010FemaleAllEth21</v>
      </c>
      <c r="B829">
        <v>2010</v>
      </c>
      <c r="C829" t="s">
        <v>8</v>
      </c>
      <c r="D829" t="s">
        <v>27</v>
      </c>
      <c r="E829">
        <v>21</v>
      </c>
      <c r="F829">
        <v>3</v>
      </c>
      <c r="J829" s="358" t="str">
        <f t="shared" si="66"/>
        <v>2001MaleAllEth211</v>
      </c>
      <c r="K829" s="359">
        <v>2001</v>
      </c>
      <c r="L829" t="s">
        <v>20</v>
      </c>
      <c r="M829" t="s">
        <v>27</v>
      </c>
      <c r="N829">
        <v>21</v>
      </c>
      <c r="O829">
        <v>1</v>
      </c>
      <c r="P829">
        <v>0</v>
      </c>
      <c r="T829" s="358" t="str">
        <f t="shared" si="67"/>
        <v>1999MaleNon-Maori25Hanging, strangulation and suffocation</v>
      </c>
      <c r="U829" s="360">
        <v>1999</v>
      </c>
      <c r="V829" s="360" t="s">
        <v>20</v>
      </c>
      <c r="W829" s="360" t="s">
        <v>19</v>
      </c>
      <c r="X829" s="360">
        <v>25</v>
      </c>
      <c r="Y829" s="360" t="s">
        <v>43</v>
      </c>
      <c r="Z829" s="360">
        <v>13</v>
      </c>
      <c r="AA829" s="360">
        <v>36</v>
      </c>
      <c r="AB829" s="360">
        <v>36.1</v>
      </c>
    </row>
    <row r="830" spans="1:28" x14ac:dyDescent="0.2">
      <c r="A830" t="str">
        <f t="shared" si="65"/>
        <v>2010FemaleAllEth22</v>
      </c>
      <c r="B830">
        <v>2010</v>
      </c>
      <c r="C830" t="s">
        <v>8</v>
      </c>
      <c r="D830" t="s">
        <v>27</v>
      </c>
      <c r="E830">
        <v>22</v>
      </c>
      <c r="F830">
        <v>34</v>
      </c>
      <c r="G830">
        <v>11.1103849421606</v>
      </c>
      <c r="H830">
        <v>3.7</v>
      </c>
      <c r="J830" s="358" t="str">
        <f t="shared" si="66"/>
        <v>2001MaleAllEth212</v>
      </c>
      <c r="K830" s="359">
        <v>2001</v>
      </c>
      <c r="L830" t="s">
        <v>20</v>
      </c>
      <c r="M830" t="s">
        <v>27</v>
      </c>
      <c r="N830">
        <v>21</v>
      </c>
      <c r="O830">
        <v>2</v>
      </c>
      <c r="P830">
        <v>0</v>
      </c>
      <c r="T830" s="358" t="str">
        <f t="shared" si="67"/>
        <v>1999MaleNon-Maori22Jumping from a high place</v>
      </c>
      <c r="U830" s="360">
        <v>1999</v>
      </c>
      <c r="V830" s="360" t="s">
        <v>20</v>
      </c>
      <c r="W830" s="360" t="s">
        <v>19</v>
      </c>
      <c r="X830" s="360">
        <v>22</v>
      </c>
      <c r="Y830" s="360" t="s">
        <v>44</v>
      </c>
      <c r="Z830" s="360">
        <v>6</v>
      </c>
      <c r="AA830" s="360">
        <v>60</v>
      </c>
      <c r="AB830" s="360">
        <v>10</v>
      </c>
    </row>
    <row r="831" spans="1:28" x14ac:dyDescent="0.2">
      <c r="A831" t="str">
        <f t="shared" si="65"/>
        <v>2010FemaleAllEth23</v>
      </c>
      <c r="B831">
        <v>2010</v>
      </c>
      <c r="C831" t="s">
        <v>8</v>
      </c>
      <c r="D831" t="s">
        <v>27</v>
      </c>
      <c r="E831">
        <v>23</v>
      </c>
      <c r="F831">
        <v>53</v>
      </c>
      <c r="G831">
        <v>8.7568567840856506</v>
      </c>
      <c r="H831">
        <v>2.4</v>
      </c>
      <c r="J831" s="358" t="str">
        <f t="shared" si="66"/>
        <v>2001MaleAllEth213</v>
      </c>
      <c r="K831" s="359">
        <v>2001</v>
      </c>
      <c r="L831" t="s">
        <v>20</v>
      </c>
      <c r="M831" t="s">
        <v>27</v>
      </c>
      <c r="N831">
        <v>21</v>
      </c>
      <c r="O831">
        <v>3</v>
      </c>
      <c r="P831">
        <v>1</v>
      </c>
      <c r="T831" s="358" t="str">
        <f t="shared" si="67"/>
        <v>1999MaleNon-Maori23Jumping from a high place</v>
      </c>
      <c r="U831" s="360">
        <v>1999</v>
      </c>
      <c r="V831" s="360" t="s">
        <v>20</v>
      </c>
      <c r="W831" s="360" t="s">
        <v>19</v>
      </c>
      <c r="X831" s="360">
        <v>23</v>
      </c>
      <c r="Y831" s="360" t="s">
        <v>44</v>
      </c>
      <c r="Z831" s="360">
        <v>3</v>
      </c>
      <c r="AA831" s="360">
        <v>146</v>
      </c>
      <c r="AB831" s="360">
        <v>2.1</v>
      </c>
    </row>
    <row r="832" spans="1:28" x14ac:dyDescent="0.2">
      <c r="A832" t="str">
        <f t="shared" si="65"/>
        <v>2010FemaleAllEth24</v>
      </c>
      <c r="B832">
        <v>2010</v>
      </c>
      <c r="C832" t="s">
        <v>8</v>
      </c>
      <c r="D832" t="s">
        <v>27</v>
      </c>
      <c r="E832">
        <v>24</v>
      </c>
      <c r="F832">
        <v>43</v>
      </c>
      <c r="G832">
        <v>7.6322328718494896</v>
      </c>
      <c r="H832">
        <v>2.2999999999999998</v>
      </c>
      <c r="J832" s="358" t="str">
        <f t="shared" si="66"/>
        <v>2001MaleAllEth214</v>
      </c>
      <c r="K832" s="359">
        <v>2001</v>
      </c>
      <c r="L832" t="s">
        <v>20</v>
      </c>
      <c r="M832" t="s">
        <v>27</v>
      </c>
      <c r="N832">
        <v>21</v>
      </c>
      <c r="O832">
        <v>4</v>
      </c>
      <c r="P832">
        <v>0</v>
      </c>
      <c r="T832" s="358" t="str">
        <f t="shared" si="67"/>
        <v>1999MaleNon-Maori24Jumping from a high place</v>
      </c>
      <c r="U832" s="360">
        <v>1999</v>
      </c>
      <c r="V832" s="360" t="s">
        <v>20</v>
      </c>
      <c r="W832" s="360" t="s">
        <v>19</v>
      </c>
      <c r="X832" s="360">
        <v>24</v>
      </c>
      <c r="Y832" s="360" t="s">
        <v>44</v>
      </c>
      <c r="Z832" s="360">
        <v>2</v>
      </c>
      <c r="AA832" s="360">
        <v>82</v>
      </c>
      <c r="AB832" s="360">
        <v>2.4</v>
      </c>
    </row>
    <row r="833" spans="1:28" x14ac:dyDescent="0.2">
      <c r="A833" t="str">
        <f t="shared" si="65"/>
        <v>2010FemaleAllEth25</v>
      </c>
      <c r="B833">
        <v>2010</v>
      </c>
      <c r="C833" t="s">
        <v>8</v>
      </c>
      <c r="D833" t="s">
        <v>27</v>
      </c>
      <c r="E833">
        <v>25</v>
      </c>
      <c r="F833">
        <v>14</v>
      </c>
      <c r="G833">
        <v>4.5607062579405104</v>
      </c>
      <c r="H833">
        <v>2.4</v>
      </c>
      <c r="J833" s="358" t="str">
        <f t="shared" si="66"/>
        <v>2001MaleAllEth215</v>
      </c>
      <c r="K833" s="359">
        <v>2001</v>
      </c>
      <c r="L833" t="s">
        <v>20</v>
      </c>
      <c r="M833" t="s">
        <v>27</v>
      </c>
      <c r="N833">
        <v>21</v>
      </c>
      <c r="O833">
        <v>5</v>
      </c>
      <c r="P833">
        <v>0</v>
      </c>
      <c r="T833" s="358" t="str">
        <f t="shared" si="67"/>
        <v>1999MaleNon-Maori22Other</v>
      </c>
      <c r="U833" s="360">
        <v>1999</v>
      </c>
      <c r="V833" s="360" t="s">
        <v>20</v>
      </c>
      <c r="W833" s="360" t="s">
        <v>19</v>
      </c>
      <c r="X833" s="360">
        <v>22</v>
      </c>
      <c r="Y833" s="360" t="s">
        <v>45</v>
      </c>
      <c r="Z833" s="360">
        <v>3</v>
      </c>
      <c r="AA833" s="360">
        <v>60</v>
      </c>
      <c r="AB833" s="360">
        <v>5</v>
      </c>
    </row>
    <row r="834" spans="1:28" x14ac:dyDescent="0.2">
      <c r="A834" t="str">
        <f t="shared" si="65"/>
        <v>2010FemaleMaori21</v>
      </c>
      <c r="B834">
        <v>2010</v>
      </c>
      <c r="C834" t="s">
        <v>8</v>
      </c>
      <c r="D834" t="s">
        <v>18</v>
      </c>
      <c r="E834">
        <v>21</v>
      </c>
      <c r="F834">
        <v>2</v>
      </c>
      <c r="J834" s="358" t="str">
        <f t="shared" si="66"/>
        <v>2001MaleAllEth221</v>
      </c>
      <c r="K834" s="359">
        <v>2001</v>
      </c>
      <c r="L834" t="s">
        <v>20</v>
      </c>
      <c r="M834" t="s">
        <v>27</v>
      </c>
      <c r="N834">
        <v>22</v>
      </c>
      <c r="O834">
        <v>1</v>
      </c>
      <c r="P834">
        <v>10</v>
      </c>
      <c r="Q834">
        <v>21.36605294085</v>
      </c>
      <c r="R834">
        <v>13.2</v>
      </c>
      <c r="T834" s="358" t="str">
        <f t="shared" si="67"/>
        <v>1999MaleNon-Maori23Other</v>
      </c>
      <c r="U834" s="360">
        <v>1999</v>
      </c>
      <c r="V834" s="360" t="s">
        <v>20</v>
      </c>
      <c r="W834" s="360" t="s">
        <v>19</v>
      </c>
      <c r="X834" s="360">
        <v>23</v>
      </c>
      <c r="Y834" s="360" t="s">
        <v>45</v>
      </c>
      <c r="Z834" s="360">
        <v>3</v>
      </c>
      <c r="AA834" s="360">
        <v>146</v>
      </c>
      <c r="AB834" s="360">
        <v>2.1</v>
      </c>
    </row>
    <row r="835" spans="1:28" x14ac:dyDescent="0.2">
      <c r="A835" t="str">
        <f t="shared" si="65"/>
        <v>2010FemaleMaori22</v>
      </c>
      <c r="B835">
        <v>2010</v>
      </c>
      <c r="C835" t="s">
        <v>8</v>
      </c>
      <c r="D835" t="s">
        <v>18</v>
      </c>
      <c r="E835">
        <v>22</v>
      </c>
      <c r="F835">
        <v>15</v>
      </c>
      <c r="G835">
        <v>24.0731824747232</v>
      </c>
      <c r="H835">
        <v>12.2</v>
      </c>
      <c r="J835" s="358" t="str">
        <f t="shared" si="66"/>
        <v>2001MaleAllEth222</v>
      </c>
      <c r="K835" s="359">
        <v>2001</v>
      </c>
      <c r="L835" t="s">
        <v>20</v>
      </c>
      <c r="M835" t="s">
        <v>27</v>
      </c>
      <c r="N835">
        <v>22</v>
      </c>
      <c r="O835">
        <v>2</v>
      </c>
      <c r="P835">
        <v>7</v>
      </c>
      <c r="Q835">
        <v>14.165418568962099</v>
      </c>
      <c r="R835">
        <v>10.5</v>
      </c>
      <c r="T835" s="358" t="str">
        <f t="shared" si="67"/>
        <v>1999MaleNon-Maori24Other</v>
      </c>
      <c r="U835" s="360">
        <v>1999</v>
      </c>
      <c r="V835" s="360" t="s">
        <v>20</v>
      </c>
      <c r="W835" s="360" t="s">
        <v>19</v>
      </c>
      <c r="X835" s="360">
        <v>24</v>
      </c>
      <c r="Y835" s="360" t="s">
        <v>45</v>
      </c>
      <c r="Z835" s="360">
        <v>3</v>
      </c>
      <c r="AA835" s="360">
        <v>82</v>
      </c>
      <c r="AB835" s="360">
        <v>3.7</v>
      </c>
    </row>
    <row r="836" spans="1:28" x14ac:dyDescent="0.2">
      <c r="A836" t="str">
        <f t="shared" ref="A836:A899" si="68">B836&amp;C836&amp;D836&amp;E836</f>
        <v>2010FemaleMaori23</v>
      </c>
      <c r="B836">
        <v>2010</v>
      </c>
      <c r="C836" t="s">
        <v>8</v>
      </c>
      <c r="D836" t="s">
        <v>18</v>
      </c>
      <c r="E836">
        <v>23</v>
      </c>
      <c r="F836">
        <v>9</v>
      </c>
      <c r="G836">
        <v>10.0682402953351</v>
      </c>
      <c r="H836">
        <v>6.6</v>
      </c>
      <c r="J836" s="358" t="str">
        <f t="shared" ref="J836:J899" si="69">K836&amp;L836&amp;M836&amp;N836&amp;O836</f>
        <v>2001MaleAllEth223</v>
      </c>
      <c r="K836" s="359">
        <v>2001</v>
      </c>
      <c r="L836" t="s">
        <v>20</v>
      </c>
      <c r="M836" t="s">
        <v>27</v>
      </c>
      <c r="N836">
        <v>22</v>
      </c>
      <c r="O836">
        <v>3</v>
      </c>
      <c r="P836">
        <v>14</v>
      </c>
      <c r="Q836">
        <v>26.649827219488699</v>
      </c>
      <c r="R836">
        <v>14</v>
      </c>
      <c r="T836" s="358" t="str">
        <f t="shared" si="67"/>
        <v>1999MaleNon-Maori25Other</v>
      </c>
      <c r="U836" s="360">
        <v>1999</v>
      </c>
      <c r="V836" s="360" t="s">
        <v>20</v>
      </c>
      <c r="W836" s="360" t="s">
        <v>19</v>
      </c>
      <c r="X836" s="360">
        <v>25</v>
      </c>
      <c r="Y836" s="360" t="s">
        <v>45</v>
      </c>
      <c r="Z836" s="360">
        <v>1</v>
      </c>
      <c r="AA836" s="360">
        <v>36</v>
      </c>
      <c r="AB836" s="360">
        <v>2.8</v>
      </c>
    </row>
    <row r="837" spans="1:28" x14ac:dyDescent="0.2">
      <c r="A837" t="str">
        <f t="shared" si="68"/>
        <v>2010FemaleMaori24</v>
      </c>
      <c r="B837">
        <v>2010</v>
      </c>
      <c r="C837" t="s">
        <v>8</v>
      </c>
      <c r="D837" t="s">
        <v>18</v>
      </c>
      <c r="E837">
        <v>24</v>
      </c>
      <c r="F837">
        <v>4</v>
      </c>
      <c r="G837">
        <v>6.5649105530937097</v>
      </c>
      <c r="H837">
        <v>6.4</v>
      </c>
      <c r="J837" s="358" t="str">
        <f t="shared" si="69"/>
        <v>2001MaleAllEth224</v>
      </c>
      <c r="K837" s="359">
        <v>2001</v>
      </c>
      <c r="L837" t="s">
        <v>20</v>
      </c>
      <c r="M837" t="s">
        <v>27</v>
      </c>
      <c r="N837">
        <v>22</v>
      </c>
      <c r="O837">
        <v>4</v>
      </c>
      <c r="P837">
        <v>22</v>
      </c>
      <c r="Q837">
        <v>38.874759230782303</v>
      </c>
      <c r="R837">
        <v>16.2</v>
      </c>
      <c r="T837" s="358" t="str">
        <f t="shared" ref="T837:T900" si="70">U837&amp;V837&amp;W837&amp;X837&amp;Y837</f>
        <v>1999MaleNon-Maori22Poisoning by gases and vapours</v>
      </c>
      <c r="U837" s="360">
        <v>1999</v>
      </c>
      <c r="V837" s="360" t="s">
        <v>20</v>
      </c>
      <c r="W837" s="360" t="s">
        <v>19</v>
      </c>
      <c r="X837" s="360">
        <v>22</v>
      </c>
      <c r="Y837" s="360" t="s">
        <v>46</v>
      </c>
      <c r="Z837" s="360">
        <v>10</v>
      </c>
      <c r="AA837" s="360">
        <v>60</v>
      </c>
      <c r="AB837" s="360">
        <v>16.7</v>
      </c>
    </row>
    <row r="838" spans="1:28" x14ac:dyDescent="0.2">
      <c r="A838" t="str">
        <f t="shared" si="68"/>
        <v>2010FemaleMaori25</v>
      </c>
      <c r="B838">
        <v>2010</v>
      </c>
      <c r="C838" t="s">
        <v>8</v>
      </c>
      <c r="D838" t="s">
        <v>18</v>
      </c>
      <c r="E838">
        <v>25</v>
      </c>
      <c r="F838">
        <v>0</v>
      </c>
      <c r="G838">
        <v>0</v>
      </c>
      <c r="J838" s="358" t="str">
        <f t="shared" si="69"/>
        <v>2001MaleAllEth225</v>
      </c>
      <c r="K838" s="359">
        <v>2001</v>
      </c>
      <c r="L838" t="s">
        <v>20</v>
      </c>
      <c r="M838" t="s">
        <v>27</v>
      </c>
      <c r="N838">
        <v>22</v>
      </c>
      <c r="O838">
        <v>5</v>
      </c>
      <c r="P838">
        <v>19</v>
      </c>
      <c r="Q838">
        <v>29.610927401756701</v>
      </c>
      <c r="R838">
        <v>13.3</v>
      </c>
      <c r="T838" s="358" t="str">
        <f t="shared" si="70"/>
        <v>1999MaleNon-Maori23Poisoning by gases and vapours</v>
      </c>
      <c r="U838" s="360">
        <v>1999</v>
      </c>
      <c r="V838" s="360" t="s">
        <v>20</v>
      </c>
      <c r="W838" s="360" t="s">
        <v>19</v>
      </c>
      <c r="X838" s="360">
        <v>23</v>
      </c>
      <c r="Y838" s="360" t="s">
        <v>46</v>
      </c>
      <c r="Z838" s="360">
        <v>54</v>
      </c>
      <c r="AA838" s="360">
        <v>146</v>
      </c>
      <c r="AB838" s="360">
        <v>37</v>
      </c>
    </row>
    <row r="839" spans="1:28" x14ac:dyDescent="0.2">
      <c r="A839" t="str">
        <f t="shared" si="68"/>
        <v>2010FemaleNon-Maori21</v>
      </c>
      <c r="B839">
        <v>2010</v>
      </c>
      <c r="C839" t="s">
        <v>8</v>
      </c>
      <c r="D839" t="s">
        <v>19</v>
      </c>
      <c r="E839">
        <v>21</v>
      </c>
      <c r="F839">
        <v>1</v>
      </c>
      <c r="J839" s="358" t="str">
        <f t="shared" si="69"/>
        <v>2001MaleAllEth231</v>
      </c>
      <c r="K839" s="359">
        <v>2001</v>
      </c>
      <c r="L839" t="s">
        <v>20</v>
      </c>
      <c r="M839" t="s">
        <v>27</v>
      </c>
      <c r="N839">
        <v>23</v>
      </c>
      <c r="O839">
        <v>1</v>
      </c>
      <c r="P839">
        <v>20</v>
      </c>
      <c r="Q839">
        <v>18.647988859721899</v>
      </c>
      <c r="R839">
        <v>8.1999999999999993</v>
      </c>
      <c r="T839" s="358" t="str">
        <f t="shared" si="70"/>
        <v>1999MaleNon-Maori24Poisoning by gases and vapours</v>
      </c>
      <c r="U839" s="360">
        <v>1999</v>
      </c>
      <c r="V839" s="360" t="s">
        <v>20</v>
      </c>
      <c r="W839" s="360" t="s">
        <v>19</v>
      </c>
      <c r="X839" s="360">
        <v>24</v>
      </c>
      <c r="Y839" s="360" t="s">
        <v>46</v>
      </c>
      <c r="Z839" s="360">
        <v>18</v>
      </c>
      <c r="AA839" s="360">
        <v>82</v>
      </c>
      <c r="AB839" s="360">
        <v>22</v>
      </c>
    </row>
    <row r="840" spans="1:28" x14ac:dyDescent="0.2">
      <c r="A840" t="str">
        <f t="shared" si="68"/>
        <v>2010FemaleNon-Maori22</v>
      </c>
      <c r="B840">
        <v>2010</v>
      </c>
      <c r="C840" t="s">
        <v>8</v>
      </c>
      <c r="D840" t="s">
        <v>19</v>
      </c>
      <c r="E840">
        <v>22</v>
      </c>
      <c r="F840">
        <v>19</v>
      </c>
      <c r="G840">
        <v>7.7961511632678198</v>
      </c>
      <c r="H840">
        <v>3.5</v>
      </c>
      <c r="J840" s="358" t="str">
        <f t="shared" si="69"/>
        <v>2001MaleAllEth232</v>
      </c>
      <c r="K840" s="359">
        <v>2001</v>
      </c>
      <c r="L840" t="s">
        <v>20</v>
      </c>
      <c r="M840" t="s">
        <v>27</v>
      </c>
      <c r="N840">
        <v>23</v>
      </c>
      <c r="O840">
        <v>2</v>
      </c>
      <c r="P840">
        <v>33</v>
      </c>
      <c r="Q840">
        <v>28.776445894146399</v>
      </c>
      <c r="R840">
        <v>9.8000000000000007</v>
      </c>
      <c r="T840" s="358" t="str">
        <f t="shared" si="70"/>
        <v>1999MaleNon-Maori25Poisoning by gases and vapours</v>
      </c>
      <c r="U840" s="360">
        <v>1999</v>
      </c>
      <c r="V840" s="360" t="s">
        <v>20</v>
      </c>
      <c r="W840" s="360" t="s">
        <v>19</v>
      </c>
      <c r="X840" s="360">
        <v>25</v>
      </c>
      <c r="Y840" s="360" t="s">
        <v>46</v>
      </c>
      <c r="Z840" s="360">
        <v>9</v>
      </c>
      <c r="AA840" s="360">
        <v>36</v>
      </c>
      <c r="AB840" s="360">
        <v>25</v>
      </c>
    </row>
    <row r="841" spans="1:28" x14ac:dyDescent="0.2">
      <c r="A841" t="str">
        <f t="shared" si="68"/>
        <v>2010FemaleNon-Maori23</v>
      </c>
      <c r="B841">
        <v>2010</v>
      </c>
      <c r="C841" t="s">
        <v>8</v>
      </c>
      <c r="D841" t="s">
        <v>19</v>
      </c>
      <c r="E841">
        <v>23</v>
      </c>
      <c r="F841">
        <v>44</v>
      </c>
      <c r="G841">
        <v>8.5296113211204805</v>
      </c>
      <c r="H841">
        <v>2.5</v>
      </c>
      <c r="J841" s="358" t="str">
        <f t="shared" si="69"/>
        <v>2001MaleAllEth233</v>
      </c>
      <c r="K841" s="359">
        <v>2001</v>
      </c>
      <c r="L841" t="s">
        <v>20</v>
      </c>
      <c r="M841" t="s">
        <v>27</v>
      </c>
      <c r="N841">
        <v>23</v>
      </c>
      <c r="O841">
        <v>3</v>
      </c>
      <c r="P841">
        <v>38</v>
      </c>
      <c r="Q841">
        <v>32.737200090056099</v>
      </c>
      <c r="R841">
        <v>10.4</v>
      </c>
      <c r="T841" s="358" t="str">
        <f t="shared" si="70"/>
        <v>1999MaleNon-Maori22Poisoning by solids and liquids</v>
      </c>
      <c r="U841" s="360">
        <v>1999</v>
      </c>
      <c r="V841" s="360" t="s">
        <v>20</v>
      </c>
      <c r="W841" s="360" t="s">
        <v>19</v>
      </c>
      <c r="X841" s="360">
        <v>22</v>
      </c>
      <c r="Y841" s="360" t="s">
        <v>47</v>
      </c>
      <c r="Z841" s="360">
        <v>2</v>
      </c>
      <c r="AA841" s="360">
        <v>60</v>
      </c>
      <c r="AB841" s="360">
        <v>3.3</v>
      </c>
    </row>
    <row r="842" spans="1:28" x14ac:dyDescent="0.2">
      <c r="A842" t="str">
        <f t="shared" si="68"/>
        <v>2010FemaleNon-Maori24</v>
      </c>
      <c r="B842">
        <v>2010</v>
      </c>
      <c r="C842" t="s">
        <v>8</v>
      </c>
      <c r="D842" t="s">
        <v>19</v>
      </c>
      <c r="E842">
        <v>24</v>
      </c>
      <c r="F842">
        <v>39</v>
      </c>
      <c r="G842">
        <v>7.7616574123828297</v>
      </c>
      <c r="H842">
        <v>2.4</v>
      </c>
      <c r="J842" s="358" t="str">
        <f t="shared" si="69"/>
        <v>2001MaleAllEth234</v>
      </c>
      <c r="K842" s="359">
        <v>2001</v>
      </c>
      <c r="L842" t="s">
        <v>20</v>
      </c>
      <c r="M842" t="s">
        <v>27</v>
      </c>
      <c r="N842">
        <v>23</v>
      </c>
      <c r="O842">
        <v>4</v>
      </c>
      <c r="P842">
        <v>48</v>
      </c>
      <c r="Q842">
        <v>42.000173032839903</v>
      </c>
      <c r="R842">
        <v>11.9</v>
      </c>
      <c r="T842" s="358" t="str">
        <f t="shared" si="70"/>
        <v>1999MaleNon-Maori23Poisoning by solids and liquids</v>
      </c>
      <c r="U842" s="360">
        <v>1999</v>
      </c>
      <c r="V842" s="360" t="s">
        <v>20</v>
      </c>
      <c r="W842" s="360" t="s">
        <v>19</v>
      </c>
      <c r="X842" s="360">
        <v>23</v>
      </c>
      <c r="Y842" s="360" t="s">
        <v>47</v>
      </c>
      <c r="Z842" s="360">
        <v>7</v>
      </c>
      <c r="AA842" s="360">
        <v>146</v>
      </c>
      <c r="AB842" s="360">
        <v>4.8</v>
      </c>
    </row>
    <row r="843" spans="1:28" x14ac:dyDescent="0.2">
      <c r="A843" t="str">
        <f t="shared" si="68"/>
        <v>2010FemaleNon-Maori25</v>
      </c>
      <c r="B843">
        <v>2010</v>
      </c>
      <c r="C843" t="s">
        <v>8</v>
      </c>
      <c r="D843" t="s">
        <v>19</v>
      </c>
      <c r="E843">
        <v>25</v>
      </c>
      <c r="F843">
        <v>14</v>
      </c>
      <c r="G843">
        <v>4.8262548262548304</v>
      </c>
      <c r="H843">
        <v>2.5</v>
      </c>
      <c r="J843" s="358" t="str">
        <f t="shared" si="69"/>
        <v>2001MaleAllEth235</v>
      </c>
      <c r="K843" s="359">
        <v>2001</v>
      </c>
      <c r="L843" t="s">
        <v>20</v>
      </c>
      <c r="M843" t="s">
        <v>27</v>
      </c>
      <c r="N843">
        <v>23</v>
      </c>
      <c r="O843">
        <v>5</v>
      </c>
      <c r="P843">
        <v>37</v>
      </c>
      <c r="Q843">
        <v>35.077220412892302</v>
      </c>
      <c r="R843">
        <v>11.3</v>
      </c>
      <c r="T843" s="358" t="str">
        <f t="shared" si="70"/>
        <v>1999MaleNon-Maori24Poisoning by solids and liquids</v>
      </c>
      <c r="U843" s="360">
        <v>1999</v>
      </c>
      <c r="V843" s="360" t="s">
        <v>20</v>
      </c>
      <c r="W843" s="360" t="s">
        <v>19</v>
      </c>
      <c r="X843" s="360">
        <v>24</v>
      </c>
      <c r="Y843" s="360" t="s">
        <v>47</v>
      </c>
      <c r="Z843" s="360">
        <v>8</v>
      </c>
      <c r="AA843" s="360">
        <v>82</v>
      </c>
      <c r="AB843" s="360">
        <v>9.8000000000000007</v>
      </c>
    </row>
    <row r="844" spans="1:28" x14ac:dyDescent="0.2">
      <c r="A844" t="str">
        <f t="shared" si="68"/>
        <v>2010MaleAllEth21</v>
      </c>
      <c r="B844">
        <v>2010</v>
      </c>
      <c r="C844" t="s">
        <v>20</v>
      </c>
      <c r="D844" t="s">
        <v>27</v>
      </c>
      <c r="E844">
        <v>21</v>
      </c>
      <c r="F844">
        <v>3</v>
      </c>
      <c r="J844" s="358" t="str">
        <f t="shared" si="69"/>
        <v>2001MaleAllEth241</v>
      </c>
      <c r="K844" s="359">
        <v>2001</v>
      </c>
      <c r="L844" t="s">
        <v>20</v>
      </c>
      <c r="M844" t="s">
        <v>27</v>
      </c>
      <c r="N844">
        <v>24</v>
      </c>
      <c r="O844">
        <v>1</v>
      </c>
      <c r="P844">
        <v>9</v>
      </c>
      <c r="Q844">
        <v>8.4829195385514105</v>
      </c>
      <c r="R844">
        <v>5.5</v>
      </c>
      <c r="T844" s="358" t="str">
        <f t="shared" si="70"/>
        <v>1999MaleNon-Maori25Poisoning by solids and liquids</v>
      </c>
      <c r="U844" s="360">
        <v>1999</v>
      </c>
      <c r="V844" s="360" t="s">
        <v>20</v>
      </c>
      <c r="W844" s="360" t="s">
        <v>19</v>
      </c>
      <c r="X844" s="360">
        <v>25</v>
      </c>
      <c r="Y844" s="360" t="s">
        <v>47</v>
      </c>
      <c r="Z844" s="360">
        <v>1</v>
      </c>
      <c r="AA844" s="360">
        <v>36</v>
      </c>
      <c r="AB844" s="360">
        <v>2.8</v>
      </c>
    </row>
    <row r="845" spans="1:28" x14ac:dyDescent="0.2">
      <c r="A845" t="str">
        <f t="shared" si="68"/>
        <v>2010MaleAllEth22</v>
      </c>
      <c r="B845">
        <v>2010</v>
      </c>
      <c r="C845" t="s">
        <v>20</v>
      </c>
      <c r="D845" t="s">
        <v>27</v>
      </c>
      <c r="E845">
        <v>22</v>
      </c>
      <c r="F845">
        <v>77</v>
      </c>
      <c r="G845">
        <v>24.6945255123312</v>
      </c>
      <c r="H845">
        <v>5.5</v>
      </c>
      <c r="J845" s="358" t="str">
        <f t="shared" si="69"/>
        <v>2001MaleAllEth242</v>
      </c>
      <c r="K845" s="359">
        <v>2001</v>
      </c>
      <c r="L845" t="s">
        <v>20</v>
      </c>
      <c r="M845" t="s">
        <v>27</v>
      </c>
      <c r="N845">
        <v>24</v>
      </c>
      <c r="O845">
        <v>2</v>
      </c>
      <c r="P845">
        <v>8</v>
      </c>
      <c r="Q845">
        <v>8.6244545165980409</v>
      </c>
      <c r="R845">
        <v>6</v>
      </c>
      <c r="T845" s="358" t="str">
        <f t="shared" si="70"/>
        <v>1999MaleNon-Maori23Sharp object</v>
      </c>
      <c r="U845" s="360">
        <v>1999</v>
      </c>
      <c r="V845" s="360" t="s">
        <v>20</v>
      </c>
      <c r="W845" s="360" t="s">
        <v>19</v>
      </c>
      <c r="X845" s="360">
        <v>23</v>
      </c>
      <c r="Y845" s="360" t="s">
        <v>48</v>
      </c>
      <c r="Z845" s="360">
        <v>4</v>
      </c>
      <c r="AA845" s="360">
        <v>146</v>
      </c>
      <c r="AB845" s="360">
        <v>2.7</v>
      </c>
    </row>
    <row r="846" spans="1:28" x14ac:dyDescent="0.2">
      <c r="A846" t="str">
        <f t="shared" si="68"/>
        <v>2010MaleAllEth23</v>
      </c>
      <c r="B846">
        <v>2010</v>
      </c>
      <c r="C846" t="s">
        <v>20</v>
      </c>
      <c r="D846" t="s">
        <v>27</v>
      </c>
      <c r="E846">
        <v>23</v>
      </c>
      <c r="F846">
        <v>146</v>
      </c>
      <c r="G846">
        <v>26.170033519152501</v>
      </c>
      <c r="H846">
        <v>4.2</v>
      </c>
      <c r="J846" s="358" t="str">
        <f t="shared" si="69"/>
        <v>2001MaleAllEth243</v>
      </c>
      <c r="K846" s="359">
        <v>2001</v>
      </c>
      <c r="L846" t="s">
        <v>20</v>
      </c>
      <c r="M846" t="s">
        <v>27</v>
      </c>
      <c r="N846">
        <v>24</v>
      </c>
      <c r="O846">
        <v>3</v>
      </c>
      <c r="P846">
        <v>10</v>
      </c>
      <c r="Q846">
        <v>12.0752916359718</v>
      </c>
      <c r="R846">
        <v>7.5</v>
      </c>
      <c r="T846" s="358" t="str">
        <f t="shared" si="70"/>
        <v>1999MaleNon-Maori24Sharp object</v>
      </c>
      <c r="U846" s="360">
        <v>1999</v>
      </c>
      <c r="V846" s="360" t="s">
        <v>20</v>
      </c>
      <c r="W846" s="360" t="s">
        <v>19</v>
      </c>
      <c r="X846" s="360">
        <v>24</v>
      </c>
      <c r="Y846" s="360" t="s">
        <v>48</v>
      </c>
      <c r="Z846" s="360">
        <v>1</v>
      </c>
      <c r="AA846" s="360">
        <v>82</v>
      </c>
      <c r="AB846" s="360">
        <v>1.2</v>
      </c>
    </row>
    <row r="847" spans="1:28" x14ac:dyDescent="0.2">
      <c r="A847" t="str">
        <f t="shared" si="68"/>
        <v>2010MaleAllEth24</v>
      </c>
      <c r="B847">
        <v>2010</v>
      </c>
      <c r="C847" t="s">
        <v>20</v>
      </c>
      <c r="D847" t="s">
        <v>27</v>
      </c>
      <c r="E847">
        <v>24</v>
      </c>
      <c r="F847">
        <v>118</v>
      </c>
      <c r="G847">
        <v>21.966566141703002</v>
      </c>
      <c r="H847">
        <v>4</v>
      </c>
      <c r="J847" s="358" t="str">
        <f t="shared" si="69"/>
        <v>2001MaleAllEth244</v>
      </c>
      <c r="K847" s="359">
        <v>2001</v>
      </c>
      <c r="L847" t="s">
        <v>20</v>
      </c>
      <c r="M847" t="s">
        <v>27</v>
      </c>
      <c r="N847">
        <v>24</v>
      </c>
      <c r="O847">
        <v>4</v>
      </c>
      <c r="P847">
        <v>11</v>
      </c>
      <c r="Q847">
        <v>14.5918022999785</v>
      </c>
      <c r="R847">
        <v>8.6</v>
      </c>
      <c r="T847" s="358" t="str">
        <f t="shared" si="70"/>
        <v>1999MaleNon-Maori25Sharp object</v>
      </c>
      <c r="U847" s="360">
        <v>1999</v>
      </c>
      <c r="V847" s="360" t="s">
        <v>20</v>
      </c>
      <c r="W847" s="360" t="s">
        <v>19</v>
      </c>
      <c r="X847" s="360">
        <v>25</v>
      </c>
      <c r="Y847" s="360" t="s">
        <v>48</v>
      </c>
      <c r="Z847" s="360">
        <v>1</v>
      </c>
      <c r="AA847" s="360">
        <v>36</v>
      </c>
      <c r="AB847" s="360">
        <v>2.8</v>
      </c>
    </row>
    <row r="848" spans="1:28" x14ac:dyDescent="0.2">
      <c r="A848" t="str">
        <f t="shared" si="68"/>
        <v>2010MaleAllEth25</v>
      </c>
      <c r="B848">
        <v>2010</v>
      </c>
      <c r="C848" t="s">
        <v>20</v>
      </c>
      <c r="D848" t="s">
        <v>27</v>
      </c>
      <c r="E848">
        <v>25</v>
      </c>
      <c r="F848">
        <v>43</v>
      </c>
      <c r="G848">
        <v>16.766093500214399</v>
      </c>
      <c r="H848">
        <v>5</v>
      </c>
      <c r="J848" s="358" t="str">
        <f t="shared" si="69"/>
        <v>2001MaleAllEth245</v>
      </c>
      <c r="K848" s="359">
        <v>2001</v>
      </c>
      <c r="L848" t="s">
        <v>20</v>
      </c>
      <c r="M848" t="s">
        <v>27</v>
      </c>
      <c r="N848">
        <v>24</v>
      </c>
      <c r="O848">
        <v>5</v>
      </c>
      <c r="P848">
        <v>14</v>
      </c>
      <c r="Q848">
        <v>20.868600711468002</v>
      </c>
      <c r="R848">
        <v>10.9</v>
      </c>
      <c r="T848" s="358" t="str">
        <f t="shared" si="70"/>
        <v>1999MaleNon-Maori23Submersion (drowning)</v>
      </c>
      <c r="U848" s="360">
        <v>1999</v>
      </c>
      <c r="V848" s="360" t="s">
        <v>20</v>
      </c>
      <c r="W848" s="360" t="s">
        <v>19</v>
      </c>
      <c r="X848" s="360">
        <v>23</v>
      </c>
      <c r="Y848" s="360" t="s">
        <v>49</v>
      </c>
      <c r="Z848" s="360">
        <v>4</v>
      </c>
      <c r="AA848" s="360">
        <v>146</v>
      </c>
      <c r="AB848" s="360">
        <v>2.7</v>
      </c>
    </row>
    <row r="849" spans="1:28" x14ac:dyDescent="0.2">
      <c r="A849" t="str">
        <f t="shared" si="68"/>
        <v>2010MaleMaori21</v>
      </c>
      <c r="B849">
        <v>2010</v>
      </c>
      <c r="C849" t="s">
        <v>20</v>
      </c>
      <c r="D849" t="s">
        <v>18</v>
      </c>
      <c r="E849">
        <v>21</v>
      </c>
      <c r="F849">
        <v>2</v>
      </c>
      <c r="J849" s="358" t="str">
        <f t="shared" si="69"/>
        <v>2001MaleAllEth251</v>
      </c>
      <c r="K849" s="359">
        <v>2001</v>
      </c>
      <c r="L849" t="s">
        <v>20</v>
      </c>
      <c r="M849" t="s">
        <v>27</v>
      </c>
      <c r="N849">
        <v>25</v>
      </c>
      <c r="O849">
        <v>1</v>
      </c>
      <c r="P849">
        <v>8</v>
      </c>
      <c r="Q849">
        <v>19.3817775167634</v>
      </c>
      <c r="R849">
        <v>13.4</v>
      </c>
      <c r="T849" s="358" t="str">
        <f t="shared" si="70"/>
        <v>1999MaleNon-Maori24Submersion (drowning)</v>
      </c>
      <c r="U849" s="360">
        <v>1999</v>
      </c>
      <c r="V849" s="360" t="s">
        <v>20</v>
      </c>
      <c r="W849" s="360" t="s">
        <v>19</v>
      </c>
      <c r="X849" s="360">
        <v>24</v>
      </c>
      <c r="Y849" s="360" t="s">
        <v>49</v>
      </c>
      <c r="Z849" s="360">
        <v>3</v>
      </c>
      <c r="AA849" s="360">
        <v>82</v>
      </c>
      <c r="AB849" s="360">
        <v>3.7</v>
      </c>
    </row>
    <row r="850" spans="1:28" x14ac:dyDescent="0.2">
      <c r="A850" t="str">
        <f t="shared" si="68"/>
        <v>2010MaleMaori22</v>
      </c>
      <c r="B850">
        <v>2010</v>
      </c>
      <c r="C850" t="s">
        <v>20</v>
      </c>
      <c r="D850" t="s">
        <v>18</v>
      </c>
      <c r="E850">
        <v>22</v>
      </c>
      <c r="F850">
        <v>27</v>
      </c>
      <c r="G850">
        <v>44.437129690585898</v>
      </c>
      <c r="H850">
        <v>16.8</v>
      </c>
      <c r="J850" s="358" t="str">
        <f t="shared" si="69"/>
        <v>2001MaleAllEth252</v>
      </c>
      <c r="K850" s="359">
        <v>2001</v>
      </c>
      <c r="L850" t="s">
        <v>20</v>
      </c>
      <c r="M850" t="s">
        <v>27</v>
      </c>
      <c r="N850">
        <v>25</v>
      </c>
      <c r="O850">
        <v>2</v>
      </c>
      <c r="P850">
        <v>9</v>
      </c>
      <c r="Q850">
        <v>21.410365102909399</v>
      </c>
      <c r="R850">
        <v>14</v>
      </c>
      <c r="T850" s="358" t="str">
        <f t="shared" si="70"/>
        <v>1999MaleNon-Maori25Submersion (drowning)</v>
      </c>
      <c r="U850" s="360">
        <v>1999</v>
      </c>
      <c r="V850" s="360" t="s">
        <v>20</v>
      </c>
      <c r="W850" s="360" t="s">
        <v>19</v>
      </c>
      <c r="X850" s="360">
        <v>25</v>
      </c>
      <c r="Y850" s="360" t="s">
        <v>49</v>
      </c>
      <c r="Z850" s="360">
        <v>4</v>
      </c>
      <c r="AA850" s="360">
        <v>36</v>
      </c>
      <c r="AB850" s="360">
        <v>11.1</v>
      </c>
    </row>
    <row r="851" spans="1:28" x14ac:dyDescent="0.2">
      <c r="A851" t="str">
        <f t="shared" si="68"/>
        <v>2010MaleMaori23</v>
      </c>
      <c r="B851">
        <v>2010</v>
      </c>
      <c r="C851" t="s">
        <v>20</v>
      </c>
      <c r="D851" t="s">
        <v>18</v>
      </c>
      <c r="E851">
        <v>23</v>
      </c>
      <c r="F851">
        <v>32</v>
      </c>
      <c r="G851">
        <v>40.994107097104802</v>
      </c>
      <c r="H851">
        <v>14.2</v>
      </c>
      <c r="J851" s="358" t="str">
        <f t="shared" si="69"/>
        <v>2001MaleAllEth253</v>
      </c>
      <c r="K851" s="359">
        <v>2001</v>
      </c>
      <c r="L851" t="s">
        <v>20</v>
      </c>
      <c r="M851" t="s">
        <v>27</v>
      </c>
      <c r="N851">
        <v>25</v>
      </c>
      <c r="O851">
        <v>3</v>
      </c>
      <c r="P851">
        <v>10</v>
      </c>
      <c r="Q851">
        <v>23.323344503496401</v>
      </c>
      <c r="R851">
        <v>14.5</v>
      </c>
      <c r="T851" s="358" t="str">
        <f t="shared" si="70"/>
        <v>2000AllSexAllEth22Firearms and explosives</v>
      </c>
      <c r="U851" s="360">
        <v>2000</v>
      </c>
      <c r="V851" s="360" t="s">
        <v>17</v>
      </c>
      <c r="W851" s="360" t="s">
        <v>27</v>
      </c>
      <c r="X851" s="360">
        <v>22</v>
      </c>
      <c r="Y851" s="360" t="s">
        <v>42</v>
      </c>
      <c r="Z851" s="360">
        <v>3</v>
      </c>
      <c r="AA851" s="360">
        <v>96</v>
      </c>
      <c r="AB851" s="360">
        <v>3.1</v>
      </c>
    </row>
    <row r="852" spans="1:28" x14ac:dyDescent="0.2">
      <c r="A852" t="str">
        <f t="shared" si="68"/>
        <v>2010MaleMaori24</v>
      </c>
      <c r="B852">
        <v>2010</v>
      </c>
      <c r="C852" t="s">
        <v>20</v>
      </c>
      <c r="D852" t="s">
        <v>18</v>
      </c>
      <c r="E852">
        <v>24</v>
      </c>
      <c r="F852">
        <v>11</v>
      </c>
      <c r="G852">
        <v>20.139143170999599</v>
      </c>
      <c r="H852">
        <v>11.9</v>
      </c>
      <c r="J852" s="358" t="str">
        <f t="shared" si="69"/>
        <v>2001MaleAllEth254</v>
      </c>
      <c r="K852" s="359">
        <v>2001</v>
      </c>
      <c r="L852" t="s">
        <v>20</v>
      </c>
      <c r="M852" t="s">
        <v>27</v>
      </c>
      <c r="N852">
        <v>25</v>
      </c>
      <c r="O852">
        <v>4</v>
      </c>
      <c r="P852">
        <v>8</v>
      </c>
      <c r="Q852">
        <v>19.211739720930399</v>
      </c>
      <c r="R852">
        <v>13.3</v>
      </c>
      <c r="T852" s="358" t="str">
        <f t="shared" si="70"/>
        <v>2000AllSexAllEth23Firearms and explosives</v>
      </c>
      <c r="U852" s="360">
        <v>2000</v>
      </c>
      <c r="V852" s="360" t="s">
        <v>17</v>
      </c>
      <c r="W852" s="360" t="s">
        <v>27</v>
      </c>
      <c r="X852" s="360">
        <v>23</v>
      </c>
      <c r="Y852" s="360" t="s">
        <v>42</v>
      </c>
      <c r="Z852" s="360">
        <v>19</v>
      </c>
      <c r="AA852" s="360">
        <v>209</v>
      </c>
      <c r="AB852" s="360">
        <v>9.1</v>
      </c>
    </row>
    <row r="853" spans="1:28" x14ac:dyDescent="0.2">
      <c r="A853" t="str">
        <f t="shared" si="68"/>
        <v>2010MaleMaori25</v>
      </c>
      <c r="B853">
        <v>2010</v>
      </c>
      <c r="C853" t="s">
        <v>20</v>
      </c>
      <c r="D853" t="s">
        <v>18</v>
      </c>
      <c r="E853">
        <v>25</v>
      </c>
      <c r="F853">
        <v>0</v>
      </c>
      <c r="G853">
        <v>0</v>
      </c>
      <c r="J853" s="358" t="str">
        <f t="shared" si="69"/>
        <v>2001MaleAllEth255</v>
      </c>
      <c r="K853" s="359">
        <v>2001</v>
      </c>
      <c r="L853" t="s">
        <v>20</v>
      </c>
      <c r="M853" t="s">
        <v>27</v>
      </c>
      <c r="N853">
        <v>25</v>
      </c>
      <c r="O853">
        <v>5</v>
      </c>
      <c r="P853">
        <v>10</v>
      </c>
      <c r="Q853">
        <v>29.7869946948795</v>
      </c>
      <c r="R853">
        <v>18.5</v>
      </c>
      <c r="T853" s="358" t="str">
        <f t="shared" si="70"/>
        <v>2000AllSexAllEth24Firearms and explosives</v>
      </c>
      <c r="U853" s="360">
        <v>2000</v>
      </c>
      <c r="V853" s="360" t="s">
        <v>17</v>
      </c>
      <c r="W853" s="360" t="s">
        <v>27</v>
      </c>
      <c r="X853" s="360">
        <v>24</v>
      </c>
      <c r="Y853" s="360" t="s">
        <v>42</v>
      </c>
      <c r="Z853" s="360">
        <v>8</v>
      </c>
      <c r="AA853" s="360">
        <v>103</v>
      </c>
      <c r="AB853" s="360">
        <v>7.8</v>
      </c>
    </row>
    <row r="854" spans="1:28" x14ac:dyDescent="0.2">
      <c r="A854" t="str">
        <f t="shared" si="68"/>
        <v>2010MaleNon-Maori21</v>
      </c>
      <c r="B854">
        <v>2010</v>
      </c>
      <c r="C854" t="s">
        <v>20</v>
      </c>
      <c r="D854" t="s">
        <v>19</v>
      </c>
      <c r="E854">
        <v>21</v>
      </c>
      <c r="F854">
        <v>1</v>
      </c>
      <c r="J854" s="358" t="str">
        <f t="shared" si="69"/>
        <v>2001MaleMaori211</v>
      </c>
      <c r="K854" s="359">
        <v>2001</v>
      </c>
      <c r="L854" t="s">
        <v>20</v>
      </c>
      <c r="M854" t="s">
        <v>18</v>
      </c>
      <c r="N854">
        <v>21</v>
      </c>
      <c r="O854">
        <v>1</v>
      </c>
      <c r="P854">
        <v>0</v>
      </c>
      <c r="T854" s="358" t="str">
        <f t="shared" si="70"/>
        <v>2000AllSexAllEth25Firearms and explosives</v>
      </c>
      <c r="U854" s="360">
        <v>2000</v>
      </c>
      <c r="V854" s="360" t="s">
        <v>17</v>
      </c>
      <c r="W854" s="360" t="s">
        <v>27</v>
      </c>
      <c r="X854" s="360">
        <v>25</v>
      </c>
      <c r="Y854" s="360" t="s">
        <v>42</v>
      </c>
      <c r="Z854" s="360">
        <v>7</v>
      </c>
      <c r="AA854" s="360">
        <v>47</v>
      </c>
      <c r="AB854" s="360">
        <v>14.9</v>
      </c>
    </row>
    <row r="855" spans="1:28" x14ac:dyDescent="0.2">
      <c r="A855" t="str">
        <f t="shared" si="68"/>
        <v>2010MaleNon-Maori22</v>
      </c>
      <c r="B855">
        <v>2010</v>
      </c>
      <c r="C855" t="s">
        <v>20</v>
      </c>
      <c r="D855" t="s">
        <v>19</v>
      </c>
      <c r="E855">
        <v>22</v>
      </c>
      <c r="F855">
        <v>50</v>
      </c>
      <c r="G855">
        <v>19.9163513244374</v>
      </c>
      <c r="H855">
        <v>5.5</v>
      </c>
      <c r="J855" s="358" t="str">
        <f t="shared" si="69"/>
        <v>2001MaleMaori212</v>
      </c>
      <c r="K855" s="359">
        <v>2001</v>
      </c>
      <c r="L855" t="s">
        <v>20</v>
      </c>
      <c r="M855" t="s">
        <v>18</v>
      </c>
      <c r="N855">
        <v>21</v>
      </c>
      <c r="O855">
        <v>2</v>
      </c>
      <c r="P855">
        <v>0</v>
      </c>
      <c r="T855" s="358" t="str">
        <f t="shared" si="70"/>
        <v>2000AllSexAllEth21Hanging, strangulation and suffocation</v>
      </c>
      <c r="U855" s="360">
        <v>2000</v>
      </c>
      <c r="V855" s="360" t="s">
        <v>17</v>
      </c>
      <c r="W855" s="360" t="s">
        <v>27</v>
      </c>
      <c r="X855" s="360">
        <v>21</v>
      </c>
      <c r="Y855" s="360" t="s">
        <v>43</v>
      </c>
      <c r="Z855" s="360">
        <v>3</v>
      </c>
      <c r="AA855" s="360">
        <v>4</v>
      </c>
      <c r="AB855" s="360">
        <v>75</v>
      </c>
    </row>
    <row r="856" spans="1:28" x14ac:dyDescent="0.2">
      <c r="A856" t="str">
        <f t="shared" si="68"/>
        <v>2010MaleNon-Maori23</v>
      </c>
      <c r="B856">
        <v>2010</v>
      </c>
      <c r="C856" t="s">
        <v>20</v>
      </c>
      <c r="D856" t="s">
        <v>19</v>
      </c>
      <c r="E856">
        <v>23</v>
      </c>
      <c r="F856">
        <v>114</v>
      </c>
      <c r="G856">
        <v>23.758414438446898</v>
      </c>
      <c r="H856">
        <v>4.4000000000000004</v>
      </c>
      <c r="J856" s="358" t="str">
        <f t="shared" si="69"/>
        <v>2001MaleMaori213</v>
      </c>
      <c r="K856" s="359">
        <v>2001</v>
      </c>
      <c r="L856" t="s">
        <v>20</v>
      </c>
      <c r="M856" t="s">
        <v>18</v>
      </c>
      <c r="N856">
        <v>21</v>
      </c>
      <c r="O856">
        <v>3</v>
      </c>
      <c r="P856">
        <v>0</v>
      </c>
      <c r="T856" s="358" t="str">
        <f t="shared" si="70"/>
        <v>2000AllSexAllEth22Hanging, strangulation and suffocation</v>
      </c>
      <c r="U856" s="360">
        <v>2000</v>
      </c>
      <c r="V856" s="360" t="s">
        <v>17</v>
      </c>
      <c r="W856" s="360" t="s">
        <v>27</v>
      </c>
      <c r="X856" s="360">
        <v>22</v>
      </c>
      <c r="Y856" s="360" t="s">
        <v>43</v>
      </c>
      <c r="Z856" s="360">
        <v>60</v>
      </c>
      <c r="AA856" s="360">
        <v>96</v>
      </c>
      <c r="AB856" s="360">
        <v>62.5</v>
      </c>
    </row>
    <row r="857" spans="1:28" x14ac:dyDescent="0.2">
      <c r="A857" t="str">
        <f t="shared" si="68"/>
        <v>2010MaleNon-Maori24</v>
      </c>
      <c r="B857">
        <v>2010</v>
      </c>
      <c r="C857" t="s">
        <v>20</v>
      </c>
      <c r="D857" t="s">
        <v>19</v>
      </c>
      <c r="E857">
        <v>24</v>
      </c>
      <c r="F857">
        <v>107</v>
      </c>
      <c r="G857">
        <v>22.1734084880637</v>
      </c>
      <c r="H857">
        <v>4.2</v>
      </c>
      <c r="J857" s="358" t="str">
        <f t="shared" si="69"/>
        <v>2001MaleMaori214</v>
      </c>
      <c r="K857" s="359">
        <v>2001</v>
      </c>
      <c r="L857" t="s">
        <v>20</v>
      </c>
      <c r="M857" t="s">
        <v>18</v>
      </c>
      <c r="N857">
        <v>21</v>
      </c>
      <c r="O857">
        <v>4</v>
      </c>
      <c r="P857">
        <v>0</v>
      </c>
      <c r="T857" s="358" t="str">
        <f t="shared" si="70"/>
        <v>2000AllSexAllEth23Hanging, strangulation and suffocation</v>
      </c>
      <c r="U857" s="360">
        <v>2000</v>
      </c>
      <c r="V857" s="360" t="s">
        <v>17</v>
      </c>
      <c r="W857" s="360" t="s">
        <v>27</v>
      </c>
      <c r="X857" s="360">
        <v>23</v>
      </c>
      <c r="Y857" s="360" t="s">
        <v>43</v>
      </c>
      <c r="Z857" s="360">
        <v>99</v>
      </c>
      <c r="AA857" s="360">
        <v>209</v>
      </c>
      <c r="AB857" s="360">
        <v>47.4</v>
      </c>
    </row>
    <row r="858" spans="1:28" x14ac:dyDescent="0.2">
      <c r="A858" t="str">
        <f t="shared" si="68"/>
        <v>2010MaleNon-Maori25</v>
      </c>
      <c r="B858">
        <v>2010</v>
      </c>
      <c r="C858" t="s">
        <v>20</v>
      </c>
      <c r="D858" t="s">
        <v>19</v>
      </c>
      <c r="E858">
        <v>25</v>
      </c>
      <c r="F858">
        <v>43</v>
      </c>
      <c r="G858">
        <v>17.730496453900699</v>
      </c>
      <c r="H858">
        <v>5.3</v>
      </c>
      <c r="J858" s="358" t="str">
        <f t="shared" si="69"/>
        <v>2001MaleMaori215</v>
      </c>
      <c r="K858" s="359">
        <v>2001</v>
      </c>
      <c r="L858" t="s">
        <v>20</v>
      </c>
      <c r="M858" t="s">
        <v>18</v>
      </c>
      <c r="N858">
        <v>21</v>
      </c>
      <c r="O858">
        <v>5</v>
      </c>
      <c r="P858">
        <v>0</v>
      </c>
      <c r="T858" s="358" t="str">
        <f t="shared" si="70"/>
        <v>2000AllSexAllEth24Hanging, strangulation and suffocation</v>
      </c>
      <c r="U858" s="360">
        <v>2000</v>
      </c>
      <c r="V858" s="360" t="s">
        <v>17</v>
      </c>
      <c r="W858" s="360" t="s">
        <v>27</v>
      </c>
      <c r="X858" s="360">
        <v>24</v>
      </c>
      <c r="Y858" s="360" t="s">
        <v>43</v>
      </c>
      <c r="Z858" s="360">
        <v>36</v>
      </c>
      <c r="AA858" s="360">
        <v>103</v>
      </c>
      <c r="AB858" s="360">
        <v>35</v>
      </c>
    </row>
    <row r="859" spans="1:28" x14ac:dyDescent="0.2">
      <c r="A859" t="str">
        <f t="shared" si="68"/>
        <v>2011AllSexAllEth21</v>
      </c>
      <c r="B859">
        <v>2011</v>
      </c>
      <c r="C859" t="s">
        <v>17</v>
      </c>
      <c r="D859" t="s">
        <v>27</v>
      </c>
      <c r="E859">
        <v>21</v>
      </c>
      <c r="F859">
        <v>6</v>
      </c>
      <c r="J859" s="358" t="str">
        <f t="shared" si="69"/>
        <v>2001MaleMaori221</v>
      </c>
      <c r="K859" s="359">
        <v>2001</v>
      </c>
      <c r="L859" t="s">
        <v>20</v>
      </c>
      <c r="M859" t="s">
        <v>18</v>
      </c>
      <c r="N859">
        <v>22</v>
      </c>
      <c r="O859">
        <v>1</v>
      </c>
      <c r="P859">
        <v>0</v>
      </c>
      <c r="Q859">
        <v>0</v>
      </c>
      <c r="T859" s="358" t="str">
        <f t="shared" si="70"/>
        <v>2000AllSexAllEth25Hanging, strangulation and suffocation</v>
      </c>
      <c r="U859" s="360">
        <v>2000</v>
      </c>
      <c r="V859" s="360" t="s">
        <v>17</v>
      </c>
      <c r="W859" s="360" t="s">
        <v>27</v>
      </c>
      <c r="X859" s="360">
        <v>25</v>
      </c>
      <c r="Y859" s="360" t="s">
        <v>43</v>
      </c>
      <c r="Z859" s="360">
        <v>17</v>
      </c>
      <c r="AA859" s="360">
        <v>47</v>
      </c>
      <c r="AB859" s="360">
        <v>36.200000000000003</v>
      </c>
    </row>
    <row r="860" spans="1:28" x14ac:dyDescent="0.2">
      <c r="A860" t="str">
        <f t="shared" si="68"/>
        <v>2011AllSexAllEth22</v>
      </c>
      <c r="B860">
        <v>2011</v>
      </c>
      <c r="C860" t="s">
        <v>17</v>
      </c>
      <c r="D860" t="s">
        <v>27</v>
      </c>
      <c r="E860">
        <v>22</v>
      </c>
      <c r="F860">
        <v>130</v>
      </c>
      <c r="G860">
        <v>20.876156217882802</v>
      </c>
      <c r="H860">
        <v>3.6</v>
      </c>
      <c r="J860" s="358" t="str">
        <f t="shared" si="69"/>
        <v>2001MaleMaori222</v>
      </c>
      <c r="K860" s="359">
        <v>2001</v>
      </c>
      <c r="L860" t="s">
        <v>20</v>
      </c>
      <c r="M860" t="s">
        <v>18</v>
      </c>
      <c r="N860">
        <v>22</v>
      </c>
      <c r="O860">
        <v>2</v>
      </c>
      <c r="P860">
        <v>2</v>
      </c>
      <c r="Q860">
        <v>35.165334849525699</v>
      </c>
      <c r="R860">
        <v>48.7</v>
      </c>
      <c r="T860" s="358" t="str">
        <f t="shared" si="70"/>
        <v>2000AllSexAllEth22Jumping from a high place</v>
      </c>
      <c r="U860" s="360">
        <v>2000</v>
      </c>
      <c r="V860" s="360" t="s">
        <v>17</v>
      </c>
      <c r="W860" s="360" t="s">
        <v>27</v>
      </c>
      <c r="X860" s="360">
        <v>22</v>
      </c>
      <c r="Y860" s="360" t="s">
        <v>44</v>
      </c>
      <c r="Z860" s="360">
        <v>5</v>
      </c>
      <c r="AA860" s="360">
        <v>96</v>
      </c>
      <c r="AB860" s="360">
        <v>5.2</v>
      </c>
    </row>
    <row r="861" spans="1:28" x14ac:dyDescent="0.2">
      <c r="A861" t="str">
        <f t="shared" si="68"/>
        <v>2011AllSexAllEth23</v>
      </c>
      <c r="B861">
        <v>2011</v>
      </c>
      <c r="C861" t="s">
        <v>17</v>
      </c>
      <c r="D861" t="s">
        <v>27</v>
      </c>
      <c r="E861">
        <v>23</v>
      </c>
      <c r="F861">
        <v>163</v>
      </c>
      <c r="G861">
        <v>14.112065383017001</v>
      </c>
      <c r="H861">
        <v>2.2000000000000002</v>
      </c>
      <c r="J861" s="358" t="str">
        <f t="shared" si="69"/>
        <v>2001MaleMaori223</v>
      </c>
      <c r="K861" s="359">
        <v>2001</v>
      </c>
      <c r="L861" t="s">
        <v>20</v>
      </c>
      <c r="M861" t="s">
        <v>18</v>
      </c>
      <c r="N861">
        <v>22</v>
      </c>
      <c r="O861">
        <v>3</v>
      </c>
      <c r="P861">
        <v>1</v>
      </c>
      <c r="Q861">
        <v>11.813446088792301</v>
      </c>
      <c r="R861">
        <v>23.2</v>
      </c>
      <c r="T861" s="358" t="str">
        <f t="shared" si="70"/>
        <v>2000AllSexAllEth23Jumping from a high place</v>
      </c>
      <c r="U861" s="360">
        <v>2000</v>
      </c>
      <c r="V861" s="360" t="s">
        <v>17</v>
      </c>
      <c r="W861" s="360" t="s">
        <v>27</v>
      </c>
      <c r="X861" s="360">
        <v>23</v>
      </c>
      <c r="Y861" s="360" t="s">
        <v>44</v>
      </c>
      <c r="Z861" s="360">
        <v>3</v>
      </c>
      <c r="AA861" s="360">
        <v>209</v>
      </c>
      <c r="AB861" s="360">
        <v>1.4</v>
      </c>
    </row>
    <row r="862" spans="1:28" x14ac:dyDescent="0.2">
      <c r="A862" t="str">
        <f t="shared" si="68"/>
        <v>2011AllSexAllEth24</v>
      </c>
      <c r="B862">
        <v>2011</v>
      </c>
      <c r="C862" t="s">
        <v>17</v>
      </c>
      <c r="D862" t="s">
        <v>27</v>
      </c>
      <c r="E862">
        <v>24</v>
      </c>
      <c r="F862">
        <v>150</v>
      </c>
      <c r="G862">
        <v>13.4247409025006</v>
      </c>
      <c r="H862">
        <v>2.1</v>
      </c>
      <c r="J862" s="358" t="str">
        <f t="shared" si="69"/>
        <v>2001MaleMaori224</v>
      </c>
      <c r="K862" s="359">
        <v>2001</v>
      </c>
      <c r="L862" t="s">
        <v>20</v>
      </c>
      <c r="M862" t="s">
        <v>18</v>
      </c>
      <c r="N862">
        <v>22</v>
      </c>
      <c r="O862">
        <v>4</v>
      </c>
      <c r="P862">
        <v>5</v>
      </c>
      <c r="Q862">
        <v>40.645596131824</v>
      </c>
      <c r="R862">
        <v>35.6</v>
      </c>
      <c r="T862" s="358" t="str">
        <f t="shared" si="70"/>
        <v>2000AllSexAllEth24Jumping from a high place</v>
      </c>
      <c r="U862" s="360">
        <v>2000</v>
      </c>
      <c r="V862" s="360" t="s">
        <v>17</v>
      </c>
      <c r="W862" s="360" t="s">
        <v>27</v>
      </c>
      <c r="X862" s="360">
        <v>24</v>
      </c>
      <c r="Y862" s="360" t="s">
        <v>44</v>
      </c>
      <c r="Z862" s="360">
        <v>5</v>
      </c>
      <c r="AA862" s="360">
        <v>103</v>
      </c>
      <c r="AB862" s="360">
        <v>4.9000000000000004</v>
      </c>
    </row>
    <row r="863" spans="1:28" x14ac:dyDescent="0.2">
      <c r="A863" t="str">
        <f t="shared" si="68"/>
        <v>2011AllSexAllEth25</v>
      </c>
      <c r="B863">
        <v>2011</v>
      </c>
      <c r="C863" t="s">
        <v>17</v>
      </c>
      <c r="D863" t="s">
        <v>27</v>
      </c>
      <c r="E863">
        <v>25</v>
      </c>
      <c r="F863">
        <v>45</v>
      </c>
      <c r="G863">
        <v>7.7496684864036398</v>
      </c>
      <c r="H863">
        <v>2.2999999999999998</v>
      </c>
      <c r="J863" s="358" t="str">
        <f t="shared" si="69"/>
        <v>2001MaleMaori225</v>
      </c>
      <c r="K863" s="359">
        <v>2001</v>
      </c>
      <c r="L863" t="s">
        <v>20</v>
      </c>
      <c r="M863" t="s">
        <v>18</v>
      </c>
      <c r="N863">
        <v>22</v>
      </c>
      <c r="O863">
        <v>5</v>
      </c>
      <c r="P863">
        <v>9</v>
      </c>
      <c r="Q863">
        <v>42.830760729680399</v>
      </c>
      <c r="R863">
        <v>28</v>
      </c>
      <c r="T863" s="358" t="str">
        <f t="shared" si="70"/>
        <v>2000AllSexAllEth25Jumping from a high place</v>
      </c>
      <c r="U863" s="360">
        <v>2000</v>
      </c>
      <c r="V863" s="360" t="s">
        <v>17</v>
      </c>
      <c r="W863" s="360" t="s">
        <v>27</v>
      </c>
      <c r="X863" s="360">
        <v>25</v>
      </c>
      <c r="Y863" s="360" t="s">
        <v>44</v>
      </c>
      <c r="Z863" s="360">
        <v>3</v>
      </c>
      <c r="AA863" s="360">
        <v>47</v>
      </c>
      <c r="AB863" s="360">
        <v>6.4</v>
      </c>
    </row>
    <row r="864" spans="1:28" x14ac:dyDescent="0.2">
      <c r="A864" t="str">
        <f t="shared" si="68"/>
        <v>2011AllSexMaori21</v>
      </c>
      <c r="B864">
        <v>2011</v>
      </c>
      <c r="C864" t="s">
        <v>17</v>
      </c>
      <c r="D864" t="s">
        <v>18</v>
      </c>
      <c r="E864">
        <v>21</v>
      </c>
      <c r="F864">
        <v>4</v>
      </c>
      <c r="J864" s="358" t="str">
        <f t="shared" si="69"/>
        <v>2001MaleMaori231</v>
      </c>
      <c r="K864" s="359">
        <v>2001</v>
      </c>
      <c r="L864" t="s">
        <v>20</v>
      </c>
      <c r="M864" t="s">
        <v>18</v>
      </c>
      <c r="N864">
        <v>23</v>
      </c>
      <c r="O864">
        <v>1</v>
      </c>
      <c r="P864">
        <v>1</v>
      </c>
      <c r="Q864">
        <v>14.195025338817199</v>
      </c>
      <c r="R864">
        <v>27.8</v>
      </c>
      <c r="T864" s="358" t="str">
        <f t="shared" si="70"/>
        <v>2000AllSexAllEth21Other</v>
      </c>
      <c r="U864" s="360">
        <v>2000</v>
      </c>
      <c r="V864" s="360" t="s">
        <v>17</v>
      </c>
      <c r="W864" s="360" t="s">
        <v>27</v>
      </c>
      <c r="X864" s="360">
        <v>21</v>
      </c>
      <c r="Y864" s="360" t="s">
        <v>45</v>
      </c>
      <c r="Z864" s="360">
        <v>1</v>
      </c>
      <c r="AA864" s="360">
        <v>4</v>
      </c>
      <c r="AB864" s="360">
        <v>25</v>
      </c>
    </row>
    <row r="865" spans="1:28" x14ac:dyDescent="0.2">
      <c r="A865" t="str">
        <f t="shared" si="68"/>
        <v>2011AllSexMaori22</v>
      </c>
      <c r="B865">
        <v>2011</v>
      </c>
      <c r="C865" t="s">
        <v>17</v>
      </c>
      <c r="D865" t="s">
        <v>18</v>
      </c>
      <c r="E865">
        <v>22</v>
      </c>
      <c r="F865">
        <v>49</v>
      </c>
      <c r="G865">
        <v>39.319531375381203</v>
      </c>
      <c r="H865">
        <v>11</v>
      </c>
      <c r="J865" s="358" t="str">
        <f t="shared" si="69"/>
        <v>2001MaleMaori232</v>
      </c>
      <c r="K865" s="359">
        <v>2001</v>
      </c>
      <c r="L865" t="s">
        <v>20</v>
      </c>
      <c r="M865" t="s">
        <v>18</v>
      </c>
      <c r="N865">
        <v>23</v>
      </c>
      <c r="O865">
        <v>2</v>
      </c>
      <c r="P865">
        <v>3</v>
      </c>
      <c r="Q865">
        <v>29.657003721651801</v>
      </c>
      <c r="R865">
        <v>33.6</v>
      </c>
      <c r="T865" s="358" t="str">
        <f t="shared" si="70"/>
        <v>2000AllSexAllEth22Other</v>
      </c>
      <c r="U865" s="360">
        <v>2000</v>
      </c>
      <c r="V865" s="360" t="s">
        <v>17</v>
      </c>
      <c r="W865" s="360" t="s">
        <v>27</v>
      </c>
      <c r="X865" s="360">
        <v>22</v>
      </c>
      <c r="Y865" s="360" t="s">
        <v>45</v>
      </c>
      <c r="Z865" s="360">
        <v>4</v>
      </c>
      <c r="AA865" s="360">
        <v>96</v>
      </c>
      <c r="AB865" s="360">
        <v>4.2</v>
      </c>
    </row>
    <row r="866" spans="1:28" x14ac:dyDescent="0.2">
      <c r="A866" t="str">
        <f t="shared" si="68"/>
        <v>2011AllSexMaori23</v>
      </c>
      <c r="B866">
        <v>2011</v>
      </c>
      <c r="C866" t="s">
        <v>17</v>
      </c>
      <c r="D866" t="s">
        <v>18</v>
      </c>
      <c r="E866">
        <v>23</v>
      </c>
      <c r="F866">
        <v>44</v>
      </c>
      <c r="G866">
        <v>26.256116481680401</v>
      </c>
      <c r="H866">
        <v>7.8</v>
      </c>
      <c r="J866" s="358" t="str">
        <f t="shared" si="69"/>
        <v>2001MaleMaori233</v>
      </c>
      <c r="K866" s="359">
        <v>2001</v>
      </c>
      <c r="L866" t="s">
        <v>20</v>
      </c>
      <c r="M866" t="s">
        <v>18</v>
      </c>
      <c r="N866">
        <v>23</v>
      </c>
      <c r="O866">
        <v>3</v>
      </c>
      <c r="P866">
        <v>8</v>
      </c>
      <c r="Q866">
        <v>57.217033305495796</v>
      </c>
      <c r="R866">
        <v>39.6</v>
      </c>
      <c r="T866" s="358" t="str">
        <f t="shared" si="70"/>
        <v>2000AllSexAllEth23Other</v>
      </c>
      <c r="U866" s="360">
        <v>2000</v>
      </c>
      <c r="V866" s="360" t="s">
        <v>17</v>
      </c>
      <c r="W866" s="360" t="s">
        <v>27</v>
      </c>
      <c r="X866" s="360">
        <v>23</v>
      </c>
      <c r="Y866" s="360" t="s">
        <v>45</v>
      </c>
      <c r="Z866" s="360">
        <v>8</v>
      </c>
      <c r="AA866" s="360">
        <v>209</v>
      </c>
      <c r="AB866" s="360">
        <v>3.8</v>
      </c>
    </row>
    <row r="867" spans="1:28" x14ac:dyDescent="0.2">
      <c r="A867" t="str">
        <f t="shared" si="68"/>
        <v>2011AllSexMaori24</v>
      </c>
      <c r="B867">
        <v>2011</v>
      </c>
      <c r="C867" t="s">
        <v>17</v>
      </c>
      <c r="D867" t="s">
        <v>18</v>
      </c>
      <c r="E867">
        <v>24</v>
      </c>
      <c r="F867">
        <v>16</v>
      </c>
      <c r="G867">
        <v>13.3723359799415</v>
      </c>
      <c r="H867">
        <v>6.6</v>
      </c>
      <c r="J867" s="358" t="str">
        <f t="shared" si="69"/>
        <v>2001MaleMaori234</v>
      </c>
      <c r="K867" s="359">
        <v>2001</v>
      </c>
      <c r="L867" t="s">
        <v>20</v>
      </c>
      <c r="M867" t="s">
        <v>18</v>
      </c>
      <c r="N867">
        <v>23</v>
      </c>
      <c r="O867">
        <v>4</v>
      </c>
      <c r="P867">
        <v>7</v>
      </c>
      <c r="Q867">
        <v>36.539173739025301</v>
      </c>
      <c r="R867">
        <v>27.1</v>
      </c>
      <c r="T867" s="358" t="str">
        <f t="shared" si="70"/>
        <v>2000AllSexAllEth24Other</v>
      </c>
      <c r="U867" s="360">
        <v>2000</v>
      </c>
      <c r="V867" s="360" t="s">
        <v>17</v>
      </c>
      <c r="W867" s="360" t="s">
        <v>27</v>
      </c>
      <c r="X867" s="360">
        <v>24</v>
      </c>
      <c r="Y867" s="360" t="s">
        <v>45</v>
      </c>
      <c r="Z867" s="360">
        <v>2</v>
      </c>
      <c r="AA867" s="360">
        <v>103</v>
      </c>
      <c r="AB867" s="360">
        <v>1.9</v>
      </c>
    </row>
    <row r="868" spans="1:28" x14ac:dyDescent="0.2">
      <c r="A868" t="str">
        <f t="shared" si="68"/>
        <v>2011AllSexMaori25</v>
      </c>
      <c r="B868">
        <v>2011</v>
      </c>
      <c r="C868" t="s">
        <v>17</v>
      </c>
      <c r="D868" t="s">
        <v>18</v>
      </c>
      <c r="E868">
        <v>25</v>
      </c>
      <c r="F868">
        <v>0</v>
      </c>
      <c r="G868">
        <v>0</v>
      </c>
      <c r="J868" s="358" t="str">
        <f t="shared" si="69"/>
        <v>2001MaleMaori235</v>
      </c>
      <c r="K868" s="359">
        <v>2001</v>
      </c>
      <c r="L868" t="s">
        <v>20</v>
      </c>
      <c r="M868" t="s">
        <v>18</v>
      </c>
      <c r="N868">
        <v>23</v>
      </c>
      <c r="O868">
        <v>5</v>
      </c>
      <c r="P868">
        <v>11</v>
      </c>
      <c r="Q868">
        <v>36.912439039124102</v>
      </c>
      <c r="R868">
        <v>21.8</v>
      </c>
      <c r="T868" s="358" t="str">
        <f t="shared" si="70"/>
        <v>2000AllSexAllEth25Other</v>
      </c>
      <c r="U868" s="360">
        <v>2000</v>
      </c>
      <c r="V868" s="360" t="s">
        <v>17</v>
      </c>
      <c r="W868" s="360" t="s">
        <v>27</v>
      </c>
      <c r="X868" s="360">
        <v>25</v>
      </c>
      <c r="Y868" s="360" t="s">
        <v>45</v>
      </c>
      <c r="Z868" s="360">
        <v>1</v>
      </c>
      <c r="AA868" s="360">
        <v>47</v>
      </c>
      <c r="AB868" s="360">
        <v>2.1</v>
      </c>
    </row>
    <row r="869" spans="1:28" x14ac:dyDescent="0.2">
      <c r="A869" t="str">
        <f t="shared" si="68"/>
        <v>2011AllSexNon-Maori21</v>
      </c>
      <c r="B869">
        <v>2011</v>
      </c>
      <c r="C869" t="s">
        <v>17</v>
      </c>
      <c r="D869" t="s">
        <v>19</v>
      </c>
      <c r="E869">
        <v>21</v>
      </c>
      <c r="F869">
        <v>2</v>
      </c>
      <c r="J869" s="358" t="str">
        <f t="shared" si="69"/>
        <v>2001MaleMaori241</v>
      </c>
      <c r="K869" s="359">
        <v>2001</v>
      </c>
      <c r="L869" t="s">
        <v>20</v>
      </c>
      <c r="M869" t="s">
        <v>18</v>
      </c>
      <c r="N869">
        <v>24</v>
      </c>
      <c r="O869">
        <v>1</v>
      </c>
      <c r="P869">
        <v>0</v>
      </c>
      <c r="Q869">
        <v>0</v>
      </c>
      <c r="T869" s="358" t="str">
        <f t="shared" si="70"/>
        <v>2000AllSexAllEth22Poisoning by gases and vapours</v>
      </c>
      <c r="U869" s="360">
        <v>2000</v>
      </c>
      <c r="V869" s="360" t="s">
        <v>17</v>
      </c>
      <c r="W869" s="360" t="s">
        <v>27</v>
      </c>
      <c r="X869" s="360">
        <v>22</v>
      </c>
      <c r="Y869" s="360" t="s">
        <v>46</v>
      </c>
      <c r="Z869" s="360">
        <v>18</v>
      </c>
      <c r="AA869" s="360">
        <v>96</v>
      </c>
      <c r="AB869" s="360">
        <v>18.8</v>
      </c>
    </row>
    <row r="870" spans="1:28" x14ac:dyDescent="0.2">
      <c r="A870" t="str">
        <f t="shared" si="68"/>
        <v>2011AllSexNon-Maori22</v>
      </c>
      <c r="B870">
        <v>2011</v>
      </c>
      <c r="C870" t="s">
        <v>17</v>
      </c>
      <c r="D870" t="s">
        <v>19</v>
      </c>
      <c r="E870">
        <v>22</v>
      </c>
      <c r="F870">
        <v>81</v>
      </c>
      <c r="G870">
        <v>16.261794820317199</v>
      </c>
      <c r="H870">
        <v>3.5</v>
      </c>
      <c r="J870" s="358" t="str">
        <f t="shared" si="69"/>
        <v>2001MaleMaori242</v>
      </c>
      <c r="K870" s="359">
        <v>2001</v>
      </c>
      <c r="L870" t="s">
        <v>20</v>
      </c>
      <c r="M870" t="s">
        <v>18</v>
      </c>
      <c r="N870">
        <v>24</v>
      </c>
      <c r="O870">
        <v>2</v>
      </c>
      <c r="P870">
        <v>1</v>
      </c>
      <c r="Q870">
        <v>22.066488808830499</v>
      </c>
      <c r="R870">
        <v>43.2</v>
      </c>
      <c r="T870" s="358" t="str">
        <f t="shared" si="70"/>
        <v>2000AllSexAllEth23Poisoning by gases and vapours</v>
      </c>
      <c r="U870" s="360">
        <v>2000</v>
      </c>
      <c r="V870" s="360" t="s">
        <v>17</v>
      </c>
      <c r="W870" s="360" t="s">
        <v>27</v>
      </c>
      <c r="X870" s="360">
        <v>23</v>
      </c>
      <c r="Y870" s="360" t="s">
        <v>46</v>
      </c>
      <c r="Z870" s="360">
        <v>49</v>
      </c>
      <c r="AA870" s="360">
        <v>209</v>
      </c>
      <c r="AB870" s="360">
        <v>23.4</v>
      </c>
    </row>
    <row r="871" spans="1:28" x14ac:dyDescent="0.2">
      <c r="A871" t="str">
        <f t="shared" si="68"/>
        <v>2011AllSexNon-Maori23</v>
      </c>
      <c r="B871">
        <v>2011</v>
      </c>
      <c r="C871" t="s">
        <v>17</v>
      </c>
      <c r="D871" t="s">
        <v>19</v>
      </c>
      <c r="E871">
        <v>23</v>
      </c>
      <c r="F871">
        <v>119</v>
      </c>
      <c r="G871">
        <v>12.051121058068199</v>
      </c>
      <c r="H871">
        <v>2.2000000000000002</v>
      </c>
      <c r="J871" s="358" t="str">
        <f t="shared" si="69"/>
        <v>2001MaleMaori243</v>
      </c>
      <c r="K871" s="359">
        <v>2001</v>
      </c>
      <c r="L871" t="s">
        <v>20</v>
      </c>
      <c r="M871" t="s">
        <v>18</v>
      </c>
      <c r="N871">
        <v>24</v>
      </c>
      <c r="O871">
        <v>3</v>
      </c>
      <c r="P871">
        <v>0</v>
      </c>
      <c r="Q871">
        <v>0</v>
      </c>
      <c r="T871" s="358" t="str">
        <f t="shared" si="70"/>
        <v>2000AllSexAllEth24Poisoning by gases and vapours</v>
      </c>
      <c r="U871" s="360">
        <v>2000</v>
      </c>
      <c r="V871" s="360" t="s">
        <v>17</v>
      </c>
      <c r="W871" s="360" t="s">
        <v>27</v>
      </c>
      <c r="X871" s="360">
        <v>24</v>
      </c>
      <c r="Y871" s="360" t="s">
        <v>46</v>
      </c>
      <c r="Z871" s="360">
        <v>38</v>
      </c>
      <c r="AA871" s="360">
        <v>103</v>
      </c>
      <c r="AB871" s="360">
        <v>36.9</v>
      </c>
    </row>
    <row r="872" spans="1:28" x14ac:dyDescent="0.2">
      <c r="A872" t="str">
        <f t="shared" si="68"/>
        <v>2011AllSexNon-Maori24</v>
      </c>
      <c r="B872">
        <v>2011</v>
      </c>
      <c r="C872" t="s">
        <v>17</v>
      </c>
      <c r="D872" t="s">
        <v>19</v>
      </c>
      <c r="E872">
        <v>24</v>
      </c>
      <c r="F872">
        <v>134</v>
      </c>
      <c r="G872">
        <v>13.431025669296099</v>
      </c>
      <c r="H872">
        <v>2.2999999999999998</v>
      </c>
      <c r="J872" s="358" t="str">
        <f t="shared" si="69"/>
        <v>2001MaleMaori244</v>
      </c>
      <c r="K872" s="359">
        <v>2001</v>
      </c>
      <c r="L872" t="s">
        <v>20</v>
      </c>
      <c r="M872" t="s">
        <v>18</v>
      </c>
      <c r="N872">
        <v>24</v>
      </c>
      <c r="O872">
        <v>4</v>
      </c>
      <c r="P872">
        <v>0</v>
      </c>
      <c r="Q872">
        <v>0</v>
      </c>
      <c r="T872" s="358" t="str">
        <f t="shared" si="70"/>
        <v>2000AllSexAllEth25Poisoning by gases and vapours</v>
      </c>
      <c r="U872" s="360">
        <v>2000</v>
      </c>
      <c r="V872" s="360" t="s">
        <v>17</v>
      </c>
      <c r="W872" s="360" t="s">
        <v>27</v>
      </c>
      <c r="X872" s="360">
        <v>25</v>
      </c>
      <c r="Y872" s="360" t="s">
        <v>46</v>
      </c>
      <c r="Z872" s="360">
        <v>8</v>
      </c>
      <c r="AA872" s="360">
        <v>47</v>
      </c>
      <c r="AB872" s="360">
        <v>17</v>
      </c>
    </row>
    <row r="873" spans="1:28" x14ac:dyDescent="0.2">
      <c r="A873" t="str">
        <f t="shared" si="68"/>
        <v>2011AllSexNon-Maori25</v>
      </c>
      <c r="B873">
        <v>2011</v>
      </c>
      <c r="C873" t="s">
        <v>17</v>
      </c>
      <c r="D873" t="s">
        <v>19</v>
      </c>
      <c r="E873">
        <v>25</v>
      </c>
      <c r="F873">
        <v>45</v>
      </c>
      <c r="G873">
        <v>8.2083834956769195</v>
      </c>
      <c r="H873">
        <v>2.4</v>
      </c>
      <c r="J873" s="358" t="str">
        <f t="shared" si="69"/>
        <v>2001MaleMaori245</v>
      </c>
      <c r="K873" s="359">
        <v>2001</v>
      </c>
      <c r="L873" t="s">
        <v>20</v>
      </c>
      <c r="M873" t="s">
        <v>18</v>
      </c>
      <c r="N873">
        <v>24</v>
      </c>
      <c r="O873">
        <v>5</v>
      </c>
      <c r="P873">
        <v>4</v>
      </c>
      <c r="Q873">
        <v>26.694398517020701</v>
      </c>
      <c r="R873">
        <v>26.2</v>
      </c>
      <c r="T873" s="358" t="str">
        <f t="shared" si="70"/>
        <v>2000AllSexAllEth22Poisoning by solids and liquids</v>
      </c>
      <c r="U873" s="360">
        <v>2000</v>
      </c>
      <c r="V873" s="360" t="s">
        <v>17</v>
      </c>
      <c r="W873" s="360" t="s">
        <v>27</v>
      </c>
      <c r="X873" s="360">
        <v>22</v>
      </c>
      <c r="Y873" s="360" t="s">
        <v>47</v>
      </c>
      <c r="Z873" s="360">
        <v>2</v>
      </c>
      <c r="AA873" s="360">
        <v>96</v>
      </c>
      <c r="AB873" s="360">
        <v>2.1</v>
      </c>
    </row>
    <row r="874" spans="1:28" x14ac:dyDescent="0.2">
      <c r="A874" t="str">
        <f t="shared" si="68"/>
        <v>2011FemaleAllEth21</v>
      </c>
      <c r="B874">
        <v>2011</v>
      </c>
      <c r="C874" t="s">
        <v>8</v>
      </c>
      <c r="D874" t="s">
        <v>27</v>
      </c>
      <c r="E874">
        <v>21</v>
      </c>
      <c r="F874">
        <v>3</v>
      </c>
      <c r="J874" s="358" t="str">
        <f t="shared" si="69"/>
        <v>2001MaleMaori251</v>
      </c>
      <c r="K874" s="359">
        <v>2001</v>
      </c>
      <c r="L874" t="s">
        <v>20</v>
      </c>
      <c r="M874" t="s">
        <v>18</v>
      </c>
      <c r="N874">
        <v>25</v>
      </c>
      <c r="O874">
        <v>1</v>
      </c>
      <c r="P874">
        <v>0</v>
      </c>
      <c r="Q874">
        <v>0</v>
      </c>
      <c r="T874" s="358" t="str">
        <f t="shared" si="70"/>
        <v>2000AllSexAllEth23Poisoning by solids and liquids</v>
      </c>
      <c r="U874" s="360">
        <v>2000</v>
      </c>
      <c r="V874" s="360" t="s">
        <v>17</v>
      </c>
      <c r="W874" s="360" t="s">
        <v>27</v>
      </c>
      <c r="X874" s="360">
        <v>23</v>
      </c>
      <c r="Y874" s="360" t="s">
        <v>47</v>
      </c>
      <c r="Z874" s="360">
        <v>20</v>
      </c>
      <c r="AA874" s="360">
        <v>209</v>
      </c>
      <c r="AB874" s="360">
        <v>9.6</v>
      </c>
    </row>
    <row r="875" spans="1:28" x14ac:dyDescent="0.2">
      <c r="A875" t="str">
        <f t="shared" si="68"/>
        <v>2011FemaleAllEth22</v>
      </c>
      <c r="B875">
        <v>2011</v>
      </c>
      <c r="C875" t="s">
        <v>8</v>
      </c>
      <c r="D875" t="s">
        <v>27</v>
      </c>
      <c r="E875">
        <v>22</v>
      </c>
      <c r="F875">
        <v>34</v>
      </c>
      <c r="G875">
        <v>11.056551006471301</v>
      </c>
      <c r="H875">
        <v>3.7</v>
      </c>
      <c r="J875" s="358" t="str">
        <f t="shared" si="69"/>
        <v>2001MaleMaori252</v>
      </c>
      <c r="K875" s="359">
        <v>2001</v>
      </c>
      <c r="L875" t="s">
        <v>20</v>
      </c>
      <c r="M875" t="s">
        <v>18</v>
      </c>
      <c r="N875">
        <v>25</v>
      </c>
      <c r="O875">
        <v>2</v>
      </c>
      <c r="P875">
        <v>0</v>
      </c>
      <c r="Q875">
        <v>0</v>
      </c>
      <c r="T875" s="358" t="str">
        <f t="shared" si="70"/>
        <v>2000AllSexAllEth24Poisoning by solids and liquids</v>
      </c>
      <c r="U875" s="360">
        <v>2000</v>
      </c>
      <c r="V875" s="360" t="s">
        <v>17</v>
      </c>
      <c r="W875" s="360" t="s">
        <v>27</v>
      </c>
      <c r="X875" s="360">
        <v>24</v>
      </c>
      <c r="Y875" s="360" t="s">
        <v>47</v>
      </c>
      <c r="Z875" s="360">
        <v>7</v>
      </c>
      <c r="AA875" s="360">
        <v>103</v>
      </c>
      <c r="AB875" s="360">
        <v>6.8</v>
      </c>
    </row>
    <row r="876" spans="1:28" x14ac:dyDescent="0.2">
      <c r="A876" t="str">
        <f t="shared" si="68"/>
        <v>2011FemaleAllEth23</v>
      </c>
      <c r="B876">
        <v>2011</v>
      </c>
      <c r="C876" t="s">
        <v>8</v>
      </c>
      <c r="D876" t="s">
        <v>27</v>
      </c>
      <c r="E876">
        <v>23</v>
      </c>
      <c r="F876">
        <v>33</v>
      </c>
      <c r="G876">
        <v>5.4831848996410999</v>
      </c>
      <c r="H876">
        <v>1.9</v>
      </c>
      <c r="J876" s="358" t="str">
        <f t="shared" si="69"/>
        <v>2001MaleMaori253</v>
      </c>
      <c r="K876" s="359">
        <v>2001</v>
      </c>
      <c r="L876" t="s">
        <v>20</v>
      </c>
      <c r="M876" t="s">
        <v>18</v>
      </c>
      <c r="N876">
        <v>25</v>
      </c>
      <c r="O876">
        <v>3</v>
      </c>
      <c r="P876">
        <v>0</v>
      </c>
      <c r="Q876">
        <v>0</v>
      </c>
      <c r="T876" s="358" t="str">
        <f t="shared" si="70"/>
        <v>2000AllSexAllEth25Poisoning by solids and liquids</v>
      </c>
      <c r="U876" s="360">
        <v>2000</v>
      </c>
      <c r="V876" s="360" t="s">
        <v>17</v>
      </c>
      <c r="W876" s="360" t="s">
        <v>27</v>
      </c>
      <c r="X876" s="360">
        <v>25</v>
      </c>
      <c r="Y876" s="360" t="s">
        <v>47</v>
      </c>
      <c r="Z876" s="360">
        <v>7</v>
      </c>
      <c r="AA876" s="360">
        <v>47</v>
      </c>
      <c r="AB876" s="360">
        <v>14.9</v>
      </c>
    </row>
    <row r="877" spans="1:28" x14ac:dyDescent="0.2">
      <c r="A877" t="str">
        <f t="shared" si="68"/>
        <v>2011FemaleAllEth24</v>
      </c>
      <c r="B877">
        <v>2011</v>
      </c>
      <c r="C877" t="s">
        <v>8</v>
      </c>
      <c r="D877" t="s">
        <v>27</v>
      </c>
      <c r="E877">
        <v>24</v>
      </c>
      <c r="F877">
        <v>33</v>
      </c>
      <c r="G877">
        <v>5.7582578652567697</v>
      </c>
      <c r="H877">
        <v>2</v>
      </c>
      <c r="J877" s="358" t="str">
        <f t="shared" si="69"/>
        <v>2001MaleMaori254</v>
      </c>
      <c r="K877" s="359">
        <v>2001</v>
      </c>
      <c r="L877" t="s">
        <v>20</v>
      </c>
      <c r="M877" t="s">
        <v>18</v>
      </c>
      <c r="N877">
        <v>25</v>
      </c>
      <c r="O877">
        <v>4</v>
      </c>
      <c r="P877">
        <v>0</v>
      </c>
      <c r="Q877">
        <v>0</v>
      </c>
      <c r="T877" s="358" t="str">
        <f t="shared" si="70"/>
        <v>2000AllSexAllEth22Sharp object</v>
      </c>
      <c r="U877" s="360">
        <v>2000</v>
      </c>
      <c r="V877" s="360" t="s">
        <v>17</v>
      </c>
      <c r="W877" s="360" t="s">
        <v>27</v>
      </c>
      <c r="X877" s="360">
        <v>22</v>
      </c>
      <c r="Y877" s="360" t="s">
        <v>48</v>
      </c>
      <c r="Z877" s="360">
        <v>3</v>
      </c>
      <c r="AA877" s="360">
        <v>96</v>
      </c>
      <c r="AB877" s="360">
        <v>3.1</v>
      </c>
    </row>
    <row r="878" spans="1:28" x14ac:dyDescent="0.2">
      <c r="A878" t="str">
        <f t="shared" si="68"/>
        <v>2011FemaleAllEth25</v>
      </c>
      <c r="B878">
        <v>2011</v>
      </c>
      <c r="C878" t="s">
        <v>8</v>
      </c>
      <c r="D878" t="s">
        <v>27</v>
      </c>
      <c r="E878">
        <v>25</v>
      </c>
      <c r="F878">
        <v>14</v>
      </c>
      <c r="G878">
        <v>4.4406381831446096</v>
      </c>
      <c r="H878">
        <v>2.2999999999999998</v>
      </c>
      <c r="J878" s="358" t="str">
        <f t="shared" si="69"/>
        <v>2001MaleMaori255</v>
      </c>
      <c r="K878" s="359">
        <v>2001</v>
      </c>
      <c r="L878" t="s">
        <v>20</v>
      </c>
      <c r="M878" t="s">
        <v>18</v>
      </c>
      <c r="N878">
        <v>25</v>
      </c>
      <c r="O878">
        <v>5</v>
      </c>
      <c r="P878">
        <v>2</v>
      </c>
      <c r="Q878">
        <v>51.160916331887798</v>
      </c>
      <c r="R878">
        <v>70.900000000000006</v>
      </c>
      <c r="T878" s="358" t="str">
        <f t="shared" si="70"/>
        <v>2000AllSexAllEth23Sharp object</v>
      </c>
      <c r="U878" s="360">
        <v>2000</v>
      </c>
      <c r="V878" s="360" t="s">
        <v>17</v>
      </c>
      <c r="W878" s="360" t="s">
        <v>27</v>
      </c>
      <c r="X878" s="360">
        <v>23</v>
      </c>
      <c r="Y878" s="360" t="s">
        <v>48</v>
      </c>
      <c r="Z878" s="360">
        <v>3</v>
      </c>
      <c r="AA878" s="360">
        <v>209</v>
      </c>
      <c r="AB878" s="360">
        <v>1.4</v>
      </c>
    </row>
    <row r="879" spans="1:28" x14ac:dyDescent="0.2">
      <c r="A879" t="str">
        <f t="shared" si="68"/>
        <v>2011FemaleMaori21</v>
      </c>
      <c r="B879">
        <v>2011</v>
      </c>
      <c r="C879" t="s">
        <v>8</v>
      </c>
      <c r="D879" t="s">
        <v>18</v>
      </c>
      <c r="E879">
        <v>21</v>
      </c>
      <c r="F879">
        <v>2</v>
      </c>
      <c r="J879" s="358" t="str">
        <f t="shared" si="69"/>
        <v>2001MaleNon-Maori211</v>
      </c>
      <c r="K879" s="359">
        <v>2001</v>
      </c>
      <c r="L879" t="s">
        <v>20</v>
      </c>
      <c r="M879" t="s">
        <v>19</v>
      </c>
      <c r="N879">
        <v>21</v>
      </c>
      <c r="O879">
        <v>1</v>
      </c>
      <c r="P879">
        <v>0</v>
      </c>
      <c r="T879" s="358" t="str">
        <f t="shared" si="70"/>
        <v>2000AllSexAllEth24Sharp object</v>
      </c>
      <c r="U879" s="360">
        <v>2000</v>
      </c>
      <c r="V879" s="360" t="s">
        <v>17</v>
      </c>
      <c r="W879" s="360" t="s">
        <v>27</v>
      </c>
      <c r="X879" s="360">
        <v>24</v>
      </c>
      <c r="Y879" s="360" t="s">
        <v>48</v>
      </c>
      <c r="Z879" s="360">
        <v>3</v>
      </c>
      <c r="AA879" s="360">
        <v>103</v>
      </c>
      <c r="AB879" s="360">
        <v>2.9</v>
      </c>
    </row>
    <row r="880" spans="1:28" x14ac:dyDescent="0.2">
      <c r="A880" t="str">
        <f t="shared" si="68"/>
        <v>2011FemaleMaori22</v>
      </c>
      <c r="B880">
        <v>2011</v>
      </c>
      <c r="C880" t="s">
        <v>8</v>
      </c>
      <c r="D880" t="s">
        <v>18</v>
      </c>
      <c r="E880">
        <v>22</v>
      </c>
      <c r="F880">
        <v>16</v>
      </c>
      <c r="G880">
        <v>25.412960609911099</v>
      </c>
      <c r="H880">
        <v>12.5</v>
      </c>
      <c r="J880" s="358" t="str">
        <f t="shared" si="69"/>
        <v>2001MaleNon-Maori212</v>
      </c>
      <c r="K880" s="359">
        <v>2001</v>
      </c>
      <c r="L880" t="s">
        <v>20</v>
      </c>
      <c r="M880" t="s">
        <v>19</v>
      </c>
      <c r="N880">
        <v>21</v>
      </c>
      <c r="O880">
        <v>2</v>
      </c>
      <c r="P880">
        <v>0</v>
      </c>
      <c r="T880" s="358" t="str">
        <f t="shared" si="70"/>
        <v>2000AllSexAllEth25Sharp object</v>
      </c>
      <c r="U880" s="360">
        <v>2000</v>
      </c>
      <c r="V880" s="360" t="s">
        <v>17</v>
      </c>
      <c r="W880" s="360" t="s">
        <v>27</v>
      </c>
      <c r="X880" s="360">
        <v>25</v>
      </c>
      <c r="Y880" s="360" t="s">
        <v>48</v>
      </c>
      <c r="Z880" s="360">
        <v>2</v>
      </c>
      <c r="AA880" s="360">
        <v>47</v>
      </c>
      <c r="AB880" s="360">
        <v>4.3</v>
      </c>
    </row>
    <row r="881" spans="1:28" x14ac:dyDescent="0.2">
      <c r="A881" t="str">
        <f t="shared" si="68"/>
        <v>2011FemaleMaori23</v>
      </c>
      <c r="B881">
        <v>2011</v>
      </c>
      <c r="C881" t="s">
        <v>8</v>
      </c>
      <c r="D881" t="s">
        <v>18</v>
      </c>
      <c r="E881">
        <v>23</v>
      </c>
      <c r="F881">
        <v>11</v>
      </c>
      <c r="G881">
        <v>12.2562674094708</v>
      </c>
      <c r="H881">
        <v>7.2</v>
      </c>
      <c r="J881" s="358" t="str">
        <f t="shared" si="69"/>
        <v>2001MaleNon-Maori213</v>
      </c>
      <c r="K881" s="359">
        <v>2001</v>
      </c>
      <c r="L881" t="s">
        <v>20</v>
      </c>
      <c r="M881" t="s">
        <v>19</v>
      </c>
      <c r="N881">
        <v>21</v>
      </c>
      <c r="O881">
        <v>3</v>
      </c>
      <c r="P881">
        <v>1</v>
      </c>
      <c r="T881" s="358" t="str">
        <f t="shared" si="70"/>
        <v>2000AllSexAllEth22Submersion (drowning)</v>
      </c>
      <c r="U881" s="360">
        <v>2000</v>
      </c>
      <c r="V881" s="360" t="s">
        <v>17</v>
      </c>
      <c r="W881" s="360" t="s">
        <v>27</v>
      </c>
      <c r="X881" s="360">
        <v>22</v>
      </c>
      <c r="Y881" s="360" t="s">
        <v>49</v>
      </c>
      <c r="Z881" s="360">
        <v>1</v>
      </c>
      <c r="AA881" s="360">
        <v>96</v>
      </c>
      <c r="AB881" s="360">
        <v>1</v>
      </c>
    </row>
    <row r="882" spans="1:28" x14ac:dyDescent="0.2">
      <c r="A882" t="str">
        <f t="shared" si="68"/>
        <v>2011FemaleMaori24</v>
      </c>
      <c r="B882">
        <v>2011</v>
      </c>
      <c r="C882" t="s">
        <v>8</v>
      </c>
      <c r="D882" t="s">
        <v>18</v>
      </c>
      <c r="E882">
        <v>24</v>
      </c>
      <c r="F882">
        <v>3</v>
      </c>
      <c r="G882">
        <v>4.74908975779642</v>
      </c>
      <c r="H882">
        <v>5.4</v>
      </c>
      <c r="J882" s="358" t="str">
        <f t="shared" si="69"/>
        <v>2001MaleNon-Maori214</v>
      </c>
      <c r="K882" s="359">
        <v>2001</v>
      </c>
      <c r="L882" t="s">
        <v>20</v>
      </c>
      <c r="M882" t="s">
        <v>19</v>
      </c>
      <c r="N882">
        <v>21</v>
      </c>
      <c r="O882">
        <v>4</v>
      </c>
      <c r="P882">
        <v>0</v>
      </c>
      <c r="T882" s="358" t="str">
        <f t="shared" si="70"/>
        <v>2000AllSexAllEth23Submersion (drowning)</v>
      </c>
      <c r="U882" s="360">
        <v>2000</v>
      </c>
      <c r="V882" s="360" t="s">
        <v>17</v>
      </c>
      <c r="W882" s="360" t="s">
        <v>27</v>
      </c>
      <c r="X882" s="360">
        <v>23</v>
      </c>
      <c r="Y882" s="360" t="s">
        <v>49</v>
      </c>
      <c r="Z882" s="360">
        <v>8</v>
      </c>
      <c r="AA882" s="360">
        <v>209</v>
      </c>
      <c r="AB882" s="360">
        <v>3.8</v>
      </c>
    </row>
    <row r="883" spans="1:28" x14ac:dyDescent="0.2">
      <c r="A883" t="str">
        <f t="shared" si="68"/>
        <v>2011FemaleMaori25</v>
      </c>
      <c r="B883">
        <v>2011</v>
      </c>
      <c r="C883" t="s">
        <v>8</v>
      </c>
      <c r="D883" t="s">
        <v>18</v>
      </c>
      <c r="E883">
        <v>25</v>
      </c>
      <c r="F883">
        <v>0</v>
      </c>
      <c r="G883">
        <v>0</v>
      </c>
      <c r="J883" s="358" t="str">
        <f t="shared" si="69"/>
        <v>2001MaleNon-Maori215</v>
      </c>
      <c r="K883" s="359">
        <v>2001</v>
      </c>
      <c r="L883" t="s">
        <v>20</v>
      </c>
      <c r="M883" t="s">
        <v>19</v>
      </c>
      <c r="N883">
        <v>21</v>
      </c>
      <c r="O883">
        <v>5</v>
      </c>
      <c r="P883">
        <v>0</v>
      </c>
      <c r="T883" s="358" t="str">
        <f t="shared" si="70"/>
        <v>2000AllSexAllEth24Submersion (drowning)</v>
      </c>
      <c r="U883" s="360">
        <v>2000</v>
      </c>
      <c r="V883" s="360" t="s">
        <v>17</v>
      </c>
      <c r="W883" s="360" t="s">
        <v>27</v>
      </c>
      <c r="X883" s="360">
        <v>24</v>
      </c>
      <c r="Y883" s="360" t="s">
        <v>49</v>
      </c>
      <c r="Z883" s="360">
        <v>4</v>
      </c>
      <c r="AA883" s="360">
        <v>103</v>
      </c>
      <c r="AB883" s="360">
        <v>3.9</v>
      </c>
    </row>
    <row r="884" spans="1:28" x14ac:dyDescent="0.2">
      <c r="A884" t="str">
        <f t="shared" si="68"/>
        <v>2011FemaleNon-Maori21</v>
      </c>
      <c r="B884">
        <v>2011</v>
      </c>
      <c r="C884" t="s">
        <v>8</v>
      </c>
      <c r="D884" t="s">
        <v>19</v>
      </c>
      <c r="E884">
        <v>21</v>
      </c>
      <c r="F884">
        <v>1</v>
      </c>
      <c r="J884" s="358" t="str">
        <f t="shared" si="69"/>
        <v>2001MaleNon-Maori221</v>
      </c>
      <c r="K884" s="359">
        <v>2001</v>
      </c>
      <c r="L884" t="s">
        <v>20</v>
      </c>
      <c r="M884" t="s">
        <v>19</v>
      </c>
      <c r="N884">
        <v>22</v>
      </c>
      <c r="O884">
        <v>1</v>
      </c>
      <c r="P884">
        <v>10</v>
      </c>
      <c r="Q884">
        <v>22.548216397779999</v>
      </c>
      <c r="R884">
        <v>14</v>
      </c>
      <c r="T884" s="358" t="str">
        <f t="shared" si="70"/>
        <v>2000AllSexAllEth25Submersion (drowning)</v>
      </c>
      <c r="U884" s="360">
        <v>2000</v>
      </c>
      <c r="V884" s="360" t="s">
        <v>17</v>
      </c>
      <c r="W884" s="360" t="s">
        <v>27</v>
      </c>
      <c r="X884" s="360">
        <v>25</v>
      </c>
      <c r="Y884" s="360" t="s">
        <v>49</v>
      </c>
      <c r="Z884" s="360">
        <v>2</v>
      </c>
      <c r="AA884" s="360">
        <v>47</v>
      </c>
      <c r="AB884" s="360">
        <v>4.3</v>
      </c>
    </row>
    <row r="885" spans="1:28" x14ac:dyDescent="0.2">
      <c r="A885" t="str">
        <f t="shared" si="68"/>
        <v>2011FemaleNon-Maori22</v>
      </c>
      <c r="B885">
        <v>2011</v>
      </c>
      <c r="C885" t="s">
        <v>8</v>
      </c>
      <c r="D885" t="s">
        <v>19</v>
      </c>
      <c r="E885">
        <v>22</v>
      </c>
      <c r="F885">
        <v>18</v>
      </c>
      <c r="G885">
        <v>7.3604579840523403</v>
      </c>
      <c r="H885">
        <v>3.4</v>
      </c>
      <c r="J885" s="358" t="str">
        <f t="shared" si="69"/>
        <v>2001MaleNon-Maori222</v>
      </c>
      <c r="K885" s="359">
        <v>2001</v>
      </c>
      <c r="L885" t="s">
        <v>20</v>
      </c>
      <c r="M885" t="s">
        <v>19</v>
      </c>
      <c r="N885">
        <v>22</v>
      </c>
      <c r="O885">
        <v>2</v>
      </c>
      <c r="P885">
        <v>5</v>
      </c>
      <c r="Q885">
        <v>11.216645202915799</v>
      </c>
      <c r="R885">
        <v>9.8000000000000007</v>
      </c>
      <c r="T885" s="358" t="str">
        <f t="shared" si="70"/>
        <v>2000AllSexMaori23Firearms and explosives</v>
      </c>
      <c r="U885" s="360">
        <v>2000</v>
      </c>
      <c r="V885" s="360" t="s">
        <v>17</v>
      </c>
      <c r="W885" s="360" t="s">
        <v>18</v>
      </c>
      <c r="X885" s="360">
        <v>23</v>
      </c>
      <c r="Y885" s="360" t="s">
        <v>42</v>
      </c>
      <c r="Z885" s="360">
        <v>3</v>
      </c>
      <c r="AA885" s="360">
        <v>40</v>
      </c>
      <c r="AB885" s="360">
        <v>7.5</v>
      </c>
    </row>
    <row r="886" spans="1:28" x14ac:dyDescent="0.2">
      <c r="A886" t="str">
        <f t="shared" si="68"/>
        <v>2011FemaleNon-Maori23</v>
      </c>
      <c r="B886">
        <v>2011</v>
      </c>
      <c r="C886" t="s">
        <v>8</v>
      </c>
      <c r="D886" t="s">
        <v>19</v>
      </c>
      <c r="E886">
        <v>23</v>
      </c>
      <c r="F886">
        <v>22</v>
      </c>
      <c r="G886">
        <v>4.2961198226874204</v>
      </c>
      <c r="H886">
        <v>1.8</v>
      </c>
      <c r="J886" s="358" t="str">
        <f t="shared" si="69"/>
        <v>2001MaleNon-Maori223</v>
      </c>
      <c r="K886" s="359">
        <v>2001</v>
      </c>
      <c r="L886" t="s">
        <v>20</v>
      </c>
      <c r="M886" t="s">
        <v>19</v>
      </c>
      <c r="N886">
        <v>22</v>
      </c>
      <c r="O886">
        <v>3</v>
      </c>
      <c r="P886">
        <v>13</v>
      </c>
      <c r="Q886">
        <v>29.309558953345899</v>
      </c>
      <c r="R886">
        <v>15.9</v>
      </c>
      <c r="T886" s="358" t="str">
        <f t="shared" si="70"/>
        <v>2000AllSexMaori24Firearms and explosives</v>
      </c>
      <c r="U886" s="360">
        <v>2000</v>
      </c>
      <c r="V886" s="360" t="s">
        <v>17</v>
      </c>
      <c r="W886" s="360" t="s">
        <v>18</v>
      </c>
      <c r="X886" s="360">
        <v>24</v>
      </c>
      <c r="Y886" s="360" t="s">
        <v>42</v>
      </c>
      <c r="Z886" s="360">
        <v>1</v>
      </c>
      <c r="AA886" s="360">
        <v>10</v>
      </c>
      <c r="AB886" s="360">
        <v>10</v>
      </c>
    </row>
    <row r="887" spans="1:28" x14ac:dyDescent="0.2">
      <c r="A887" t="str">
        <f t="shared" si="68"/>
        <v>2011FemaleNon-Maori24</v>
      </c>
      <c r="B887">
        <v>2011</v>
      </c>
      <c r="C887" t="s">
        <v>8</v>
      </c>
      <c r="D887" t="s">
        <v>19</v>
      </c>
      <c r="E887">
        <v>24</v>
      </c>
      <c r="F887">
        <v>30</v>
      </c>
      <c r="G887">
        <v>5.8832758079698797</v>
      </c>
      <c r="H887">
        <v>2.1</v>
      </c>
      <c r="J887" s="358" t="str">
        <f t="shared" si="69"/>
        <v>2001MaleNon-Maori224</v>
      </c>
      <c r="K887" s="359">
        <v>2001</v>
      </c>
      <c r="L887" t="s">
        <v>20</v>
      </c>
      <c r="M887" t="s">
        <v>19</v>
      </c>
      <c r="N887">
        <v>22</v>
      </c>
      <c r="O887">
        <v>4</v>
      </c>
      <c r="P887">
        <v>17</v>
      </c>
      <c r="Q887">
        <v>38.900193700667998</v>
      </c>
      <c r="R887">
        <v>18.5</v>
      </c>
      <c r="T887" s="358" t="str">
        <f t="shared" si="70"/>
        <v>2000AllSexMaori21Hanging, strangulation and suffocation</v>
      </c>
      <c r="U887" s="360">
        <v>2000</v>
      </c>
      <c r="V887" s="360" t="s">
        <v>17</v>
      </c>
      <c r="W887" s="360" t="s">
        <v>18</v>
      </c>
      <c r="X887" s="360">
        <v>21</v>
      </c>
      <c r="Y887" s="360" t="s">
        <v>43</v>
      </c>
      <c r="Z887" s="360">
        <v>1</v>
      </c>
      <c r="AA887" s="360">
        <v>1</v>
      </c>
      <c r="AB887" s="360">
        <v>100</v>
      </c>
    </row>
    <row r="888" spans="1:28" x14ac:dyDescent="0.2">
      <c r="A888" t="str">
        <f t="shared" si="68"/>
        <v>2011FemaleNon-Maori25</v>
      </c>
      <c r="B888">
        <v>2011</v>
      </c>
      <c r="C888" t="s">
        <v>8</v>
      </c>
      <c r="D888" t="s">
        <v>19</v>
      </c>
      <c r="E888">
        <v>25</v>
      </c>
      <c r="F888">
        <v>14</v>
      </c>
      <c r="G888">
        <v>4.70540785803112</v>
      </c>
      <c r="H888">
        <v>2.5</v>
      </c>
      <c r="J888" s="358" t="str">
        <f t="shared" si="69"/>
        <v>2001MaleNon-Maori225</v>
      </c>
      <c r="K888" s="359">
        <v>2001</v>
      </c>
      <c r="L888" t="s">
        <v>20</v>
      </c>
      <c r="M888" t="s">
        <v>19</v>
      </c>
      <c r="N888">
        <v>22</v>
      </c>
      <c r="O888">
        <v>5</v>
      </c>
      <c r="P888">
        <v>10</v>
      </c>
      <c r="Q888">
        <v>24.261084077273701</v>
      </c>
      <c r="R888">
        <v>15</v>
      </c>
      <c r="T888" s="358" t="str">
        <f t="shared" si="70"/>
        <v>2000AllSexMaori22Hanging, strangulation and suffocation</v>
      </c>
      <c r="U888" s="360">
        <v>2000</v>
      </c>
      <c r="V888" s="360" t="s">
        <v>17</v>
      </c>
      <c r="W888" s="360" t="s">
        <v>18</v>
      </c>
      <c r="X888" s="360">
        <v>22</v>
      </c>
      <c r="Y888" s="360" t="s">
        <v>43</v>
      </c>
      <c r="Z888" s="360">
        <v>23</v>
      </c>
      <c r="AA888" s="360">
        <v>28</v>
      </c>
      <c r="AB888" s="360">
        <v>82.1</v>
      </c>
    </row>
    <row r="889" spans="1:28" x14ac:dyDescent="0.2">
      <c r="A889" t="str">
        <f t="shared" si="68"/>
        <v>2011MaleAllEth21</v>
      </c>
      <c r="B889">
        <v>2011</v>
      </c>
      <c r="C889" t="s">
        <v>20</v>
      </c>
      <c r="D889" t="s">
        <v>27</v>
      </c>
      <c r="E889">
        <v>21</v>
      </c>
      <c r="F889">
        <v>3</v>
      </c>
      <c r="J889" s="358" t="str">
        <f t="shared" si="69"/>
        <v>2001MaleNon-Maori231</v>
      </c>
      <c r="K889" s="359">
        <v>2001</v>
      </c>
      <c r="L889" t="s">
        <v>20</v>
      </c>
      <c r="M889" t="s">
        <v>19</v>
      </c>
      <c r="N889">
        <v>23</v>
      </c>
      <c r="O889">
        <v>1</v>
      </c>
      <c r="P889">
        <v>19</v>
      </c>
      <c r="Q889">
        <v>18.390683231781701</v>
      </c>
      <c r="R889">
        <v>8.3000000000000007</v>
      </c>
      <c r="T889" s="358" t="str">
        <f t="shared" si="70"/>
        <v>2000AllSexMaori23Hanging, strangulation and suffocation</v>
      </c>
      <c r="U889" s="360">
        <v>2000</v>
      </c>
      <c r="V889" s="360" t="s">
        <v>17</v>
      </c>
      <c r="W889" s="360" t="s">
        <v>18</v>
      </c>
      <c r="X889" s="360">
        <v>23</v>
      </c>
      <c r="Y889" s="360" t="s">
        <v>43</v>
      </c>
      <c r="Z889" s="360">
        <v>29</v>
      </c>
      <c r="AA889" s="360">
        <v>40</v>
      </c>
      <c r="AB889" s="360">
        <v>72.5</v>
      </c>
    </row>
    <row r="890" spans="1:28" x14ac:dyDescent="0.2">
      <c r="A890" t="str">
        <f t="shared" si="68"/>
        <v>2011MaleAllEth22</v>
      </c>
      <c r="B890">
        <v>2011</v>
      </c>
      <c r="C890" t="s">
        <v>20</v>
      </c>
      <c r="D890" t="s">
        <v>27</v>
      </c>
      <c r="E890">
        <v>22</v>
      </c>
      <c r="F890">
        <v>96</v>
      </c>
      <c r="G890">
        <v>30.454920373072799</v>
      </c>
      <c r="H890">
        <v>6.1</v>
      </c>
      <c r="J890" s="358" t="str">
        <f t="shared" si="69"/>
        <v>2001MaleNon-Maori232</v>
      </c>
      <c r="K890" s="359">
        <v>2001</v>
      </c>
      <c r="L890" t="s">
        <v>20</v>
      </c>
      <c r="M890" t="s">
        <v>19</v>
      </c>
      <c r="N890">
        <v>23</v>
      </c>
      <c r="O890">
        <v>2</v>
      </c>
      <c r="P890">
        <v>30</v>
      </c>
      <c r="Q890">
        <v>28.138686161003299</v>
      </c>
      <c r="R890">
        <v>10.1</v>
      </c>
      <c r="T890" s="358" t="str">
        <f t="shared" si="70"/>
        <v>2000AllSexMaori24Hanging, strangulation and suffocation</v>
      </c>
      <c r="U890" s="360">
        <v>2000</v>
      </c>
      <c r="V890" s="360" t="s">
        <v>17</v>
      </c>
      <c r="W890" s="360" t="s">
        <v>18</v>
      </c>
      <c r="X890" s="360">
        <v>24</v>
      </c>
      <c r="Y890" s="360" t="s">
        <v>43</v>
      </c>
      <c r="Z890" s="360">
        <v>6</v>
      </c>
      <c r="AA890" s="360">
        <v>10</v>
      </c>
      <c r="AB890" s="360">
        <v>60</v>
      </c>
    </row>
    <row r="891" spans="1:28" x14ac:dyDescent="0.2">
      <c r="A891" t="str">
        <f t="shared" si="68"/>
        <v>2011MaleAllEth23</v>
      </c>
      <c r="B891">
        <v>2011</v>
      </c>
      <c r="C891" t="s">
        <v>20</v>
      </c>
      <c r="D891" t="s">
        <v>27</v>
      </c>
      <c r="E891">
        <v>23</v>
      </c>
      <c r="F891">
        <v>130</v>
      </c>
      <c r="G891">
        <v>23.499213680157599</v>
      </c>
      <c r="H891">
        <v>4</v>
      </c>
      <c r="J891" s="358" t="str">
        <f t="shared" si="69"/>
        <v>2001MaleNon-Maori233</v>
      </c>
      <c r="K891" s="359">
        <v>2001</v>
      </c>
      <c r="L891" t="s">
        <v>20</v>
      </c>
      <c r="M891" t="s">
        <v>19</v>
      </c>
      <c r="N891">
        <v>23</v>
      </c>
      <c r="O891">
        <v>3</v>
      </c>
      <c r="P891">
        <v>30</v>
      </c>
      <c r="Q891">
        <v>29.219377725908402</v>
      </c>
      <c r="R891">
        <v>10.5</v>
      </c>
      <c r="T891" s="358" t="str">
        <f t="shared" si="70"/>
        <v>2000AllSexMaori22Jumping from a high place</v>
      </c>
      <c r="U891" s="360">
        <v>2000</v>
      </c>
      <c r="V891" s="360" t="s">
        <v>17</v>
      </c>
      <c r="W891" s="360" t="s">
        <v>18</v>
      </c>
      <c r="X891" s="360">
        <v>22</v>
      </c>
      <c r="Y891" s="360" t="s">
        <v>44</v>
      </c>
      <c r="Z891" s="360">
        <v>1</v>
      </c>
      <c r="AA891" s="360">
        <v>28</v>
      </c>
      <c r="AB891" s="360">
        <v>3.6</v>
      </c>
    </row>
    <row r="892" spans="1:28" x14ac:dyDescent="0.2">
      <c r="A892" t="str">
        <f t="shared" si="68"/>
        <v>2011MaleAllEth24</v>
      </c>
      <c r="B892">
        <v>2011</v>
      </c>
      <c r="C892" t="s">
        <v>20</v>
      </c>
      <c r="D892" t="s">
        <v>27</v>
      </c>
      <c r="E892">
        <v>24</v>
      </c>
      <c r="F892">
        <v>117</v>
      </c>
      <c r="G892">
        <v>21.4970786021387</v>
      </c>
      <c r="H892">
        <v>3.9</v>
      </c>
      <c r="J892" s="358" t="str">
        <f t="shared" si="69"/>
        <v>2001MaleNon-Maori234</v>
      </c>
      <c r="K892" s="359">
        <v>2001</v>
      </c>
      <c r="L892" t="s">
        <v>20</v>
      </c>
      <c r="M892" t="s">
        <v>19</v>
      </c>
      <c r="N892">
        <v>23</v>
      </c>
      <c r="O892">
        <v>4</v>
      </c>
      <c r="P892">
        <v>41</v>
      </c>
      <c r="Q892">
        <v>43.913597023430697</v>
      </c>
      <c r="R892">
        <v>13.4</v>
      </c>
      <c r="T892" s="358" t="str">
        <f t="shared" si="70"/>
        <v>2000AllSexMaori24Jumping from a high place</v>
      </c>
      <c r="U892" s="360">
        <v>2000</v>
      </c>
      <c r="V892" s="360" t="s">
        <v>17</v>
      </c>
      <c r="W892" s="360" t="s">
        <v>18</v>
      </c>
      <c r="X892" s="360">
        <v>24</v>
      </c>
      <c r="Y892" s="360" t="s">
        <v>44</v>
      </c>
      <c r="Z892" s="360">
        <v>1</v>
      </c>
      <c r="AA892" s="360">
        <v>10</v>
      </c>
      <c r="AB892" s="360">
        <v>10</v>
      </c>
    </row>
    <row r="893" spans="1:28" x14ac:dyDescent="0.2">
      <c r="A893" t="str">
        <f t="shared" si="68"/>
        <v>2011MaleAllEth25</v>
      </c>
      <c r="B893">
        <v>2011</v>
      </c>
      <c r="C893" t="s">
        <v>20</v>
      </c>
      <c r="D893" t="s">
        <v>27</v>
      </c>
      <c r="E893">
        <v>25</v>
      </c>
      <c r="F893">
        <v>31</v>
      </c>
      <c r="G893">
        <v>11.676082862523501</v>
      </c>
      <c r="H893">
        <v>4.0999999999999996</v>
      </c>
      <c r="J893" s="358" t="str">
        <f t="shared" si="69"/>
        <v>2001MaleNon-Maori235</v>
      </c>
      <c r="K893" s="359">
        <v>2001</v>
      </c>
      <c r="L893" t="s">
        <v>20</v>
      </c>
      <c r="M893" t="s">
        <v>19</v>
      </c>
      <c r="N893">
        <v>23</v>
      </c>
      <c r="O893">
        <v>5</v>
      </c>
      <c r="P893">
        <v>26</v>
      </c>
      <c r="Q893">
        <v>36.264590120264103</v>
      </c>
      <c r="R893">
        <v>13.9</v>
      </c>
      <c r="T893" s="358" t="str">
        <f t="shared" si="70"/>
        <v>2000AllSexMaori23Other</v>
      </c>
      <c r="U893" s="360">
        <v>2000</v>
      </c>
      <c r="V893" s="360" t="s">
        <v>17</v>
      </c>
      <c r="W893" s="360" t="s">
        <v>18</v>
      </c>
      <c r="X893" s="360">
        <v>23</v>
      </c>
      <c r="Y893" s="360" t="s">
        <v>45</v>
      </c>
      <c r="Z893" s="360">
        <v>3</v>
      </c>
      <c r="AA893" s="360">
        <v>40</v>
      </c>
      <c r="AB893" s="360">
        <v>7.5</v>
      </c>
    </row>
    <row r="894" spans="1:28" x14ac:dyDescent="0.2">
      <c r="A894" t="str">
        <f t="shared" si="68"/>
        <v>2011MaleMaori21</v>
      </c>
      <c r="B894">
        <v>2011</v>
      </c>
      <c r="C894" t="s">
        <v>20</v>
      </c>
      <c r="D894" t="s">
        <v>18</v>
      </c>
      <c r="E894">
        <v>21</v>
      </c>
      <c r="F894">
        <v>2</v>
      </c>
      <c r="J894" s="358" t="str">
        <f t="shared" si="69"/>
        <v>2001MaleNon-Maori241</v>
      </c>
      <c r="K894" s="359">
        <v>2001</v>
      </c>
      <c r="L894" t="s">
        <v>20</v>
      </c>
      <c r="M894" t="s">
        <v>19</v>
      </c>
      <c r="N894">
        <v>24</v>
      </c>
      <c r="O894">
        <v>1</v>
      </c>
      <c r="P894">
        <v>9</v>
      </c>
      <c r="Q894">
        <v>8.5653350608011092</v>
      </c>
      <c r="R894">
        <v>5.6</v>
      </c>
      <c r="T894" s="358" t="str">
        <f t="shared" si="70"/>
        <v>2000AllSexMaori22Poisoning by gases and vapours</v>
      </c>
      <c r="U894" s="360">
        <v>2000</v>
      </c>
      <c r="V894" s="360" t="s">
        <v>17</v>
      </c>
      <c r="W894" s="360" t="s">
        <v>18</v>
      </c>
      <c r="X894" s="360">
        <v>22</v>
      </c>
      <c r="Y894" s="360" t="s">
        <v>46</v>
      </c>
      <c r="Z894" s="360">
        <v>3</v>
      </c>
      <c r="AA894" s="360">
        <v>28</v>
      </c>
      <c r="AB894" s="360">
        <v>10.7</v>
      </c>
    </row>
    <row r="895" spans="1:28" x14ac:dyDescent="0.2">
      <c r="A895" t="str">
        <f t="shared" si="68"/>
        <v>2011MaleMaori22</v>
      </c>
      <c r="B895">
        <v>2011</v>
      </c>
      <c r="C895" t="s">
        <v>20</v>
      </c>
      <c r="D895" t="s">
        <v>18</v>
      </c>
      <c r="E895">
        <v>22</v>
      </c>
      <c r="F895">
        <v>33</v>
      </c>
      <c r="G895">
        <v>53.519299383717197</v>
      </c>
      <c r="H895">
        <v>18.3</v>
      </c>
      <c r="J895" s="358" t="str">
        <f t="shared" si="69"/>
        <v>2001MaleNon-Maori242</v>
      </c>
      <c r="K895" s="359">
        <v>2001</v>
      </c>
      <c r="L895" t="s">
        <v>20</v>
      </c>
      <c r="M895" t="s">
        <v>19</v>
      </c>
      <c r="N895">
        <v>24</v>
      </c>
      <c r="O895">
        <v>2</v>
      </c>
      <c r="P895">
        <v>7</v>
      </c>
      <c r="Q895">
        <v>7.8249757206346597</v>
      </c>
      <c r="R895">
        <v>5.8</v>
      </c>
      <c r="T895" s="358" t="str">
        <f t="shared" si="70"/>
        <v>2000AllSexMaori23Poisoning by gases and vapours</v>
      </c>
      <c r="U895" s="360">
        <v>2000</v>
      </c>
      <c r="V895" s="360" t="s">
        <v>17</v>
      </c>
      <c r="W895" s="360" t="s">
        <v>18</v>
      </c>
      <c r="X895" s="360">
        <v>23</v>
      </c>
      <c r="Y895" s="360" t="s">
        <v>46</v>
      </c>
      <c r="Z895" s="360">
        <v>2</v>
      </c>
      <c r="AA895" s="360">
        <v>40</v>
      </c>
      <c r="AB895" s="360">
        <v>5</v>
      </c>
    </row>
    <row r="896" spans="1:28" x14ac:dyDescent="0.2">
      <c r="A896" t="str">
        <f t="shared" si="68"/>
        <v>2011MaleMaori23</v>
      </c>
      <c r="B896">
        <v>2011</v>
      </c>
      <c r="C896" t="s">
        <v>20</v>
      </c>
      <c r="D896" t="s">
        <v>18</v>
      </c>
      <c r="E896">
        <v>23</v>
      </c>
      <c r="F896">
        <v>33</v>
      </c>
      <c r="G896">
        <v>42.411001156663701</v>
      </c>
      <c r="H896">
        <v>14.5</v>
      </c>
      <c r="J896" s="358" t="str">
        <f t="shared" si="69"/>
        <v>2001MaleNon-Maori243</v>
      </c>
      <c r="K896" s="359">
        <v>2001</v>
      </c>
      <c r="L896" t="s">
        <v>20</v>
      </c>
      <c r="M896" t="s">
        <v>19</v>
      </c>
      <c r="N896">
        <v>24</v>
      </c>
      <c r="O896">
        <v>3</v>
      </c>
      <c r="P896">
        <v>10</v>
      </c>
      <c r="Q896">
        <v>13.0311183438703</v>
      </c>
      <c r="R896">
        <v>8.1</v>
      </c>
      <c r="T896" s="358" t="str">
        <f t="shared" si="70"/>
        <v>2000AllSexMaori24Poisoning by gases and vapours</v>
      </c>
      <c r="U896" s="360">
        <v>2000</v>
      </c>
      <c r="V896" s="360" t="s">
        <v>17</v>
      </c>
      <c r="W896" s="360" t="s">
        <v>18</v>
      </c>
      <c r="X896" s="360">
        <v>24</v>
      </c>
      <c r="Y896" s="360" t="s">
        <v>46</v>
      </c>
      <c r="Z896" s="360">
        <v>2</v>
      </c>
      <c r="AA896" s="360">
        <v>10</v>
      </c>
      <c r="AB896" s="360">
        <v>20</v>
      </c>
    </row>
    <row r="897" spans="1:28" x14ac:dyDescent="0.2">
      <c r="A897" t="str">
        <f t="shared" si="68"/>
        <v>2011MaleMaori24</v>
      </c>
      <c r="B897">
        <v>2011</v>
      </c>
      <c r="C897" t="s">
        <v>20</v>
      </c>
      <c r="D897" t="s">
        <v>18</v>
      </c>
      <c r="E897">
        <v>24</v>
      </c>
      <c r="F897">
        <v>13</v>
      </c>
      <c r="G897">
        <v>23.008849557522101</v>
      </c>
      <c r="H897">
        <v>12.5</v>
      </c>
      <c r="J897" s="358" t="str">
        <f t="shared" si="69"/>
        <v>2001MaleNon-Maori244</v>
      </c>
      <c r="K897" s="359">
        <v>2001</v>
      </c>
      <c r="L897" t="s">
        <v>20</v>
      </c>
      <c r="M897" t="s">
        <v>19</v>
      </c>
      <c r="N897">
        <v>24</v>
      </c>
      <c r="O897">
        <v>4</v>
      </c>
      <c r="P897">
        <v>11</v>
      </c>
      <c r="Q897">
        <v>16.7404797607158</v>
      </c>
      <c r="R897">
        <v>9.9</v>
      </c>
      <c r="T897" s="358" t="str">
        <f t="shared" si="70"/>
        <v>2000AllSexMaori22Poisoning by solids and liquids</v>
      </c>
      <c r="U897" s="360">
        <v>2000</v>
      </c>
      <c r="V897" s="360" t="s">
        <v>17</v>
      </c>
      <c r="W897" s="360" t="s">
        <v>18</v>
      </c>
      <c r="X897" s="360">
        <v>22</v>
      </c>
      <c r="Y897" s="360" t="s">
        <v>47</v>
      </c>
      <c r="Z897" s="360">
        <v>1</v>
      </c>
      <c r="AA897" s="360">
        <v>28</v>
      </c>
      <c r="AB897" s="360">
        <v>3.6</v>
      </c>
    </row>
    <row r="898" spans="1:28" x14ac:dyDescent="0.2">
      <c r="A898" t="str">
        <f t="shared" si="68"/>
        <v>2011MaleMaori25</v>
      </c>
      <c r="B898">
        <v>2011</v>
      </c>
      <c r="C898" t="s">
        <v>20</v>
      </c>
      <c r="D898" t="s">
        <v>18</v>
      </c>
      <c r="E898">
        <v>25</v>
      </c>
      <c r="F898">
        <v>0</v>
      </c>
      <c r="G898">
        <v>0</v>
      </c>
      <c r="J898" s="358" t="str">
        <f t="shared" si="69"/>
        <v>2001MaleNon-Maori245</v>
      </c>
      <c r="K898" s="359">
        <v>2001</v>
      </c>
      <c r="L898" t="s">
        <v>20</v>
      </c>
      <c r="M898" t="s">
        <v>19</v>
      </c>
      <c r="N898">
        <v>24</v>
      </c>
      <c r="O898">
        <v>5</v>
      </c>
      <c r="P898">
        <v>10</v>
      </c>
      <c r="Q898">
        <v>20.300536687952999</v>
      </c>
      <c r="R898">
        <v>12.6</v>
      </c>
      <c r="T898" s="358" t="str">
        <f t="shared" si="70"/>
        <v>2000AllSexMaori23Poisoning by solids and liquids</v>
      </c>
      <c r="U898" s="360">
        <v>2000</v>
      </c>
      <c r="V898" s="360" t="s">
        <v>17</v>
      </c>
      <c r="W898" s="360" t="s">
        <v>18</v>
      </c>
      <c r="X898" s="360">
        <v>23</v>
      </c>
      <c r="Y898" s="360" t="s">
        <v>47</v>
      </c>
      <c r="Z898" s="360">
        <v>2</v>
      </c>
      <c r="AA898" s="360">
        <v>40</v>
      </c>
      <c r="AB898" s="360">
        <v>5</v>
      </c>
    </row>
    <row r="899" spans="1:28" x14ac:dyDescent="0.2">
      <c r="A899" t="str">
        <f t="shared" si="68"/>
        <v>2011MaleNon-Maori21</v>
      </c>
      <c r="B899">
        <v>2011</v>
      </c>
      <c r="C899" t="s">
        <v>20</v>
      </c>
      <c r="D899" t="s">
        <v>19</v>
      </c>
      <c r="E899">
        <v>21</v>
      </c>
      <c r="F899">
        <v>1</v>
      </c>
      <c r="J899" s="358" t="str">
        <f t="shared" si="69"/>
        <v>2001MaleNon-Maori251</v>
      </c>
      <c r="K899" s="359">
        <v>2001</v>
      </c>
      <c r="L899" t="s">
        <v>20</v>
      </c>
      <c r="M899" t="s">
        <v>19</v>
      </c>
      <c r="N899">
        <v>25</v>
      </c>
      <c r="O899">
        <v>1</v>
      </c>
      <c r="P899">
        <v>8</v>
      </c>
      <c r="Q899">
        <v>19.181329226543799</v>
      </c>
      <c r="R899">
        <v>13.3</v>
      </c>
      <c r="T899" s="358" t="str">
        <f t="shared" si="70"/>
        <v>2000AllSexMaori25Poisoning by solids and liquids</v>
      </c>
      <c r="U899" s="360">
        <v>2000</v>
      </c>
      <c r="V899" s="360" t="s">
        <v>17</v>
      </c>
      <c r="W899" s="360" t="s">
        <v>18</v>
      </c>
      <c r="X899" s="360">
        <v>25</v>
      </c>
      <c r="Y899" s="360" t="s">
        <v>47</v>
      </c>
      <c r="Z899" s="360">
        <v>1</v>
      </c>
      <c r="AA899" s="360">
        <v>1</v>
      </c>
      <c r="AB899" s="360">
        <v>100</v>
      </c>
    </row>
    <row r="900" spans="1:28" x14ac:dyDescent="0.2">
      <c r="A900" t="str">
        <f t="shared" ref="A900:A963" si="71">B900&amp;C900&amp;D900&amp;E900</f>
        <v>2011MaleNon-Maori22</v>
      </c>
      <c r="B900">
        <v>2011</v>
      </c>
      <c r="C900" t="s">
        <v>20</v>
      </c>
      <c r="D900" t="s">
        <v>19</v>
      </c>
      <c r="E900">
        <v>22</v>
      </c>
      <c r="F900">
        <v>63</v>
      </c>
      <c r="G900">
        <v>24.846190250828201</v>
      </c>
      <c r="H900">
        <v>6.1</v>
      </c>
      <c r="J900" s="358" t="str">
        <f t="shared" ref="J900:J963" si="72">K900&amp;L900&amp;M900&amp;N900&amp;O900</f>
        <v>2001MaleNon-Maori252</v>
      </c>
      <c r="K900" s="359">
        <v>2001</v>
      </c>
      <c r="L900" t="s">
        <v>20</v>
      </c>
      <c r="M900" t="s">
        <v>19</v>
      </c>
      <c r="N900">
        <v>25</v>
      </c>
      <c r="O900">
        <v>2</v>
      </c>
      <c r="P900">
        <v>9</v>
      </c>
      <c r="Q900">
        <v>21.531973933141199</v>
      </c>
      <c r="R900">
        <v>14.1</v>
      </c>
      <c r="T900" s="358" t="str">
        <f t="shared" si="70"/>
        <v>2000AllSexMaori23Submersion (drowning)</v>
      </c>
      <c r="U900" s="360">
        <v>2000</v>
      </c>
      <c r="V900" s="360" t="s">
        <v>17</v>
      </c>
      <c r="W900" s="360" t="s">
        <v>18</v>
      </c>
      <c r="X900" s="360">
        <v>23</v>
      </c>
      <c r="Y900" s="360" t="s">
        <v>49</v>
      </c>
      <c r="Z900" s="360">
        <v>1</v>
      </c>
      <c r="AA900" s="360">
        <v>40</v>
      </c>
      <c r="AB900" s="360">
        <v>2.5</v>
      </c>
    </row>
    <row r="901" spans="1:28" x14ac:dyDescent="0.2">
      <c r="A901" t="str">
        <f t="shared" si="71"/>
        <v>2011MaleNon-Maori23</v>
      </c>
      <c r="B901">
        <v>2011</v>
      </c>
      <c r="C901" t="s">
        <v>20</v>
      </c>
      <c r="D901" t="s">
        <v>19</v>
      </c>
      <c r="E901">
        <v>23</v>
      </c>
      <c r="F901">
        <v>97</v>
      </c>
      <c r="G901">
        <v>20.4038704249053</v>
      </c>
      <c r="H901">
        <v>4.0999999999999996</v>
      </c>
      <c r="J901" s="358" t="str">
        <f t="shared" si="72"/>
        <v>2001MaleNon-Maori253</v>
      </c>
      <c r="K901" s="359">
        <v>2001</v>
      </c>
      <c r="L901" t="s">
        <v>20</v>
      </c>
      <c r="M901" t="s">
        <v>19</v>
      </c>
      <c r="N901">
        <v>25</v>
      </c>
      <c r="O901">
        <v>3</v>
      </c>
      <c r="P901">
        <v>10</v>
      </c>
      <c r="Q901">
        <v>23.984070530068699</v>
      </c>
      <c r="R901">
        <v>14.9</v>
      </c>
      <c r="T901" s="358" t="str">
        <f t="shared" ref="T901:T964" si="73">U901&amp;V901&amp;W901&amp;X901&amp;Y901</f>
        <v>2000AllSexNon-Maori22Firearms and explosives</v>
      </c>
      <c r="U901" s="360">
        <v>2000</v>
      </c>
      <c r="V901" s="360" t="s">
        <v>17</v>
      </c>
      <c r="W901" s="360" t="s">
        <v>19</v>
      </c>
      <c r="X901" s="360">
        <v>22</v>
      </c>
      <c r="Y901" s="360" t="s">
        <v>42</v>
      </c>
      <c r="Z901" s="360">
        <v>3</v>
      </c>
      <c r="AA901" s="360">
        <v>68</v>
      </c>
      <c r="AB901" s="360">
        <v>4.4000000000000004</v>
      </c>
    </row>
    <row r="902" spans="1:28" x14ac:dyDescent="0.2">
      <c r="A902" t="str">
        <f t="shared" si="71"/>
        <v>2011MaleNon-Maori24</v>
      </c>
      <c r="B902">
        <v>2011</v>
      </c>
      <c r="C902" t="s">
        <v>20</v>
      </c>
      <c r="D902" t="s">
        <v>19</v>
      </c>
      <c r="E902">
        <v>24</v>
      </c>
      <c r="F902">
        <v>104</v>
      </c>
      <c r="G902">
        <v>21.3219616204691</v>
      </c>
      <c r="H902">
        <v>4.0999999999999996</v>
      </c>
      <c r="J902" s="358" t="str">
        <f t="shared" si="72"/>
        <v>2001MaleNon-Maori254</v>
      </c>
      <c r="K902" s="359">
        <v>2001</v>
      </c>
      <c r="L902" t="s">
        <v>20</v>
      </c>
      <c r="M902" t="s">
        <v>19</v>
      </c>
      <c r="N902">
        <v>25</v>
      </c>
      <c r="O902">
        <v>4</v>
      </c>
      <c r="P902">
        <v>8</v>
      </c>
      <c r="Q902">
        <v>20.419024249212999</v>
      </c>
      <c r="R902">
        <v>14.1</v>
      </c>
      <c r="T902" s="358" t="str">
        <f t="shared" si="73"/>
        <v>2000AllSexNon-Maori23Firearms and explosives</v>
      </c>
      <c r="U902" s="360">
        <v>2000</v>
      </c>
      <c r="V902" s="360" t="s">
        <v>17</v>
      </c>
      <c r="W902" s="360" t="s">
        <v>19</v>
      </c>
      <c r="X902" s="360">
        <v>23</v>
      </c>
      <c r="Y902" s="360" t="s">
        <v>42</v>
      </c>
      <c r="Z902" s="360">
        <v>16</v>
      </c>
      <c r="AA902" s="360">
        <v>169</v>
      </c>
      <c r="AB902" s="360">
        <v>9.5</v>
      </c>
    </row>
    <row r="903" spans="1:28" x14ac:dyDescent="0.2">
      <c r="A903" t="str">
        <f t="shared" si="71"/>
        <v>2011MaleNon-Maori25</v>
      </c>
      <c r="B903">
        <v>2011</v>
      </c>
      <c r="C903" t="s">
        <v>20</v>
      </c>
      <c r="D903" t="s">
        <v>19</v>
      </c>
      <c r="E903">
        <v>25</v>
      </c>
      <c r="F903">
        <v>31</v>
      </c>
      <c r="G903">
        <v>12.360939431396799</v>
      </c>
      <c r="H903">
        <v>4.4000000000000004</v>
      </c>
      <c r="J903" s="358" t="str">
        <f t="shared" si="72"/>
        <v>2001MaleNon-Maori255</v>
      </c>
      <c r="K903" s="359">
        <v>2001</v>
      </c>
      <c r="L903" t="s">
        <v>20</v>
      </c>
      <c r="M903" t="s">
        <v>19</v>
      </c>
      <c r="N903">
        <v>25</v>
      </c>
      <c r="O903">
        <v>5</v>
      </c>
      <c r="P903">
        <v>8</v>
      </c>
      <c r="Q903">
        <v>28.458629058966899</v>
      </c>
      <c r="R903">
        <v>19.7</v>
      </c>
      <c r="T903" s="358" t="str">
        <f t="shared" si="73"/>
        <v>2000AllSexNon-Maori24Firearms and explosives</v>
      </c>
      <c r="U903" s="360">
        <v>2000</v>
      </c>
      <c r="V903" s="360" t="s">
        <v>17</v>
      </c>
      <c r="W903" s="360" t="s">
        <v>19</v>
      </c>
      <c r="X903" s="360">
        <v>24</v>
      </c>
      <c r="Y903" s="360" t="s">
        <v>42</v>
      </c>
      <c r="Z903" s="360">
        <v>7</v>
      </c>
      <c r="AA903" s="360">
        <v>93</v>
      </c>
      <c r="AB903" s="360">
        <v>7.5</v>
      </c>
    </row>
    <row r="904" spans="1:28" x14ac:dyDescent="0.2">
      <c r="A904" t="str">
        <f t="shared" si="71"/>
        <v>2012AllSexAllEth21</v>
      </c>
      <c r="B904">
        <v>2012</v>
      </c>
      <c r="C904" t="s">
        <v>17</v>
      </c>
      <c r="D904" t="s">
        <v>27</v>
      </c>
      <c r="E904">
        <v>21</v>
      </c>
      <c r="F904">
        <v>12</v>
      </c>
      <c r="J904" s="358" t="str">
        <f t="shared" si="72"/>
        <v>2002AllSexAllEth211</v>
      </c>
      <c r="K904" s="359">
        <v>2002</v>
      </c>
      <c r="L904" t="s">
        <v>17</v>
      </c>
      <c r="M904" t="s">
        <v>27</v>
      </c>
      <c r="N904">
        <v>21</v>
      </c>
      <c r="O904">
        <v>1</v>
      </c>
      <c r="P904">
        <v>0</v>
      </c>
      <c r="T904" s="358" t="str">
        <f t="shared" si="73"/>
        <v>2000AllSexNon-Maori25Firearms and explosives</v>
      </c>
      <c r="U904" s="360">
        <v>2000</v>
      </c>
      <c r="V904" s="360" t="s">
        <v>17</v>
      </c>
      <c r="W904" s="360" t="s">
        <v>19</v>
      </c>
      <c r="X904" s="360">
        <v>25</v>
      </c>
      <c r="Y904" s="360" t="s">
        <v>42</v>
      </c>
      <c r="Z904" s="360">
        <v>7</v>
      </c>
      <c r="AA904" s="360">
        <v>46</v>
      </c>
      <c r="AB904" s="360">
        <v>15.2</v>
      </c>
    </row>
    <row r="905" spans="1:28" x14ac:dyDescent="0.2">
      <c r="A905" t="str">
        <f t="shared" si="71"/>
        <v>2012AllSexAllEth22</v>
      </c>
      <c r="B905">
        <v>2012</v>
      </c>
      <c r="C905" t="s">
        <v>17</v>
      </c>
      <c r="D905" t="s">
        <v>27</v>
      </c>
      <c r="E905">
        <v>22</v>
      </c>
      <c r="F905">
        <v>148</v>
      </c>
      <c r="G905">
        <v>23.7019954517793</v>
      </c>
      <c r="H905">
        <v>3.8</v>
      </c>
      <c r="J905" s="358" t="str">
        <f t="shared" si="72"/>
        <v>2002AllSexAllEth212</v>
      </c>
      <c r="K905" s="359">
        <v>2002</v>
      </c>
      <c r="L905" t="s">
        <v>17</v>
      </c>
      <c r="M905" t="s">
        <v>27</v>
      </c>
      <c r="N905">
        <v>21</v>
      </c>
      <c r="O905">
        <v>2</v>
      </c>
      <c r="P905">
        <v>0</v>
      </c>
      <c r="T905" s="358" t="str">
        <f t="shared" si="73"/>
        <v>2000AllSexNon-Maori21Hanging, strangulation and suffocation</v>
      </c>
      <c r="U905" s="360">
        <v>2000</v>
      </c>
      <c r="V905" s="360" t="s">
        <v>17</v>
      </c>
      <c r="W905" s="360" t="s">
        <v>19</v>
      </c>
      <c r="X905" s="360">
        <v>21</v>
      </c>
      <c r="Y905" s="360" t="s">
        <v>43</v>
      </c>
      <c r="Z905" s="360">
        <v>2</v>
      </c>
      <c r="AA905" s="360">
        <v>3</v>
      </c>
      <c r="AB905" s="360">
        <v>66.7</v>
      </c>
    </row>
    <row r="906" spans="1:28" x14ac:dyDescent="0.2">
      <c r="A906" t="str">
        <f t="shared" si="71"/>
        <v>2012AllSexAllEth23</v>
      </c>
      <c r="B906">
        <v>2012</v>
      </c>
      <c r="C906" t="s">
        <v>17</v>
      </c>
      <c r="D906" t="s">
        <v>27</v>
      </c>
      <c r="E906">
        <v>23</v>
      </c>
      <c r="F906">
        <v>186</v>
      </c>
      <c r="G906">
        <v>16.230649749559301</v>
      </c>
      <c r="H906">
        <v>2.2999999999999998</v>
      </c>
      <c r="J906" s="358" t="str">
        <f t="shared" si="72"/>
        <v>2002AllSexAllEth213</v>
      </c>
      <c r="K906" s="359">
        <v>2002</v>
      </c>
      <c r="L906" t="s">
        <v>17</v>
      </c>
      <c r="M906" t="s">
        <v>27</v>
      </c>
      <c r="N906">
        <v>21</v>
      </c>
      <c r="O906">
        <v>3</v>
      </c>
      <c r="P906">
        <v>0</v>
      </c>
      <c r="T906" s="358" t="str">
        <f t="shared" si="73"/>
        <v>2000AllSexNon-Maori22Hanging, strangulation and suffocation</v>
      </c>
      <c r="U906" s="360">
        <v>2000</v>
      </c>
      <c r="V906" s="360" t="s">
        <v>17</v>
      </c>
      <c r="W906" s="360" t="s">
        <v>19</v>
      </c>
      <c r="X906" s="360">
        <v>22</v>
      </c>
      <c r="Y906" s="360" t="s">
        <v>43</v>
      </c>
      <c r="Z906" s="360">
        <v>37</v>
      </c>
      <c r="AA906" s="360">
        <v>68</v>
      </c>
      <c r="AB906" s="360">
        <v>54.4</v>
      </c>
    </row>
    <row r="907" spans="1:28" x14ac:dyDescent="0.2">
      <c r="A907" t="str">
        <f t="shared" si="71"/>
        <v>2012AllSexAllEth24</v>
      </c>
      <c r="B907">
        <v>2012</v>
      </c>
      <c r="C907" t="s">
        <v>17</v>
      </c>
      <c r="D907" t="s">
        <v>27</v>
      </c>
      <c r="E907">
        <v>24</v>
      </c>
      <c r="F907">
        <v>147</v>
      </c>
      <c r="G907">
        <v>13.0385034991086</v>
      </c>
      <c r="H907">
        <v>2.1</v>
      </c>
      <c r="J907" s="358" t="str">
        <f t="shared" si="72"/>
        <v>2002AllSexAllEth214</v>
      </c>
      <c r="K907" s="359">
        <v>2002</v>
      </c>
      <c r="L907" t="s">
        <v>17</v>
      </c>
      <c r="M907" t="s">
        <v>27</v>
      </c>
      <c r="N907">
        <v>21</v>
      </c>
      <c r="O907">
        <v>4</v>
      </c>
      <c r="P907">
        <v>0</v>
      </c>
      <c r="T907" s="358" t="str">
        <f t="shared" si="73"/>
        <v>2000AllSexNon-Maori23Hanging, strangulation and suffocation</v>
      </c>
      <c r="U907" s="360">
        <v>2000</v>
      </c>
      <c r="V907" s="360" t="s">
        <v>17</v>
      </c>
      <c r="W907" s="360" t="s">
        <v>19</v>
      </c>
      <c r="X907" s="360">
        <v>23</v>
      </c>
      <c r="Y907" s="360" t="s">
        <v>43</v>
      </c>
      <c r="Z907" s="360">
        <v>70</v>
      </c>
      <c r="AA907" s="360">
        <v>169</v>
      </c>
      <c r="AB907" s="360">
        <v>41.4</v>
      </c>
    </row>
    <row r="908" spans="1:28" x14ac:dyDescent="0.2">
      <c r="A908" t="str">
        <f t="shared" si="71"/>
        <v>2012AllSexAllEth25</v>
      </c>
      <c r="B908">
        <v>2012</v>
      </c>
      <c r="C908" t="s">
        <v>17</v>
      </c>
      <c r="D908" t="s">
        <v>27</v>
      </c>
      <c r="E908">
        <v>25</v>
      </c>
      <c r="F908">
        <v>57</v>
      </c>
      <c r="G908">
        <v>9.4530498523997508</v>
      </c>
      <c r="H908">
        <v>2.5</v>
      </c>
      <c r="J908" s="358" t="str">
        <f t="shared" si="72"/>
        <v>2002AllSexAllEth215</v>
      </c>
      <c r="K908" s="359">
        <v>2002</v>
      </c>
      <c r="L908" t="s">
        <v>17</v>
      </c>
      <c r="M908" t="s">
        <v>27</v>
      </c>
      <c r="N908">
        <v>21</v>
      </c>
      <c r="O908">
        <v>5</v>
      </c>
      <c r="P908">
        <v>0</v>
      </c>
      <c r="T908" s="358" t="str">
        <f t="shared" si="73"/>
        <v>2000AllSexNon-Maori24Hanging, strangulation and suffocation</v>
      </c>
      <c r="U908" s="360">
        <v>2000</v>
      </c>
      <c r="V908" s="360" t="s">
        <v>17</v>
      </c>
      <c r="W908" s="360" t="s">
        <v>19</v>
      </c>
      <c r="X908" s="360">
        <v>24</v>
      </c>
      <c r="Y908" s="360" t="s">
        <v>43</v>
      </c>
      <c r="Z908" s="360">
        <v>30</v>
      </c>
      <c r="AA908" s="360">
        <v>93</v>
      </c>
      <c r="AB908" s="360">
        <v>32.299999999999997</v>
      </c>
    </row>
    <row r="909" spans="1:28" x14ac:dyDescent="0.2">
      <c r="A909" t="str">
        <f t="shared" si="71"/>
        <v>2012AllSexMaori21</v>
      </c>
      <c r="B909">
        <v>2012</v>
      </c>
      <c r="C909" t="s">
        <v>17</v>
      </c>
      <c r="D909" t="s">
        <v>18</v>
      </c>
      <c r="E909">
        <v>21</v>
      </c>
      <c r="F909">
        <v>8</v>
      </c>
      <c r="J909" s="358" t="str">
        <f t="shared" si="72"/>
        <v>2002AllSexAllEth221</v>
      </c>
      <c r="K909" s="359">
        <v>2002</v>
      </c>
      <c r="L909" t="s">
        <v>17</v>
      </c>
      <c r="M909" t="s">
        <v>27</v>
      </c>
      <c r="N909">
        <v>22</v>
      </c>
      <c r="O909">
        <v>1</v>
      </c>
      <c r="P909">
        <v>6</v>
      </c>
      <c r="Q909">
        <v>6.4687488043273396</v>
      </c>
      <c r="R909">
        <v>5.2</v>
      </c>
      <c r="T909" s="358" t="str">
        <f t="shared" si="73"/>
        <v>2000AllSexNon-Maori25Hanging, strangulation and suffocation</v>
      </c>
      <c r="U909" s="360">
        <v>2000</v>
      </c>
      <c r="V909" s="360" t="s">
        <v>17</v>
      </c>
      <c r="W909" s="360" t="s">
        <v>19</v>
      </c>
      <c r="X909" s="360">
        <v>25</v>
      </c>
      <c r="Y909" s="360" t="s">
        <v>43</v>
      </c>
      <c r="Z909" s="360">
        <v>17</v>
      </c>
      <c r="AA909" s="360">
        <v>46</v>
      </c>
      <c r="AB909" s="360">
        <v>37</v>
      </c>
    </row>
    <row r="910" spans="1:28" x14ac:dyDescent="0.2">
      <c r="A910" t="str">
        <f t="shared" si="71"/>
        <v>2012AllSexMaori22</v>
      </c>
      <c r="B910">
        <v>2012</v>
      </c>
      <c r="C910" t="s">
        <v>17</v>
      </c>
      <c r="D910" t="s">
        <v>18</v>
      </c>
      <c r="E910">
        <v>22</v>
      </c>
      <c r="F910">
        <v>61</v>
      </c>
      <c r="G910">
        <v>48.389655719498698</v>
      </c>
      <c r="H910">
        <v>12.1</v>
      </c>
      <c r="J910" s="358" t="str">
        <f t="shared" si="72"/>
        <v>2002AllSexAllEth222</v>
      </c>
      <c r="K910" s="359">
        <v>2002</v>
      </c>
      <c r="L910" t="s">
        <v>17</v>
      </c>
      <c r="M910" t="s">
        <v>27</v>
      </c>
      <c r="N910">
        <v>22</v>
      </c>
      <c r="O910">
        <v>2</v>
      </c>
      <c r="P910">
        <v>21</v>
      </c>
      <c r="Q910">
        <v>21.2789535245556</v>
      </c>
      <c r="R910">
        <v>9.1</v>
      </c>
      <c r="T910" s="358" t="str">
        <f t="shared" si="73"/>
        <v>2000AllSexNon-Maori22Jumping from a high place</v>
      </c>
      <c r="U910" s="360">
        <v>2000</v>
      </c>
      <c r="V910" s="360" t="s">
        <v>17</v>
      </c>
      <c r="W910" s="360" t="s">
        <v>19</v>
      </c>
      <c r="X910" s="360">
        <v>22</v>
      </c>
      <c r="Y910" s="360" t="s">
        <v>44</v>
      </c>
      <c r="Z910" s="360">
        <v>4</v>
      </c>
      <c r="AA910" s="360">
        <v>68</v>
      </c>
      <c r="AB910" s="360">
        <v>5.9</v>
      </c>
    </row>
    <row r="911" spans="1:28" x14ac:dyDescent="0.2">
      <c r="A911" t="str">
        <f t="shared" si="71"/>
        <v>2012AllSexMaori23</v>
      </c>
      <c r="B911">
        <v>2012</v>
      </c>
      <c r="C911" t="s">
        <v>17</v>
      </c>
      <c r="D911" t="s">
        <v>18</v>
      </c>
      <c r="E911">
        <v>23</v>
      </c>
      <c r="F911">
        <v>39</v>
      </c>
      <c r="G911">
        <v>23.2641374373658</v>
      </c>
      <c r="H911">
        <v>7.3</v>
      </c>
      <c r="J911" s="358" t="str">
        <f t="shared" si="72"/>
        <v>2002AllSexAllEth223</v>
      </c>
      <c r="K911" s="359">
        <v>2002</v>
      </c>
      <c r="L911" t="s">
        <v>17</v>
      </c>
      <c r="M911" t="s">
        <v>27</v>
      </c>
      <c r="N911">
        <v>22</v>
      </c>
      <c r="O911">
        <v>3</v>
      </c>
      <c r="P911">
        <v>16</v>
      </c>
      <c r="Q911">
        <v>14.9939930311075</v>
      </c>
      <c r="R911">
        <v>7.3</v>
      </c>
      <c r="T911" s="358" t="str">
        <f t="shared" si="73"/>
        <v>2000AllSexNon-Maori23Jumping from a high place</v>
      </c>
      <c r="U911" s="360">
        <v>2000</v>
      </c>
      <c r="V911" s="360" t="s">
        <v>17</v>
      </c>
      <c r="W911" s="360" t="s">
        <v>19</v>
      </c>
      <c r="X911" s="360">
        <v>23</v>
      </c>
      <c r="Y911" s="360" t="s">
        <v>44</v>
      </c>
      <c r="Z911" s="360">
        <v>3</v>
      </c>
      <c r="AA911" s="360">
        <v>169</v>
      </c>
      <c r="AB911" s="360">
        <v>1.8</v>
      </c>
    </row>
    <row r="912" spans="1:28" x14ac:dyDescent="0.2">
      <c r="A912" t="str">
        <f t="shared" si="71"/>
        <v>2012AllSexMaori24</v>
      </c>
      <c r="B912">
        <v>2012</v>
      </c>
      <c r="C912" t="s">
        <v>17</v>
      </c>
      <c r="D912" t="s">
        <v>18</v>
      </c>
      <c r="E912">
        <v>24</v>
      </c>
      <c r="F912">
        <v>10</v>
      </c>
      <c r="G912">
        <v>8.08865162177465</v>
      </c>
      <c r="H912">
        <v>5</v>
      </c>
      <c r="J912" s="358" t="str">
        <f t="shared" si="72"/>
        <v>2002AllSexAllEth224</v>
      </c>
      <c r="K912" s="359">
        <v>2002</v>
      </c>
      <c r="L912" t="s">
        <v>17</v>
      </c>
      <c r="M912" t="s">
        <v>27</v>
      </c>
      <c r="N912">
        <v>22</v>
      </c>
      <c r="O912">
        <v>4</v>
      </c>
      <c r="P912">
        <v>17</v>
      </c>
      <c r="Q912">
        <v>14.5137484234128</v>
      </c>
      <c r="R912">
        <v>6.9</v>
      </c>
      <c r="T912" s="358" t="str">
        <f t="shared" si="73"/>
        <v>2000AllSexNon-Maori24Jumping from a high place</v>
      </c>
      <c r="U912" s="360">
        <v>2000</v>
      </c>
      <c r="V912" s="360" t="s">
        <v>17</v>
      </c>
      <c r="W912" s="360" t="s">
        <v>19</v>
      </c>
      <c r="X912" s="360">
        <v>24</v>
      </c>
      <c r="Y912" s="360" t="s">
        <v>44</v>
      </c>
      <c r="Z912" s="360">
        <v>4</v>
      </c>
      <c r="AA912" s="360">
        <v>93</v>
      </c>
      <c r="AB912" s="360">
        <v>4.3</v>
      </c>
    </row>
    <row r="913" spans="1:28" x14ac:dyDescent="0.2">
      <c r="A913" t="str">
        <f t="shared" si="71"/>
        <v>2012AllSexMaori25</v>
      </c>
      <c r="B913">
        <v>2012</v>
      </c>
      <c r="C913" t="s">
        <v>17</v>
      </c>
      <c r="D913" t="s">
        <v>18</v>
      </c>
      <c r="E913">
        <v>25</v>
      </c>
      <c r="F913">
        <v>1</v>
      </c>
      <c r="G913">
        <v>2.9103608847497102</v>
      </c>
      <c r="H913">
        <v>5.7</v>
      </c>
      <c r="J913" s="358" t="str">
        <f t="shared" si="72"/>
        <v>2002AllSexAllEth225</v>
      </c>
      <c r="K913" s="359">
        <v>2002</v>
      </c>
      <c r="L913" t="s">
        <v>17</v>
      </c>
      <c r="M913" t="s">
        <v>27</v>
      </c>
      <c r="N913">
        <v>22</v>
      </c>
      <c r="O913">
        <v>5</v>
      </c>
      <c r="P913">
        <v>25</v>
      </c>
      <c r="Q913">
        <v>18.312660373294701</v>
      </c>
      <c r="R913">
        <v>7.2</v>
      </c>
      <c r="T913" s="358" t="str">
        <f t="shared" si="73"/>
        <v>2000AllSexNon-Maori25Jumping from a high place</v>
      </c>
      <c r="U913" s="360">
        <v>2000</v>
      </c>
      <c r="V913" s="360" t="s">
        <v>17</v>
      </c>
      <c r="W913" s="360" t="s">
        <v>19</v>
      </c>
      <c r="X913" s="360">
        <v>25</v>
      </c>
      <c r="Y913" s="360" t="s">
        <v>44</v>
      </c>
      <c r="Z913" s="360">
        <v>3</v>
      </c>
      <c r="AA913" s="360">
        <v>46</v>
      </c>
      <c r="AB913" s="360">
        <v>6.5</v>
      </c>
    </row>
    <row r="914" spans="1:28" x14ac:dyDescent="0.2">
      <c r="A914" t="str">
        <f t="shared" si="71"/>
        <v>2012AllSexNon-Maori21</v>
      </c>
      <c r="B914">
        <v>2012</v>
      </c>
      <c r="C914" t="s">
        <v>17</v>
      </c>
      <c r="D914" t="s">
        <v>19</v>
      </c>
      <c r="E914">
        <v>21</v>
      </c>
      <c r="F914">
        <v>4</v>
      </c>
      <c r="J914" s="358" t="str">
        <f t="shared" si="72"/>
        <v>2002AllSexAllEth231</v>
      </c>
      <c r="K914" s="359">
        <v>2002</v>
      </c>
      <c r="L914" t="s">
        <v>17</v>
      </c>
      <c r="M914" t="s">
        <v>27</v>
      </c>
      <c r="N914">
        <v>23</v>
      </c>
      <c r="O914">
        <v>1</v>
      </c>
      <c r="P914">
        <v>27</v>
      </c>
      <c r="Q914">
        <v>11.8998382808554</v>
      </c>
      <c r="R914">
        <v>4.5</v>
      </c>
      <c r="T914" s="358" t="str">
        <f t="shared" si="73"/>
        <v>2000AllSexNon-Maori21Other</v>
      </c>
      <c r="U914" s="360">
        <v>2000</v>
      </c>
      <c r="V914" s="360" t="s">
        <v>17</v>
      </c>
      <c r="W914" s="360" t="s">
        <v>19</v>
      </c>
      <c r="X914" s="360">
        <v>21</v>
      </c>
      <c r="Y914" s="360" t="s">
        <v>45</v>
      </c>
      <c r="Z914" s="360">
        <v>1</v>
      </c>
      <c r="AA914" s="360">
        <v>3</v>
      </c>
      <c r="AB914" s="360">
        <v>33.299999999999997</v>
      </c>
    </row>
    <row r="915" spans="1:28" x14ac:dyDescent="0.2">
      <c r="A915" t="str">
        <f t="shared" si="71"/>
        <v>2012AllSexNon-Maori22</v>
      </c>
      <c r="B915">
        <v>2012</v>
      </c>
      <c r="C915" t="s">
        <v>17</v>
      </c>
      <c r="D915" t="s">
        <v>19</v>
      </c>
      <c r="E915">
        <v>22</v>
      </c>
      <c r="F915">
        <v>87</v>
      </c>
      <c r="G915">
        <v>17.457259812183999</v>
      </c>
      <c r="H915">
        <v>3.7</v>
      </c>
      <c r="J915" s="358" t="str">
        <f t="shared" si="72"/>
        <v>2002AllSexAllEth232</v>
      </c>
      <c r="K915" s="359">
        <v>2002</v>
      </c>
      <c r="L915" t="s">
        <v>17</v>
      </c>
      <c r="M915" t="s">
        <v>27</v>
      </c>
      <c r="N915">
        <v>23</v>
      </c>
      <c r="O915">
        <v>2</v>
      </c>
      <c r="P915">
        <v>37</v>
      </c>
      <c r="Q915">
        <v>15.480421009091</v>
      </c>
      <c r="R915">
        <v>5</v>
      </c>
      <c r="T915" s="358" t="str">
        <f t="shared" si="73"/>
        <v>2000AllSexNon-Maori22Other</v>
      </c>
      <c r="U915" s="360">
        <v>2000</v>
      </c>
      <c r="V915" s="360" t="s">
        <v>17</v>
      </c>
      <c r="W915" s="360" t="s">
        <v>19</v>
      </c>
      <c r="X915" s="360">
        <v>22</v>
      </c>
      <c r="Y915" s="360" t="s">
        <v>45</v>
      </c>
      <c r="Z915" s="360">
        <v>4</v>
      </c>
      <c r="AA915" s="360">
        <v>68</v>
      </c>
      <c r="AB915" s="360">
        <v>5.9</v>
      </c>
    </row>
    <row r="916" spans="1:28" x14ac:dyDescent="0.2">
      <c r="A916" t="str">
        <f t="shared" si="71"/>
        <v>2012AllSexNon-Maori23</v>
      </c>
      <c r="B916">
        <v>2012</v>
      </c>
      <c r="C916" t="s">
        <v>17</v>
      </c>
      <c r="D916" t="s">
        <v>19</v>
      </c>
      <c r="E916">
        <v>23</v>
      </c>
      <c r="F916">
        <v>147</v>
      </c>
      <c r="G916">
        <v>15.025451274608001</v>
      </c>
      <c r="H916">
        <v>2.4</v>
      </c>
      <c r="J916" s="358" t="str">
        <f t="shared" si="72"/>
        <v>2002AllSexAllEth233</v>
      </c>
      <c r="K916" s="359">
        <v>2002</v>
      </c>
      <c r="L916" t="s">
        <v>17</v>
      </c>
      <c r="M916" t="s">
        <v>27</v>
      </c>
      <c r="N916">
        <v>23</v>
      </c>
      <c r="O916">
        <v>3</v>
      </c>
      <c r="P916">
        <v>41</v>
      </c>
      <c r="Q916">
        <v>17.1370713394493</v>
      </c>
      <c r="R916">
        <v>5.2</v>
      </c>
      <c r="T916" s="358" t="str">
        <f t="shared" si="73"/>
        <v>2000AllSexNon-Maori23Other</v>
      </c>
      <c r="U916" s="360">
        <v>2000</v>
      </c>
      <c r="V916" s="360" t="s">
        <v>17</v>
      </c>
      <c r="W916" s="360" t="s">
        <v>19</v>
      </c>
      <c r="X916" s="360">
        <v>23</v>
      </c>
      <c r="Y916" s="360" t="s">
        <v>45</v>
      </c>
      <c r="Z916" s="360">
        <v>5</v>
      </c>
      <c r="AA916" s="360">
        <v>169</v>
      </c>
      <c r="AB916" s="360">
        <v>3</v>
      </c>
    </row>
    <row r="917" spans="1:28" x14ac:dyDescent="0.2">
      <c r="A917" t="str">
        <f t="shared" si="71"/>
        <v>2012AllSexNon-Maori24</v>
      </c>
      <c r="B917">
        <v>2012</v>
      </c>
      <c r="C917" t="s">
        <v>17</v>
      </c>
      <c r="D917" t="s">
        <v>19</v>
      </c>
      <c r="E917">
        <v>24</v>
      </c>
      <c r="F917">
        <v>137</v>
      </c>
      <c r="G917">
        <v>13.648137079099399</v>
      </c>
      <c r="H917">
        <v>2.2999999999999998</v>
      </c>
      <c r="J917" s="358" t="str">
        <f t="shared" si="72"/>
        <v>2002AllSexAllEth234</v>
      </c>
      <c r="K917" s="359">
        <v>2002</v>
      </c>
      <c r="L917" t="s">
        <v>17</v>
      </c>
      <c r="M917" t="s">
        <v>27</v>
      </c>
      <c r="N917">
        <v>23</v>
      </c>
      <c r="O917">
        <v>4</v>
      </c>
      <c r="P917">
        <v>41</v>
      </c>
      <c r="Q917">
        <v>17.4508323683519</v>
      </c>
      <c r="R917">
        <v>5.3</v>
      </c>
      <c r="T917" s="358" t="str">
        <f t="shared" si="73"/>
        <v>2000AllSexNon-Maori24Other</v>
      </c>
      <c r="U917" s="360">
        <v>2000</v>
      </c>
      <c r="V917" s="360" t="s">
        <v>17</v>
      </c>
      <c r="W917" s="360" t="s">
        <v>19</v>
      </c>
      <c r="X917" s="360">
        <v>24</v>
      </c>
      <c r="Y917" s="360" t="s">
        <v>45</v>
      </c>
      <c r="Z917" s="360">
        <v>2</v>
      </c>
      <c r="AA917" s="360">
        <v>93</v>
      </c>
      <c r="AB917" s="360">
        <v>2.2000000000000002</v>
      </c>
    </row>
    <row r="918" spans="1:28" x14ac:dyDescent="0.2">
      <c r="A918" t="str">
        <f t="shared" si="71"/>
        <v>2012AllSexNon-Maori25</v>
      </c>
      <c r="B918">
        <v>2012</v>
      </c>
      <c r="C918" t="s">
        <v>17</v>
      </c>
      <c r="D918" t="s">
        <v>19</v>
      </c>
      <c r="E918">
        <v>25</v>
      </c>
      <c r="F918">
        <v>56</v>
      </c>
      <c r="G918">
        <v>9.8484049101333095</v>
      </c>
      <c r="H918">
        <v>2.6</v>
      </c>
      <c r="J918" s="358" t="str">
        <f t="shared" si="72"/>
        <v>2002AllSexAllEth235</v>
      </c>
      <c r="K918" s="359">
        <v>2002</v>
      </c>
      <c r="L918" t="s">
        <v>17</v>
      </c>
      <c r="M918" t="s">
        <v>27</v>
      </c>
      <c r="N918">
        <v>23</v>
      </c>
      <c r="O918">
        <v>5</v>
      </c>
      <c r="P918">
        <v>53</v>
      </c>
      <c r="Q918">
        <v>24.012923911546899</v>
      </c>
      <c r="R918">
        <v>6.5</v>
      </c>
      <c r="T918" s="358" t="str">
        <f t="shared" si="73"/>
        <v>2000AllSexNon-Maori25Other</v>
      </c>
      <c r="U918" s="360">
        <v>2000</v>
      </c>
      <c r="V918" s="360" t="s">
        <v>17</v>
      </c>
      <c r="W918" s="360" t="s">
        <v>19</v>
      </c>
      <c r="X918" s="360">
        <v>25</v>
      </c>
      <c r="Y918" s="360" t="s">
        <v>45</v>
      </c>
      <c r="Z918" s="360">
        <v>1</v>
      </c>
      <c r="AA918" s="360">
        <v>46</v>
      </c>
      <c r="AB918" s="360">
        <v>2.2000000000000002</v>
      </c>
    </row>
    <row r="919" spans="1:28" x14ac:dyDescent="0.2">
      <c r="A919" t="str">
        <f t="shared" si="71"/>
        <v>2012FemaleAllEth21</v>
      </c>
      <c r="B919">
        <v>2012</v>
      </c>
      <c r="C919" t="s">
        <v>8</v>
      </c>
      <c r="D919" t="s">
        <v>27</v>
      </c>
      <c r="E919">
        <v>21</v>
      </c>
      <c r="F919">
        <v>5</v>
      </c>
      <c r="J919" s="358" t="str">
        <f t="shared" si="72"/>
        <v>2002AllSexAllEth241</v>
      </c>
      <c r="K919" s="359">
        <v>2002</v>
      </c>
      <c r="L919" t="s">
        <v>17</v>
      </c>
      <c r="M919" t="s">
        <v>27</v>
      </c>
      <c r="N919">
        <v>24</v>
      </c>
      <c r="O919">
        <v>1</v>
      </c>
      <c r="P919">
        <v>17</v>
      </c>
      <c r="Q919">
        <v>7.7892090449881897</v>
      </c>
      <c r="R919">
        <v>3.7</v>
      </c>
      <c r="T919" s="358" t="str">
        <f t="shared" si="73"/>
        <v>2000AllSexNon-Maori22Poisoning by gases and vapours</v>
      </c>
      <c r="U919" s="360">
        <v>2000</v>
      </c>
      <c r="V919" s="360" t="s">
        <v>17</v>
      </c>
      <c r="W919" s="360" t="s">
        <v>19</v>
      </c>
      <c r="X919" s="360">
        <v>22</v>
      </c>
      <c r="Y919" s="360" t="s">
        <v>46</v>
      </c>
      <c r="Z919" s="360">
        <v>15</v>
      </c>
      <c r="AA919" s="360">
        <v>68</v>
      </c>
      <c r="AB919" s="360">
        <v>22.1</v>
      </c>
    </row>
    <row r="920" spans="1:28" x14ac:dyDescent="0.2">
      <c r="A920" t="str">
        <f t="shared" si="71"/>
        <v>2012FemaleAllEth22</v>
      </c>
      <c r="B920">
        <v>2012</v>
      </c>
      <c r="C920" t="s">
        <v>8</v>
      </c>
      <c r="D920" t="s">
        <v>27</v>
      </c>
      <c r="E920">
        <v>22</v>
      </c>
      <c r="F920">
        <v>41</v>
      </c>
      <c r="G920">
        <v>13.3238008579228</v>
      </c>
      <c r="H920">
        <v>4.0999999999999996</v>
      </c>
      <c r="J920" s="358" t="str">
        <f t="shared" si="72"/>
        <v>2002AllSexAllEth242</v>
      </c>
      <c r="K920" s="359">
        <v>2002</v>
      </c>
      <c r="L920" t="s">
        <v>17</v>
      </c>
      <c r="M920" t="s">
        <v>27</v>
      </c>
      <c r="N920">
        <v>24</v>
      </c>
      <c r="O920">
        <v>2</v>
      </c>
      <c r="P920">
        <v>26</v>
      </c>
      <c r="Q920">
        <v>13.493191035545101</v>
      </c>
      <c r="R920">
        <v>5.2</v>
      </c>
      <c r="T920" s="358" t="str">
        <f t="shared" si="73"/>
        <v>2000AllSexNon-Maori23Poisoning by gases and vapours</v>
      </c>
      <c r="U920" s="360">
        <v>2000</v>
      </c>
      <c r="V920" s="360" t="s">
        <v>17</v>
      </c>
      <c r="W920" s="360" t="s">
        <v>19</v>
      </c>
      <c r="X920" s="360">
        <v>23</v>
      </c>
      <c r="Y920" s="360" t="s">
        <v>46</v>
      </c>
      <c r="Z920" s="360">
        <v>47</v>
      </c>
      <c r="AA920" s="360">
        <v>169</v>
      </c>
      <c r="AB920" s="360">
        <v>27.8</v>
      </c>
    </row>
    <row r="921" spans="1:28" x14ac:dyDescent="0.2">
      <c r="A921" t="str">
        <f t="shared" si="71"/>
        <v>2012FemaleAllEth23</v>
      </c>
      <c r="B921">
        <v>2012</v>
      </c>
      <c r="C921" t="s">
        <v>8</v>
      </c>
      <c r="D921" t="s">
        <v>27</v>
      </c>
      <c r="E921">
        <v>23</v>
      </c>
      <c r="F921">
        <v>43</v>
      </c>
      <c r="G921">
        <v>7.1972550004184503</v>
      </c>
      <c r="H921">
        <v>2.2000000000000002</v>
      </c>
      <c r="J921" s="358" t="str">
        <f t="shared" si="72"/>
        <v>2002AllSexAllEth243</v>
      </c>
      <c r="K921" s="359">
        <v>2002</v>
      </c>
      <c r="L921" t="s">
        <v>17</v>
      </c>
      <c r="M921" t="s">
        <v>27</v>
      </c>
      <c r="N921">
        <v>24</v>
      </c>
      <c r="O921">
        <v>3</v>
      </c>
      <c r="P921">
        <v>13</v>
      </c>
      <c r="Q921">
        <v>7.4836601567202097</v>
      </c>
      <c r="R921">
        <v>4.0999999999999996</v>
      </c>
      <c r="T921" s="358" t="str">
        <f t="shared" si="73"/>
        <v>2000AllSexNon-Maori24Poisoning by gases and vapours</v>
      </c>
      <c r="U921" s="360">
        <v>2000</v>
      </c>
      <c r="V921" s="360" t="s">
        <v>17</v>
      </c>
      <c r="W921" s="360" t="s">
        <v>19</v>
      </c>
      <c r="X921" s="360">
        <v>24</v>
      </c>
      <c r="Y921" s="360" t="s">
        <v>46</v>
      </c>
      <c r="Z921" s="360">
        <v>36</v>
      </c>
      <c r="AA921" s="360">
        <v>93</v>
      </c>
      <c r="AB921" s="360">
        <v>38.700000000000003</v>
      </c>
    </row>
    <row r="922" spans="1:28" x14ac:dyDescent="0.2">
      <c r="A922" t="str">
        <f t="shared" si="71"/>
        <v>2012FemaleAllEth24</v>
      </c>
      <c r="B922">
        <v>2012</v>
      </c>
      <c r="C922" t="s">
        <v>8</v>
      </c>
      <c r="D922" t="s">
        <v>27</v>
      </c>
      <c r="E922">
        <v>24</v>
      </c>
      <c r="F922">
        <v>42</v>
      </c>
      <c r="G922">
        <v>7.2452517724990901</v>
      </c>
      <c r="H922">
        <v>2.2000000000000002</v>
      </c>
      <c r="J922" s="358" t="str">
        <f t="shared" si="72"/>
        <v>2002AllSexAllEth244</v>
      </c>
      <c r="K922" s="359">
        <v>2002</v>
      </c>
      <c r="L922" t="s">
        <v>17</v>
      </c>
      <c r="M922" t="s">
        <v>27</v>
      </c>
      <c r="N922">
        <v>24</v>
      </c>
      <c r="O922">
        <v>4</v>
      </c>
      <c r="P922">
        <v>32</v>
      </c>
      <c r="Q922">
        <v>20.153107597166301</v>
      </c>
      <c r="R922">
        <v>7</v>
      </c>
      <c r="T922" s="358" t="str">
        <f t="shared" si="73"/>
        <v>2000AllSexNon-Maori25Poisoning by gases and vapours</v>
      </c>
      <c r="U922" s="360">
        <v>2000</v>
      </c>
      <c r="V922" s="360" t="s">
        <v>17</v>
      </c>
      <c r="W922" s="360" t="s">
        <v>19</v>
      </c>
      <c r="X922" s="360">
        <v>25</v>
      </c>
      <c r="Y922" s="360" t="s">
        <v>46</v>
      </c>
      <c r="Z922" s="360">
        <v>8</v>
      </c>
      <c r="AA922" s="360">
        <v>46</v>
      </c>
      <c r="AB922" s="360">
        <v>17.399999999999999</v>
      </c>
    </row>
    <row r="923" spans="1:28" x14ac:dyDescent="0.2">
      <c r="A923" t="str">
        <f t="shared" si="71"/>
        <v>2012FemaleAllEth25</v>
      </c>
      <c r="B923">
        <v>2012</v>
      </c>
      <c r="C923" t="s">
        <v>8</v>
      </c>
      <c r="D923" t="s">
        <v>27</v>
      </c>
      <c r="E923">
        <v>25</v>
      </c>
      <c r="F923">
        <v>14</v>
      </c>
      <c r="G923">
        <v>4.2935565982764397</v>
      </c>
      <c r="H923">
        <v>2.2000000000000002</v>
      </c>
      <c r="J923" s="358" t="str">
        <f t="shared" si="72"/>
        <v>2002AllSexAllEth245</v>
      </c>
      <c r="K923" s="359">
        <v>2002</v>
      </c>
      <c r="L923" t="s">
        <v>17</v>
      </c>
      <c r="M923" t="s">
        <v>27</v>
      </c>
      <c r="N923">
        <v>24</v>
      </c>
      <c r="O923">
        <v>5</v>
      </c>
      <c r="P923">
        <v>15</v>
      </c>
      <c r="Q923">
        <v>10.6117194427929</v>
      </c>
      <c r="R923">
        <v>5.4</v>
      </c>
      <c r="T923" s="358" t="str">
        <f t="shared" si="73"/>
        <v>2000AllSexNon-Maori22Poisoning by solids and liquids</v>
      </c>
      <c r="U923" s="360">
        <v>2000</v>
      </c>
      <c r="V923" s="360" t="s">
        <v>17</v>
      </c>
      <c r="W923" s="360" t="s">
        <v>19</v>
      </c>
      <c r="X923" s="360">
        <v>22</v>
      </c>
      <c r="Y923" s="360" t="s">
        <v>47</v>
      </c>
      <c r="Z923" s="360">
        <v>1</v>
      </c>
      <c r="AA923" s="360">
        <v>68</v>
      </c>
      <c r="AB923" s="360">
        <v>1.5</v>
      </c>
    </row>
    <row r="924" spans="1:28" x14ac:dyDescent="0.2">
      <c r="A924" t="str">
        <f t="shared" si="71"/>
        <v>2012FemaleMaori21</v>
      </c>
      <c r="B924">
        <v>2012</v>
      </c>
      <c r="C924" t="s">
        <v>8</v>
      </c>
      <c r="D924" t="s">
        <v>18</v>
      </c>
      <c r="E924">
        <v>21</v>
      </c>
      <c r="F924">
        <v>3</v>
      </c>
      <c r="J924" s="358" t="str">
        <f t="shared" si="72"/>
        <v>2002AllSexAllEth251</v>
      </c>
      <c r="K924" s="359">
        <v>2002</v>
      </c>
      <c r="L924" t="s">
        <v>17</v>
      </c>
      <c r="M924" t="s">
        <v>27</v>
      </c>
      <c r="N924">
        <v>25</v>
      </c>
      <c r="O924">
        <v>1</v>
      </c>
      <c r="P924">
        <v>9</v>
      </c>
      <c r="Q924">
        <v>10.031060873382501</v>
      </c>
      <c r="R924">
        <v>6.6</v>
      </c>
      <c r="T924" s="358" t="str">
        <f t="shared" si="73"/>
        <v>2000AllSexNon-Maori23Poisoning by solids and liquids</v>
      </c>
      <c r="U924" s="360">
        <v>2000</v>
      </c>
      <c r="V924" s="360" t="s">
        <v>17</v>
      </c>
      <c r="W924" s="360" t="s">
        <v>19</v>
      </c>
      <c r="X924" s="360">
        <v>23</v>
      </c>
      <c r="Y924" s="360" t="s">
        <v>47</v>
      </c>
      <c r="Z924" s="360">
        <v>18</v>
      </c>
      <c r="AA924" s="360">
        <v>169</v>
      </c>
      <c r="AB924" s="360">
        <v>10.7</v>
      </c>
    </row>
    <row r="925" spans="1:28" x14ac:dyDescent="0.2">
      <c r="A925" t="str">
        <f t="shared" si="71"/>
        <v>2012FemaleMaori22</v>
      </c>
      <c r="B925">
        <v>2012</v>
      </c>
      <c r="C925" t="s">
        <v>8</v>
      </c>
      <c r="D925" t="s">
        <v>18</v>
      </c>
      <c r="E925">
        <v>22</v>
      </c>
      <c r="F925">
        <v>24</v>
      </c>
      <c r="G925">
        <v>37.7299166797673</v>
      </c>
      <c r="H925">
        <v>15.1</v>
      </c>
      <c r="J925" s="358" t="str">
        <f t="shared" si="72"/>
        <v>2002AllSexAllEth252</v>
      </c>
      <c r="K925" s="359">
        <v>2002</v>
      </c>
      <c r="L925" t="s">
        <v>17</v>
      </c>
      <c r="M925" t="s">
        <v>27</v>
      </c>
      <c r="N925">
        <v>25</v>
      </c>
      <c r="O925">
        <v>2</v>
      </c>
      <c r="P925">
        <v>10</v>
      </c>
      <c r="Q925">
        <v>10.382246189622601</v>
      </c>
      <c r="R925">
        <v>6.4</v>
      </c>
      <c r="T925" s="358" t="str">
        <f t="shared" si="73"/>
        <v>2000AllSexNon-Maori24Poisoning by solids and liquids</v>
      </c>
      <c r="U925" s="360">
        <v>2000</v>
      </c>
      <c r="V925" s="360" t="s">
        <v>17</v>
      </c>
      <c r="W925" s="360" t="s">
        <v>19</v>
      </c>
      <c r="X925" s="360">
        <v>24</v>
      </c>
      <c r="Y925" s="360" t="s">
        <v>47</v>
      </c>
      <c r="Z925" s="360">
        <v>7</v>
      </c>
      <c r="AA925" s="360">
        <v>93</v>
      </c>
      <c r="AB925" s="360">
        <v>7.5</v>
      </c>
    </row>
    <row r="926" spans="1:28" x14ac:dyDescent="0.2">
      <c r="A926" t="str">
        <f t="shared" si="71"/>
        <v>2012FemaleMaori23</v>
      </c>
      <c r="B926">
        <v>2012</v>
      </c>
      <c r="C926" t="s">
        <v>8</v>
      </c>
      <c r="D926" t="s">
        <v>18</v>
      </c>
      <c r="E926">
        <v>23</v>
      </c>
      <c r="F926">
        <v>9</v>
      </c>
      <c r="G926">
        <v>9.9922282669035205</v>
      </c>
      <c r="H926">
        <v>6.5</v>
      </c>
      <c r="J926" s="358" t="str">
        <f t="shared" si="72"/>
        <v>2002AllSexAllEth253</v>
      </c>
      <c r="K926" s="359">
        <v>2002</v>
      </c>
      <c r="L926" t="s">
        <v>17</v>
      </c>
      <c r="M926" t="s">
        <v>27</v>
      </c>
      <c r="N926">
        <v>25</v>
      </c>
      <c r="O926">
        <v>3</v>
      </c>
      <c r="P926">
        <v>9</v>
      </c>
      <c r="Q926">
        <v>8.9408821425005396</v>
      </c>
      <c r="R926">
        <v>5.8</v>
      </c>
      <c r="T926" s="358" t="str">
        <f t="shared" si="73"/>
        <v>2000AllSexNon-Maori25Poisoning by solids and liquids</v>
      </c>
      <c r="U926" s="360">
        <v>2000</v>
      </c>
      <c r="V926" s="360" t="s">
        <v>17</v>
      </c>
      <c r="W926" s="360" t="s">
        <v>19</v>
      </c>
      <c r="X926" s="360">
        <v>25</v>
      </c>
      <c r="Y926" s="360" t="s">
        <v>47</v>
      </c>
      <c r="Z926" s="360">
        <v>6</v>
      </c>
      <c r="AA926" s="360">
        <v>46</v>
      </c>
      <c r="AB926" s="360">
        <v>13</v>
      </c>
    </row>
    <row r="927" spans="1:28" x14ac:dyDescent="0.2">
      <c r="A927" t="str">
        <f t="shared" si="71"/>
        <v>2012FemaleMaori24</v>
      </c>
      <c r="B927">
        <v>2012</v>
      </c>
      <c r="C927" t="s">
        <v>8</v>
      </c>
      <c r="D927" t="s">
        <v>18</v>
      </c>
      <c r="E927">
        <v>24</v>
      </c>
      <c r="F927">
        <v>1</v>
      </c>
      <c r="G927">
        <v>1.5299877600979199</v>
      </c>
      <c r="H927">
        <v>3</v>
      </c>
      <c r="J927" s="358" t="str">
        <f t="shared" si="72"/>
        <v>2002AllSexAllEth254</v>
      </c>
      <c r="K927" s="359">
        <v>2002</v>
      </c>
      <c r="L927" t="s">
        <v>17</v>
      </c>
      <c r="M927" t="s">
        <v>27</v>
      </c>
      <c r="N927">
        <v>25</v>
      </c>
      <c r="O927">
        <v>4</v>
      </c>
      <c r="P927">
        <v>8</v>
      </c>
      <c r="Q927">
        <v>7.8774510583932802</v>
      </c>
      <c r="R927">
        <v>5.5</v>
      </c>
      <c r="T927" s="358" t="str">
        <f t="shared" si="73"/>
        <v>2000AllSexNon-Maori22Sharp object</v>
      </c>
      <c r="U927" s="360">
        <v>2000</v>
      </c>
      <c r="V927" s="360" t="s">
        <v>17</v>
      </c>
      <c r="W927" s="360" t="s">
        <v>19</v>
      </c>
      <c r="X927" s="360">
        <v>22</v>
      </c>
      <c r="Y927" s="360" t="s">
        <v>48</v>
      </c>
      <c r="Z927" s="360">
        <v>3</v>
      </c>
      <c r="AA927" s="360">
        <v>68</v>
      </c>
      <c r="AB927" s="360">
        <v>4.4000000000000004</v>
      </c>
    </row>
    <row r="928" spans="1:28" x14ac:dyDescent="0.2">
      <c r="A928" t="str">
        <f t="shared" si="71"/>
        <v>2012FemaleMaori25</v>
      </c>
      <c r="B928">
        <v>2012</v>
      </c>
      <c r="C928" t="s">
        <v>8</v>
      </c>
      <c r="D928" t="s">
        <v>18</v>
      </c>
      <c r="E928">
        <v>25</v>
      </c>
      <c r="F928">
        <v>0</v>
      </c>
      <c r="G928">
        <v>0</v>
      </c>
      <c r="J928" s="358" t="str">
        <f t="shared" si="72"/>
        <v>2002AllSexAllEth255</v>
      </c>
      <c r="K928" s="359">
        <v>2002</v>
      </c>
      <c r="L928" t="s">
        <v>17</v>
      </c>
      <c r="M928" t="s">
        <v>27</v>
      </c>
      <c r="N928">
        <v>25</v>
      </c>
      <c r="O928">
        <v>5</v>
      </c>
      <c r="P928">
        <v>11</v>
      </c>
      <c r="Q928">
        <v>13.884823657663199</v>
      </c>
      <c r="R928">
        <v>8.1999999999999993</v>
      </c>
      <c r="T928" s="358" t="str">
        <f t="shared" si="73"/>
        <v>2000AllSexNon-Maori23Sharp object</v>
      </c>
      <c r="U928" s="360">
        <v>2000</v>
      </c>
      <c r="V928" s="360" t="s">
        <v>17</v>
      </c>
      <c r="W928" s="360" t="s">
        <v>19</v>
      </c>
      <c r="X928" s="360">
        <v>23</v>
      </c>
      <c r="Y928" s="360" t="s">
        <v>48</v>
      </c>
      <c r="Z928" s="360">
        <v>3</v>
      </c>
      <c r="AA928" s="360">
        <v>169</v>
      </c>
      <c r="AB928" s="360">
        <v>1.8</v>
      </c>
    </row>
    <row r="929" spans="1:28" x14ac:dyDescent="0.2">
      <c r="A929" t="str">
        <f t="shared" si="71"/>
        <v>2012FemaleNon-Maori21</v>
      </c>
      <c r="B929">
        <v>2012</v>
      </c>
      <c r="C929" t="s">
        <v>8</v>
      </c>
      <c r="D929" t="s">
        <v>19</v>
      </c>
      <c r="E929">
        <v>21</v>
      </c>
      <c r="F929">
        <v>2</v>
      </c>
      <c r="J929" s="358" t="str">
        <f t="shared" si="72"/>
        <v>2002AllSexMaori211</v>
      </c>
      <c r="K929" s="359">
        <v>2002</v>
      </c>
      <c r="L929" t="s">
        <v>17</v>
      </c>
      <c r="M929" t="s">
        <v>18</v>
      </c>
      <c r="N929">
        <v>21</v>
      </c>
      <c r="O929">
        <v>1</v>
      </c>
      <c r="P929">
        <v>0</v>
      </c>
      <c r="T929" s="358" t="str">
        <f t="shared" si="73"/>
        <v>2000AllSexNon-Maori24Sharp object</v>
      </c>
      <c r="U929" s="360">
        <v>2000</v>
      </c>
      <c r="V929" s="360" t="s">
        <v>17</v>
      </c>
      <c r="W929" s="360" t="s">
        <v>19</v>
      </c>
      <c r="X929" s="360">
        <v>24</v>
      </c>
      <c r="Y929" s="360" t="s">
        <v>48</v>
      </c>
      <c r="Z929" s="360">
        <v>3</v>
      </c>
      <c r="AA929" s="360">
        <v>93</v>
      </c>
      <c r="AB929" s="360">
        <v>3.2</v>
      </c>
    </row>
    <row r="930" spans="1:28" x14ac:dyDescent="0.2">
      <c r="A930" t="str">
        <f t="shared" si="71"/>
        <v>2012FemaleNon-Maori22</v>
      </c>
      <c r="B930">
        <v>2012</v>
      </c>
      <c r="C930" t="s">
        <v>8</v>
      </c>
      <c r="D930" t="s">
        <v>19</v>
      </c>
      <c r="E930">
        <v>22</v>
      </c>
      <c r="F930">
        <v>17</v>
      </c>
      <c r="G930">
        <v>6.96407357338905</v>
      </c>
      <c r="H930">
        <v>3.3</v>
      </c>
      <c r="J930" s="358" t="str">
        <f t="shared" si="72"/>
        <v>2002AllSexMaori212</v>
      </c>
      <c r="K930" s="359">
        <v>2002</v>
      </c>
      <c r="L930" t="s">
        <v>17</v>
      </c>
      <c r="M930" t="s">
        <v>18</v>
      </c>
      <c r="N930">
        <v>21</v>
      </c>
      <c r="O930">
        <v>2</v>
      </c>
      <c r="P930">
        <v>0</v>
      </c>
      <c r="T930" s="358" t="str">
        <f t="shared" si="73"/>
        <v>2000AllSexNon-Maori25Sharp object</v>
      </c>
      <c r="U930" s="360">
        <v>2000</v>
      </c>
      <c r="V930" s="360" t="s">
        <v>17</v>
      </c>
      <c r="W930" s="360" t="s">
        <v>19</v>
      </c>
      <c r="X930" s="360">
        <v>25</v>
      </c>
      <c r="Y930" s="360" t="s">
        <v>48</v>
      </c>
      <c r="Z930" s="360">
        <v>2</v>
      </c>
      <c r="AA930" s="360">
        <v>46</v>
      </c>
      <c r="AB930" s="360">
        <v>4.3</v>
      </c>
    </row>
    <row r="931" spans="1:28" x14ac:dyDescent="0.2">
      <c r="A931" t="str">
        <f t="shared" si="71"/>
        <v>2012FemaleNon-Maori23</v>
      </c>
      <c r="B931">
        <v>2012</v>
      </c>
      <c r="C931" t="s">
        <v>8</v>
      </c>
      <c r="D931" t="s">
        <v>19</v>
      </c>
      <c r="E931">
        <v>23</v>
      </c>
      <c r="F931">
        <v>34</v>
      </c>
      <c r="G931">
        <v>6.7010918837951801</v>
      </c>
      <c r="H931">
        <v>2.2999999999999998</v>
      </c>
      <c r="J931" s="358" t="str">
        <f t="shared" si="72"/>
        <v>2002AllSexMaori213</v>
      </c>
      <c r="K931" s="359">
        <v>2002</v>
      </c>
      <c r="L931" t="s">
        <v>17</v>
      </c>
      <c r="M931" t="s">
        <v>18</v>
      </c>
      <c r="N931">
        <v>21</v>
      </c>
      <c r="O931">
        <v>3</v>
      </c>
      <c r="P931">
        <v>0</v>
      </c>
      <c r="T931" s="358" t="str">
        <f t="shared" si="73"/>
        <v>2000AllSexNon-Maori22Submersion (drowning)</v>
      </c>
      <c r="U931" s="360">
        <v>2000</v>
      </c>
      <c r="V931" s="360" t="s">
        <v>17</v>
      </c>
      <c r="W931" s="360" t="s">
        <v>19</v>
      </c>
      <c r="X931" s="360">
        <v>22</v>
      </c>
      <c r="Y931" s="360" t="s">
        <v>49</v>
      </c>
      <c r="Z931" s="360">
        <v>1</v>
      </c>
      <c r="AA931" s="360">
        <v>68</v>
      </c>
      <c r="AB931" s="360">
        <v>1.5</v>
      </c>
    </row>
    <row r="932" spans="1:28" x14ac:dyDescent="0.2">
      <c r="A932" t="str">
        <f t="shared" si="71"/>
        <v>2012FemaleNon-Maori24</v>
      </c>
      <c r="B932">
        <v>2012</v>
      </c>
      <c r="C932" t="s">
        <v>8</v>
      </c>
      <c r="D932" t="s">
        <v>19</v>
      </c>
      <c r="E932">
        <v>24</v>
      </c>
      <c r="F932">
        <v>41</v>
      </c>
      <c r="G932">
        <v>7.9715357844185597</v>
      </c>
      <c r="H932">
        <v>2.4</v>
      </c>
      <c r="J932" s="358" t="str">
        <f t="shared" si="72"/>
        <v>2002AllSexMaori214</v>
      </c>
      <c r="K932" s="359">
        <v>2002</v>
      </c>
      <c r="L932" t="s">
        <v>17</v>
      </c>
      <c r="M932" t="s">
        <v>18</v>
      </c>
      <c r="N932">
        <v>21</v>
      </c>
      <c r="O932">
        <v>4</v>
      </c>
      <c r="P932">
        <v>0</v>
      </c>
      <c r="T932" s="358" t="str">
        <f t="shared" si="73"/>
        <v>2000AllSexNon-Maori23Submersion (drowning)</v>
      </c>
      <c r="U932" s="360">
        <v>2000</v>
      </c>
      <c r="V932" s="360" t="s">
        <v>17</v>
      </c>
      <c r="W932" s="360" t="s">
        <v>19</v>
      </c>
      <c r="X932" s="360">
        <v>23</v>
      </c>
      <c r="Y932" s="360" t="s">
        <v>49</v>
      </c>
      <c r="Z932" s="360">
        <v>7</v>
      </c>
      <c r="AA932" s="360">
        <v>169</v>
      </c>
      <c r="AB932" s="360">
        <v>4.0999999999999996</v>
      </c>
    </row>
    <row r="933" spans="1:28" x14ac:dyDescent="0.2">
      <c r="A933" t="str">
        <f t="shared" si="71"/>
        <v>2012FemaleNon-Maori25</v>
      </c>
      <c r="B933">
        <v>2012</v>
      </c>
      <c r="C933" t="s">
        <v>8</v>
      </c>
      <c r="D933" t="s">
        <v>19</v>
      </c>
      <c r="E933">
        <v>25</v>
      </c>
      <c r="F933">
        <v>14</v>
      </c>
      <c r="G933">
        <v>4.5559569136646196</v>
      </c>
      <c r="H933">
        <v>2.4</v>
      </c>
      <c r="J933" s="358" t="str">
        <f t="shared" si="72"/>
        <v>2002AllSexMaori215</v>
      </c>
      <c r="K933" s="359">
        <v>2002</v>
      </c>
      <c r="L933" t="s">
        <v>17</v>
      </c>
      <c r="M933" t="s">
        <v>18</v>
      </c>
      <c r="N933">
        <v>21</v>
      </c>
      <c r="O933">
        <v>5</v>
      </c>
      <c r="P933">
        <v>0</v>
      </c>
      <c r="T933" s="358" t="str">
        <f t="shared" si="73"/>
        <v>2000AllSexNon-Maori24Submersion (drowning)</v>
      </c>
      <c r="U933" s="360">
        <v>2000</v>
      </c>
      <c r="V933" s="360" t="s">
        <v>17</v>
      </c>
      <c r="W933" s="360" t="s">
        <v>19</v>
      </c>
      <c r="X933" s="360">
        <v>24</v>
      </c>
      <c r="Y933" s="360" t="s">
        <v>49</v>
      </c>
      <c r="Z933" s="360">
        <v>4</v>
      </c>
      <c r="AA933" s="360">
        <v>93</v>
      </c>
      <c r="AB933" s="360">
        <v>4.3</v>
      </c>
    </row>
    <row r="934" spans="1:28" x14ac:dyDescent="0.2">
      <c r="A934" t="str">
        <f t="shared" si="71"/>
        <v>2012MaleAllEth21</v>
      </c>
      <c r="B934">
        <v>2012</v>
      </c>
      <c r="C934" t="s">
        <v>20</v>
      </c>
      <c r="D934" t="s">
        <v>27</v>
      </c>
      <c r="E934">
        <v>21</v>
      </c>
      <c r="F934">
        <v>7</v>
      </c>
      <c r="J934" s="358" t="str">
        <f t="shared" si="72"/>
        <v>2002AllSexMaori221</v>
      </c>
      <c r="K934" s="359">
        <v>2002</v>
      </c>
      <c r="L934" t="s">
        <v>17</v>
      </c>
      <c r="M934" t="s">
        <v>18</v>
      </c>
      <c r="N934">
        <v>22</v>
      </c>
      <c r="O934">
        <v>1</v>
      </c>
      <c r="P934">
        <v>1</v>
      </c>
      <c r="Q934">
        <v>13.244234952307499</v>
      </c>
      <c r="R934">
        <v>26</v>
      </c>
      <c r="T934" s="358" t="str">
        <f t="shared" si="73"/>
        <v>2000AllSexNon-Maori25Submersion (drowning)</v>
      </c>
      <c r="U934" s="360">
        <v>2000</v>
      </c>
      <c r="V934" s="360" t="s">
        <v>17</v>
      </c>
      <c r="W934" s="360" t="s">
        <v>19</v>
      </c>
      <c r="X934" s="360">
        <v>25</v>
      </c>
      <c r="Y934" s="360" t="s">
        <v>49</v>
      </c>
      <c r="Z934" s="360">
        <v>2</v>
      </c>
      <c r="AA934" s="360">
        <v>46</v>
      </c>
      <c r="AB934" s="360">
        <v>4.3</v>
      </c>
    </row>
    <row r="935" spans="1:28" x14ac:dyDescent="0.2">
      <c r="A935" t="str">
        <f t="shared" si="71"/>
        <v>2012MaleAllEth22</v>
      </c>
      <c r="B935">
        <v>2012</v>
      </c>
      <c r="C935" t="s">
        <v>20</v>
      </c>
      <c r="D935" t="s">
        <v>27</v>
      </c>
      <c r="E935">
        <v>22</v>
      </c>
      <c r="F935">
        <v>107</v>
      </c>
      <c r="G935">
        <v>33.785917271866097</v>
      </c>
      <c r="H935">
        <v>6.4</v>
      </c>
      <c r="J935" s="358" t="str">
        <f t="shared" si="72"/>
        <v>2002AllSexMaori222</v>
      </c>
      <c r="K935" s="359">
        <v>2002</v>
      </c>
      <c r="L935" t="s">
        <v>17</v>
      </c>
      <c r="M935" t="s">
        <v>18</v>
      </c>
      <c r="N935">
        <v>22</v>
      </c>
      <c r="O935">
        <v>2</v>
      </c>
      <c r="P935">
        <v>6</v>
      </c>
      <c r="Q935">
        <v>53.449527258224698</v>
      </c>
      <c r="R935">
        <v>42.8</v>
      </c>
      <c r="T935" s="358" t="str">
        <f t="shared" si="73"/>
        <v>2000FemaleAllEth23Firearms and explosives</v>
      </c>
      <c r="U935" s="360">
        <v>2000</v>
      </c>
      <c r="V935" s="360" t="s">
        <v>8</v>
      </c>
      <c r="W935" s="360" t="s">
        <v>27</v>
      </c>
      <c r="X935" s="360">
        <v>23</v>
      </c>
      <c r="Y935" s="360" t="s">
        <v>42</v>
      </c>
      <c r="Z935" s="360">
        <v>1</v>
      </c>
      <c r="AA935" s="360">
        <v>38</v>
      </c>
      <c r="AB935" s="360">
        <v>2.6</v>
      </c>
    </row>
    <row r="936" spans="1:28" x14ac:dyDescent="0.2">
      <c r="A936" t="str">
        <f t="shared" si="71"/>
        <v>2012MaleAllEth23</v>
      </c>
      <c r="B936">
        <v>2012</v>
      </c>
      <c r="C936" t="s">
        <v>20</v>
      </c>
      <c r="D936" t="s">
        <v>27</v>
      </c>
      <c r="E936">
        <v>23</v>
      </c>
      <c r="F936">
        <v>143</v>
      </c>
      <c r="G936">
        <v>26.0701524101218</v>
      </c>
      <c r="H936">
        <v>4.3</v>
      </c>
      <c r="J936" s="358" t="str">
        <f t="shared" si="72"/>
        <v>2002AllSexMaori223</v>
      </c>
      <c r="K936" s="359">
        <v>2002</v>
      </c>
      <c r="L936" t="s">
        <v>17</v>
      </c>
      <c r="M936" t="s">
        <v>18</v>
      </c>
      <c r="N936">
        <v>22</v>
      </c>
      <c r="O936">
        <v>3</v>
      </c>
      <c r="P936">
        <v>2</v>
      </c>
      <c r="Q936">
        <v>11.736505205757901</v>
      </c>
      <c r="R936">
        <v>16.3</v>
      </c>
      <c r="T936" s="358" t="str">
        <f t="shared" si="73"/>
        <v>2000FemaleAllEth24Firearms and explosives</v>
      </c>
      <c r="U936" s="360">
        <v>2000</v>
      </c>
      <c r="V936" s="360" t="s">
        <v>8</v>
      </c>
      <c r="W936" s="360" t="s">
        <v>27</v>
      </c>
      <c r="X936" s="360">
        <v>24</v>
      </c>
      <c r="Y936" s="360" t="s">
        <v>42</v>
      </c>
      <c r="Z936" s="360">
        <v>1</v>
      </c>
      <c r="AA936" s="360">
        <v>23</v>
      </c>
      <c r="AB936" s="360">
        <v>4.3</v>
      </c>
    </row>
    <row r="937" spans="1:28" x14ac:dyDescent="0.2">
      <c r="A937" t="str">
        <f t="shared" si="71"/>
        <v>2012MaleAllEth24</v>
      </c>
      <c r="B937">
        <v>2012</v>
      </c>
      <c r="C937" t="s">
        <v>20</v>
      </c>
      <c r="D937" t="s">
        <v>27</v>
      </c>
      <c r="E937">
        <v>24</v>
      </c>
      <c r="F937">
        <v>105</v>
      </c>
      <c r="G937">
        <v>19.170029028901101</v>
      </c>
      <c r="H937">
        <v>3.7</v>
      </c>
      <c r="J937" s="358" t="str">
        <f t="shared" si="72"/>
        <v>2002AllSexMaori224</v>
      </c>
      <c r="K937" s="359">
        <v>2002</v>
      </c>
      <c r="L937" t="s">
        <v>17</v>
      </c>
      <c r="M937" t="s">
        <v>18</v>
      </c>
      <c r="N937">
        <v>22</v>
      </c>
      <c r="O937">
        <v>4</v>
      </c>
      <c r="P937">
        <v>7</v>
      </c>
      <c r="Q937">
        <v>27.6964512427516</v>
      </c>
      <c r="R937">
        <v>20.5</v>
      </c>
      <c r="T937" s="358" t="str">
        <f t="shared" si="73"/>
        <v>2000FemaleAllEth21Hanging, strangulation and suffocation</v>
      </c>
      <c r="U937" s="360">
        <v>2000</v>
      </c>
      <c r="V937" s="360" t="s">
        <v>8</v>
      </c>
      <c r="W937" s="360" t="s">
        <v>27</v>
      </c>
      <c r="X937" s="360">
        <v>21</v>
      </c>
      <c r="Y937" s="360" t="s">
        <v>43</v>
      </c>
      <c r="Z937" s="360">
        <v>1</v>
      </c>
      <c r="AA937" s="360">
        <v>1</v>
      </c>
      <c r="AB937" s="360">
        <v>100</v>
      </c>
    </row>
    <row r="938" spans="1:28" x14ac:dyDescent="0.2">
      <c r="A938" t="str">
        <f t="shared" si="71"/>
        <v>2012MaleAllEth25</v>
      </c>
      <c r="B938">
        <v>2012</v>
      </c>
      <c r="C938" t="s">
        <v>20</v>
      </c>
      <c r="D938" t="s">
        <v>27</v>
      </c>
      <c r="E938">
        <v>25</v>
      </c>
      <c r="F938">
        <v>43</v>
      </c>
      <c r="G938">
        <v>15.527389593038</v>
      </c>
      <c r="H938">
        <v>4.5999999999999996</v>
      </c>
      <c r="J938" s="358" t="str">
        <f t="shared" si="72"/>
        <v>2002AllSexMaori225</v>
      </c>
      <c r="K938" s="359">
        <v>2002</v>
      </c>
      <c r="L938" t="s">
        <v>17</v>
      </c>
      <c r="M938" t="s">
        <v>18</v>
      </c>
      <c r="N938">
        <v>22</v>
      </c>
      <c r="O938">
        <v>5</v>
      </c>
      <c r="P938">
        <v>12</v>
      </c>
      <c r="Q938">
        <v>26.9668027416296</v>
      </c>
      <c r="R938">
        <v>15.3</v>
      </c>
      <c r="T938" s="358" t="str">
        <f t="shared" si="73"/>
        <v>2000FemaleAllEth22Hanging, strangulation and suffocation</v>
      </c>
      <c r="U938" s="360">
        <v>2000</v>
      </c>
      <c r="V938" s="360" t="s">
        <v>8</v>
      </c>
      <c r="W938" s="360" t="s">
        <v>27</v>
      </c>
      <c r="X938" s="360">
        <v>22</v>
      </c>
      <c r="Y938" s="360" t="s">
        <v>43</v>
      </c>
      <c r="Z938" s="360">
        <v>7</v>
      </c>
      <c r="AA938" s="360">
        <v>15</v>
      </c>
      <c r="AB938" s="360">
        <v>46.7</v>
      </c>
    </row>
    <row r="939" spans="1:28" x14ac:dyDescent="0.2">
      <c r="A939" t="str">
        <f t="shared" si="71"/>
        <v>2012MaleMaori21</v>
      </c>
      <c r="B939">
        <v>2012</v>
      </c>
      <c r="C939" t="s">
        <v>20</v>
      </c>
      <c r="D939" t="s">
        <v>18</v>
      </c>
      <c r="E939">
        <v>21</v>
      </c>
      <c r="F939">
        <v>5</v>
      </c>
      <c r="J939" s="358" t="str">
        <f t="shared" si="72"/>
        <v>2002AllSexMaori231</v>
      </c>
      <c r="K939" s="359">
        <v>2002</v>
      </c>
      <c r="L939" t="s">
        <v>17</v>
      </c>
      <c r="M939" t="s">
        <v>18</v>
      </c>
      <c r="N939">
        <v>23</v>
      </c>
      <c r="O939">
        <v>1</v>
      </c>
      <c r="P939">
        <v>4</v>
      </c>
      <c r="Q939">
        <v>28.774792816045299</v>
      </c>
      <c r="R939">
        <v>28.2</v>
      </c>
      <c r="T939" s="358" t="str">
        <f t="shared" si="73"/>
        <v>2000FemaleAllEth23Hanging, strangulation and suffocation</v>
      </c>
      <c r="U939" s="360">
        <v>2000</v>
      </c>
      <c r="V939" s="360" t="s">
        <v>8</v>
      </c>
      <c r="W939" s="360" t="s">
        <v>27</v>
      </c>
      <c r="X939" s="360">
        <v>23</v>
      </c>
      <c r="Y939" s="360" t="s">
        <v>43</v>
      </c>
      <c r="Z939" s="360">
        <v>13</v>
      </c>
      <c r="AA939" s="360">
        <v>38</v>
      </c>
      <c r="AB939" s="360">
        <v>34.200000000000003</v>
      </c>
    </row>
    <row r="940" spans="1:28" x14ac:dyDescent="0.2">
      <c r="A940" t="str">
        <f t="shared" si="71"/>
        <v>2012MaleMaori22</v>
      </c>
      <c r="B940">
        <v>2012</v>
      </c>
      <c r="C940" t="s">
        <v>20</v>
      </c>
      <c r="D940" t="s">
        <v>18</v>
      </c>
      <c r="E940">
        <v>22</v>
      </c>
      <c r="F940">
        <v>37</v>
      </c>
      <c r="G940">
        <v>59.247397918334698</v>
      </c>
      <c r="H940">
        <v>19.100000000000001</v>
      </c>
      <c r="J940" s="358" t="str">
        <f t="shared" si="72"/>
        <v>2002AllSexMaori232</v>
      </c>
      <c r="K940" s="359">
        <v>2002</v>
      </c>
      <c r="L940" t="s">
        <v>17</v>
      </c>
      <c r="M940" t="s">
        <v>18</v>
      </c>
      <c r="N940">
        <v>23</v>
      </c>
      <c r="O940">
        <v>2</v>
      </c>
      <c r="P940">
        <v>1</v>
      </c>
      <c r="Q940">
        <v>4.9430695815657604</v>
      </c>
      <c r="R940">
        <v>9.6999999999999993</v>
      </c>
      <c r="T940" s="358" t="str">
        <f t="shared" si="73"/>
        <v>2000FemaleAllEth24Hanging, strangulation and suffocation</v>
      </c>
      <c r="U940" s="360">
        <v>2000</v>
      </c>
      <c r="V940" s="360" t="s">
        <v>8</v>
      </c>
      <c r="W940" s="360" t="s">
        <v>27</v>
      </c>
      <c r="X940" s="360">
        <v>24</v>
      </c>
      <c r="Y940" s="360" t="s">
        <v>43</v>
      </c>
      <c r="Z940" s="360">
        <v>7</v>
      </c>
      <c r="AA940" s="360">
        <v>23</v>
      </c>
      <c r="AB940" s="360">
        <v>30.4</v>
      </c>
    </row>
    <row r="941" spans="1:28" x14ac:dyDescent="0.2">
      <c r="A941" t="str">
        <f t="shared" si="71"/>
        <v>2012MaleMaori23</v>
      </c>
      <c r="B941">
        <v>2012</v>
      </c>
      <c r="C941" t="s">
        <v>20</v>
      </c>
      <c r="D941" t="s">
        <v>18</v>
      </c>
      <c r="E941">
        <v>23</v>
      </c>
      <c r="F941">
        <v>30</v>
      </c>
      <c r="G941">
        <v>38.669760247486501</v>
      </c>
      <c r="H941">
        <v>13.8</v>
      </c>
      <c r="J941" s="358" t="str">
        <f t="shared" si="72"/>
        <v>2002AllSexMaori233</v>
      </c>
      <c r="K941" s="359">
        <v>2002</v>
      </c>
      <c r="L941" t="s">
        <v>17</v>
      </c>
      <c r="M941" t="s">
        <v>18</v>
      </c>
      <c r="N941">
        <v>23</v>
      </c>
      <c r="O941">
        <v>3</v>
      </c>
      <c r="P941">
        <v>4</v>
      </c>
      <c r="Q941">
        <v>14.135907328295501</v>
      </c>
      <c r="R941">
        <v>13.9</v>
      </c>
      <c r="T941" s="358" t="str">
        <f t="shared" si="73"/>
        <v>2000FemaleAllEth25Hanging, strangulation and suffocation</v>
      </c>
      <c r="U941" s="360">
        <v>2000</v>
      </c>
      <c r="V941" s="360" t="s">
        <v>8</v>
      </c>
      <c r="W941" s="360" t="s">
        <v>27</v>
      </c>
      <c r="X941" s="360">
        <v>25</v>
      </c>
      <c r="Y941" s="360" t="s">
        <v>43</v>
      </c>
      <c r="Z941" s="360">
        <v>1</v>
      </c>
      <c r="AA941" s="360">
        <v>6</v>
      </c>
      <c r="AB941" s="360">
        <v>16.7</v>
      </c>
    </row>
    <row r="942" spans="1:28" x14ac:dyDescent="0.2">
      <c r="A942" t="str">
        <f t="shared" si="71"/>
        <v>2012MaleMaori24</v>
      </c>
      <c r="B942">
        <v>2012</v>
      </c>
      <c r="C942" t="s">
        <v>20</v>
      </c>
      <c r="D942" t="s">
        <v>18</v>
      </c>
      <c r="E942">
        <v>24</v>
      </c>
      <c r="F942">
        <v>9</v>
      </c>
      <c r="G942">
        <v>15.442690459849</v>
      </c>
      <c r="H942">
        <v>10.1</v>
      </c>
      <c r="J942" s="358" t="str">
        <f t="shared" si="72"/>
        <v>2002AllSexMaori234</v>
      </c>
      <c r="K942" s="359">
        <v>2002</v>
      </c>
      <c r="L942" t="s">
        <v>17</v>
      </c>
      <c r="M942" t="s">
        <v>18</v>
      </c>
      <c r="N942">
        <v>23</v>
      </c>
      <c r="O942">
        <v>4</v>
      </c>
      <c r="P942">
        <v>8</v>
      </c>
      <c r="Q942">
        <v>19.769475359918001</v>
      </c>
      <c r="R942">
        <v>13.7</v>
      </c>
      <c r="T942" s="358" t="str">
        <f t="shared" si="73"/>
        <v>2000FemaleAllEth22Jumping from a high place</v>
      </c>
      <c r="U942" s="360">
        <v>2000</v>
      </c>
      <c r="V942" s="360" t="s">
        <v>8</v>
      </c>
      <c r="W942" s="360" t="s">
        <v>27</v>
      </c>
      <c r="X942" s="360">
        <v>22</v>
      </c>
      <c r="Y942" s="360" t="s">
        <v>44</v>
      </c>
      <c r="Z942" s="360">
        <v>1</v>
      </c>
      <c r="AA942" s="360">
        <v>15</v>
      </c>
      <c r="AB942" s="360">
        <v>6.7</v>
      </c>
    </row>
    <row r="943" spans="1:28" x14ac:dyDescent="0.2">
      <c r="A943" t="str">
        <f t="shared" si="71"/>
        <v>2012MaleMaori25</v>
      </c>
      <c r="B943">
        <v>2012</v>
      </c>
      <c r="C943" t="s">
        <v>20</v>
      </c>
      <c r="D943" t="s">
        <v>18</v>
      </c>
      <c r="E943">
        <v>25</v>
      </c>
      <c r="F943">
        <v>1</v>
      </c>
      <c r="G943">
        <v>6.4184852374839503</v>
      </c>
      <c r="H943">
        <v>12.6</v>
      </c>
      <c r="J943" s="358" t="str">
        <f t="shared" si="72"/>
        <v>2002AllSexMaori235</v>
      </c>
      <c r="K943" s="359">
        <v>2002</v>
      </c>
      <c r="L943" t="s">
        <v>17</v>
      </c>
      <c r="M943" t="s">
        <v>18</v>
      </c>
      <c r="N943">
        <v>23</v>
      </c>
      <c r="O943">
        <v>5</v>
      </c>
      <c r="P943">
        <v>19</v>
      </c>
      <c r="Q943">
        <v>28.5347662922137</v>
      </c>
      <c r="R943">
        <v>12.8</v>
      </c>
      <c r="T943" s="358" t="str">
        <f t="shared" si="73"/>
        <v>2000FemaleAllEth23Jumping from a high place</v>
      </c>
      <c r="U943" s="360">
        <v>2000</v>
      </c>
      <c r="V943" s="360" t="s">
        <v>8</v>
      </c>
      <c r="W943" s="360" t="s">
        <v>27</v>
      </c>
      <c r="X943" s="360">
        <v>23</v>
      </c>
      <c r="Y943" s="360" t="s">
        <v>44</v>
      </c>
      <c r="Z943" s="360">
        <v>1</v>
      </c>
      <c r="AA943" s="360">
        <v>38</v>
      </c>
      <c r="AB943" s="360">
        <v>2.6</v>
      </c>
    </row>
    <row r="944" spans="1:28" x14ac:dyDescent="0.2">
      <c r="A944" t="str">
        <f t="shared" si="71"/>
        <v>2012MaleNon-Maori21</v>
      </c>
      <c r="B944">
        <v>2012</v>
      </c>
      <c r="C944" t="s">
        <v>20</v>
      </c>
      <c r="D944" t="s">
        <v>19</v>
      </c>
      <c r="E944">
        <v>21</v>
      </c>
      <c r="F944">
        <v>2</v>
      </c>
      <c r="J944" s="358" t="str">
        <f t="shared" si="72"/>
        <v>2002AllSexMaori241</v>
      </c>
      <c r="K944" s="359">
        <v>2002</v>
      </c>
      <c r="L944" t="s">
        <v>17</v>
      </c>
      <c r="M944" t="s">
        <v>18</v>
      </c>
      <c r="N944">
        <v>24</v>
      </c>
      <c r="O944">
        <v>1</v>
      </c>
      <c r="P944">
        <v>0</v>
      </c>
      <c r="Q944">
        <v>0</v>
      </c>
      <c r="T944" s="358" t="str">
        <f t="shared" si="73"/>
        <v>2000FemaleAllEth24Jumping from a high place</v>
      </c>
      <c r="U944" s="360">
        <v>2000</v>
      </c>
      <c r="V944" s="360" t="s">
        <v>8</v>
      </c>
      <c r="W944" s="360" t="s">
        <v>27</v>
      </c>
      <c r="X944" s="360">
        <v>24</v>
      </c>
      <c r="Y944" s="360" t="s">
        <v>44</v>
      </c>
      <c r="Z944" s="360">
        <v>3</v>
      </c>
      <c r="AA944" s="360">
        <v>23</v>
      </c>
      <c r="AB944" s="360">
        <v>13</v>
      </c>
    </row>
    <row r="945" spans="1:28" x14ac:dyDescent="0.2">
      <c r="A945" t="str">
        <f t="shared" si="71"/>
        <v>2012MaleNon-Maori22</v>
      </c>
      <c r="B945">
        <v>2012</v>
      </c>
      <c r="C945" t="s">
        <v>20</v>
      </c>
      <c r="D945" t="s">
        <v>19</v>
      </c>
      <c r="E945">
        <v>22</v>
      </c>
      <c r="F945">
        <v>70</v>
      </c>
      <c r="G945">
        <v>27.5319567354966</v>
      </c>
      <c r="H945">
        <v>6.4</v>
      </c>
      <c r="J945" s="358" t="str">
        <f t="shared" si="72"/>
        <v>2002AllSexMaori242</v>
      </c>
      <c r="K945" s="359">
        <v>2002</v>
      </c>
      <c r="L945" t="s">
        <v>17</v>
      </c>
      <c r="M945" t="s">
        <v>18</v>
      </c>
      <c r="N945">
        <v>24</v>
      </c>
      <c r="O945">
        <v>2</v>
      </c>
      <c r="P945">
        <v>1</v>
      </c>
      <c r="Q945">
        <v>10.7113875235144</v>
      </c>
      <c r="R945">
        <v>21</v>
      </c>
      <c r="T945" s="358" t="str">
        <f t="shared" si="73"/>
        <v>2000FemaleAllEth23Other</v>
      </c>
      <c r="U945" s="360">
        <v>2000</v>
      </c>
      <c r="V945" s="360" t="s">
        <v>8</v>
      </c>
      <c r="W945" s="360" t="s">
        <v>27</v>
      </c>
      <c r="X945" s="360">
        <v>23</v>
      </c>
      <c r="Y945" s="360" t="s">
        <v>45</v>
      </c>
      <c r="Z945" s="360">
        <v>1</v>
      </c>
      <c r="AA945" s="360">
        <v>38</v>
      </c>
      <c r="AB945" s="360">
        <v>2.6</v>
      </c>
    </row>
    <row r="946" spans="1:28" x14ac:dyDescent="0.2">
      <c r="A946" t="str">
        <f t="shared" si="71"/>
        <v>2012MaleNon-Maori23</v>
      </c>
      <c r="B946">
        <v>2012</v>
      </c>
      <c r="C946" t="s">
        <v>20</v>
      </c>
      <c r="D946" t="s">
        <v>19</v>
      </c>
      <c r="E946">
        <v>23</v>
      </c>
      <c r="F946">
        <v>113</v>
      </c>
      <c r="G946">
        <v>23.994564063362599</v>
      </c>
      <c r="H946">
        <v>4.4000000000000004</v>
      </c>
      <c r="J946" s="358" t="str">
        <f t="shared" si="72"/>
        <v>2002AllSexMaori243</v>
      </c>
      <c r="K946" s="359">
        <v>2002</v>
      </c>
      <c r="L946" t="s">
        <v>17</v>
      </c>
      <c r="M946" t="s">
        <v>18</v>
      </c>
      <c r="N946">
        <v>24</v>
      </c>
      <c r="O946">
        <v>3</v>
      </c>
      <c r="P946">
        <v>0</v>
      </c>
      <c r="Q946">
        <v>0</v>
      </c>
      <c r="T946" s="358" t="str">
        <f t="shared" si="73"/>
        <v>2000FemaleAllEth24Other</v>
      </c>
      <c r="U946" s="360">
        <v>2000</v>
      </c>
      <c r="V946" s="360" t="s">
        <v>8</v>
      </c>
      <c r="W946" s="360" t="s">
        <v>27</v>
      </c>
      <c r="X946" s="360">
        <v>24</v>
      </c>
      <c r="Y946" s="360" t="s">
        <v>45</v>
      </c>
      <c r="Z946" s="360">
        <v>1</v>
      </c>
      <c r="AA946" s="360">
        <v>23</v>
      </c>
      <c r="AB946" s="360">
        <v>4.3</v>
      </c>
    </row>
    <row r="947" spans="1:28" x14ac:dyDescent="0.2">
      <c r="A947" t="str">
        <f t="shared" si="71"/>
        <v>2012MaleNon-Maori24</v>
      </c>
      <c r="B947">
        <v>2012</v>
      </c>
      <c r="C947" t="s">
        <v>20</v>
      </c>
      <c r="D947" t="s">
        <v>19</v>
      </c>
      <c r="E947">
        <v>24</v>
      </c>
      <c r="F947">
        <v>96</v>
      </c>
      <c r="G947">
        <v>19.613852283175</v>
      </c>
      <c r="H947">
        <v>3.9</v>
      </c>
      <c r="J947" s="358" t="str">
        <f t="shared" si="72"/>
        <v>2002AllSexMaori244</v>
      </c>
      <c r="K947" s="359">
        <v>2002</v>
      </c>
      <c r="L947" t="s">
        <v>17</v>
      </c>
      <c r="M947" t="s">
        <v>18</v>
      </c>
      <c r="N947">
        <v>24</v>
      </c>
      <c r="O947">
        <v>4</v>
      </c>
      <c r="P947">
        <v>5</v>
      </c>
      <c r="Q947">
        <v>26.458234648277301</v>
      </c>
      <c r="R947">
        <v>23.2</v>
      </c>
      <c r="T947" s="358" t="str">
        <f t="shared" si="73"/>
        <v>2000FemaleAllEth22Poisoning by gases and vapours</v>
      </c>
      <c r="U947" s="360">
        <v>2000</v>
      </c>
      <c r="V947" s="360" t="s">
        <v>8</v>
      </c>
      <c r="W947" s="360" t="s">
        <v>27</v>
      </c>
      <c r="X947" s="360">
        <v>22</v>
      </c>
      <c r="Y947" s="360" t="s">
        <v>46</v>
      </c>
      <c r="Z947" s="360">
        <v>4</v>
      </c>
      <c r="AA947" s="360">
        <v>15</v>
      </c>
      <c r="AB947" s="360">
        <v>26.7</v>
      </c>
    </row>
    <row r="948" spans="1:28" x14ac:dyDescent="0.2">
      <c r="A948" t="str">
        <f t="shared" si="71"/>
        <v>2012MaleNon-Maori25</v>
      </c>
      <c r="B948">
        <v>2012</v>
      </c>
      <c r="C948" t="s">
        <v>20</v>
      </c>
      <c r="D948" t="s">
        <v>19</v>
      </c>
      <c r="E948">
        <v>25</v>
      </c>
      <c r="F948">
        <v>42</v>
      </c>
      <c r="G948">
        <v>16.070403673235099</v>
      </c>
      <c r="H948">
        <v>4.9000000000000004</v>
      </c>
      <c r="J948" s="358" t="str">
        <f t="shared" si="72"/>
        <v>2002AllSexMaori245</v>
      </c>
      <c r="K948" s="359">
        <v>2002</v>
      </c>
      <c r="L948" t="s">
        <v>17</v>
      </c>
      <c r="M948" t="s">
        <v>18</v>
      </c>
      <c r="N948">
        <v>24</v>
      </c>
      <c r="O948">
        <v>5</v>
      </c>
      <c r="P948">
        <v>1</v>
      </c>
      <c r="Q948">
        <v>2.98451228702007</v>
      </c>
      <c r="R948">
        <v>5.8</v>
      </c>
      <c r="T948" s="358" t="str">
        <f t="shared" si="73"/>
        <v>2000FemaleAllEth23Poisoning by gases and vapours</v>
      </c>
      <c r="U948" s="360">
        <v>2000</v>
      </c>
      <c r="V948" s="360" t="s">
        <v>8</v>
      </c>
      <c r="W948" s="360" t="s">
        <v>27</v>
      </c>
      <c r="X948" s="360">
        <v>23</v>
      </c>
      <c r="Y948" s="360" t="s">
        <v>46</v>
      </c>
      <c r="Z948" s="360">
        <v>9</v>
      </c>
      <c r="AA948" s="360">
        <v>38</v>
      </c>
      <c r="AB948" s="360">
        <v>23.7</v>
      </c>
    </row>
    <row r="949" spans="1:28" x14ac:dyDescent="0.2">
      <c r="A949" t="str">
        <f t="shared" si="71"/>
        <v>2013AllSexAllEth21</v>
      </c>
      <c r="B949">
        <v>2013</v>
      </c>
      <c r="C949" t="s">
        <v>17</v>
      </c>
      <c r="D949" t="s">
        <v>27</v>
      </c>
      <c r="E949">
        <v>21</v>
      </c>
      <c r="F949">
        <v>2</v>
      </c>
      <c r="J949" s="358" t="str">
        <f t="shared" si="72"/>
        <v>2002AllSexMaori251</v>
      </c>
      <c r="K949" s="359">
        <v>2002</v>
      </c>
      <c r="L949" t="s">
        <v>17</v>
      </c>
      <c r="M949" t="s">
        <v>18</v>
      </c>
      <c r="N949">
        <v>25</v>
      </c>
      <c r="O949">
        <v>1</v>
      </c>
      <c r="P949">
        <v>0</v>
      </c>
      <c r="Q949">
        <v>0</v>
      </c>
      <c r="T949" s="358" t="str">
        <f t="shared" si="73"/>
        <v>2000FemaleAllEth24Poisoning by gases and vapours</v>
      </c>
      <c r="U949" s="360">
        <v>2000</v>
      </c>
      <c r="V949" s="360" t="s">
        <v>8</v>
      </c>
      <c r="W949" s="360" t="s">
        <v>27</v>
      </c>
      <c r="X949" s="360">
        <v>24</v>
      </c>
      <c r="Y949" s="360" t="s">
        <v>46</v>
      </c>
      <c r="Z949" s="360">
        <v>10</v>
      </c>
      <c r="AA949" s="360">
        <v>23</v>
      </c>
      <c r="AB949" s="360">
        <v>43.5</v>
      </c>
    </row>
    <row r="950" spans="1:28" x14ac:dyDescent="0.2">
      <c r="A950" t="str">
        <f t="shared" si="71"/>
        <v>2013AllSexAllEth22</v>
      </c>
      <c r="B950">
        <v>2013</v>
      </c>
      <c r="C950" t="s">
        <v>17</v>
      </c>
      <c r="D950" t="s">
        <v>27</v>
      </c>
      <c r="E950">
        <v>22</v>
      </c>
      <c r="F950">
        <v>112</v>
      </c>
      <c r="G950">
        <v>17.8187892769072</v>
      </c>
      <c r="H950">
        <v>3.3</v>
      </c>
      <c r="J950" s="358" t="str">
        <f t="shared" si="72"/>
        <v>2002AllSexMaori252</v>
      </c>
      <c r="K950" s="359">
        <v>2002</v>
      </c>
      <c r="L950" t="s">
        <v>17</v>
      </c>
      <c r="M950" t="s">
        <v>18</v>
      </c>
      <c r="N950">
        <v>25</v>
      </c>
      <c r="O950">
        <v>2</v>
      </c>
      <c r="P950">
        <v>0</v>
      </c>
      <c r="Q950">
        <v>0</v>
      </c>
      <c r="T950" s="358" t="str">
        <f t="shared" si="73"/>
        <v>2000FemaleAllEth25Poisoning by gases and vapours</v>
      </c>
      <c r="U950" s="360">
        <v>2000</v>
      </c>
      <c r="V950" s="360" t="s">
        <v>8</v>
      </c>
      <c r="W950" s="360" t="s">
        <v>27</v>
      </c>
      <c r="X950" s="360">
        <v>25</v>
      </c>
      <c r="Y950" s="360" t="s">
        <v>46</v>
      </c>
      <c r="Z950" s="360">
        <v>1</v>
      </c>
      <c r="AA950" s="360">
        <v>6</v>
      </c>
      <c r="AB950" s="360">
        <v>16.7</v>
      </c>
    </row>
    <row r="951" spans="1:28" x14ac:dyDescent="0.2">
      <c r="A951" t="str">
        <f t="shared" si="71"/>
        <v>2013AllSexAllEth23</v>
      </c>
      <c r="B951">
        <v>2013</v>
      </c>
      <c r="C951" t="s">
        <v>17</v>
      </c>
      <c r="D951" t="s">
        <v>27</v>
      </c>
      <c r="E951">
        <v>23</v>
      </c>
      <c r="F951">
        <v>161</v>
      </c>
      <c r="G951">
        <v>14.073795641494099</v>
      </c>
      <c r="H951">
        <v>2.2000000000000002</v>
      </c>
      <c r="J951" s="358" t="str">
        <f t="shared" si="72"/>
        <v>2002AllSexMaori253</v>
      </c>
      <c r="K951" s="359">
        <v>2002</v>
      </c>
      <c r="L951" t="s">
        <v>17</v>
      </c>
      <c r="M951" t="s">
        <v>18</v>
      </c>
      <c r="N951">
        <v>25</v>
      </c>
      <c r="O951">
        <v>3</v>
      </c>
      <c r="P951">
        <v>0</v>
      </c>
      <c r="Q951">
        <v>0</v>
      </c>
      <c r="T951" s="358" t="str">
        <f t="shared" si="73"/>
        <v>2000FemaleAllEth22Poisoning by solids and liquids</v>
      </c>
      <c r="U951" s="360">
        <v>2000</v>
      </c>
      <c r="V951" s="360" t="s">
        <v>8</v>
      </c>
      <c r="W951" s="360" t="s">
        <v>27</v>
      </c>
      <c r="X951" s="360">
        <v>22</v>
      </c>
      <c r="Y951" s="360" t="s">
        <v>47</v>
      </c>
      <c r="Z951" s="360">
        <v>2</v>
      </c>
      <c r="AA951" s="360">
        <v>15</v>
      </c>
      <c r="AB951" s="360">
        <v>13.3</v>
      </c>
    </row>
    <row r="952" spans="1:28" x14ac:dyDescent="0.2">
      <c r="A952" t="str">
        <f t="shared" si="71"/>
        <v>2013AllSexAllEth24</v>
      </c>
      <c r="B952">
        <v>2013</v>
      </c>
      <c r="C952" t="s">
        <v>17</v>
      </c>
      <c r="D952" t="s">
        <v>27</v>
      </c>
      <c r="E952">
        <v>24</v>
      </c>
      <c r="F952">
        <v>183</v>
      </c>
      <c r="G952">
        <v>16.0695468914647</v>
      </c>
      <c r="H952">
        <v>2.2999999999999998</v>
      </c>
      <c r="J952" s="358" t="str">
        <f t="shared" si="72"/>
        <v>2002AllSexMaori254</v>
      </c>
      <c r="K952" s="359">
        <v>2002</v>
      </c>
      <c r="L952" t="s">
        <v>17</v>
      </c>
      <c r="M952" t="s">
        <v>18</v>
      </c>
      <c r="N952">
        <v>25</v>
      </c>
      <c r="O952">
        <v>4</v>
      </c>
      <c r="P952">
        <v>0</v>
      </c>
      <c r="Q952">
        <v>0</v>
      </c>
      <c r="T952" s="358" t="str">
        <f t="shared" si="73"/>
        <v>2000FemaleAllEth23Poisoning by solids and liquids</v>
      </c>
      <c r="U952" s="360">
        <v>2000</v>
      </c>
      <c r="V952" s="360" t="s">
        <v>8</v>
      </c>
      <c r="W952" s="360" t="s">
        <v>27</v>
      </c>
      <c r="X952" s="360">
        <v>23</v>
      </c>
      <c r="Y952" s="360" t="s">
        <v>47</v>
      </c>
      <c r="Z952" s="360">
        <v>10</v>
      </c>
      <c r="AA952" s="360">
        <v>38</v>
      </c>
      <c r="AB952" s="360">
        <v>26.3</v>
      </c>
    </row>
    <row r="953" spans="1:28" x14ac:dyDescent="0.2">
      <c r="A953" t="str">
        <f t="shared" si="71"/>
        <v>2013AllSexAllEth25</v>
      </c>
      <c r="B953">
        <v>2013</v>
      </c>
      <c r="C953" t="s">
        <v>17</v>
      </c>
      <c r="D953" t="s">
        <v>27</v>
      </c>
      <c r="E953">
        <v>25</v>
      </c>
      <c r="F953">
        <v>56</v>
      </c>
      <c r="G953">
        <v>8.9415446518385995</v>
      </c>
      <c r="H953">
        <v>2.2999999999999998</v>
      </c>
      <c r="J953" s="358" t="str">
        <f t="shared" si="72"/>
        <v>2002AllSexMaori255</v>
      </c>
      <c r="K953" s="359">
        <v>2002</v>
      </c>
      <c r="L953" t="s">
        <v>17</v>
      </c>
      <c r="M953" t="s">
        <v>18</v>
      </c>
      <c r="N953">
        <v>25</v>
      </c>
      <c r="O953">
        <v>5</v>
      </c>
      <c r="P953">
        <v>0</v>
      </c>
      <c r="Q953">
        <v>0</v>
      </c>
      <c r="T953" s="358" t="str">
        <f t="shared" si="73"/>
        <v>2000FemaleAllEth24Poisoning by solids and liquids</v>
      </c>
      <c r="U953" s="360">
        <v>2000</v>
      </c>
      <c r="V953" s="360" t="s">
        <v>8</v>
      </c>
      <c r="W953" s="360" t="s">
        <v>27</v>
      </c>
      <c r="X953" s="360">
        <v>24</v>
      </c>
      <c r="Y953" s="360" t="s">
        <v>47</v>
      </c>
      <c r="Z953" s="360">
        <v>1</v>
      </c>
      <c r="AA953" s="360">
        <v>23</v>
      </c>
      <c r="AB953" s="360">
        <v>4.3</v>
      </c>
    </row>
    <row r="954" spans="1:28" x14ac:dyDescent="0.2">
      <c r="A954" t="str">
        <f t="shared" si="71"/>
        <v>2013AllSexMaori21</v>
      </c>
      <c r="B954">
        <v>2013</v>
      </c>
      <c r="C954" t="s">
        <v>17</v>
      </c>
      <c r="D954" t="s">
        <v>18</v>
      </c>
      <c r="E954">
        <v>21</v>
      </c>
      <c r="F954">
        <v>1</v>
      </c>
      <c r="J954" s="358" t="str">
        <f t="shared" si="72"/>
        <v>2002AllSexNon-Maori211</v>
      </c>
      <c r="K954" s="359">
        <v>2002</v>
      </c>
      <c r="L954" t="s">
        <v>17</v>
      </c>
      <c r="M954" t="s">
        <v>19</v>
      </c>
      <c r="N954">
        <v>21</v>
      </c>
      <c r="O954">
        <v>1</v>
      </c>
      <c r="P954">
        <v>0</v>
      </c>
      <c r="T954" s="358" t="str">
        <f t="shared" si="73"/>
        <v>2000FemaleAllEth25Poisoning by solids and liquids</v>
      </c>
      <c r="U954" s="360">
        <v>2000</v>
      </c>
      <c r="V954" s="360" t="s">
        <v>8</v>
      </c>
      <c r="W954" s="360" t="s">
        <v>27</v>
      </c>
      <c r="X954" s="360">
        <v>25</v>
      </c>
      <c r="Y954" s="360" t="s">
        <v>47</v>
      </c>
      <c r="Z954" s="360">
        <v>3</v>
      </c>
      <c r="AA954" s="360">
        <v>6</v>
      </c>
      <c r="AB954" s="360">
        <v>50</v>
      </c>
    </row>
    <row r="955" spans="1:28" x14ac:dyDescent="0.2">
      <c r="A955" t="str">
        <f t="shared" si="71"/>
        <v>2013AllSexMaori22</v>
      </c>
      <c r="B955">
        <v>2013</v>
      </c>
      <c r="C955" t="s">
        <v>17</v>
      </c>
      <c r="D955" t="s">
        <v>18</v>
      </c>
      <c r="E955">
        <v>22</v>
      </c>
      <c r="F955">
        <v>50</v>
      </c>
      <c r="G955">
        <v>39.135879774577297</v>
      </c>
      <c r="H955">
        <v>10.8</v>
      </c>
      <c r="J955" s="358" t="str">
        <f t="shared" si="72"/>
        <v>2002AllSexNon-Maori212</v>
      </c>
      <c r="K955" s="359">
        <v>2002</v>
      </c>
      <c r="L955" t="s">
        <v>17</v>
      </c>
      <c r="M955" t="s">
        <v>19</v>
      </c>
      <c r="N955">
        <v>21</v>
      </c>
      <c r="O955">
        <v>2</v>
      </c>
      <c r="P955">
        <v>0</v>
      </c>
      <c r="T955" s="358" t="str">
        <f t="shared" si="73"/>
        <v>2000FemaleAllEth23Sharp object</v>
      </c>
      <c r="U955" s="360">
        <v>2000</v>
      </c>
      <c r="V955" s="360" t="s">
        <v>8</v>
      </c>
      <c r="W955" s="360" t="s">
        <v>27</v>
      </c>
      <c r="X955" s="360">
        <v>23</v>
      </c>
      <c r="Y955" s="360" t="s">
        <v>48</v>
      </c>
      <c r="Z955" s="360">
        <v>1</v>
      </c>
      <c r="AA955" s="360">
        <v>38</v>
      </c>
      <c r="AB955" s="360">
        <v>2.6</v>
      </c>
    </row>
    <row r="956" spans="1:28" x14ac:dyDescent="0.2">
      <c r="A956" t="str">
        <f t="shared" si="71"/>
        <v>2013AllSexMaori23</v>
      </c>
      <c r="B956">
        <v>2013</v>
      </c>
      <c r="C956" t="s">
        <v>17</v>
      </c>
      <c r="D956" t="s">
        <v>18</v>
      </c>
      <c r="E956">
        <v>23</v>
      </c>
      <c r="F956">
        <v>44</v>
      </c>
      <c r="G956">
        <v>26.227944682880299</v>
      </c>
      <c r="H956">
        <v>7.7</v>
      </c>
      <c r="J956" s="358" t="str">
        <f t="shared" si="72"/>
        <v>2002AllSexNon-Maori213</v>
      </c>
      <c r="K956" s="359">
        <v>2002</v>
      </c>
      <c r="L956" t="s">
        <v>17</v>
      </c>
      <c r="M956" t="s">
        <v>19</v>
      </c>
      <c r="N956">
        <v>21</v>
      </c>
      <c r="O956">
        <v>3</v>
      </c>
      <c r="P956">
        <v>0</v>
      </c>
      <c r="T956" s="358" t="str">
        <f t="shared" si="73"/>
        <v>2000FemaleAllEth25Sharp object</v>
      </c>
      <c r="U956" s="360">
        <v>2000</v>
      </c>
      <c r="V956" s="360" t="s">
        <v>8</v>
      </c>
      <c r="W956" s="360" t="s">
        <v>27</v>
      </c>
      <c r="X956" s="360">
        <v>25</v>
      </c>
      <c r="Y956" s="360" t="s">
        <v>48</v>
      </c>
      <c r="Z956" s="360">
        <v>1</v>
      </c>
      <c r="AA956" s="360">
        <v>6</v>
      </c>
      <c r="AB956" s="360">
        <v>16.7</v>
      </c>
    </row>
    <row r="957" spans="1:28" x14ac:dyDescent="0.2">
      <c r="A957" t="str">
        <f t="shared" si="71"/>
        <v>2013AllSexMaori24</v>
      </c>
      <c r="B957">
        <v>2013</v>
      </c>
      <c r="C957" t="s">
        <v>17</v>
      </c>
      <c r="D957" t="s">
        <v>18</v>
      </c>
      <c r="E957">
        <v>24</v>
      </c>
      <c r="F957">
        <v>10</v>
      </c>
      <c r="G957">
        <v>7.8492935635792804</v>
      </c>
      <c r="H957">
        <v>4.9000000000000004</v>
      </c>
      <c r="J957" s="358" t="str">
        <f t="shared" si="72"/>
        <v>2002AllSexNon-Maori214</v>
      </c>
      <c r="K957" s="359">
        <v>2002</v>
      </c>
      <c r="L957" t="s">
        <v>17</v>
      </c>
      <c r="M957" t="s">
        <v>19</v>
      </c>
      <c r="N957">
        <v>21</v>
      </c>
      <c r="O957">
        <v>4</v>
      </c>
      <c r="P957">
        <v>0</v>
      </c>
      <c r="T957" s="358" t="str">
        <f t="shared" si="73"/>
        <v>2000FemaleAllEth22Submersion (drowning)</v>
      </c>
      <c r="U957" s="360">
        <v>2000</v>
      </c>
      <c r="V957" s="360" t="s">
        <v>8</v>
      </c>
      <c r="W957" s="360" t="s">
        <v>27</v>
      </c>
      <c r="X957" s="360">
        <v>22</v>
      </c>
      <c r="Y957" s="360" t="s">
        <v>49</v>
      </c>
      <c r="Z957" s="360">
        <v>1</v>
      </c>
      <c r="AA957" s="360">
        <v>15</v>
      </c>
      <c r="AB957" s="360">
        <v>6.7</v>
      </c>
    </row>
    <row r="958" spans="1:28" x14ac:dyDescent="0.2">
      <c r="A958" t="str">
        <f t="shared" si="71"/>
        <v>2013AllSexMaori25</v>
      </c>
      <c r="B958">
        <v>2013</v>
      </c>
      <c r="C958" t="s">
        <v>17</v>
      </c>
      <c r="D958" t="s">
        <v>18</v>
      </c>
      <c r="E958">
        <v>25</v>
      </c>
      <c r="F958">
        <v>0</v>
      </c>
      <c r="G958">
        <v>0</v>
      </c>
      <c r="J958" s="358" t="str">
        <f t="shared" si="72"/>
        <v>2002AllSexNon-Maori215</v>
      </c>
      <c r="K958" s="359">
        <v>2002</v>
      </c>
      <c r="L958" t="s">
        <v>17</v>
      </c>
      <c r="M958" t="s">
        <v>19</v>
      </c>
      <c r="N958">
        <v>21</v>
      </c>
      <c r="O958">
        <v>5</v>
      </c>
      <c r="P958">
        <v>0</v>
      </c>
      <c r="T958" s="358" t="str">
        <f t="shared" si="73"/>
        <v>2000FemaleAllEth23Submersion (drowning)</v>
      </c>
      <c r="U958" s="360">
        <v>2000</v>
      </c>
      <c r="V958" s="360" t="s">
        <v>8</v>
      </c>
      <c r="W958" s="360" t="s">
        <v>27</v>
      </c>
      <c r="X958" s="360">
        <v>23</v>
      </c>
      <c r="Y958" s="360" t="s">
        <v>49</v>
      </c>
      <c r="Z958" s="360">
        <v>2</v>
      </c>
      <c r="AA958" s="360">
        <v>38</v>
      </c>
      <c r="AB958" s="360">
        <v>5.3</v>
      </c>
    </row>
    <row r="959" spans="1:28" x14ac:dyDescent="0.2">
      <c r="A959" t="str">
        <f t="shared" si="71"/>
        <v>2013AllSexNon-Maori21</v>
      </c>
      <c r="B959">
        <v>2013</v>
      </c>
      <c r="C959" t="s">
        <v>17</v>
      </c>
      <c r="D959" t="s">
        <v>19</v>
      </c>
      <c r="E959">
        <v>21</v>
      </c>
      <c r="F959">
        <v>1</v>
      </c>
      <c r="J959" s="358" t="str">
        <f t="shared" si="72"/>
        <v>2002AllSexNon-Maori221</v>
      </c>
      <c r="K959" s="359">
        <v>2002</v>
      </c>
      <c r="L959" t="s">
        <v>17</v>
      </c>
      <c r="M959" t="s">
        <v>19</v>
      </c>
      <c r="N959">
        <v>22</v>
      </c>
      <c r="O959">
        <v>1</v>
      </c>
      <c r="P959">
        <v>5</v>
      </c>
      <c r="Q959">
        <v>5.7075377890038901</v>
      </c>
      <c r="R959">
        <v>5</v>
      </c>
      <c r="T959" s="358" t="str">
        <f t="shared" si="73"/>
        <v>2000FemaleMaori22Hanging, strangulation and suffocation</v>
      </c>
      <c r="U959" s="360">
        <v>2000</v>
      </c>
      <c r="V959" s="360" t="s">
        <v>8</v>
      </c>
      <c r="W959" s="360" t="s">
        <v>18</v>
      </c>
      <c r="X959" s="360">
        <v>22</v>
      </c>
      <c r="Y959" s="360" t="s">
        <v>43</v>
      </c>
      <c r="Z959" s="360">
        <v>3</v>
      </c>
      <c r="AA959" s="360">
        <v>4</v>
      </c>
      <c r="AB959" s="360">
        <v>75</v>
      </c>
    </row>
    <row r="960" spans="1:28" x14ac:dyDescent="0.2">
      <c r="A960" t="str">
        <f t="shared" si="71"/>
        <v>2013AllSexNon-Maori22</v>
      </c>
      <c r="B960">
        <v>2013</v>
      </c>
      <c r="C960" t="s">
        <v>17</v>
      </c>
      <c r="D960" t="s">
        <v>19</v>
      </c>
      <c r="E960">
        <v>22</v>
      </c>
      <c r="F960">
        <v>62</v>
      </c>
      <c r="G960">
        <v>12.380438906527701</v>
      </c>
      <c r="H960">
        <v>3.1</v>
      </c>
      <c r="J960" s="358" t="str">
        <f t="shared" si="72"/>
        <v>2002AllSexNon-Maori222</v>
      </c>
      <c r="K960" s="359">
        <v>2002</v>
      </c>
      <c r="L960" t="s">
        <v>17</v>
      </c>
      <c r="M960" t="s">
        <v>19</v>
      </c>
      <c r="N960">
        <v>22</v>
      </c>
      <c r="O960">
        <v>2</v>
      </c>
      <c r="P960">
        <v>15</v>
      </c>
      <c r="Q960">
        <v>16.836848284146299</v>
      </c>
      <c r="R960">
        <v>8.5</v>
      </c>
      <c r="T960" s="358" t="str">
        <f t="shared" si="73"/>
        <v>2000FemaleMaori23Hanging, strangulation and suffocation</v>
      </c>
      <c r="U960" s="360">
        <v>2000</v>
      </c>
      <c r="V960" s="360" t="s">
        <v>8</v>
      </c>
      <c r="W960" s="360" t="s">
        <v>18</v>
      </c>
      <c r="X960" s="360">
        <v>23</v>
      </c>
      <c r="Y960" s="360" t="s">
        <v>43</v>
      </c>
      <c r="Z960" s="360">
        <v>4</v>
      </c>
      <c r="AA960" s="360">
        <v>5</v>
      </c>
      <c r="AB960" s="360">
        <v>80</v>
      </c>
    </row>
    <row r="961" spans="1:28" x14ac:dyDescent="0.2">
      <c r="A961" t="str">
        <f t="shared" si="71"/>
        <v>2013AllSexNon-Maori23</v>
      </c>
      <c r="B961">
        <v>2013</v>
      </c>
      <c r="C961" t="s">
        <v>17</v>
      </c>
      <c r="D961" t="s">
        <v>19</v>
      </c>
      <c r="E961">
        <v>23</v>
      </c>
      <c r="F961">
        <v>117</v>
      </c>
      <c r="G961">
        <v>11.9851261511355</v>
      </c>
      <c r="H961">
        <v>2.2000000000000002</v>
      </c>
      <c r="J961" s="358" t="str">
        <f t="shared" si="72"/>
        <v>2002AllSexNon-Maori223</v>
      </c>
      <c r="K961" s="359">
        <v>2002</v>
      </c>
      <c r="L961" t="s">
        <v>17</v>
      </c>
      <c r="M961" t="s">
        <v>19</v>
      </c>
      <c r="N961">
        <v>22</v>
      </c>
      <c r="O961">
        <v>3</v>
      </c>
      <c r="P961">
        <v>14</v>
      </c>
      <c r="Q961">
        <v>15.4812764040015</v>
      </c>
      <c r="R961">
        <v>8.1</v>
      </c>
      <c r="T961" s="358" t="str">
        <f t="shared" si="73"/>
        <v>2000FemaleMaori24Jumping from a high place</v>
      </c>
      <c r="U961" s="360">
        <v>2000</v>
      </c>
      <c r="V961" s="360" t="s">
        <v>8</v>
      </c>
      <c r="W961" s="360" t="s">
        <v>18</v>
      </c>
      <c r="X961" s="360">
        <v>24</v>
      </c>
      <c r="Y961" s="360" t="s">
        <v>44</v>
      </c>
      <c r="Z961" s="360">
        <v>1</v>
      </c>
      <c r="AA961" s="360">
        <v>2</v>
      </c>
      <c r="AB961" s="360">
        <v>50</v>
      </c>
    </row>
    <row r="962" spans="1:28" x14ac:dyDescent="0.2">
      <c r="A962" t="str">
        <f t="shared" si="71"/>
        <v>2013AllSexNon-Maori24</v>
      </c>
      <c r="B962">
        <v>2013</v>
      </c>
      <c r="C962" t="s">
        <v>17</v>
      </c>
      <c r="D962" t="s">
        <v>19</v>
      </c>
      <c r="E962">
        <v>24</v>
      </c>
      <c r="F962">
        <v>173</v>
      </c>
      <c r="G962">
        <v>17.105002966185499</v>
      </c>
      <c r="H962">
        <v>2.5</v>
      </c>
      <c r="J962" s="358" t="str">
        <f t="shared" si="72"/>
        <v>2002AllSexNon-Maori224</v>
      </c>
      <c r="K962" s="359">
        <v>2002</v>
      </c>
      <c r="L962" t="s">
        <v>17</v>
      </c>
      <c r="M962" t="s">
        <v>19</v>
      </c>
      <c r="N962">
        <v>22</v>
      </c>
      <c r="O962">
        <v>4</v>
      </c>
      <c r="P962">
        <v>10</v>
      </c>
      <c r="Q962">
        <v>10.996155478486299</v>
      </c>
      <c r="R962">
        <v>6.8</v>
      </c>
      <c r="T962" s="358" t="str">
        <f t="shared" si="73"/>
        <v>2000FemaleMaori23Poisoning by gases and vapours</v>
      </c>
      <c r="U962" s="360">
        <v>2000</v>
      </c>
      <c r="V962" s="360" t="s">
        <v>8</v>
      </c>
      <c r="W962" s="360" t="s">
        <v>18</v>
      </c>
      <c r="X962" s="360">
        <v>23</v>
      </c>
      <c r="Y962" s="360" t="s">
        <v>46</v>
      </c>
      <c r="Z962" s="360">
        <v>1</v>
      </c>
      <c r="AA962" s="360">
        <v>5</v>
      </c>
      <c r="AB962" s="360">
        <v>20</v>
      </c>
    </row>
    <row r="963" spans="1:28" x14ac:dyDescent="0.2">
      <c r="A963" t="str">
        <f t="shared" si="71"/>
        <v>2013AllSexNon-Maori25</v>
      </c>
      <c r="B963">
        <v>2013</v>
      </c>
      <c r="C963" t="s">
        <v>17</v>
      </c>
      <c r="D963" t="s">
        <v>19</v>
      </c>
      <c r="E963">
        <v>25</v>
      </c>
      <c r="F963">
        <v>56</v>
      </c>
      <c r="G963">
        <v>9.4941000949410004</v>
      </c>
      <c r="H963">
        <v>2.5</v>
      </c>
      <c r="J963" s="358" t="str">
        <f t="shared" si="72"/>
        <v>2002AllSexNon-Maori225</v>
      </c>
      <c r="K963" s="359">
        <v>2002</v>
      </c>
      <c r="L963" t="s">
        <v>17</v>
      </c>
      <c r="M963" t="s">
        <v>19</v>
      </c>
      <c r="N963">
        <v>22</v>
      </c>
      <c r="O963">
        <v>5</v>
      </c>
      <c r="P963">
        <v>13</v>
      </c>
      <c r="Q963">
        <v>14.745323199188199</v>
      </c>
      <c r="R963">
        <v>8</v>
      </c>
      <c r="T963" s="358" t="str">
        <f t="shared" si="73"/>
        <v>2000FemaleMaori24Poisoning by gases and vapours</v>
      </c>
      <c r="U963" s="360">
        <v>2000</v>
      </c>
      <c r="V963" s="360" t="s">
        <v>8</v>
      </c>
      <c r="W963" s="360" t="s">
        <v>18</v>
      </c>
      <c r="X963" s="360">
        <v>24</v>
      </c>
      <c r="Y963" s="360" t="s">
        <v>46</v>
      </c>
      <c r="Z963" s="360">
        <v>1</v>
      </c>
      <c r="AA963" s="360">
        <v>2</v>
      </c>
      <c r="AB963" s="360">
        <v>50</v>
      </c>
    </row>
    <row r="964" spans="1:28" x14ac:dyDescent="0.2">
      <c r="A964" t="str">
        <f t="shared" ref="A964:A1027" si="74">B964&amp;C964&amp;D964&amp;E964</f>
        <v>2013FemaleAllEth21</v>
      </c>
      <c r="B964">
        <v>2013</v>
      </c>
      <c r="C964" t="s">
        <v>8</v>
      </c>
      <c r="D964" t="s">
        <v>27</v>
      </c>
      <c r="E964">
        <v>21</v>
      </c>
      <c r="F964">
        <v>2</v>
      </c>
      <c r="J964" s="358" t="str">
        <f t="shared" ref="J964:J1027" si="75">K964&amp;L964&amp;M964&amp;N964&amp;O964</f>
        <v>2002AllSexNon-Maori231</v>
      </c>
      <c r="K964" s="359">
        <v>2002</v>
      </c>
      <c r="L964" t="s">
        <v>17</v>
      </c>
      <c r="M964" t="s">
        <v>19</v>
      </c>
      <c r="N964">
        <v>23</v>
      </c>
      <c r="O964">
        <v>1</v>
      </c>
      <c r="P964">
        <v>23</v>
      </c>
      <c r="Q964">
        <v>10.5401073972339</v>
      </c>
      <c r="R964">
        <v>4.3</v>
      </c>
      <c r="T964" s="358" t="str">
        <f t="shared" si="73"/>
        <v>2000FemaleMaori22Poisoning by solids and liquids</v>
      </c>
      <c r="U964" s="360">
        <v>2000</v>
      </c>
      <c r="V964" s="360" t="s">
        <v>8</v>
      </c>
      <c r="W964" s="360" t="s">
        <v>18</v>
      </c>
      <c r="X964" s="360">
        <v>22</v>
      </c>
      <c r="Y964" s="360" t="s">
        <v>47</v>
      </c>
      <c r="Z964" s="360">
        <v>1</v>
      </c>
      <c r="AA964" s="360">
        <v>4</v>
      </c>
      <c r="AB964" s="360">
        <v>25</v>
      </c>
    </row>
    <row r="965" spans="1:28" x14ac:dyDescent="0.2">
      <c r="A965" t="str">
        <f t="shared" si="74"/>
        <v>2013FemaleAllEth22</v>
      </c>
      <c r="B965">
        <v>2013</v>
      </c>
      <c r="C965" t="s">
        <v>8</v>
      </c>
      <c r="D965" t="s">
        <v>27</v>
      </c>
      <c r="E965">
        <v>22</v>
      </c>
      <c r="F965">
        <v>38</v>
      </c>
      <c r="G965">
        <v>12.3120787973043</v>
      </c>
      <c r="H965">
        <v>3.9</v>
      </c>
      <c r="J965" s="358" t="str">
        <f t="shared" si="75"/>
        <v>2002AllSexNon-Maori232</v>
      </c>
      <c r="K965" s="359">
        <v>2002</v>
      </c>
      <c r="L965" t="s">
        <v>17</v>
      </c>
      <c r="M965" t="s">
        <v>19</v>
      </c>
      <c r="N965">
        <v>23</v>
      </c>
      <c r="O965">
        <v>2</v>
      </c>
      <c r="P965">
        <v>36</v>
      </c>
      <c r="Q965">
        <v>16.2114651191233</v>
      </c>
      <c r="R965">
        <v>5.3</v>
      </c>
      <c r="T965" s="358" t="str">
        <f t="shared" ref="T965:T1028" si="76">U965&amp;V965&amp;W965&amp;X965&amp;Y965</f>
        <v>2000FemaleNon-Maori23Firearms and explosives</v>
      </c>
      <c r="U965" s="360">
        <v>2000</v>
      </c>
      <c r="V965" s="360" t="s">
        <v>8</v>
      </c>
      <c r="W965" s="360" t="s">
        <v>19</v>
      </c>
      <c r="X965" s="360">
        <v>23</v>
      </c>
      <c r="Y965" s="360" t="s">
        <v>42</v>
      </c>
      <c r="Z965" s="360">
        <v>1</v>
      </c>
      <c r="AA965" s="360">
        <v>33</v>
      </c>
      <c r="AB965" s="360">
        <v>3</v>
      </c>
    </row>
    <row r="966" spans="1:28" x14ac:dyDescent="0.2">
      <c r="A966" t="str">
        <f t="shared" si="74"/>
        <v>2013FemaleAllEth23</v>
      </c>
      <c r="B966">
        <v>2013</v>
      </c>
      <c r="C966" t="s">
        <v>8</v>
      </c>
      <c r="D966" t="s">
        <v>27</v>
      </c>
      <c r="E966">
        <v>23</v>
      </c>
      <c r="F966">
        <v>47</v>
      </c>
      <c r="G966">
        <v>7.8847153953262099</v>
      </c>
      <c r="H966">
        <v>2.2999999999999998</v>
      </c>
      <c r="J966" s="358" t="str">
        <f t="shared" si="75"/>
        <v>2002AllSexNon-Maori233</v>
      </c>
      <c r="K966" s="359">
        <v>2002</v>
      </c>
      <c r="L966" t="s">
        <v>17</v>
      </c>
      <c r="M966" t="s">
        <v>19</v>
      </c>
      <c r="N966">
        <v>23</v>
      </c>
      <c r="O966">
        <v>3</v>
      </c>
      <c r="P966">
        <v>37</v>
      </c>
      <c r="Q966">
        <v>17.460229234985</v>
      </c>
      <c r="R966">
        <v>5.6</v>
      </c>
      <c r="T966" s="358" t="str">
        <f t="shared" si="76"/>
        <v>2000FemaleNon-Maori24Firearms and explosives</v>
      </c>
      <c r="U966" s="360">
        <v>2000</v>
      </c>
      <c r="V966" s="360" t="s">
        <v>8</v>
      </c>
      <c r="W966" s="360" t="s">
        <v>19</v>
      </c>
      <c r="X966" s="360">
        <v>24</v>
      </c>
      <c r="Y966" s="360" t="s">
        <v>42</v>
      </c>
      <c r="Z966" s="360">
        <v>1</v>
      </c>
      <c r="AA966" s="360">
        <v>21</v>
      </c>
      <c r="AB966" s="360">
        <v>4.8</v>
      </c>
    </row>
    <row r="967" spans="1:28" x14ac:dyDescent="0.2">
      <c r="A967" t="str">
        <f t="shared" si="74"/>
        <v>2013FemaleAllEth24</v>
      </c>
      <c r="B967">
        <v>2013</v>
      </c>
      <c r="C967" t="s">
        <v>8</v>
      </c>
      <c r="D967" t="s">
        <v>27</v>
      </c>
      <c r="E967">
        <v>24</v>
      </c>
      <c r="F967">
        <v>53</v>
      </c>
      <c r="G967">
        <v>9.0334236675700108</v>
      </c>
      <c r="H967">
        <v>2.4</v>
      </c>
      <c r="J967" s="358" t="str">
        <f t="shared" si="75"/>
        <v>2002AllSexNon-Maori234</v>
      </c>
      <c r="K967" s="359">
        <v>2002</v>
      </c>
      <c r="L967" t="s">
        <v>17</v>
      </c>
      <c r="M967" t="s">
        <v>19</v>
      </c>
      <c r="N967">
        <v>23</v>
      </c>
      <c r="O967">
        <v>4</v>
      </c>
      <c r="P967">
        <v>33</v>
      </c>
      <c r="Q967">
        <v>17.211653568173102</v>
      </c>
      <c r="R967">
        <v>5.9</v>
      </c>
      <c r="T967" s="358" t="str">
        <f t="shared" si="76"/>
        <v>2000FemaleNon-Maori21Hanging, strangulation and suffocation</v>
      </c>
      <c r="U967" s="360">
        <v>2000</v>
      </c>
      <c r="V967" s="360" t="s">
        <v>8</v>
      </c>
      <c r="W967" s="360" t="s">
        <v>19</v>
      </c>
      <c r="X967" s="360">
        <v>21</v>
      </c>
      <c r="Y967" s="360" t="s">
        <v>43</v>
      </c>
      <c r="Z967" s="360">
        <v>1</v>
      </c>
      <c r="AA967" s="360">
        <v>1</v>
      </c>
      <c r="AB967" s="360">
        <v>100</v>
      </c>
    </row>
    <row r="968" spans="1:28" x14ac:dyDescent="0.2">
      <c r="A968" t="str">
        <f t="shared" si="74"/>
        <v>2013FemaleAllEth25</v>
      </c>
      <c r="B968">
        <v>2013</v>
      </c>
      <c r="C968" t="s">
        <v>8</v>
      </c>
      <c r="D968" t="s">
        <v>27</v>
      </c>
      <c r="E968">
        <v>25</v>
      </c>
      <c r="F968">
        <v>8</v>
      </c>
      <c r="G968">
        <v>2.36987883994431</v>
      </c>
      <c r="H968">
        <v>1.6</v>
      </c>
      <c r="J968" s="358" t="str">
        <f t="shared" si="75"/>
        <v>2002AllSexNon-Maori235</v>
      </c>
      <c r="K968" s="359">
        <v>2002</v>
      </c>
      <c r="L968" t="s">
        <v>17</v>
      </c>
      <c r="M968" t="s">
        <v>19</v>
      </c>
      <c r="N968">
        <v>23</v>
      </c>
      <c r="O968">
        <v>5</v>
      </c>
      <c r="P968">
        <v>34</v>
      </c>
      <c r="Q968">
        <v>23.0680319489047</v>
      </c>
      <c r="R968">
        <v>7.8</v>
      </c>
      <c r="T968" s="358" t="str">
        <f t="shared" si="76"/>
        <v>2000FemaleNon-Maori22Hanging, strangulation and suffocation</v>
      </c>
      <c r="U968" s="360">
        <v>2000</v>
      </c>
      <c r="V968" s="360" t="s">
        <v>8</v>
      </c>
      <c r="W968" s="360" t="s">
        <v>19</v>
      </c>
      <c r="X968" s="360">
        <v>22</v>
      </c>
      <c r="Y968" s="360" t="s">
        <v>43</v>
      </c>
      <c r="Z968" s="360">
        <v>4</v>
      </c>
      <c r="AA968" s="360">
        <v>11</v>
      </c>
      <c r="AB968" s="360">
        <v>36.4</v>
      </c>
    </row>
    <row r="969" spans="1:28" x14ac:dyDescent="0.2">
      <c r="A969" t="str">
        <f t="shared" si="74"/>
        <v>2013FemaleMaori21</v>
      </c>
      <c r="B969">
        <v>2013</v>
      </c>
      <c r="C969" t="s">
        <v>8</v>
      </c>
      <c r="D969" t="s">
        <v>18</v>
      </c>
      <c r="E969">
        <v>21</v>
      </c>
      <c r="F969">
        <v>1</v>
      </c>
      <c r="J969" s="358" t="str">
        <f t="shared" si="75"/>
        <v>2002AllSexNon-Maori241</v>
      </c>
      <c r="K969" s="359">
        <v>2002</v>
      </c>
      <c r="L969" t="s">
        <v>17</v>
      </c>
      <c r="M969" t="s">
        <v>19</v>
      </c>
      <c r="N969">
        <v>24</v>
      </c>
      <c r="O969">
        <v>1</v>
      </c>
      <c r="P969">
        <v>17</v>
      </c>
      <c r="Q969">
        <v>7.8821437748943604</v>
      </c>
      <c r="R969">
        <v>3.7</v>
      </c>
      <c r="T969" s="358" t="str">
        <f t="shared" si="76"/>
        <v>2000FemaleNon-Maori23Hanging, strangulation and suffocation</v>
      </c>
      <c r="U969" s="360">
        <v>2000</v>
      </c>
      <c r="V969" s="360" t="s">
        <v>8</v>
      </c>
      <c r="W969" s="360" t="s">
        <v>19</v>
      </c>
      <c r="X969" s="360">
        <v>23</v>
      </c>
      <c r="Y969" s="360" t="s">
        <v>43</v>
      </c>
      <c r="Z969" s="360">
        <v>9</v>
      </c>
      <c r="AA969" s="360">
        <v>33</v>
      </c>
      <c r="AB969" s="360">
        <v>27.3</v>
      </c>
    </row>
    <row r="970" spans="1:28" x14ac:dyDescent="0.2">
      <c r="A970" t="str">
        <f t="shared" si="74"/>
        <v>2013FemaleMaori22</v>
      </c>
      <c r="B970">
        <v>2013</v>
      </c>
      <c r="C970" t="s">
        <v>8</v>
      </c>
      <c r="D970" t="s">
        <v>18</v>
      </c>
      <c r="E970">
        <v>22</v>
      </c>
      <c r="F970">
        <v>20</v>
      </c>
      <c r="G970">
        <v>31.172069825436399</v>
      </c>
      <c r="H970">
        <v>13.7</v>
      </c>
      <c r="J970" s="358" t="str">
        <f t="shared" si="75"/>
        <v>2002AllSexNon-Maori242</v>
      </c>
      <c r="K970" s="359">
        <v>2002</v>
      </c>
      <c r="L970" t="s">
        <v>17</v>
      </c>
      <c r="M970" t="s">
        <v>19</v>
      </c>
      <c r="N970">
        <v>24</v>
      </c>
      <c r="O970">
        <v>2</v>
      </c>
      <c r="P970">
        <v>25</v>
      </c>
      <c r="Q970">
        <v>13.461675469019401</v>
      </c>
      <c r="R970">
        <v>5.3</v>
      </c>
      <c r="T970" s="358" t="str">
        <f t="shared" si="76"/>
        <v>2000FemaleNon-Maori24Hanging, strangulation and suffocation</v>
      </c>
      <c r="U970" s="360">
        <v>2000</v>
      </c>
      <c r="V970" s="360" t="s">
        <v>8</v>
      </c>
      <c r="W970" s="360" t="s">
        <v>19</v>
      </c>
      <c r="X970" s="360">
        <v>24</v>
      </c>
      <c r="Y970" s="360" t="s">
        <v>43</v>
      </c>
      <c r="Z970" s="360">
        <v>7</v>
      </c>
      <c r="AA970" s="360">
        <v>21</v>
      </c>
      <c r="AB970" s="360">
        <v>33.299999999999997</v>
      </c>
    </row>
    <row r="971" spans="1:28" x14ac:dyDescent="0.2">
      <c r="A971" t="str">
        <f t="shared" si="74"/>
        <v>2013FemaleMaori23</v>
      </c>
      <c r="B971">
        <v>2013</v>
      </c>
      <c r="C971" t="s">
        <v>8</v>
      </c>
      <c r="D971" t="s">
        <v>18</v>
      </c>
      <c r="E971">
        <v>23</v>
      </c>
      <c r="F971">
        <v>13</v>
      </c>
      <c r="G971">
        <v>14.3662283125207</v>
      </c>
      <c r="H971">
        <v>7.8</v>
      </c>
      <c r="J971" s="358" t="str">
        <f t="shared" si="75"/>
        <v>2002AllSexNon-Maori243</v>
      </c>
      <c r="K971" s="359">
        <v>2002</v>
      </c>
      <c r="L971" t="s">
        <v>17</v>
      </c>
      <c r="M971" t="s">
        <v>19</v>
      </c>
      <c r="N971">
        <v>24</v>
      </c>
      <c r="O971">
        <v>3</v>
      </c>
      <c r="P971">
        <v>13</v>
      </c>
      <c r="Q971">
        <v>8.0650259082122897</v>
      </c>
      <c r="R971">
        <v>4.4000000000000004</v>
      </c>
      <c r="T971" s="358" t="str">
        <f t="shared" si="76"/>
        <v>2000FemaleNon-Maori25Hanging, strangulation and suffocation</v>
      </c>
      <c r="U971" s="360">
        <v>2000</v>
      </c>
      <c r="V971" s="360" t="s">
        <v>8</v>
      </c>
      <c r="W971" s="360" t="s">
        <v>19</v>
      </c>
      <c r="X971" s="360">
        <v>25</v>
      </c>
      <c r="Y971" s="360" t="s">
        <v>43</v>
      </c>
      <c r="Z971" s="360">
        <v>1</v>
      </c>
      <c r="AA971" s="360">
        <v>6</v>
      </c>
      <c r="AB971" s="360">
        <v>16.7</v>
      </c>
    </row>
    <row r="972" spans="1:28" x14ac:dyDescent="0.2">
      <c r="A972" t="str">
        <f t="shared" si="74"/>
        <v>2013FemaleMaori24</v>
      </c>
      <c r="B972">
        <v>2013</v>
      </c>
      <c r="C972" t="s">
        <v>8</v>
      </c>
      <c r="D972" t="s">
        <v>18</v>
      </c>
      <c r="E972">
        <v>24</v>
      </c>
      <c r="F972">
        <v>5</v>
      </c>
      <c r="G972">
        <v>7.4041166888790197</v>
      </c>
      <c r="H972">
        <v>6.5</v>
      </c>
      <c r="J972" s="358" t="str">
        <f t="shared" si="75"/>
        <v>2002AllSexNon-Maori244</v>
      </c>
      <c r="K972" s="359">
        <v>2002</v>
      </c>
      <c r="L972" t="s">
        <v>17</v>
      </c>
      <c r="M972" t="s">
        <v>19</v>
      </c>
      <c r="N972">
        <v>24</v>
      </c>
      <c r="O972">
        <v>4</v>
      </c>
      <c r="P972">
        <v>27</v>
      </c>
      <c r="Q972">
        <v>19.520758003770901</v>
      </c>
      <c r="R972">
        <v>7.4</v>
      </c>
      <c r="T972" s="358" t="str">
        <f t="shared" si="76"/>
        <v>2000FemaleNon-Maori22Jumping from a high place</v>
      </c>
      <c r="U972" s="360">
        <v>2000</v>
      </c>
      <c r="V972" s="360" t="s">
        <v>8</v>
      </c>
      <c r="W972" s="360" t="s">
        <v>19</v>
      </c>
      <c r="X972" s="360">
        <v>22</v>
      </c>
      <c r="Y972" s="360" t="s">
        <v>44</v>
      </c>
      <c r="Z972" s="360">
        <v>1</v>
      </c>
      <c r="AA972" s="360">
        <v>11</v>
      </c>
      <c r="AB972" s="360">
        <v>9.1</v>
      </c>
    </row>
    <row r="973" spans="1:28" x14ac:dyDescent="0.2">
      <c r="A973" t="str">
        <f t="shared" si="74"/>
        <v>2013FemaleMaori25</v>
      </c>
      <c r="B973">
        <v>2013</v>
      </c>
      <c r="C973" t="s">
        <v>8</v>
      </c>
      <c r="D973" t="s">
        <v>18</v>
      </c>
      <c r="E973">
        <v>25</v>
      </c>
      <c r="F973">
        <v>0</v>
      </c>
      <c r="G973">
        <v>0</v>
      </c>
      <c r="J973" s="358" t="str">
        <f t="shared" si="75"/>
        <v>2002AllSexNon-Maori245</v>
      </c>
      <c r="K973" s="359">
        <v>2002</v>
      </c>
      <c r="L973" t="s">
        <v>17</v>
      </c>
      <c r="M973" t="s">
        <v>19</v>
      </c>
      <c r="N973">
        <v>24</v>
      </c>
      <c r="O973">
        <v>5</v>
      </c>
      <c r="P973">
        <v>14</v>
      </c>
      <c r="Q973">
        <v>13.6978088659093</v>
      </c>
      <c r="R973">
        <v>7.2</v>
      </c>
      <c r="T973" s="358" t="str">
        <f t="shared" si="76"/>
        <v>2000FemaleNon-Maori23Jumping from a high place</v>
      </c>
      <c r="U973" s="360">
        <v>2000</v>
      </c>
      <c r="V973" s="360" t="s">
        <v>8</v>
      </c>
      <c r="W973" s="360" t="s">
        <v>19</v>
      </c>
      <c r="X973" s="360">
        <v>23</v>
      </c>
      <c r="Y973" s="360" t="s">
        <v>44</v>
      </c>
      <c r="Z973" s="360">
        <v>1</v>
      </c>
      <c r="AA973" s="360">
        <v>33</v>
      </c>
      <c r="AB973" s="360">
        <v>3</v>
      </c>
    </row>
    <row r="974" spans="1:28" x14ac:dyDescent="0.2">
      <c r="A974" t="str">
        <f t="shared" si="74"/>
        <v>2013FemaleNon-Maori21</v>
      </c>
      <c r="B974">
        <v>2013</v>
      </c>
      <c r="C974" t="s">
        <v>8</v>
      </c>
      <c r="D974" t="s">
        <v>19</v>
      </c>
      <c r="E974">
        <v>21</v>
      </c>
      <c r="F974">
        <v>1</v>
      </c>
      <c r="J974" s="358" t="str">
        <f t="shared" si="75"/>
        <v>2002AllSexNon-Maori251</v>
      </c>
      <c r="K974" s="359">
        <v>2002</v>
      </c>
      <c r="L974" t="s">
        <v>17</v>
      </c>
      <c r="M974" t="s">
        <v>19</v>
      </c>
      <c r="N974">
        <v>25</v>
      </c>
      <c r="O974">
        <v>1</v>
      </c>
      <c r="P974">
        <v>9</v>
      </c>
      <c r="Q974">
        <v>9.9846521149704905</v>
      </c>
      <c r="R974">
        <v>6.5</v>
      </c>
      <c r="T974" s="358" t="str">
        <f t="shared" si="76"/>
        <v>2000FemaleNon-Maori24Jumping from a high place</v>
      </c>
      <c r="U974" s="360">
        <v>2000</v>
      </c>
      <c r="V974" s="360" t="s">
        <v>8</v>
      </c>
      <c r="W974" s="360" t="s">
        <v>19</v>
      </c>
      <c r="X974" s="360">
        <v>24</v>
      </c>
      <c r="Y974" s="360" t="s">
        <v>44</v>
      </c>
      <c r="Z974" s="360">
        <v>2</v>
      </c>
      <c r="AA974" s="360">
        <v>21</v>
      </c>
      <c r="AB974" s="360">
        <v>9.5</v>
      </c>
    </row>
    <row r="975" spans="1:28" x14ac:dyDescent="0.2">
      <c r="A975" t="str">
        <f t="shared" si="74"/>
        <v>2013FemaleNon-Maori22</v>
      </c>
      <c r="B975">
        <v>2013</v>
      </c>
      <c r="C975" t="s">
        <v>8</v>
      </c>
      <c r="D975" t="s">
        <v>19</v>
      </c>
      <c r="E975">
        <v>22</v>
      </c>
      <c r="F975">
        <v>18</v>
      </c>
      <c r="G975">
        <v>7.3625654450261804</v>
      </c>
      <c r="H975">
        <v>3.4</v>
      </c>
      <c r="J975" s="358" t="str">
        <f t="shared" si="75"/>
        <v>2002AllSexNon-Maori252</v>
      </c>
      <c r="K975" s="359">
        <v>2002</v>
      </c>
      <c r="L975" t="s">
        <v>17</v>
      </c>
      <c r="M975" t="s">
        <v>19</v>
      </c>
      <c r="N975">
        <v>25</v>
      </c>
      <c r="O975">
        <v>2</v>
      </c>
      <c r="P975">
        <v>10</v>
      </c>
      <c r="Q975">
        <v>10.477201059545299</v>
      </c>
      <c r="R975">
        <v>6.5</v>
      </c>
      <c r="T975" s="358" t="str">
        <f t="shared" si="76"/>
        <v>2000FemaleNon-Maori23Other</v>
      </c>
      <c r="U975" s="360">
        <v>2000</v>
      </c>
      <c r="V975" s="360" t="s">
        <v>8</v>
      </c>
      <c r="W975" s="360" t="s">
        <v>19</v>
      </c>
      <c r="X975" s="360">
        <v>23</v>
      </c>
      <c r="Y975" s="360" t="s">
        <v>45</v>
      </c>
      <c r="Z975" s="360">
        <v>1</v>
      </c>
      <c r="AA975" s="360">
        <v>33</v>
      </c>
      <c r="AB975" s="360">
        <v>3</v>
      </c>
    </row>
    <row r="976" spans="1:28" x14ac:dyDescent="0.2">
      <c r="A976" t="str">
        <f t="shared" si="74"/>
        <v>2013FemaleNon-Maori23</v>
      </c>
      <c r="B976">
        <v>2013</v>
      </c>
      <c r="C976" t="s">
        <v>8</v>
      </c>
      <c r="D976" t="s">
        <v>19</v>
      </c>
      <c r="E976">
        <v>23</v>
      </c>
      <c r="F976">
        <v>34</v>
      </c>
      <c r="G976">
        <v>6.7246835443038</v>
      </c>
      <c r="H976">
        <v>2.2999999999999998</v>
      </c>
      <c r="J976" s="358" t="str">
        <f t="shared" si="75"/>
        <v>2002AllSexNon-Maori253</v>
      </c>
      <c r="K976" s="359">
        <v>2002</v>
      </c>
      <c r="L976" t="s">
        <v>17</v>
      </c>
      <c r="M976" t="s">
        <v>19</v>
      </c>
      <c r="N976">
        <v>25</v>
      </c>
      <c r="O976">
        <v>3</v>
      </c>
      <c r="P976">
        <v>9</v>
      </c>
      <c r="Q976">
        <v>9.1861337663015998</v>
      </c>
      <c r="R976">
        <v>6</v>
      </c>
      <c r="T976" s="358" t="str">
        <f t="shared" si="76"/>
        <v>2000FemaleNon-Maori24Other</v>
      </c>
      <c r="U976" s="360">
        <v>2000</v>
      </c>
      <c r="V976" s="360" t="s">
        <v>8</v>
      </c>
      <c r="W976" s="360" t="s">
        <v>19</v>
      </c>
      <c r="X976" s="360">
        <v>24</v>
      </c>
      <c r="Y976" s="360" t="s">
        <v>45</v>
      </c>
      <c r="Z976" s="360">
        <v>1</v>
      </c>
      <c r="AA976" s="360">
        <v>21</v>
      </c>
      <c r="AB976" s="360">
        <v>4.8</v>
      </c>
    </row>
    <row r="977" spans="1:28" x14ac:dyDescent="0.2">
      <c r="A977" t="str">
        <f t="shared" si="74"/>
        <v>2013FemaleNon-Maori24</v>
      </c>
      <c r="B977">
        <v>2013</v>
      </c>
      <c r="C977" t="s">
        <v>8</v>
      </c>
      <c r="D977" t="s">
        <v>19</v>
      </c>
      <c r="E977">
        <v>24</v>
      </c>
      <c r="F977">
        <v>48</v>
      </c>
      <c r="G977">
        <v>9.2453484340691094</v>
      </c>
      <c r="H977">
        <v>2.6</v>
      </c>
      <c r="J977" s="358" t="str">
        <f t="shared" si="75"/>
        <v>2002AllSexNon-Maori254</v>
      </c>
      <c r="K977" s="359">
        <v>2002</v>
      </c>
      <c r="L977" t="s">
        <v>17</v>
      </c>
      <c r="M977" t="s">
        <v>19</v>
      </c>
      <c r="N977">
        <v>25</v>
      </c>
      <c r="O977">
        <v>4</v>
      </c>
      <c r="P977">
        <v>8</v>
      </c>
      <c r="Q977">
        <v>8.3390941271456605</v>
      </c>
      <c r="R977">
        <v>5.8</v>
      </c>
      <c r="T977" s="358" t="str">
        <f t="shared" si="76"/>
        <v>2000FemaleNon-Maori22Poisoning by gases and vapours</v>
      </c>
      <c r="U977" s="360">
        <v>2000</v>
      </c>
      <c r="V977" s="360" t="s">
        <v>8</v>
      </c>
      <c r="W977" s="360" t="s">
        <v>19</v>
      </c>
      <c r="X977" s="360">
        <v>22</v>
      </c>
      <c r="Y977" s="360" t="s">
        <v>46</v>
      </c>
      <c r="Z977" s="360">
        <v>4</v>
      </c>
      <c r="AA977" s="360">
        <v>11</v>
      </c>
      <c r="AB977" s="360">
        <v>36.4</v>
      </c>
    </row>
    <row r="978" spans="1:28" x14ac:dyDescent="0.2">
      <c r="A978" t="str">
        <f t="shared" si="74"/>
        <v>2013FemaleNon-Maori25</v>
      </c>
      <c r="B978">
        <v>2013</v>
      </c>
      <c r="C978" t="s">
        <v>8</v>
      </c>
      <c r="D978" t="s">
        <v>19</v>
      </c>
      <c r="E978">
        <v>25</v>
      </c>
      <c r="F978">
        <v>8</v>
      </c>
      <c r="G978">
        <v>2.5182573659027998</v>
      </c>
      <c r="H978">
        <v>1.7</v>
      </c>
      <c r="J978" s="358" t="str">
        <f t="shared" si="75"/>
        <v>2002AllSexNon-Maori255</v>
      </c>
      <c r="K978" s="359">
        <v>2002</v>
      </c>
      <c r="L978" t="s">
        <v>17</v>
      </c>
      <c r="M978" t="s">
        <v>19</v>
      </c>
      <c r="N978">
        <v>25</v>
      </c>
      <c r="O978">
        <v>5</v>
      </c>
      <c r="P978">
        <v>11</v>
      </c>
      <c r="Q978">
        <v>16.386388921178099</v>
      </c>
      <c r="R978">
        <v>9.6999999999999993</v>
      </c>
      <c r="T978" s="358" t="str">
        <f t="shared" si="76"/>
        <v>2000FemaleNon-Maori23Poisoning by gases and vapours</v>
      </c>
      <c r="U978" s="360">
        <v>2000</v>
      </c>
      <c r="V978" s="360" t="s">
        <v>8</v>
      </c>
      <c r="W978" s="360" t="s">
        <v>19</v>
      </c>
      <c r="X978" s="360">
        <v>23</v>
      </c>
      <c r="Y978" s="360" t="s">
        <v>46</v>
      </c>
      <c r="Z978" s="360">
        <v>8</v>
      </c>
      <c r="AA978" s="360">
        <v>33</v>
      </c>
      <c r="AB978" s="360">
        <v>24.2</v>
      </c>
    </row>
    <row r="979" spans="1:28" x14ac:dyDescent="0.2">
      <c r="A979" t="str">
        <f t="shared" si="74"/>
        <v>2013MaleAllEth21</v>
      </c>
      <c r="B979">
        <v>2013</v>
      </c>
      <c r="C979" t="s">
        <v>20</v>
      </c>
      <c r="D979" t="s">
        <v>27</v>
      </c>
      <c r="E979">
        <v>21</v>
      </c>
      <c r="F979">
        <v>0</v>
      </c>
      <c r="J979" s="358" t="str">
        <f t="shared" si="75"/>
        <v>2002FemaleAllEth211</v>
      </c>
      <c r="K979" s="359">
        <v>2002</v>
      </c>
      <c r="L979" t="s">
        <v>8</v>
      </c>
      <c r="M979" t="s">
        <v>27</v>
      </c>
      <c r="N979">
        <v>21</v>
      </c>
      <c r="O979">
        <v>1</v>
      </c>
      <c r="P979">
        <v>0</v>
      </c>
      <c r="T979" s="358" t="str">
        <f t="shared" si="76"/>
        <v>2000FemaleNon-Maori24Poisoning by gases and vapours</v>
      </c>
      <c r="U979" s="360">
        <v>2000</v>
      </c>
      <c r="V979" s="360" t="s">
        <v>8</v>
      </c>
      <c r="W979" s="360" t="s">
        <v>19</v>
      </c>
      <c r="X979" s="360">
        <v>24</v>
      </c>
      <c r="Y979" s="360" t="s">
        <v>46</v>
      </c>
      <c r="Z979" s="360">
        <v>9</v>
      </c>
      <c r="AA979" s="360">
        <v>21</v>
      </c>
      <c r="AB979" s="360">
        <v>42.9</v>
      </c>
    </row>
    <row r="980" spans="1:28" x14ac:dyDescent="0.2">
      <c r="A980" t="str">
        <f t="shared" si="74"/>
        <v>2013MaleAllEth22</v>
      </c>
      <c r="B980">
        <v>2013</v>
      </c>
      <c r="C980" t="s">
        <v>20</v>
      </c>
      <c r="D980" t="s">
        <v>27</v>
      </c>
      <c r="E980">
        <v>22</v>
      </c>
      <c r="F980">
        <v>74</v>
      </c>
      <c r="G980">
        <v>23.131505735988199</v>
      </c>
      <c r="H980">
        <v>5.3</v>
      </c>
      <c r="J980" s="358" t="str">
        <f t="shared" si="75"/>
        <v>2002FemaleAllEth212</v>
      </c>
      <c r="K980" s="359">
        <v>2002</v>
      </c>
      <c r="L980" t="s">
        <v>8</v>
      </c>
      <c r="M980" t="s">
        <v>27</v>
      </c>
      <c r="N980">
        <v>21</v>
      </c>
      <c r="O980">
        <v>2</v>
      </c>
      <c r="P980">
        <v>0</v>
      </c>
      <c r="T980" s="358" t="str">
        <f t="shared" si="76"/>
        <v>2000FemaleNon-Maori25Poisoning by gases and vapours</v>
      </c>
      <c r="U980" s="360">
        <v>2000</v>
      </c>
      <c r="V980" s="360" t="s">
        <v>8</v>
      </c>
      <c r="W980" s="360" t="s">
        <v>19</v>
      </c>
      <c r="X980" s="360">
        <v>25</v>
      </c>
      <c r="Y980" s="360" t="s">
        <v>46</v>
      </c>
      <c r="Z980" s="360">
        <v>1</v>
      </c>
      <c r="AA980" s="360">
        <v>6</v>
      </c>
      <c r="AB980" s="360">
        <v>16.7</v>
      </c>
    </row>
    <row r="981" spans="1:28" x14ac:dyDescent="0.2">
      <c r="A981" t="str">
        <f t="shared" si="74"/>
        <v>2013MaleAllEth23</v>
      </c>
      <c r="B981">
        <v>2013</v>
      </c>
      <c r="C981" t="s">
        <v>20</v>
      </c>
      <c r="D981" t="s">
        <v>27</v>
      </c>
      <c r="E981">
        <v>23</v>
      </c>
      <c r="F981">
        <v>114</v>
      </c>
      <c r="G981">
        <v>20.807476089654699</v>
      </c>
      <c r="H981">
        <v>3.8</v>
      </c>
      <c r="J981" s="358" t="str">
        <f t="shared" si="75"/>
        <v>2002FemaleAllEth213</v>
      </c>
      <c r="K981" s="359">
        <v>2002</v>
      </c>
      <c r="L981" t="s">
        <v>8</v>
      </c>
      <c r="M981" t="s">
        <v>27</v>
      </c>
      <c r="N981">
        <v>21</v>
      </c>
      <c r="O981">
        <v>3</v>
      </c>
      <c r="P981">
        <v>0</v>
      </c>
      <c r="T981" s="358" t="str">
        <f t="shared" si="76"/>
        <v>2000FemaleNon-Maori22Poisoning by solids and liquids</v>
      </c>
      <c r="U981" s="360">
        <v>2000</v>
      </c>
      <c r="V981" s="360" t="s">
        <v>8</v>
      </c>
      <c r="W981" s="360" t="s">
        <v>19</v>
      </c>
      <c r="X981" s="360">
        <v>22</v>
      </c>
      <c r="Y981" s="360" t="s">
        <v>47</v>
      </c>
      <c r="Z981" s="360">
        <v>1</v>
      </c>
      <c r="AA981" s="360">
        <v>11</v>
      </c>
      <c r="AB981" s="360">
        <v>9.1</v>
      </c>
    </row>
    <row r="982" spans="1:28" x14ac:dyDescent="0.2">
      <c r="A982" t="str">
        <f t="shared" si="74"/>
        <v>2013MaleAllEth24</v>
      </c>
      <c r="B982">
        <v>2013</v>
      </c>
      <c r="C982" t="s">
        <v>20</v>
      </c>
      <c r="D982" t="s">
        <v>27</v>
      </c>
      <c r="E982">
        <v>24</v>
      </c>
      <c r="F982">
        <v>130</v>
      </c>
      <c r="G982">
        <v>23.546885471571699</v>
      </c>
      <c r="H982">
        <v>4</v>
      </c>
      <c r="J982" s="358" t="str">
        <f t="shared" si="75"/>
        <v>2002FemaleAllEth214</v>
      </c>
      <c r="K982" s="359">
        <v>2002</v>
      </c>
      <c r="L982" t="s">
        <v>8</v>
      </c>
      <c r="M982" t="s">
        <v>27</v>
      </c>
      <c r="N982">
        <v>21</v>
      </c>
      <c r="O982">
        <v>4</v>
      </c>
      <c r="P982">
        <v>0</v>
      </c>
      <c r="T982" s="358" t="str">
        <f t="shared" si="76"/>
        <v>2000FemaleNon-Maori23Poisoning by solids and liquids</v>
      </c>
      <c r="U982" s="360">
        <v>2000</v>
      </c>
      <c r="V982" s="360" t="s">
        <v>8</v>
      </c>
      <c r="W982" s="360" t="s">
        <v>19</v>
      </c>
      <c r="X982" s="360">
        <v>23</v>
      </c>
      <c r="Y982" s="360" t="s">
        <v>47</v>
      </c>
      <c r="Z982" s="360">
        <v>10</v>
      </c>
      <c r="AA982" s="360">
        <v>33</v>
      </c>
      <c r="AB982" s="360">
        <v>30.3</v>
      </c>
    </row>
    <row r="983" spans="1:28" x14ac:dyDescent="0.2">
      <c r="A983" t="str">
        <f t="shared" si="74"/>
        <v>2013MaleAllEth25</v>
      </c>
      <c r="B983">
        <v>2013</v>
      </c>
      <c r="C983" t="s">
        <v>20</v>
      </c>
      <c r="D983" t="s">
        <v>27</v>
      </c>
      <c r="E983">
        <v>25</v>
      </c>
      <c r="F983">
        <v>48</v>
      </c>
      <c r="G983">
        <v>16.625103906899401</v>
      </c>
      <c r="H983">
        <v>4.7</v>
      </c>
      <c r="J983" s="358" t="str">
        <f t="shared" si="75"/>
        <v>2002FemaleAllEth215</v>
      </c>
      <c r="K983" s="359">
        <v>2002</v>
      </c>
      <c r="L983" t="s">
        <v>8</v>
      </c>
      <c r="M983" t="s">
        <v>27</v>
      </c>
      <c r="N983">
        <v>21</v>
      </c>
      <c r="O983">
        <v>5</v>
      </c>
      <c r="P983">
        <v>0</v>
      </c>
      <c r="T983" s="358" t="str">
        <f t="shared" si="76"/>
        <v>2000FemaleNon-Maori24Poisoning by solids and liquids</v>
      </c>
      <c r="U983" s="360">
        <v>2000</v>
      </c>
      <c r="V983" s="360" t="s">
        <v>8</v>
      </c>
      <c r="W983" s="360" t="s">
        <v>19</v>
      </c>
      <c r="X983" s="360">
        <v>24</v>
      </c>
      <c r="Y983" s="360" t="s">
        <v>47</v>
      </c>
      <c r="Z983" s="360">
        <v>1</v>
      </c>
      <c r="AA983" s="360">
        <v>21</v>
      </c>
      <c r="AB983" s="360">
        <v>4.8</v>
      </c>
    </row>
    <row r="984" spans="1:28" x14ac:dyDescent="0.2">
      <c r="A984" t="str">
        <f t="shared" si="74"/>
        <v>2013MaleMaori21</v>
      </c>
      <c r="B984">
        <v>2013</v>
      </c>
      <c r="C984" t="s">
        <v>20</v>
      </c>
      <c r="D984" t="s">
        <v>18</v>
      </c>
      <c r="E984">
        <v>21</v>
      </c>
      <c r="F984">
        <v>0</v>
      </c>
      <c r="J984" s="358" t="str">
        <f t="shared" si="75"/>
        <v>2002FemaleAllEth221</v>
      </c>
      <c r="K984" s="359">
        <v>2002</v>
      </c>
      <c r="L984" t="s">
        <v>8</v>
      </c>
      <c r="M984" t="s">
        <v>27</v>
      </c>
      <c r="N984">
        <v>22</v>
      </c>
      <c r="O984">
        <v>1</v>
      </c>
      <c r="P984">
        <v>4</v>
      </c>
      <c r="Q984">
        <v>9.0339301878709897</v>
      </c>
      <c r="R984">
        <v>8.9</v>
      </c>
      <c r="T984" s="358" t="str">
        <f t="shared" si="76"/>
        <v>2000FemaleNon-Maori25Poisoning by solids and liquids</v>
      </c>
      <c r="U984" s="360">
        <v>2000</v>
      </c>
      <c r="V984" s="360" t="s">
        <v>8</v>
      </c>
      <c r="W984" s="360" t="s">
        <v>19</v>
      </c>
      <c r="X984" s="360">
        <v>25</v>
      </c>
      <c r="Y984" s="360" t="s">
        <v>47</v>
      </c>
      <c r="Z984" s="360">
        <v>3</v>
      </c>
      <c r="AA984" s="360">
        <v>6</v>
      </c>
      <c r="AB984" s="360">
        <v>50</v>
      </c>
    </row>
    <row r="985" spans="1:28" x14ac:dyDescent="0.2">
      <c r="A985" t="str">
        <f t="shared" si="74"/>
        <v>2013MaleMaori22</v>
      </c>
      <c r="B985">
        <v>2013</v>
      </c>
      <c r="C985" t="s">
        <v>20</v>
      </c>
      <c r="D985" t="s">
        <v>18</v>
      </c>
      <c r="E985">
        <v>22</v>
      </c>
      <c r="F985">
        <v>30</v>
      </c>
      <c r="G985">
        <v>47.169811320754697</v>
      </c>
      <c r="H985">
        <v>16.899999999999999</v>
      </c>
      <c r="J985" s="358" t="str">
        <f t="shared" si="75"/>
        <v>2002FemaleAllEth222</v>
      </c>
      <c r="K985" s="359">
        <v>2002</v>
      </c>
      <c r="L985" t="s">
        <v>8</v>
      </c>
      <c r="M985" t="s">
        <v>27</v>
      </c>
      <c r="N985">
        <v>22</v>
      </c>
      <c r="O985">
        <v>2</v>
      </c>
      <c r="P985">
        <v>3</v>
      </c>
      <c r="Q985">
        <v>6.3173241967454699</v>
      </c>
      <c r="R985">
        <v>7.1</v>
      </c>
      <c r="T985" s="358" t="str">
        <f t="shared" si="76"/>
        <v>2000FemaleNon-Maori23Sharp object</v>
      </c>
      <c r="U985" s="360">
        <v>2000</v>
      </c>
      <c r="V985" s="360" t="s">
        <v>8</v>
      </c>
      <c r="W985" s="360" t="s">
        <v>19</v>
      </c>
      <c r="X985" s="360">
        <v>23</v>
      </c>
      <c r="Y985" s="360" t="s">
        <v>48</v>
      </c>
      <c r="Z985" s="360">
        <v>1</v>
      </c>
      <c r="AA985" s="360">
        <v>33</v>
      </c>
      <c r="AB985" s="360">
        <v>3</v>
      </c>
    </row>
    <row r="986" spans="1:28" x14ac:dyDescent="0.2">
      <c r="A986" t="str">
        <f t="shared" si="74"/>
        <v>2013MaleMaori23</v>
      </c>
      <c r="B986">
        <v>2013</v>
      </c>
      <c r="C986" t="s">
        <v>20</v>
      </c>
      <c r="D986" t="s">
        <v>18</v>
      </c>
      <c r="E986">
        <v>23</v>
      </c>
      <c r="F986">
        <v>31</v>
      </c>
      <c r="G986">
        <v>40.119063025753803</v>
      </c>
      <c r="H986">
        <v>14.1</v>
      </c>
      <c r="J986" s="358" t="str">
        <f t="shared" si="75"/>
        <v>2002FemaleAllEth223</v>
      </c>
      <c r="K986" s="359">
        <v>2002</v>
      </c>
      <c r="L986" t="s">
        <v>8</v>
      </c>
      <c r="M986" t="s">
        <v>27</v>
      </c>
      <c r="N986">
        <v>22</v>
      </c>
      <c r="O986">
        <v>3</v>
      </c>
      <c r="P986">
        <v>7</v>
      </c>
      <c r="Q986">
        <v>13.394967371770701</v>
      </c>
      <c r="R986">
        <v>9.9</v>
      </c>
      <c r="T986" s="358" t="str">
        <f t="shared" si="76"/>
        <v>2000FemaleNon-Maori25Sharp object</v>
      </c>
      <c r="U986" s="360">
        <v>2000</v>
      </c>
      <c r="V986" s="360" t="s">
        <v>8</v>
      </c>
      <c r="W986" s="360" t="s">
        <v>19</v>
      </c>
      <c r="X986" s="360">
        <v>25</v>
      </c>
      <c r="Y986" s="360" t="s">
        <v>48</v>
      </c>
      <c r="Z986" s="360">
        <v>1</v>
      </c>
      <c r="AA986" s="360">
        <v>6</v>
      </c>
      <c r="AB986" s="360">
        <v>16.7</v>
      </c>
    </row>
    <row r="987" spans="1:28" x14ac:dyDescent="0.2">
      <c r="A987" t="str">
        <f t="shared" si="74"/>
        <v>2013MaleMaori24</v>
      </c>
      <c r="B987">
        <v>2013</v>
      </c>
      <c r="C987" t="s">
        <v>20</v>
      </c>
      <c r="D987" t="s">
        <v>18</v>
      </c>
      <c r="E987">
        <v>24</v>
      </c>
      <c r="F987">
        <v>5</v>
      </c>
      <c r="G987">
        <v>8.3514280942041097</v>
      </c>
      <c r="H987">
        <v>7.3</v>
      </c>
      <c r="J987" s="358" t="str">
        <f t="shared" si="75"/>
        <v>2002FemaleAllEth224</v>
      </c>
      <c r="K987" s="359">
        <v>2002</v>
      </c>
      <c r="L987" t="s">
        <v>8</v>
      </c>
      <c r="M987" t="s">
        <v>27</v>
      </c>
      <c r="N987">
        <v>22</v>
      </c>
      <c r="O987">
        <v>4</v>
      </c>
      <c r="P987">
        <v>7</v>
      </c>
      <c r="Q987">
        <v>11.976066169026501</v>
      </c>
      <c r="R987">
        <v>8.9</v>
      </c>
      <c r="T987" s="358" t="str">
        <f t="shared" si="76"/>
        <v>2000FemaleNon-Maori22Submersion (drowning)</v>
      </c>
      <c r="U987" s="360">
        <v>2000</v>
      </c>
      <c r="V987" s="360" t="s">
        <v>8</v>
      </c>
      <c r="W987" s="360" t="s">
        <v>19</v>
      </c>
      <c r="X987" s="360">
        <v>22</v>
      </c>
      <c r="Y987" s="360" t="s">
        <v>49</v>
      </c>
      <c r="Z987" s="360">
        <v>1</v>
      </c>
      <c r="AA987" s="360">
        <v>11</v>
      </c>
      <c r="AB987" s="360">
        <v>9.1</v>
      </c>
    </row>
    <row r="988" spans="1:28" x14ac:dyDescent="0.2">
      <c r="A988" t="str">
        <f t="shared" si="74"/>
        <v>2013MaleMaori25</v>
      </c>
      <c r="B988">
        <v>2013</v>
      </c>
      <c r="C988" t="s">
        <v>20</v>
      </c>
      <c r="D988" t="s">
        <v>18</v>
      </c>
      <c r="E988">
        <v>25</v>
      </c>
      <c r="F988">
        <v>0</v>
      </c>
      <c r="G988">
        <v>0</v>
      </c>
      <c r="J988" s="358" t="str">
        <f t="shared" si="75"/>
        <v>2002FemaleAllEth225</v>
      </c>
      <c r="K988" s="359">
        <v>2002</v>
      </c>
      <c r="L988" t="s">
        <v>8</v>
      </c>
      <c r="M988" t="s">
        <v>27</v>
      </c>
      <c r="N988">
        <v>22</v>
      </c>
      <c r="O988">
        <v>5</v>
      </c>
      <c r="P988">
        <v>7</v>
      </c>
      <c r="Q988">
        <v>10.003475661401399</v>
      </c>
      <c r="R988">
        <v>7.4</v>
      </c>
      <c r="T988" s="358" t="str">
        <f t="shared" si="76"/>
        <v>2000FemaleNon-Maori23Submersion (drowning)</v>
      </c>
      <c r="U988" s="360">
        <v>2000</v>
      </c>
      <c r="V988" s="360" t="s">
        <v>8</v>
      </c>
      <c r="W988" s="360" t="s">
        <v>19</v>
      </c>
      <c r="X988" s="360">
        <v>23</v>
      </c>
      <c r="Y988" s="360" t="s">
        <v>49</v>
      </c>
      <c r="Z988" s="360">
        <v>2</v>
      </c>
      <c r="AA988" s="360">
        <v>33</v>
      </c>
      <c r="AB988" s="360">
        <v>6.1</v>
      </c>
    </row>
    <row r="989" spans="1:28" x14ac:dyDescent="0.2">
      <c r="A989" t="str">
        <f t="shared" si="74"/>
        <v>2013MaleNon-Maori21</v>
      </c>
      <c r="B989">
        <v>2013</v>
      </c>
      <c r="C989" t="s">
        <v>20</v>
      </c>
      <c r="D989" t="s">
        <v>19</v>
      </c>
      <c r="E989">
        <v>21</v>
      </c>
      <c r="F989">
        <v>0</v>
      </c>
      <c r="J989" s="358" t="str">
        <f t="shared" si="75"/>
        <v>2002FemaleAllEth231</v>
      </c>
      <c r="K989" s="359">
        <v>2002</v>
      </c>
      <c r="L989" t="s">
        <v>8</v>
      </c>
      <c r="M989" t="s">
        <v>27</v>
      </c>
      <c r="N989">
        <v>23</v>
      </c>
      <c r="O989">
        <v>1</v>
      </c>
      <c r="P989">
        <v>6</v>
      </c>
      <c r="Q989">
        <v>5.0548955918036897</v>
      </c>
      <c r="R989">
        <v>4</v>
      </c>
      <c r="T989" s="358" t="str">
        <f t="shared" si="76"/>
        <v>2000MaleAllEth22Firearms and explosives</v>
      </c>
      <c r="U989" s="360">
        <v>2000</v>
      </c>
      <c r="V989" s="360" t="s">
        <v>20</v>
      </c>
      <c r="W989" s="360" t="s">
        <v>27</v>
      </c>
      <c r="X989" s="360">
        <v>22</v>
      </c>
      <c r="Y989" s="360" t="s">
        <v>42</v>
      </c>
      <c r="Z989" s="360">
        <v>3</v>
      </c>
      <c r="AA989" s="360">
        <v>81</v>
      </c>
      <c r="AB989" s="360">
        <v>3.7</v>
      </c>
    </row>
    <row r="990" spans="1:28" x14ac:dyDescent="0.2">
      <c r="A990" t="str">
        <f t="shared" si="74"/>
        <v>2013MaleNon-Maori22</v>
      </c>
      <c r="B990">
        <v>2013</v>
      </c>
      <c r="C990" t="s">
        <v>20</v>
      </c>
      <c r="D990" t="s">
        <v>19</v>
      </c>
      <c r="E990">
        <v>22</v>
      </c>
      <c r="F990">
        <v>44</v>
      </c>
      <c r="G990">
        <v>17.1667121844641</v>
      </c>
      <c r="H990">
        <v>5.0999999999999996</v>
      </c>
      <c r="J990" s="358" t="str">
        <f t="shared" si="75"/>
        <v>2002FemaleAllEth232</v>
      </c>
      <c r="K990" s="359">
        <v>2002</v>
      </c>
      <c r="L990" t="s">
        <v>8</v>
      </c>
      <c r="M990" t="s">
        <v>27</v>
      </c>
      <c r="N990">
        <v>23</v>
      </c>
      <c r="O990">
        <v>2</v>
      </c>
      <c r="P990">
        <v>7</v>
      </c>
      <c r="Q990">
        <v>5.6654950110326903</v>
      </c>
      <c r="R990">
        <v>4.2</v>
      </c>
      <c r="T990" s="358" t="str">
        <f t="shared" si="76"/>
        <v>2000MaleAllEth23Firearms and explosives</v>
      </c>
      <c r="U990" s="360">
        <v>2000</v>
      </c>
      <c r="V990" s="360" t="s">
        <v>20</v>
      </c>
      <c r="W990" s="360" t="s">
        <v>27</v>
      </c>
      <c r="X990" s="360">
        <v>23</v>
      </c>
      <c r="Y990" s="360" t="s">
        <v>42</v>
      </c>
      <c r="Z990" s="360">
        <v>18</v>
      </c>
      <c r="AA990" s="360">
        <v>171</v>
      </c>
      <c r="AB990" s="360">
        <v>10.5</v>
      </c>
    </row>
    <row r="991" spans="1:28" x14ac:dyDescent="0.2">
      <c r="A991" t="str">
        <f t="shared" si="74"/>
        <v>2013MaleNon-Maori23</v>
      </c>
      <c r="B991">
        <v>2013</v>
      </c>
      <c r="C991" t="s">
        <v>20</v>
      </c>
      <c r="D991" t="s">
        <v>19</v>
      </c>
      <c r="E991">
        <v>23</v>
      </c>
      <c r="F991">
        <v>83</v>
      </c>
      <c r="G991">
        <v>17.636684303351</v>
      </c>
      <c r="H991">
        <v>3.8</v>
      </c>
      <c r="J991" s="358" t="str">
        <f t="shared" si="75"/>
        <v>2002FemaleAllEth233</v>
      </c>
      <c r="K991" s="359">
        <v>2002</v>
      </c>
      <c r="L991" t="s">
        <v>8</v>
      </c>
      <c r="M991" t="s">
        <v>27</v>
      </c>
      <c r="N991">
        <v>23</v>
      </c>
      <c r="O991">
        <v>3</v>
      </c>
      <c r="P991">
        <v>10</v>
      </c>
      <c r="Q991">
        <v>8.1623695557930809</v>
      </c>
      <c r="R991">
        <v>5.0999999999999996</v>
      </c>
      <c r="T991" s="358" t="str">
        <f t="shared" si="76"/>
        <v>2000MaleAllEth24Firearms and explosives</v>
      </c>
      <c r="U991" s="360">
        <v>2000</v>
      </c>
      <c r="V991" s="360" t="s">
        <v>20</v>
      </c>
      <c r="W991" s="360" t="s">
        <v>27</v>
      </c>
      <c r="X991" s="360">
        <v>24</v>
      </c>
      <c r="Y991" s="360" t="s">
        <v>42</v>
      </c>
      <c r="Z991" s="360">
        <v>7</v>
      </c>
      <c r="AA991" s="360">
        <v>80</v>
      </c>
      <c r="AB991" s="360">
        <v>8.8000000000000007</v>
      </c>
    </row>
    <row r="992" spans="1:28" x14ac:dyDescent="0.2">
      <c r="A992" t="str">
        <f t="shared" si="74"/>
        <v>2013MaleNon-Maori24</v>
      </c>
      <c r="B992">
        <v>2013</v>
      </c>
      <c r="C992" t="s">
        <v>20</v>
      </c>
      <c r="D992" t="s">
        <v>19</v>
      </c>
      <c r="E992">
        <v>24</v>
      </c>
      <c r="F992">
        <v>125</v>
      </c>
      <c r="G992">
        <v>25.395148510828498</v>
      </c>
      <c r="H992">
        <v>4.5</v>
      </c>
      <c r="J992" s="358" t="str">
        <f t="shared" si="75"/>
        <v>2002FemaleAllEth234</v>
      </c>
      <c r="K992" s="359">
        <v>2002</v>
      </c>
      <c r="L992" t="s">
        <v>8</v>
      </c>
      <c r="M992" t="s">
        <v>27</v>
      </c>
      <c r="N992">
        <v>23</v>
      </c>
      <c r="O992">
        <v>4</v>
      </c>
      <c r="P992">
        <v>8</v>
      </c>
      <c r="Q992">
        <v>6.6616732017284503</v>
      </c>
      <c r="R992">
        <v>4.5999999999999996</v>
      </c>
      <c r="T992" s="358" t="str">
        <f t="shared" si="76"/>
        <v>2000MaleAllEth25Firearms and explosives</v>
      </c>
      <c r="U992" s="360">
        <v>2000</v>
      </c>
      <c r="V992" s="360" t="s">
        <v>20</v>
      </c>
      <c r="W992" s="360" t="s">
        <v>27</v>
      </c>
      <c r="X992" s="360">
        <v>25</v>
      </c>
      <c r="Y992" s="360" t="s">
        <v>42</v>
      </c>
      <c r="Z992" s="360">
        <v>7</v>
      </c>
      <c r="AA992" s="360">
        <v>41</v>
      </c>
      <c r="AB992" s="360">
        <v>17.100000000000001</v>
      </c>
    </row>
    <row r="993" spans="1:28" x14ac:dyDescent="0.2">
      <c r="A993" t="str">
        <f t="shared" si="74"/>
        <v>2013MaleNon-Maori25</v>
      </c>
      <c r="B993">
        <v>2013</v>
      </c>
      <c r="C993" t="s">
        <v>20</v>
      </c>
      <c r="D993" t="s">
        <v>19</v>
      </c>
      <c r="E993">
        <v>25</v>
      </c>
      <c r="F993">
        <v>48</v>
      </c>
      <c r="G993">
        <v>17.635388345947501</v>
      </c>
      <c r="H993">
        <v>5</v>
      </c>
      <c r="J993" s="358" t="str">
        <f t="shared" si="75"/>
        <v>2002FemaleAllEth235</v>
      </c>
      <c r="K993" s="359">
        <v>2002</v>
      </c>
      <c r="L993" t="s">
        <v>8</v>
      </c>
      <c r="M993" t="s">
        <v>27</v>
      </c>
      <c r="N993">
        <v>23</v>
      </c>
      <c r="O993">
        <v>5</v>
      </c>
      <c r="P993">
        <v>11</v>
      </c>
      <c r="Q993">
        <v>9.5915035351418201</v>
      </c>
      <c r="R993">
        <v>5.7</v>
      </c>
      <c r="T993" s="358" t="str">
        <f t="shared" si="76"/>
        <v>2000MaleAllEth21Hanging, strangulation and suffocation</v>
      </c>
      <c r="U993" s="360">
        <v>2000</v>
      </c>
      <c r="V993" s="360" t="s">
        <v>20</v>
      </c>
      <c r="W993" s="360" t="s">
        <v>27</v>
      </c>
      <c r="X993" s="360">
        <v>21</v>
      </c>
      <c r="Y993" s="360" t="s">
        <v>43</v>
      </c>
      <c r="Z993" s="360">
        <v>2</v>
      </c>
      <c r="AA993" s="360">
        <v>3</v>
      </c>
      <c r="AB993" s="360">
        <v>66.7</v>
      </c>
    </row>
    <row r="994" spans="1:28" x14ac:dyDescent="0.2">
      <c r="A994" t="str">
        <f t="shared" si="74"/>
        <v>2014AllSexAllEth21</v>
      </c>
      <c r="B994">
        <v>2014</v>
      </c>
      <c r="C994" t="s">
        <v>17</v>
      </c>
      <c r="D994" t="s">
        <v>27</v>
      </c>
      <c r="E994">
        <v>21</v>
      </c>
      <c r="F994">
        <v>5</v>
      </c>
      <c r="J994" s="358" t="str">
        <f t="shared" si="75"/>
        <v>2002FemaleAllEth241</v>
      </c>
      <c r="K994" s="359">
        <v>2002</v>
      </c>
      <c r="L994" t="s">
        <v>8</v>
      </c>
      <c r="M994" t="s">
        <v>27</v>
      </c>
      <c r="N994">
        <v>24</v>
      </c>
      <c r="O994">
        <v>1</v>
      </c>
      <c r="P994">
        <v>5</v>
      </c>
      <c r="Q994">
        <v>4.5963054760507802</v>
      </c>
      <c r="R994">
        <v>4</v>
      </c>
      <c r="T994" s="358" t="str">
        <f t="shared" si="76"/>
        <v>2000MaleAllEth22Hanging, strangulation and suffocation</v>
      </c>
      <c r="U994" s="360">
        <v>2000</v>
      </c>
      <c r="V994" s="360" t="s">
        <v>20</v>
      </c>
      <c r="W994" s="360" t="s">
        <v>27</v>
      </c>
      <c r="X994" s="360">
        <v>22</v>
      </c>
      <c r="Y994" s="360" t="s">
        <v>43</v>
      </c>
      <c r="Z994" s="360">
        <v>53</v>
      </c>
      <c r="AA994" s="360">
        <v>81</v>
      </c>
      <c r="AB994" s="360">
        <v>65.400000000000006</v>
      </c>
    </row>
    <row r="995" spans="1:28" x14ac:dyDescent="0.2">
      <c r="A995" t="str">
        <f t="shared" si="74"/>
        <v>2014AllSexAllEth22</v>
      </c>
      <c r="B995">
        <v>2014</v>
      </c>
      <c r="C995" t="s">
        <v>17</v>
      </c>
      <c r="D995" t="s">
        <v>27</v>
      </c>
      <c r="E995">
        <v>22</v>
      </c>
      <c r="F995">
        <v>90</v>
      </c>
      <c r="G995">
        <v>14.0515222482436</v>
      </c>
      <c r="H995">
        <v>2.9</v>
      </c>
      <c r="J995" s="358" t="str">
        <f t="shared" si="75"/>
        <v>2002FemaleAllEth242</v>
      </c>
      <c r="K995" s="359">
        <v>2002</v>
      </c>
      <c r="L995" t="s">
        <v>8</v>
      </c>
      <c r="M995" t="s">
        <v>27</v>
      </c>
      <c r="N995">
        <v>24</v>
      </c>
      <c r="O995">
        <v>2</v>
      </c>
      <c r="P995">
        <v>2</v>
      </c>
      <c r="Q995">
        <v>2.06261884880624</v>
      </c>
      <c r="R995">
        <v>2.9</v>
      </c>
      <c r="T995" s="358" t="str">
        <f t="shared" si="76"/>
        <v>2000MaleAllEth23Hanging, strangulation and suffocation</v>
      </c>
      <c r="U995" s="360">
        <v>2000</v>
      </c>
      <c r="V995" s="360" t="s">
        <v>20</v>
      </c>
      <c r="W995" s="360" t="s">
        <v>27</v>
      </c>
      <c r="X995" s="360">
        <v>23</v>
      </c>
      <c r="Y995" s="360" t="s">
        <v>43</v>
      </c>
      <c r="Z995" s="360">
        <v>86</v>
      </c>
      <c r="AA995" s="360">
        <v>171</v>
      </c>
      <c r="AB995" s="360">
        <v>50.3</v>
      </c>
    </row>
    <row r="996" spans="1:28" x14ac:dyDescent="0.2">
      <c r="A996" t="str">
        <f t="shared" si="74"/>
        <v>2014AllSexAllEth23</v>
      </c>
      <c r="B996">
        <v>2014</v>
      </c>
      <c r="C996" t="s">
        <v>17</v>
      </c>
      <c r="D996" t="s">
        <v>27</v>
      </c>
      <c r="E996">
        <v>23</v>
      </c>
      <c r="F996">
        <v>190</v>
      </c>
      <c r="G996">
        <v>16.415679565934902</v>
      </c>
      <c r="H996">
        <v>2.2999999999999998</v>
      </c>
      <c r="J996" s="358" t="str">
        <f t="shared" si="75"/>
        <v>2002FemaleAllEth243</v>
      </c>
      <c r="K996" s="359">
        <v>2002</v>
      </c>
      <c r="L996" t="s">
        <v>8</v>
      </c>
      <c r="M996" t="s">
        <v>27</v>
      </c>
      <c r="N996">
        <v>24</v>
      </c>
      <c r="O996">
        <v>3</v>
      </c>
      <c r="P996">
        <v>1</v>
      </c>
      <c r="Q996">
        <v>1.13341128151294</v>
      </c>
      <c r="R996">
        <v>2.2000000000000002</v>
      </c>
      <c r="T996" s="358" t="str">
        <f t="shared" si="76"/>
        <v>2000MaleAllEth24Hanging, strangulation and suffocation</v>
      </c>
      <c r="U996" s="360">
        <v>2000</v>
      </c>
      <c r="V996" s="360" t="s">
        <v>20</v>
      </c>
      <c r="W996" s="360" t="s">
        <v>27</v>
      </c>
      <c r="X996" s="360">
        <v>24</v>
      </c>
      <c r="Y996" s="360" t="s">
        <v>43</v>
      </c>
      <c r="Z996" s="360">
        <v>29</v>
      </c>
      <c r="AA996" s="360">
        <v>80</v>
      </c>
      <c r="AB996" s="360">
        <v>36.200000000000003</v>
      </c>
    </row>
    <row r="997" spans="1:28" x14ac:dyDescent="0.2">
      <c r="A997" t="str">
        <f t="shared" si="74"/>
        <v>2014AllSexAllEth24</v>
      </c>
      <c r="B997">
        <v>2014</v>
      </c>
      <c r="C997" t="s">
        <v>17</v>
      </c>
      <c r="D997" t="s">
        <v>27</v>
      </c>
      <c r="E997">
        <v>24</v>
      </c>
      <c r="F997">
        <v>164</v>
      </c>
      <c r="G997">
        <v>14.214394674802399</v>
      </c>
      <c r="H997">
        <v>2.2000000000000002</v>
      </c>
      <c r="J997" s="358" t="str">
        <f t="shared" si="75"/>
        <v>2002FemaleAllEth244</v>
      </c>
      <c r="K997" s="359">
        <v>2002</v>
      </c>
      <c r="L997" t="s">
        <v>8</v>
      </c>
      <c r="M997" t="s">
        <v>27</v>
      </c>
      <c r="N997">
        <v>24</v>
      </c>
      <c r="O997">
        <v>4</v>
      </c>
      <c r="P997">
        <v>10</v>
      </c>
      <c r="Q997">
        <v>12.348261488423701</v>
      </c>
      <c r="R997">
        <v>7.7</v>
      </c>
      <c r="T997" s="358" t="str">
        <f t="shared" si="76"/>
        <v>2000MaleAllEth25Hanging, strangulation and suffocation</v>
      </c>
      <c r="U997" s="360">
        <v>2000</v>
      </c>
      <c r="V997" s="360" t="s">
        <v>20</v>
      </c>
      <c r="W997" s="360" t="s">
        <v>27</v>
      </c>
      <c r="X997" s="360">
        <v>25</v>
      </c>
      <c r="Y997" s="360" t="s">
        <v>43</v>
      </c>
      <c r="Z997" s="360">
        <v>16</v>
      </c>
      <c r="AA997" s="360">
        <v>41</v>
      </c>
      <c r="AB997" s="360">
        <v>39</v>
      </c>
    </row>
    <row r="998" spans="1:28" x14ac:dyDescent="0.2">
      <c r="A998" t="str">
        <f t="shared" si="74"/>
        <v>2014AllSexAllEth25</v>
      </c>
      <c r="B998">
        <v>2014</v>
      </c>
      <c r="C998" t="s">
        <v>17</v>
      </c>
      <c r="D998" t="s">
        <v>27</v>
      </c>
      <c r="E998">
        <v>25</v>
      </c>
      <c r="F998">
        <v>60</v>
      </c>
      <c r="G998">
        <v>9.2238158926347804</v>
      </c>
      <c r="H998">
        <v>2.2999999999999998</v>
      </c>
      <c r="J998" s="358" t="str">
        <f t="shared" si="75"/>
        <v>2002FemaleAllEth245</v>
      </c>
      <c r="K998" s="359">
        <v>2002</v>
      </c>
      <c r="L998" t="s">
        <v>8</v>
      </c>
      <c r="M998" t="s">
        <v>27</v>
      </c>
      <c r="N998">
        <v>24</v>
      </c>
      <c r="O998">
        <v>5</v>
      </c>
      <c r="P998">
        <v>4</v>
      </c>
      <c r="Q998">
        <v>5.5462669008846603</v>
      </c>
      <c r="R998">
        <v>5.4</v>
      </c>
      <c r="T998" s="358" t="str">
        <f t="shared" si="76"/>
        <v>2000MaleAllEth22Jumping from a high place</v>
      </c>
      <c r="U998" s="360">
        <v>2000</v>
      </c>
      <c r="V998" s="360" t="s">
        <v>20</v>
      </c>
      <c r="W998" s="360" t="s">
        <v>27</v>
      </c>
      <c r="X998" s="360">
        <v>22</v>
      </c>
      <c r="Y998" s="360" t="s">
        <v>44</v>
      </c>
      <c r="Z998" s="360">
        <v>4</v>
      </c>
      <c r="AA998" s="360">
        <v>81</v>
      </c>
      <c r="AB998" s="360">
        <v>4.9000000000000004</v>
      </c>
    </row>
    <row r="999" spans="1:28" x14ac:dyDescent="0.2">
      <c r="A999" t="str">
        <f t="shared" si="74"/>
        <v>2014AllSexMaori21</v>
      </c>
      <c r="B999">
        <v>2014</v>
      </c>
      <c r="C999" t="s">
        <v>17</v>
      </c>
      <c r="D999" t="s">
        <v>18</v>
      </c>
      <c r="E999">
        <v>21</v>
      </c>
      <c r="F999">
        <v>2</v>
      </c>
      <c r="J999" s="358" t="str">
        <f t="shared" si="75"/>
        <v>2002FemaleAllEth251</v>
      </c>
      <c r="K999" s="359">
        <v>2002</v>
      </c>
      <c r="L999" t="s">
        <v>8</v>
      </c>
      <c r="M999" t="s">
        <v>27</v>
      </c>
      <c r="N999">
        <v>25</v>
      </c>
      <c r="O999">
        <v>1</v>
      </c>
      <c r="P999">
        <v>3</v>
      </c>
      <c r="Q999">
        <v>6.3016298547104599</v>
      </c>
      <c r="R999">
        <v>7.1</v>
      </c>
      <c r="T999" s="358" t="str">
        <f t="shared" si="76"/>
        <v>2000MaleAllEth23Jumping from a high place</v>
      </c>
      <c r="U999" s="360">
        <v>2000</v>
      </c>
      <c r="V999" s="360" t="s">
        <v>20</v>
      </c>
      <c r="W999" s="360" t="s">
        <v>27</v>
      </c>
      <c r="X999" s="360">
        <v>23</v>
      </c>
      <c r="Y999" s="360" t="s">
        <v>44</v>
      </c>
      <c r="Z999" s="360">
        <v>2</v>
      </c>
      <c r="AA999" s="360">
        <v>171</v>
      </c>
      <c r="AB999" s="360">
        <v>1.2</v>
      </c>
    </row>
    <row r="1000" spans="1:28" x14ac:dyDescent="0.2">
      <c r="A1000" t="str">
        <f t="shared" si="74"/>
        <v>2014AllSexMaori22</v>
      </c>
      <c r="B1000">
        <v>2014</v>
      </c>
      <c r="C1000" t="s">
        <v>17</v>
      </c>
      <c r="D1000" t="s">
        <v>18</v>
      </c>
      <c r="E1000">
        <v>22</v>
      </c>
      <c r="F1000">
        <v>28</v>
      </c>
      <c r="G1000">
        <v>21.611608521148501</v>
      </c>
      <c r="H1000">
        <v>8</v>
      </c>
      <c r="J1000" s="358" t="str">
        <f t="shared" si="75"/>
        <v>2002FemaleAllEth252</v>
      </c>
      <c r="K1000" s="359">
        <v>2002</v>
      </c>
      <c r="L1000" t="s">
        <v>8</v>
      </c>
      <c r="M1000" t="s">
        <v>27</v>
      </c>
      <c r="N1000">
        <v>25</v>
      </c>
      <c r="O1000">
        <v>2</v>
      </c>
      <c r="P1000">
        <v>2</v>
      </c>
      <c r="Q1000">
        <v>3.7405577026857699</v>
      </c>
      <c r="R1000">
        <v>5.2</v>
      </c>
      <c r="T1000" s="358" t="str">
        <f t="shared" si="76"/>
        <v>2000MaleAllEth24Jumping from a high place</v>
      </c>
      <c r="U1000" s="360">
        <v>2000</v>
      </c>
      <c r="V1000" s="360" t="s">
        <v>20</v>
      </c>
      <c r="W1000" s="360" t="s">
        <v>27</v>
      </c>
      <c r="X1000" s="360">
        <v>24</v>
      </c>
      <c r="Y1000" s="360" t="s">
        <v>44</v>
      </c>
      <c r="Z1000" s="360">
        <v>2</v>
      </c>
      <c r="AA1000" s="360">
        <v>80</v>
      </c>
      <c r="AB1000" s="360">
        <v>2.5</v>
      </c>
    </row>
    <row r="1001" spans="1:28" x14ac:dyDescent="0.2">
      <c r="A1001" t="str">
        <f t="shared" si="74"/>
        <v>2014AllSexMaori23</v>
      </c>
      <c r="B1001">
        <v>2014</v>
      </c>
      <c r="C1001" t="s">
        <v>17</v>
      </c>
      <c r="D1001" t="s">
        <v>18</v>
      </c>
      <c r="E1001">
        <v>23</v>
      </c>
      <c r="F1001">
        <v>51</v>
      </c>
      <c r="G1001">
        <v>30.236556589790698</v>
      </c>
      <c r="H1001">
        <v>8.3000000000000007</v>
      </c>
      <c r="J1001" s="358" t="str">
        <f t="shared" si="75"/>
        <v>2002FemaleAllEth253</v>
      </c>
      <c r="K1001" s="359">
        <v>2002</v>
      </c>
      <c r="L1001" t="s">
        <v>8</v>
      </c>
      <c r="M1001" t="s">
        <v>27</v>
      </c>
      <c r="N1001">
        <v>25</v>
      </c>
      <c r="O1001">
        <v>3</v>
      </c>
      <c r="P1001">
        <v>0</v>
      </c>
      <c r="Q1001">
        <v>0</v>
      </c>
      <c r="T1001" s="358" t="str">
        <f t="shared" si="76"/>
        <v>2000MaleAllEth25Jumping from a high place</v>
      </c>
      <c r="U1001" s="360">
        <v>2000</v>
      </c>
      <c r="V1001" s="360" t="s">
        <v>20</v>
      </c>
      <c r="W1001" s="360" t="s">
        <v>27</v>
      </c>
      <c r="X1001" s="360">
        <v>25</v>
      </c>
      <c r="Y1001" s="360" t="s">
        <v>44</v>
      </c>
      <c r="Z1001" s="360">
        <v>3</v>
      </c>
      <c r="AA1001" s="360">
        <v>41</v>
      </c>
      <c r="AB1001" s="360">
        <v>7.3</v>
      </c>
    </row>
    <row r="1002" spans="1:28" x14ac:dyDescent="0.2">
      <c r="A1002" t="str">
        <f t="shared" si="74"/>
        <v>2014AllSexMaori24</v>
      </c>
      <c r="B1002">
        <v>2014</v>
      </c>
      <c r="C1002" t="s">
        <v>17</v>
      </c>
      <c r="D1002" t="s">
        <v>18</v>
      </c>
      <c r="E1002">
        <v>24</v>
      </c>
      <c r="F1002">
        <v>11</v>
      </c>
      <c r="G1002">
        <v>8.4207303069738995</v>
      </c>
      <c r="H1002">
        <v>5</v>
      </c>
      <c r="J1002" s="358" t="str">
        <f t="shared" si="75"/>
        <v>2002FemaleAllEth254</v>
      </c>
      <c r="K1002" s="359">
        <v>2002</v>
      </c>
      <c r="L1002" t="s">
        <v>8</v>
      </c>
      <c r="M1002" t="s">
        <v>27</v>
      </c>
      <c r="N1002">
        <v>25</v>
      </c>
      <c r="O1002">
        <v>4</v>
      </c>
      <c r="P1002">
        <v>2</v>
      </c>
      <c r="Q1002">
        <v>3.38092545624608</v>
      </c>
      <c r="R1002">
        <v>4.7</v>
      </c>
      <c r="T1002" s="358" t="str">
        <f t="shared" si="76"/>
        <v>2000MaleAllEth21Other</v>
      </c>
      <c r="U1002" s="360">
        <v>2000</v>
      </c>
      <c r="V1002" s="360" t="s">
        <v>20</v>
      </c>
      <c r="W1002" s="360" t="s">
        <v>27</v>
      </c>
      <c r="X1002" s="360">
        <v>21</v>
      </c>
      <c r="Y1002" s="360" t="s">
        <v>45</v>
      </c>
      <c r="Z1002" s="360">
        <v>1</v>
      </c>
      <c r="AA1002" s="360">
        <v>3</v>
      </c>
      <c r="AB1002" s="360">
        <v>33.299999999999997</v>
      </c>
    </row>
    <row r="1003" spans="1:28" x14ac:dyDescent="0.2">
      <c r="A1003" t="str">
        <f t="shared" si="74"/>
        <v>2014AllSexMaori25</v>
      </c>
      <c r="B1003">
        <v>2014</v>
      </c>
      <c r="C1003" t="s">
        <v>17</v>
      </c>
      <c r="D1003" t="s">
        <v>18</v>
      </c>
      <c r="E1003">
        <v>25</v>
      </c>
      <c r="F1003">
        <v>0</v>
      </c>
      <c r="G1003">
        <v>0</v>
      </c>
      <c r="J1003" s="358" t="str">
        <f t="shared" si="75"/>
        <v>2002FemaleAllEth255</v>
      </c>
      <c r="K1003" s="359">
        <v>2002</v>
      </c>
      <c r="L1003" t="s">
        <v>8</v>
      </c>
      <c r="M1003" t="s">
        <v>27</v>
      </c>
      <c r="N1003">
        <v>25</v>
      </c>
      <c r="O1003">
        <v>5</v>
      </c>
      <c r="P1003">
        <v>5</v>
      </c>
      <c r="Q1003">
        <v>11.098114632826301</v>
      </c>
      <c r="R1003">
        <v>9.6999999999999993</v>
      </c>
      <c r="T1003" s="358" t="str">
        <f t="shared" si="76"/>
        <v>2000MaleAllEth22Other</v>
      </c>
      <c r="U1003" s="360">
        <v>2000</v>
      </c>
      <c r="V1003" s="360" t="s">
        <v>20</v>
      </c>
      <c r="W1003" s="360" t="s">
        <v>27</v>
      </c>
      <c r="X1003" s="360">
        <v>22</v>
      </c>
      <c r="Y1003" s="360" t="s">
        <v>45</v>
      </c>
      <c r="Z1003" s="360">
        <v>4</v>
      </c>
      <c r="AA1003" s="360">
        <v>81</v>
      </c>
      <c r="AB1003" s="360">
        <v>4.9000000000000004</v>
      </c>
    </row>
    <row r="1004" spans="1:28" x14ac:dyDescent="0.2">
      <c r="A1004" t="str">
        <f t="shared" si="74"/>
        <v>2014AllSexNon-Maori21</v>
      </c>
      <c r="B1004">
        <v>2014</v>
      </c>
      <c r="C1004" t="s">
        <v>17</v>
      </c>
      <c r="D1004" t="s">
        <v>19</v>
      </c>
      <c r="E1004">
        <v>21</v>
      </c>
      <c r="F1004">
        <v>3</v>
      </c>
      <c r="J1004" s="358" t="str">
        <f t="shared" si="75"/>
        <v>2002FemaleMaori211</v>
      </c>
      <c r="K1004" s="359">
        <v>2002</v>
      </c>
      <c r="L1004" t="s">
        <v>8</v>
      </c>
      <c r="M1004" t="s">
        <v>18</v>
      </c>
      <c r="N1004">
        <v>21</v>
      </c>
      <c r="O1004">
        <v>1</v>
      </c>
      <c r="P1004">
        <v>0</v>
      </c>
      <c r="T1004" s="358" t="str">
        <f t="shared" si="76"/>
        <v>2000MaleAllEth23Other</v>
      </c>
      <c r="U1004" s="360">
        <v>2000</v>
      </c>
      <c r="V1004" s="360" t="s">
        <v>20</v>
      </c>
      <c r="W1004" s="360" t="s">
        <v>27</v>
      </c>
      <c r="X1004" s="360">
        <v>23</v>
      </c>
      <c r="Y1004" s="360" t="s">
        <v>45</v>
      </c>
      <c r="Z1004" s="360">
        <v>7</v>
      </c>
      <c r="AA1004" s="360">
        <v>171</v>
      </c>
      <c r="AB1004" s="360">
        <v>4.0999999999999996</v>
      </c>
    </row>
    <row r="1005" spans="1:28" x14ac:dyDescent="0.2">
      <c r="A1005" t="str">
        <f t="shared" si="74"/>
        <v>2014AllSexNon-Maori22</v>
      </c>
      <c r="B1005">
        <v>2014</v>
      </c>
      <c r="C1005" t="s">
        <v>17</v>
      </c>
      <c r="D1005" t="s">
        <v>19</v>
      </c>
      <c r="E1005">
        <v>22</v>
      </c>
      <c r="F1005">
        <v>62</v>
      </c>
      <c r="G1005">
        <v>12.134497201236901</v>
      </c>
      <c r="H1005">
        <v>3</v>
      </c>
      <c r="J1005" s="358" t="str">
        <f t="shared" si="75"/>
        <v>2002FemaleMaori212</v>
      </c>
      <c r="K1005" s="359">
        <v>2002</v>
      </c>
      <c r="L1005" t="s">
        <v>8</v>
      </c>
      <c r="M1005" t="s">
        <v>18</v>
      </c>
      <c r="N1005">
        <v>21</v>
      </c>
      <c r="O1005">
        <v>2</v>
      </c>
      <c r="P1005">
        <v>0</v>
      </c>
      <c r="T1005" s="358" t="str">
        <f t="shared" si="76"/>
        <v>2000MaleAllEth24Other</v>
      </c>
      <c r="U1005" s="360">
        <v>2000</v>
      </c>
      <c r="V1005" s="360" t="s">
        <v>20</v>
      </c>
      <c r="W1005" s="360" t="s">
        <v>27</v>
      </c>
      <c r="X1005" s="360">
        <v>24</v>
      </c>
      <c r="Y1005" s="360" t="s">
        <v>45</v>
      </c>
      <c r="Z1005" s="360">
        <v>1</v>
      </c>
      <c r="AA1005" s="360">
        <v>80</v>
      </c>
      <c r="AB1005" s="360">
        <v>1.2</v>
      </c>
    </row>
    <row r="1006" spans="1:28" x14ac:dyDescent="0.2">
      <c r="A1006" t="str">
        <f t="shared" si="74"/>
        <v>2014AllSexNon-Maori23</v>
      </c>
      <c r="B1006">
        <v>2014</v>
      </c>
      <c r="C1006" t="s">
        <v>17</v>
      </c>
      <c r="D1006" t="s">
        <v>19</v>
      </c>
      <c r="E1006">
        <v>23</v>
      </c>
      <c r="F1006">
        <v>139</v>
      </c>
      <c r="G1006">
        <v>14.0580120555039</v>
      </c>
      <c r="H1006">
        <v>2.2999999999999998</v>
      </c>
      <c r="J1006" s="358" t="str">
        <f t="shared" si="75"/>
        <v>2002FemaleMaori213</v>
      </c>
      <c r="K1006" s="359">
        <v>2002</v>
      </c>
      <c r="L1006" t="s">
        <v>8</v>
      </c>
      <c r="M1006" t="s">
        <v>18</v>
      </c>
      <c r="N1006">
        <v>21</v>
      </c>
      <c r="O1006">
        <v>3</v>
      </c>
      <c r="P1006">
        <v>0</v>
      </c>
      <c r="T1006" s="358" t="str">
        <f t="shared" si="76"/>
        <v>2000MaleAllEth25Other</v>
      </c>
      <c r="U1006" s="360">
        <v>2000</v>
      </c>
      <c r="V1006" s="360" t="s">
        <v>20</v>
      </c>
      <c r="W1006" s="360" t="s">
        <v>27</v>
      </c>
      <c r="X1006" s="360">
        <v>25</v>
      </c>
      <c r="Y1006" s="360" t="s">
        <v>45</v>
      </c>
      <c r="Z1006" s="360">
        <v>1</v>
      </c>
      <c r="AA1006" s="360">
        <v>41</v>
      </c>
      <c r="AB1006" s="360">
        <v>2.4</v>
      </c>
    </row>
    <row r="1007" spans="1:28" x14ac:dyDescent="0.2">
      <c r="A1007" t="str">
        <f t="shared" si="74"/>
        <v>2014AllSexNon-Maori24</v>
      </c>
      <c r="B1007">
        <v>2014</v>
      </c>
      <c r="C1007" t="s">
        <v>17</v>
      </c>
      <c r="D1007" t="s">
        <v>19</v>
      </c>
      <c r="E1007">
        <v>24</v>
      </c>
      <c r="F1007">
        <v>153</v>
      </c>
      <c r="G1007">
        <v>14.954111403242999</v>
      </c>
      <c r="H1007">
        <v>2.4</v>
      </c>
      <c r="J1007" s="358" t="str">
        <f t="shared" si="75"/>
        <v>2002FemaleMaori214</v>
      </c>
      <c r="K1007" s="359">
        <v>2002</v>
      </c>
      <c r="L1007" t="s">
        <v>8</v>
      </c>
      <c r="M1007" t="s">
        <v>18</v>
      </c>
      <c r="N1007">
        <v>21</v>
      </c>
      <c r="O1007">
        <v>4</v>
      </c>
      <c r="P1007">
        <v>0</v>
      </c>
      <c r="T1007" s="358" t="str">
        <f t="shared" si="76"/>
        <v>2000MaleAllEth22Poisoning by gases and vapours</v>
      </c>
      <c r="U1007" s="360">
        <v>2000</v>
      </c>
      <c r="V1007" s="360" t="s">
        <v>20</v>
      </c>
      <c r="W1007" s="360" t="s">
        <v>27</v>
      </c>
      <c r="X1007" s="360">
        <v>22</v>
      </c>
      <c r="Y1007" s="360" t="s">
        <v>46</v>
      </c>
      <c r="Z1007" s="360">
        <v>14</v>
      </c>
      <c r="AA1007" s="360">
        <v>81</v>
      </c>
      <c r="AB1007" s="360">
        <v>17.3</v>
      </c>
    </row>
    <row r="1008" spans="1:28" x14ac:dyDescent="0.2">
      <c r="A1008" t="str">
        <f t="shared" si="74"/>
        <v>2014AllSexNon-Maori25</v>
      </c>
      <c r="B1008">
        <v>2014</v>
      </c>
      <c r="C1008" t="s">
        <v>17</v>
      </c>
      <c r="D1008" t="s">
        <v>19</v>
      </c>
      <c r="E1008">
        <v>25</v>
      </c>
      <c r="F1008">
        <v>60</v>
      </c>
      <c r="G1008">
        <v>9.8053635338530203</v>
      </c>
      <c r="H1008">
        <v>2.5</v>
      </c>
      <c r="J1008" s="358" t="str">
        <f t="shared" si="75"/>
        <v>2002FemaleMaori215</v>
      </c>
      <c r="K1008" s="359">
        <v>2002</v>
      </c>
      <c r="L1008" t="s">
        <v>8</v>
      </c>
      <c r="M1008" t="s">
        <v>18</v>
      </c>
      <c r="N1008">
        <v>21</v>
      </c>
      <c r="O1008">
        <v>5</v>
      </c>
      <c r="P1008">
        <v>0</v>
      </c>
      <c r="T1008" s="358" t="str">
        <f t="shared" si="76"/>
        <v>2000MaleAllEth23Poisoning by gases and vapours</v>
      </c>
      <c r="U1008" s="360">
        <v>2000</v>
      </c>
      <c r="V1008" s="360" t="s">
        <v>20</v>
      </c>
      <c r="W1008" s="360" t="s">
        <v>27</v>
      </c>
      <c r="X1008" s="360">
        <v>23</v>
      </c>
      <c r="Y1008" s="360" t="s">
        <v>46</v>
      </c>
      <c r="Z1008" s="360">
        <v>40</v>
      </c>
      <c r="AA1008" s="360">
        <v>171</v>
      </c>
      <c r="AB1008" s="360">
        <v>23.4</v>
      </c>
    </row>
    <row r="1009" spans="1:28" x14ac:dyDescent="0.2">
      <c r="A1009" t="str">
        <f t="shared" si="74"/>
        <v>2014FemaleAllEth21</v>
      </c>
      <c r="B1009">
        <v>2014</v>
      </c>
      <c r="C1009" t="s">
        <v>8</v>
      </c>
      <c r="D1009" t="s">
        <v>27</v>
      </c>
      <c r="E1009">
        <v>21</v>
      </c>
      <c r="F1009">
        <v>3</v>
      </c>
      <c r="J1009" s="358" t="str">
        <f t="shared" si="75"/>
        <v>2002FemaleMaori221</v>
      </c>
      <c r="K1009" s="359">
        <v>2002</v>
      </c>
      <c r="L1009" t="s">
        <v>8</v>
      </c>
      <c r="M1009" t="s">
        <v>18</v>
      </c>
      <c r="N1009">
        <v>22</v>
      </c>
      <c r="O1009">
        <v>1</v>
      </c>
      <c r="P1009">
        <v>1</v>
      </c>
      <c r="Q1009">
        <v>27.560266805374201</v>
      </c>
      <c r="R1009">
        <v>54</v>
      </c>
      <c r="T1009" s="358" t="str">
        <f t="shared" si="76"/>
        <v>2000MaleAllEth24Poisoning by gases and vapours</v>
      </c>
      <c r="U1009" s="360">
        <v>2000</v>
      </c>
      <c r="V1009" s="360" t="s">
        <v>20</v>
      </c>
      <c r="W1009" s="360" t="s">
        <v>27</v>
      </c>
      <c r="X1009" s="360">
        <v>24</v>
      </c>
      <c r="Y1009" s="360" t="s">
        <v>46</v>
      </c>
      <c r="Z1009" s="360">
        <v>28</v>
      </c>
      <c r="AA1009" s="360">
        <v>80</v>
      </c>
      <c r="AB1009" s="360">
        <v>35</v>
      </c>
    </row>
    <row r="1010" spans="1:28" x14ac:dyDescent="0.2">
      <c r="A1010" t="str">
        <f t="shared" si="74"/>
        <v>2014FemaleAllEth22</v>
      </c>
      <c r="B1010">
        <v>2014</v>
      </c>
      <c r="C1010" t="s">
        <v>8</v>
      </c>
      <c r="D1010" t="s">
        <v>27</v>
      </c>
      <c r="E1010">
        <v>22</v>
      </c>
      <c r="F1010">
        <v>22</v>
      </c>
      <c r="G1010">
        <v>7.0478936408777804</v>
      </c>
      <c r="H1010">
        <v>2.9</v>
      </c>
      <c r="J1010" s="358" t="str">
        <f t="shared" si="75"/>
        <v>2002FemaleMaori222</v>
      </c>
      <c r="K1010" s="359">
        <v>2002</v>
      </c>
      <c r="L1010" t="s">
        <v>8</v>
      </c>
      <c r="M1010" t="s">
        <v>18</v>
      </c>
      <c r="N1010">
        <v>22</v>
      </c>
      <c r="O1010">
        <v>2</v>
      </c>
      <c r="P1010">
        <v>1</v>
      </c>
      <c r="Q1010">
        <v>18.457357684529001</v>
      </c>
      <c r="R1010">
        <v>36.200000000000003</v>
      </c>
      <c r="T1010" s="358" t="str">
        <f t="shared" si="76"/>
        <v>2000MaleAllEth25Poisoning by gases and vapours</v>
      </c>
      <c r="U1010" s="360">
        <v>2000</v>
      </c>
      <c r="V1010" s="360" t="s">
        <v>20</v>
      </c>
      <c r="W1010" s="360" t="s">
        <v>27</v>
      </c>
      <c r="X1010" s="360">
        <v>25</v>
      </c>
      <c r="Y1010" s="360" t="s">
        <v>46</v>
      </c>
      <c r="Z1010" s="360">
        <v>7</v>
      </c>
      <c r="AA1010" s="360">
        <v>41</v>
      </c>
      <c r="AB1010" s="360">
        <v>17.100000000000001</v>
      </c>
    </row>
    <row r="1011" spans="1:28" x14ac:dyDescent="0.2">
      <c r="A1011" t="str">
        <f t="shared" si="74"/>
        <v>2014FemaleAllEth23</v>
      </c>
      <c r="B1011">
        <v>2014</v>
      </c>
      <c r="C1011" t="s">
        <v>8</v>
      </c>
      <c r="D1011" t="s">
        <v>27</v>
      </c>
      <c r="E1011">
        <v>23</v>
      </c>
      <c r="F1011">
        <v>49</v>
      </c>
      <c r="G1011">
        <v>8.1559280280963407</v>
      </c>
      <c r="H1011">
        <v>2.2999999999999998</v>
      </c>
      <c r="J1011" s="358" t="str">
        <f t="shared" si="75"/>
        <v>2002FemaleMaori223</v>
      </c>
      <c r="K1011" s="359">
        <v>2002</v>
      </c>
      <c r="L1011" t="s">
        <v>8</v>
      </c>
      <c r="M1011" t="s">
        <v>18</v>
      </c>
      <c r="N1011">
        <v>22</v>
      </c>
      <c r="O1011">
        <v>3</v>
      </c>
      <c r="P1011">
        <v>0</v>
      </c>
      <c r="Q1011">
        <v>0</v>
      </c>
      <c r="T1011" s="358" t="str">
        <f t="shared" si="76"/>
        <v>2000MaleAllEth23Poisoning by solids and liquids</v>
      </c>
      <c r="U1011" s="360">
        <v>2000</v>
      </c>
      <c r="V1011" s="360" t="s">
        <v>20</v>
      </c>
      <c r="W1011" s="360" t="s">
        <v>27</v>
      </c>
      <c r="X1011" s="360">
        <v>23</v>
      </c>
      <c r="Y1011" s="360" t="s">
        <v>47</v>
      </c>
      <c r="Z1011" s="360">
        <v>10</v>
      </c>
      <c r="AA1011" s="360">
        <v>171</v>
      </c>
      <c r="AB1011" s="360">
        <v>5.8</v>
      </c>
    </row>
    <row r="1012" spans="1:28" x14ac:dyDescent="0.2">
      <c r="A1012" t="str">
        <f t="shared" si="74"/>
        <v>2014FemaleAllEth24</v>
      </c>
      <c r="B1012">
        <v>2014</v>
      </c>
      <c r="C1012" t="s">
        <v>8</v>
      </c>
      <c r="D1012" t="s">
        <v>27</v>
      </c>
      <c r="E1012">
        <v>24</v>
      </c>
      <c r="F1012">
        <v>45</v>
      </c>
      <c r="G1012">
        <v>7.5585789871504199</v>
      </c>
      <c r="H1012">
        <v>2.2000000000000002</v>
      </c>
      <c r="J1012" s="358" t="str">
        <f t="shared" si="75"/>
        <v>2002FemaleMaori224</v>
      </c>
      <c r="K1012" s="359">
        <v>2002</v>
      </c>
      <c r="L1012" t="s">
        <v>8</v>
      </c>
      <c r="M1012" t="s">
        <v>18</v>
      </c>
      <c r="N1012">
        <v>22</v>
      </c>
      <c r="O1012">
        <v>4</v>
      </c>
      <c r="P1012">
        <v>2</v>
      </c>
      <c r="Q1012">
        <v>15.7048194793961</v>
      </c>
      <c r="R1012">
        <v>21.8</v>
      </c>
      <c r="T1012" s="358" t="str">
        <f t="shared" si="76"/>
        <v>2000MaleAllEth24Poisoning by solids and liquids</v>
      </c>
      <c r="U1012" s="360">
        <v>2000</v>
      </c>
      <c r="V1012" s="360" t="s">
        <v>20</v>
      </c>
      <c r="W1012" s="360" t="s">
        <v>27</v>
      </c>
      <c r="X1012" s="360">
        <v>24</v>
      </c>
      <c r="Y1012" s="360" t="s">
        <v>47</v>
      </c>
      <c r="Z1012" s="360">
        <v>6</v>
      </c>
      <c r="AA1012" s="360">
        <v>80</v>
      </c>
      <c r="AB1012" s="360">
        <v>7.5</v>
      </c>
    </row>
    <row r="1013" spans="1:28" x14ac:dyDescent="0.2">
      <c r="A1013" t="str">
        <f t="shared" si="74"/>
        <v>2014FemaleAllEth25</v>
      </c>
      <c r="B1013">
        <v>2014</v>
      </c>
      <c r="C1013" t="s">
        <v>8</v>
      </c>
      <c r="D1013" t="s">
        <v>27</v>
      </c>
      <c r="E1013">
        <v>25</v>
      </c>
      <c r="F1013">
        <v>11</v>
      </c>
      <c r="G1013">
        <v>3.1469931910511</v>
      </c>
      <c r="H1013">
        <v>1.9</v>
      </c>
      <c r="J1013" s="358" t="str">
        <f t="shared" si="75"/>
        <v>2002FemaleMaori225</v>
      </c>
      <c r="K1013" s="359">
        <v>2002</v>
      </c>
      <c r="L1013" t="s">
        <v>8</v>
      </c>
      <c r="M1013" t="s">
        <v>18</v>
      </c>
      <c r="N1013">
        <v>22</v>
      </c>
      <c r="O1013">
        <v>5</v>
      </c>
      <c r="P1013">
        <v>5</v>
      </c>
      <c r="Q1013">
        <v>21.742616482270599</v>
      </c>
      <c r="R1013">
        <v>19.100000000000001</v>
      </c>
      <c r="T1013" s="358" t="str">
        <f t="shared" si="76"/>
        <v>2000MaleAllEth25Poisoning by solids and liquids</v>
      </c>
      <c r="U1013" s="360">
        <v>2000</v>
      </c>
      <c r="V1013" s="360" t="s">
        <v>20</v>
      </c>
      <c r="W1013" s="360" t="s">
        <v>27</v>
      </c>
      <c r="X1013" s="360">
        <v>25</v>
      </c>
      <c r="Y1013" s="360" t="s">
        <v>47</v>
      </c>
      <c r="Z1013" s="360">
        <v>4</v>
      </c>
      <c r="AA1013" s="360">
        <v>41</v>
      </c>
      <c r="AB1013" s="360">
        <v>9.8000000000000007</v>
      </c>
    </row>
    <row r="1014" spans="1:28" x14ac:dyDescent="0.2">
      <c r="A1014" t="str">
        <f t="shared" si="74"/>
        <v>2014FemaleMaori21</v>
      </c>
      <c r="B1014">
        <v>2014</v>
      </c>
      <c r="C1014" t="s">
        <v>8</v>
      </c>
      <c r="D1014" t="s">
        <v>18</v>
      </c>
      <c r="E1014">
        <v>21</v>
      </c>
      <c r="F1014">
        <v>1</v>
      </c>
      <c r="J1014" s="358" t="str">
        <f t="shared" si="75"/>
        <v>2002FemaleMaori231</v>
      </c>
      <c r="K1014" s="359">
        <v>2002</v>
      </c>
      <c r="L1014" t="s">
        <v>8</v>
      </c>
      <c r="M1014" t="s">
        <v>18</v>
      </c>
      <c r="N1014">
        <v>23</v>
      </c>
      <c r="O1014">
        <v>1</v>
      </c>
      <c r="P1014">
        <v>1</v>
      </c>
      <c r="Q1014">
        <v>14.629606801856299</v>
      </c>
      <c r="R1014">
        <v>28.7</v>
      </c>
      <c r="T1014" s="358" t="str">
        <f t="shared" si="76"/>
        <v>2000MaleAllEth22Sharp object</v>
      </c>
      <c r="U1014" s="360">
        <v>2000</v>
      </c>
      <c r="V1014" s="360" t="s">
        <v>20</v>
      </c>
      <c r="W1014" s="360" t="s">
        <v>27</v>
      </c>
      <c r="X1014" s="360">
        <v>22</v>
      </c>
      <c r="Y1014" s="360" t="s">
        <v>48</v>
      </c>
      <c r="Z1014" s="360">
        <v>3</v>
      </c>
      <c r="AA1014" s="360">
        <v>81</v>
      </c>
      <c r="AB1014" s="360">
        <v>3.7</v>
      </c>
    </row>
    <row r="1015" spans="1:28" x14ac:dyDescent="0.2">
      <c r="A1015" t="str">
        <f t="shared" si="74"/>
        <v>2014FemaleMaori22</v>
      </c>
      <c r="B1015">
        <v>2014</v>
      </c>
      <c r="C1015" t="s">
        <v>8</v>
      </c>
      <c r="D1015" t="s">
        <v>18</v>
      </c>
      <c r="E1015">
        <v>22</v>
      </c>
      <c r="F1015">
        <v>8</v>
      </c>
      <c r="G1015">
        <v>12.405024034734099</v>
      </c>
      <c r="H1015">
        <v>8.6</v>
      </c>
      <c r="J1015" s="358" t="str">
        <f t="shared" si="75"/>
        <v>2002FemaleMaori232</v>
      </c>
      <c r="K1015" s="359">
        <v>2002</v>
      </c>
      <c r="L1015" t="s">
        <v>8</v>
      </c>
      <c r="M1015" t="s">
        <v>18</v>
      </c>
      <c r="N1015">
        <v>23</v>
      </c>
      <c r="O1015">
        <v>2</v>
      </c>
      <c r="P1015">
        <v>0</v>
      </c>
      <c r="Q1015">
        <v>0</v>
      </c>
      <c r="T1015" s="358" t="str">
        <f t="shared" si="76"/>
        <v>2000MaleAllEth23Sharp object</v>
      </c>
      <c r="U1015" s="360">
        <v>2000</v>
      </c>
      <c r="V1015" s="360" t="s">
        <v>20</v>
      </c>
      <c r="W1015" s="360" t="s">
        <v>27</v>
      </c>
      <c r="X1015" s="360">
        <v>23</v>
      </c>
      <c r="Y1015" s="360" t="s">
        <v>48</v>
      </c>
      <c r="Z1015" s="360">
        <v>2</v>
      </c>
      <c r="AA1015" s="360">
        <v>171</v>
      </c>
      <c r="AB1015" s="360">
        <v>1.2</v>
      </c>
    </row>
    <row r="1016" spans="1:28" x14ac:dyDescent="0.2">
      <c r="A1016" t="str">
        <f t="shared" si="74"/>
        <v>2014FemaleMaori23</v>
      </c>
      <c r="B1016">
        <v>2014</v>
      </c>
      <c r="C1016" t="s">
        <v>8</v>
      </c>
      <c r="D1016" t="s">
        <v>18</v>
      </c>
      <c r="E1016">
        <v>23</v>
      </c>
      <c r="F1016">
        <v>14</v>
      </c>
      <c r="G1016">
        <v>15.360983102918601</v>
      </c>
      <c r="H1016">
        <v>8</v>
      </c>
      <c r="J1016" s="358" t="str">
        <f t="shared" si="75"/>
        <v>2002FemaleMaori233</v>
      </c>
      <c r="K1016" s="359">
        <v>2002</v>
      </c>
      <c r="L1016" t="s">
        <v>8</v>
      </c>
      <c r="M1016" t="s">
        <v>18</v>
      </c>
      <c r="N1016">
        <v>23</v>
      </c>
      <c r="O1016">
        <v>3</v>
      </c>
      <c r="P1016">
        <v>1</v>
      </c>
      <c r="Q1016">
        <v>6.9892914372138897</v>
      </c>
      <c r="R1016">
        <v>13.7</v>
      </c>
      <c r="T1016" s="358" t="str">
        <f t="shared" si="76"/>
        <v>2000MaleAllEth24Sharp object</v>
      </c>
      <c r="U1016" s="360">
        <v>2000</v>
      </c>
      <c r="V1016" s="360" t="s">
        <v>20</v>
      </c>
      <c r="W1016" s="360" t="s">
        <v>27</v>
      </c>
      <c r="X1016" s="360">
        <v>24</v>
      </c>
      <c r="Y1016" s="360" t="s">
        <v>48</v>
      </c>
      <c r="Z1016" s="360">
        <v>3</v>
      </c>
      <c r="AA1016" s="360">
        <v>80</v>
      </c>
      <c r="AB1016" s="360">
        <v>3.8</v>
      </c>
    </row>
    <row r="1017" spans="1:28" x14ac:dyDescent="0.2">
      <c r="A1017" t="str">
        <f t="shared" si="74"/>
        <v>2014FemaleMaori24</v>
      </c>
      <c r="B1017">
        <v>2014</v>
      </c>
      <c r="C1017" t="s">
        <v>8</v>
      </c>
      <c r="D1017" t="s">
        <v>18</v>
      </c>
      <c r="E1017">
        <v>24</v>
      </c>
      <c r="F1017">
        <v>2</v>
      </c>
      <c r="G1017">
        <v>2.88433804441881</v>
      </c>
      <c r="H1017">
        <v>4</v>
      </c>
      <c r="J1017" s="358" t="str">
        <f t="shared" si="75"/>
        <v>2002FemaleMaori234</v>
      </c>
      <c r="K1017" s="359">
        <v>2002</v>
      </c>
      <c r="L1017" t="s">
        <v>8</v>
      </c>
      <c r="M1017" t="s">
        <v>18</v>
      </c>
      <c r="N1017">
        <v>23</v>
      </c>
      <c r="O1017">
        <v>4</v>
      </c>
      <c r="P1017">
        <v>2</v>
      </c>
      <c r="Q1017">
        <v>9.4074590205245805</v>
      </c>
      <c r="R1017">
        <v>13</v>
      </c>
      <c r="T1017" s="358" t="str">
        <f t="shared" si="76"/>
        <v>2000MaleAllEth25Sharp object</v>
      </c>
      <c r="U1017" s="360">
        <v>2000</v>
      </c>
      <c r="V1017" s="360" t="s">
        <v>20</v>
      </c>
      <c r="W1017" s="360" t="s">
        <v>27</v>
      </c>
      <c r="X1017" s="360">
        <v>25</v>
      </c>
      <c r="Y1017" s="360" t="s">
        <v>48</v>
      </c>
      <c r="Z1017" s="360">
        <v>1</v>
      </c>
      <c r="AA1017" s="360">
        <v>41</v>
      </c>
      <c r="AB1017" s="360">
        <v>2.4</v>
      </c>
    </row>
    <row r="1018" spans="1:28" x14ac:dyDescent="0.2">
      <c r="A1018" t="str">
        <f t="shared" si="74"/>
        <v>2014FemaleMaori25</v>
      </c>
      <c r="B1018">
        <v>2014</v>
      </c>
      <c r="C1018" t="s">
        <v>8</v>
      </c>
      <c r="D1018" t="s">
        <v>18</v>
      </c>
      <c r="E1018">
        <v>25</v>
      </c>
      <c r="F1018">
        <v>0</v>
      </c>
      <c r="G1018">
        <v>0</v>
      </c>
      <c r="J1018" s="358" t="str">
        <f t="shared" si="75"/>
        <v>2002FemaleMaori235</v>
      </c>
      <c r="K1018" s="359">
        <v>2002</v>
      </c>
      <c r="L1018" t="s">
        <v>8</v>
      </c>
      <c r="M1018" t="s">
        <v>18</v>
      </c>
      <c r="N1018">
        <v>23</v>
      </c>
      <c r="O1018">
        <v>5</v>
      </c>
      <c r="P1018">
        <v>3</v>
      </c>
      <c r="Q1018">
        <v>8.1945879257916392</v>
      </c>
      <c r="R1018">
        <v>9.3000000000000007</v>
      </c>
      <c r="T1018" s="358" t="str">
        <f t="shared" si="76"/>
        <v>2000MaleAllEth23Submersion (drowning)</v>
      </c>
      <c r="U1018" s="360">
        <v>2000</v>
      </c>
      <c r="V1018" s="360" t="s">
        <v>20</v>
      </c>
      <c r="W1018" s="360" t="s">
        <v>27</v>
      </c>
      <c r="X1018" s="360">
        <v>23</v>
      </c>
      <c r="Y1018" s="360" t="s">
        <v>49</v>
      </c>
      <c r="Z1018" s="360">
        <v>6</v>
      </c>
      <c r="AA1018" s="360">
        <v>171</v>
      </c>
      <c r="AB1018" s="360">
        <v>3.5</v>
      </c>
    </row>
    <row r="1019" spans="1:28" x14ac:dyDescent="0.2">
      <c r="A1019" t="str">
        <f t="shared" si="74"/>
        <v>2014FemaleNon-Maori21</v>
      </c>
      <c r="B1019">
        <v>2014</v>
      </c>
      <c r="C1019" t="s">
        <v>8</v>
      </c>
      <c r="D1019" t="s">
        <v>19</v>
      </c>
      <c r="E1019">
        <v>21</v>
      </c>
      <c r="F1019">
        <v>2</v>
      </c>
      <c r="J1019" s="358" t="str">
        <f t="shared" si="75"/>
        <v>2002FemaleMaori241</v>
      </c>
      <c r="K1019" s="359">
        <v>2002</v>
      </c>
      <c r="L1019" t="s">
        <v>8</v>
      </c>
      <c r="M1019" t="s">
        <v>18</v>
      </c>
      <c r="N1019">
        <v>24</v>
      </c>
      <c r="O1019">
        <v>1</v>
      </c>
      <c r="P1019">
        <v>0</v>
      </c>
      <c r="Q1019">
        <v>0</v>
      </c>
      <c r="T1019" s="358" t="str">
        <f t="shared" si="76"/>
        <v>2000MaleAllEth24Submersion (drowning)</v>
      </c>
      <c r="U1019" s="360">
        <v>2000</v>
      </c>
      <c r="V1019" s="360" t="s">
        <v>20</v>
      </c>
      <c r="W1019" s="360" t="s">
        <v>27</v>
      </c>
      <c r="X1019" s="360">
        <v>24</v>
      </c>
      <c r="Y1019" s="360" t="s">
        <v>49</v>
      </c>
      <c r="Z1019" s="360">
        <v>4</v>
      </c>
      <c r="AA1019" s="360">
        <v>80</v>
      </c>
      <c r="AB1019" s="360">
        <v>5</v>
      </c>
    </row>
    <row r="1020" spans="1:28" x14ac:dyDescent="0.2">
      <c r="A1020" t="str">
        <f t="shared" si="74"/>
        <v>2014FemaleNon-Maori22</v>
      </c>
      <c r="B1020">
        <v>2014</v>
      </c>
      <c r="C1020" t="s">
        <v>8</v>
      </c>
      <c r="D1020" t="s">
        <v>19</v>
      </c>
      <c r="E1020">
        <v>22</v>
      </c>
      <c r="F1020">
        <v>14</v>
      </c>
      <c r="G1020">
        <v>5.65291124929339</v>
      </c>
      <c r="H1020">
        <v>3</v>
      </c>
      <c r="J1020" s="358" t="str">
        <f t="shared" si="75"/>
        <v>2002FemaleMaori242</v>
      </c>
      <c r="K1020" s="359">
        <v>2002</v>
      </c>
      <c r="L1020" t="s">
        <v>8</v>
      </c>
      <c r="M1020" t="s">
        <v>18</v>
      </c>
      <c r="N1020">
        <v>24</v>
      </c>
      <c r="O1020">
        <v>2</v>
      </c>
      <c r="P1020">
        <v>0</v>
      </c>
      <c r="Q1020">
        <v>0</v>
      </c>
      <c r="T1020" s="358" t="str">
        <f t="shared" si="76"/>
        <v>2000MaleAllEth25Submersion (drowning)</v>
      </c>
      <c r="U1020" s="360">
        <v>2000</v>
      </c>
      <c r="V1020" s="360" t="s">
        <v>20</v>
      </c>
      <c r="W1020" s="360" t="s">
        <v>27</v>
      </c>
      <c r="X1020" s="360">
        <v>25</v>
      </c>
      <c r="Y1020" s="360" t="s">
        <v>49</v>
      </c>
      <c r="Z1020" s="360">
        <v>2</v>
      </c>
      <c r="AA1020" s="360">
        <v>41</v>
      </c>
      <c r="AB1020" s="360">
        <v>4.9000000000000004</v>
      </c>
    </row>
    <row r="1021" spans="1:28" x14ac:dyDescent="0.2">
      <c r="A1021" t="str">
        <f t="shared" si="74"/>
        <v>2014FemaleNon-Maori23</v>
      </c>
      <c r="B1021">
        <v>2014</v>
      </c>
      <c r="C1021" t="s">
        <v>8</v>
      </c>
      <c r="D1021" t="s">
        <v>19</v>
      </c>
      <c r="E1021">
        <v>23</v>
      </c>
      <c r="F1021">
        <v>35</v>
      </c>
      <c r="G1021">
        <v>6.8674580594525603</v>
      </c>
      <c r="H1021">
        <v>2.2999999999999998</v>
      </c>
      <c r="J1021" s="358" t="str">
        <f t="shared" si="75"/>
        <v>2002FemaleMaori243</v>
      </c>
      <c r="K1021" s="359">
        <v>2002</v>
      </c>
      <c r="L1021" t="s">
        <v>8</v>
      </c>
      <c r="M1021" t="s">
        <v>18</v>
      </c>
      <c r="N1021">
        <v>24</v>
      </c>
      <c r="O1021">
        <v>3</v>
      </c>
      <c r="P1021">
        <v>0</v>
      </c>
      <c r="Q1021">
        <v>0</v>
      </c>
      <c r="T1021" s="358" t="str">
        <f t="shared" si="76"/>
        <v>2000MaleMaori23Firearms and explosives</v>
      </c>
      <c r="U1021" s="360">
        <v>2000</v>
      </c>
      <c r="V1021" s="360" t="s">
        <v>20</v>
      </c>
      <c r="W1021" s="360" t="s">
        <v>18</v>
      </c>
      <c r="X1021" s="360">
        <v>23</v>
      </c>
      <c r="Y1021" s="360" t="s">
        <v>42</v>
      </c>
      <c r="Z1021" s="360">
        <v>3</v>
      </c>
      <c r="AA1021" s="360">
        <v>35</v>
      </c>
      <c r="AB1021" s="360">
        <v>8.6</v>
      </c>
    </row>
    <row r="1022" spans="1:28" x14ac:dyDescent="0.2">
      <c r="A1022" t="str">
        <f t="shared" si="74"/>
        <v>2014FemaleNon-Maori24</v>
      </c>
      <c r="B1022">
        <v>2014</v>
      </c>
      <c r="C1022" t="s">
        <v>8</v>
      </c>
      <c r="D1022" t="s">
        <v>19</v>
      </c>
      <c r="E1022">
        <v>24</v>
      </c>
      <c r="F1022">
        <v>43</v>
      </c>
      <c r="G1022">
        <v>8.1747495294766299</v>
      </c>
      <c r="H1022">
        <v>2.4</v>
      </c>
      <c r="J1022" s="358" t="str">
        <f t="shared" si="75"/>
        <v>2002FemaleMaori244</v>
      </c>
      <c r="K1022" s="359">
        <v>2002</v>
      </c>
      <c r="L1022" t="s">
        <v>8</v>
      </c>
      <c r="M1022" t="s">
        <v>18</v>
      </c>
      <c r="N1022">
        <v>24</v>
      </c>
      <c r="O1022">
        <v>4</v>
      </c>
      <c r="P1022">
        <v>1</v>
      </c>
      <c r="Q1022">
        <v>10.2265774490981</v>
      </c>
      <c r="R1022">
        <v>20</v>
      </c>
      <c r="T1022" s="358" t="str">
        <f t="shared" si="76"/>
        <v>2000MaleMaori24Firearms and explosives</v>
      </c>
      <c r="U1022" s="360">
        <v>2000</v>
      </c>
      <c r="V1022" s="360" t="s">
        <v>20</v>
      </c>
      <c r="W1022" s="360" t="s">
        <v>18</v>
      </c>
      <c r="X1022" s="360">
        <v>24</v>
      </c>
      <c r="Y1022" s="360" t="s">
        <v>42</v>
      </c>
      <c r="Z1022" s="360">
        <v>1</v>
      </c>
      <c r="AA1022" s="360">
        <v>8</v>
      </c>
      <c r="AB1022" s="360">
        <v>12.5</v>
      </c>
    </row>
    <row r="1023" spans="1:28" x14ac:dyDescent="0.2">
      <c r="A1023" t="str">
        <f t="shared" si="74"/>
        <v>2014FemaleNon-Maori25</v>
      </c>
      <c r="B1023">
        <v>2014</v>
      </c>
      <c r="C1023" t="s">
        <v>8</v>
      </c>
      <c r="D1023" t="s">
        <v>19</v>
      </c>
      <c r="E1023">
        <v>25</v>
      </c>
      <c r="F1023">
        <v>11</v>
      </c>
      <c r="G1023">
        <v>3.3487579152459799</v>
      </c>
      <c r="H1023">
        <v>2</v>
      </c>
      <c r="J1023" s="358" t="str">
        <f t="shared" si="75"/>
        <v>2002FemaleMaori245</v>
      </c>
      <c r="K1023" s="359">
        <v>2002</v>
      </c>
      <c r="L1023" t="s">
        <v>8</v>
      </c>
      <c r="M1023" t="s">
        <v>18</v>
      </c>
      <c r="N1023">
        <v>24</v>
      </c>
      <c r="O1023">
        <v>5</v>
      </c>
      <c r="P1023">
        <v>0</v>
      </c>
      <c r="Q1023">
        <v>0</v>
      </c>
      <c r="T1023" s="358" t="str">
        <f t="shared" si="76"/>
        <v>2000MaleMaori21Hanging, strangulation and suffocation</v>
      </c>
      <c r="U1023" s="360">
        <v>2000</v>
      </c>
      <c r="V1023" s="360" t="s">
        <v>20</v>
      </c>
      <c r="W1023" s="360" t="s">
        <v>18</v>
      </c>
      <c r="X1023" s="360">
        <v>21</v>
      </c>
      <c r="Y1023" s="360" t="s">
        <v>43</v>
      </c>
      <c r="Z1023" s="360">
        <v>1</v>
      </c>
      <c r="AA1023" s="360">
        <v>1</v>
      </c>
      <c r="AB1023" s="360">
        <v>100</v>
      </c>
    </row>
    <row r="1024" spans="1:28" x14ac:dyDescent="0.2">
      <c r="A1024" t="str">
        <f t="shared" si="74"/>
        <v>2014MaleAllEth21</v>
      </c>
      <c r="B1024">
        <v>2014</v>
      </c>
      <c r="C1024" t="s">
        <v>20</v>
      </c>
      <c r="D1024" t="s">
        <v>27</v>
      </c>
      <c r="E1024">
        <v>21</v>
      </c>
      <c r="F1024">
        <v>2</v>
      </c>
      <c r="J1024" s="358" t="str">
        <f t="shared" si="75"/>
        <v>2002FemaleMaori251</v>
      </c>
      <c r="K1024" s="359">
        <v>2002</v>
      </c>
      <c r="L1024" t="s">
        <v>8</v>
      </c>
      <c r="M1024" t="s">
        <v>18</v>
      </c>
      <c r="N1024">
        <v>25</v>
      </c>
      <c r="O1024">
        <v>1</v>
      </c>
      <c r="P1024">
        <v>0</v>
      </c>
      <c r="Q1024">
        <v>0</v>
      </c>
      <c r="T1024" s="358" t="str">
        <f t="shared" si="76"/>
        <v>2000MaleMaori22Hanging, strangulation and suffocation</v>
      </c>
      <c r="U1024" s="360">
        <v>2000</v>
      </c>
      <c r="V1024" s="360" t="s">
        <v>20</v>
      </c>
      <c r="W1024" s="360" t="s">
        <v>18</v>
      </c>
      <c r="X1024" s="360">
        <v>22</v>
      </c>
      <c r="Y1024" s="360" t="s">
        <v>43</v>
      </c>
      <c r="Z1024" s="360">
        <v>20</v>
      </c>
      <c r="AA1024" s="360">
        <v>24</v>
      </c>
      <c r="AB1024" s="360">
        <v>83.3</v>
      </c>
    </row>
    <row r="1025" spans="1:28" x14ac:dyDescent="0.2">
      <c r="A1025" t="str">
        <f t="shared" si="74"/>
        <v>2014MaleAllEth22</v>
      </c>
      <c r="B1025">
        <v>2014</v>
      </c>
      <c r="C1025" t="s">
        <v>20</v>
      </c>
      <c r="D1025" t="s">
        <v>27</v>
      </c>
      <c r="E1025">
        <v>22</v>
      </c>
      <c r="F1025">
        <v>68</v>
      </c>
      <c r="G1025">
        <v>20.7096086493071</v>
      </c>
      <c r="H1025">
        <v>4.9000000000000004</v>
      </c>
      <c r="J1025" s="358" t="str">
        <f t="shared" si="75"/>
        <v>2002FemaleMaori252</v>
      </c>
      <c r="K1025" s="359">
        <v>2002</v>
      </c>
      <c r="L1025" t="s">
        <v>8</v>
      </c>
      <c r="M1025" t="s">
        <v>18</v>
      </c>
      <c r="N1025">
        <v>25</v>
      </c>
      <c r="O1025">
        <v>2</v>
      </c>
      <c r="P1025">
        <v>0</v>
      </c>
      <c r="Q1025">
        <v>0</v>
      </c>
      <c r="T1025" s="358" t="str">
        <f t="shared" si="76"/>
        <v>2000MaleMaori23Hanging, strangulation and suffocation</v>
      </c>
      <c r="U1025" s="360">
        <v>2000</v>
      </c>
      <c r="V1025" s="360" t="s">
        <v>20</v>
      </c>
      <c r="W1025" s="360" t="s">
        <v>18</v>
      </c>
      <c r="X1025" s="360">
        <v>23</v>
      </c>
      <c r="Y1025" s="360" t="s">
        <v>43</v>
      </c>
      <c r="Z1025" s="360">
        <v>25</v>
      </c>
      <c r="AA1025" s="360">
        <v>35</v>
      </c>
      <c r="AB1025" s="360">
        <v>71.400000000000006</v>
      </c>
    </row>
    <row r="1026" spans="1:28" x14ac:dyDescent="0.2">
      <c r="A1026" t="str">
        <f t="shared" si="74"/>
        <v>2014MaleAllEth23</v>
      </c>
      <c r="B1026">
        <v>2014</v>
      </c>
      <c r="C1026" t="s">
        <v>20</v>
      </c>
      <c r="D1026" t="s">
        <v>27</v>
      </c>
      <c r="E1026">
        <v>23</v>
      </c>
      <c r="F1026">
        <v>141</v>
      </c>
      <c r="G1026">
        <v>25.330099703583901</v>
      </c>
      <c r="H1026">
        <v>4.2</v>
      </c>
      <c r="J1026" s="358" t="str">
        <f t="shared" si="75"/>
        <v>2002FemaleMaori253</v>
      </c>
      <c r="K1026" s="359">
        <v>2002</v>
      </c>
      <c r="L1026" t="s">
        <v>8</v>
      </c>
      <c r="M1026" t="s">
        <v>18</v>
      </c>
      <c r="N1026">
        <v>25</v>
      </c>
      <c r="O1026">
        <v>3</v>
      </c>
      <c r="P1026">
        <v>0</v>
      </c>
      <c r="Q1026">
        <v>0</v>
      </c>
      <c r="T1026" s="358" t="str">
        <f t="shared" si="76"/>
        <v>2000MaleMaori24Hanging, strangulation and suffocation</v>
      </c>
      <c r="U1026" s="360">
        <v>2000</v>
      </c>
      <c r="V1026" s="360" t="s">
        <v>20</v>
      </c>
      <c r="W1026" s="360" t="s">
        <v>18</v>
      </c>
      <c r="X1026" s="360">
        <v>24</v>
      </c>
      <c r="Y1026" s="360" t="s">
        <v>43</v>
      </c>
      <c r="Z1026" s="360">
        <v>6</v>
      </c>
      <c r="AA1026" s="360">
        <v>8</v>
      </c>
      <c r="AB1026" s="360">
        <v>75</v>
      </c>
    </row>
    <row r="1027" spans="1:28" x14ac:dyDescent="0.2">
      <c r="A1027" t="str">
        <f t="shared" si="74"/>
        <v>2014MaleAllEth24</v>
      </c>
      <c r="B1027">
        <v>2014</v>
      </c>
      <c r="C1027" t="s">
        <v>20</v>
      </c>
      <c r="D1027" t="s">
        <v>27</v>
      </c>
      <c r="E1027">
        <v>24</v>
      </c>
      <c r="F1027">
        <v>119</v>
      </c>
      <c r="G1027">
        <v>21.310888252148999</v>
      </c>
      <c r="H1027">
        <v>3.8</v>
      </c>
      <c r="J1027" s="358" t="str">
        <f t="shared" si="75"/>
        <v>2002FemaleMaori254</v>
      </c>
      <c r="K1027" s="359">
        <v>2002</v>
      </c>
      <c r="L1027" t="s">
        <v>8</v>
      </c>
      <c r="M1027" t="s">
        <v>18</v>
      </c>
      <c r="N1027">
        <v>25</v>
      </c>
      <c r="O1027">
        <v>4</v>
      </c>
      <c r="P1027">
        <v>0</v>
      </c>
      <c r="Q1027">
        <v>0</v>
      </c>
      <c r="T1027" s="358" t="str">
        <f t="shared" si="76"/>
        <v>2000MaleMaori22Jumping from a high place</v>
      </c>
      <c r="U1027" s="360">
        <v>2000</v>
      </c>
      <c r="V1027" s="360" t="s">
        <v>20</v>
      </c>
      <c r="W1027" s="360" t="s">
        <v>18</v>
      </c>
      <c r="X1027" s="360">
        <v>22</v>
      </c>
      <c r="Y1027" s="360" t="s">
        <v>44</v>
      </c>
      <c r="Z1027" s="360">
        <v>1</v>
      </c>
      <c r="AA1027" s="360">
        <v>24</v>
      </c>
      <c r="AB1027" s="360">
        <v>4.2</v>
      </c>
    </row>
    <row r="1028" spans="1:28" x14ac:dyDescent="0.2">
      <c r="A1028" t="str">
        <f t="shared" ref="A1028:A1083" si="77">B1028&amp;C1028&amp;D1028&amp;E1028</f>
        <v>2014MaleAllEth25</v>
      </c>
      <c r="B1028">
        <v>2014</v>
      </c>
      <c r="C1028" t="s">
        <v>20</v>
      </c>
      <c r="D1028" t="s">
        <v>27</v>
      </c>
      <c r="E1028">
        <v>25</v>
      </c>
      <c r="F1028">
        <v>49</v>
      </c>
      <c r="G1028">
        <v>16.2817743811264</v>
      </c>
      <c r="H1028">
        <v>4.5999999999999996</v>
      </c>
      <c r="J1028" s="358" t="str">
        <f t="shared" ref="J1028:J1091" si="78">K1028&amp;L1028&amp;M1028&amp;N1028&amp;O1028</f>
        <v>2002FemaleMaori255</v>
      </c>
      <c r="K1028" s="359">
        <v>2002</v>
      </c>
      <c r="L1028" t="s">
        <v>8</v>
      </c>
      <c r="M1028" t="s">
        <v>18</v>
      </c>
      <c r="N1028">
        <v>25</v>
      </c>
      <c r="O1028">
        <v>5</v>
      </c>
      <c r="P1028">
        <v>0</v>
      </c>
      <c r="Q1028">
        <v>0</v>
      </c>
      <c r="T1028" s="358" t="str">
        <f t="shared" si="76"/>
        <v>2000MaleMaori23Other</v>
      </c>
      <c r="U1028" s="360">
        <v>2000</v>
      </c>
      <c r="V1028" s="360" t="s">
        <v>20</v>
      </c>
      <c r="W1028" s="360" t="s">
        <v>18</v>
      </c>
      <c r="X1028" s="360">
        <v>23</v>
      </c>
      <c r="Y1028" s="360" t="s">
        <v>45</v>
      </c>
      <c r="Z1028" s="360">
        <v>3</v>
      </c>
      <c r="AA1028" s="360">
        <v>35</v>
      </c>
      <c r="AB1028" s="360">
        <v>8.6</v>
      </c>
    </row>
    <row r="1029" spans="1:28" x14ac:dyDescent="0.2">
      <c r="A1029" t="str">
        <f t="shared" si="77"/>
        <v>2014MaleMaori21</v>
      </c>
      <c r="B1029">
        <v>2014</v>
      </c>
      <c r="C1029" t="s">
        <v>20</v>
      </c>
      <c r="D1029" t="s">
        <v>18</v>
      </c>
      <c r="E1029">
        <v>21</v>
      </c>
      <c r="F1029">
        <v>1</v>
      </c>
      <c r="J1029" s="358" t="str">
        <f t="shared" si="78"/>
        <v>2002FemaleNon-Maori211</v>
      </c>
      <c r="K1029" s="359">
        <v>2002</v>
      </c>
      <c r="L1029" t="s">
        <v>8</v>
      </c>
      <c r="M1029" t="s">
        <v>19</v>
      </c>
      <c r="N1029">
        <v>21</v>
      </c>
      <c r="O1029">
        <v>1</v>
      </c>
      <c r="P1029">
        <v>0</v>
      </c>
      <c r="T1029" s="358" t="str">
        <f t="shared" ref="T1029:T1092" si="79">U1029&amp;V1029&amp;W1029&amp;X1029&amp;Y1029</f>
        <v>2000MaleMaori22Poisoning by gases and vapours</v>
      </c>
      <c r="U1029" s="360">
        <v>2000</v>
      </c>
      <c r="V1029" s="360" t="s">
        <v>20</v>
      </c>
      <c r="W1029" s="360" t="s">
        <v>18</v>
      </c>
      <c r="X1029" s="360">
        <v>22</v>
      </c>
      <c r="Y1029" s="360" t="s">
        <v>46</v>
      </c>
      <c r="Z1029" s="360">
        <v>3</v>
      </c>
      <c r="AA1029" s="360">
        <v>24</v>
      </c>
      <c r="AB1029" s="360">
        <v>12.5</v>
      </c>
    </row>
    <row r="1030" spans="1:28" x14ac:dyDescent="0.2">
      <c r="A1030" t="str">
        <f t="shared" si="77"/>
        <v>2014MaleMaori22</v>
      </c>
      <c r="B1030">
        <v>2014</v>
      </c>
      <c r="C1030" t="s">
        <v>20</v>
      </c>
      <c r="D1030" t="s">
        <v>18</v>
      </c>
      <c r="E1030">
        <v>22</v>
      </c>
      <c r="F1030">
        <v>20</v>
      </c>
      <c r="G1030">
        <v>30.736130321192601</v>
      </c>
      <c r="H1030">
        <v>13.5</v>
      </c>
      <c r="J1030" s="358" t="str">
        <f t="shared" si="78"/>
        <v>2002FemaleNon-Maori212</v>
      </c>
      <c r="K1030" s="359">
        <v>2002</v>
      </c>
      <c r="L1030" t="s">
        <v>8</v>
      </c>
      <c r="M1030" t="s">
        <v>19</v>
      </c>
      <c r="N1030">
        <v>21</v>
      </c>
      <c r="O1030">
        <v>2</v>
      </c>
      <c r="P1030">
        <v>0</v>
      </c>
      <c r="T1030" s="358" t="str">
        <f t="shared" si="79"/>
        <v>2000MaleMaori23Poisoning by gases and vapours</v>
      </c>
      <c r="U1030" s="360">
        <v>2000</v>
      </c>
      <c r="V1030" s="360" t="s">
        <v>20</v>
      </c>
      <c r="W1030" s="360" t="s">
        <v>18</v>
      </c>
      <c r="X1030" s="360">
        <v>23</v>
      </c>
      <c r="Y1030" s="360" t="s">
        <v>46</v>
      </c>
      <c r="Z1030" s="360">
        <v>1</v>
      </c>
      <c r="AA1030" s="360">
        <v>35</v>
      </c>
      <c r="AB1030" s="360">
        <v>2.9</v>
      </c>
    </row>
    <row r="1031" spans="1:28" x14ac:dyDescent="0.2">
      <c r="A1031" t="str">
        <f t="shared" si="77"/>
        <v>2014MaleMaori23</v>
      </c>
      <c r="B1031">
        <v>2014</v>
      </c>
      <c r="C1031" t="s">
        <v>20</v>
      </c>
      <c r="D1031" t="s">
        <v>18</v>
      </c>
      <c r="E1031">
        <v>23</v>
      </c>
      <c r="F1031">
        <v>37</v>
      </c>
      <c r="G1031">
        <v>47.723461885721697</v>
      </c>
      <c r="H1031">
        <v>15.4</v>
      </c>
      <c r="J1031" s="358" t="str">
        <f t="shared" si="78"/>
        <v>2002FemaleNon-Maori213</v>
      </c>
      <c r="K1031" s="359">
        <v>2002</v>
      </c>
      <c r="L1031" t="s">
        <v>8</v>
      </c>
      <c r="M1031" t="s">
        <v>19</v>
      </c>
      <c r="N1031">
        <v>21</v>
      </c>
      <c r="O1031">
        <v>3</v>
      </c>
      <c r="P1031">
        <v>0</v>
      </c>
      <c r="T1031" s="358" t="str">
        <f t="shared" si="79"/>
        <v>2000MaleMaori24Poisoning by gases and vapours</v>
      </c>
      <c r="U1031" s="360">
        <v>2000</v>
      </c>
      <c r="V1031" s="360" t="s">
        <v>20</v>
      </c>
      <c r="W1031" s="360" t="s">
        <v>18</v>
      </c>
      <c r="X1031" s="360">
        <v>24</v>
      </c>
      <c r="Y1031" s="360" t="s">
        <v>46</v>
      </c>
      <c r="Z1031" s="360">
        <v>1</v>
      </c>
      <c r="AA1031" s="360">
        <v>8</v>
      </c>
      <c r="AB1031" s="360">
        <v>12.5</v>
      </c>
    </row>
    <row r="1032" spans="1:28" x14ac:dyDescent="0.2">
      <c r="A1032" t="str">
        <f t="shared" si="77"/>
        <v>2014MaleMaori24</v>
      </c>
      <c r="B1032">
        <v>2014</v>
      </c>
      <c r="C1032" t="s">
        <v>20</v>
      </c>
      <c r="D1032" t="s">
        <v>18</v>
      </c>
      <c r="E1032">
        <v>24</v>
      </c>
      <c r="F1032">
        <v>9</v>
      </c>
      <c r="G1032">
        <v>14.6866840731071</v>
      </c>
      <c r="H1032">
        <v>9.6</v>
      </c>
      <c r="J1032" s="358" t="str">
        <f t="shared" si="78"/>
        <v>2002FemaleNon-Maori214</v>
      </c>
      <c r="K1032" s="359">
        <v>2002</v>
      </c>
      <c r="L1032" t="s">
        <v>8</v>
      </c>
      <c r="M1032" t="s">
        <v>19</v>
      </c>
      <c r="N1032">
        <v>21</v>
      </c>
      <c r="O1032">
        <v>4</v>
      </c>
      <c r="P1032">
        <v>0</v>
      </c>
      <c r="T1032" s="358" t="str">
        <f t="shared" si="79"/>
        <v>2000MaleMaori23Poisoning by solids and liquids</v>
      </c>
      <c r="U1032" s="360">
        <v>2000</v>
      </c>
      <c r="V1032" s="360" t="s">
        <v>20</v>
      </c>
      <c r="W1032" s="360" t="s">
        <v>18</v>
      </c>
      <c r="X1032" s="360">
        <v>23</v>
      </c>
      <c r="Y1032" s="360" t="s">
        <v>47</v>
      </c>
      <c r="Z1032" s="360">
        <v>2</v>
      </c>
      <c r="AA1032" s="360">
        <v>35</v>
      </c>
      <c r="AB1032" s="360">
        <v>5.7</v>
      </c>
    </row>
    <row r="1033" spans="1:28" x14ac:dyDescent="0.2">
      <c r="A1033" t="str">
        <f t="shared" si="77"/>
        <v>2014MaleMaori25</v>
      </c>
      <c r="B1033">
        <v>2014</v>
      </c>
      <c r="C1033" t="s">
        <v>20</v>
      </c>
      <c r="D1033" t="s">
        <v>18</v>
      </c>
      <c r="E1033">
        <v>25</v>
      </c>
      <c r="F1033">
        <v>0</v>
      </c>
      <c r="G1033">
        <v>0</v>
      </c>
      <c r="J1033" s="358" t="str">
        <f t="shared" si="78"/>
        <v>2002FemaleNon-Maori215</v>
      </c>
      <c r="K1033" s="359">
        <v>2002</v>
      </c>
      <c r="L1033" t="s">
        <v>8</v>
      </c>
      <c r="M1033" t="s">
        <v>19</v>
      </c>
      <c r="N1033">
        <v>21</v>
      </c>
      <c r="O1033">
        <v>5</v>
      </c>
      <c r="P1033">
        <v>0</v>
      </c>
      <c r="T1033" s="358" t="str">
        <f t="shared" si="79"/>
        <v>2000MaleMaori25Poisoning by solids and liquids</v>
      </c>
      <c r="U1033" s="360">
        <v>2000</v>
      </c>
      <c r="V1033" s="360" t="s">
        <v>20</v>
      </c>
      <c r="W1033" s="360" t="s">
        <v>18</v>
      </c>
      <c r="X1033" s="360">
        <v>25</v>
      </c>
      <c r="Y1033" s="360" t="s">
        <v>47</v>
      </c>
      <c r="Z1033" s="360">
        <v>1</v>
      </c>
      <c r="AA1033" s="360">
        <v>1</v>
      </c>
      <c r="AB1033" s="360">
        <v>100</v>
      </c>
    </row>
    <row r="1034" spans="1:28" x14ac:dyDescent="0.2">
      <c r="A1034" t="str">
        <f t="shared" si="77"/>
        <v>2014MaleNon-Maori21</v>
      </c>
      <c r="B1034">
        <v>2014</v>
      </c>
      <c r="C1034" t="s">
        <v>20</v>
      </c>
      <c r="D1034" t="s">
        <v>19</v>
      </c>
      <c r="E1034">
        <v>21</v>
      </c>
      <c r="F1034">
        <v>1</v>
      </c>
      <c r="J1034" s="358" t="str">
        <f t="shared" si="78"/>
        <v>2002FemaleNon-Maori221</v>
      </c>
      <c r="K1034" s="359">
        <v>2002</v>
      </c>
      <c r="L1034" t="s">
        <v>8</v>
      </c>
      <c r="M1034" t="s">
        <v>19</v>
      </c>
      <c r="N1034">
        <v>22</v>
      </c>
      <c r="O1034">
        <v>1</v>
      </c>
      <c r="P1034">
        <v>3</v>
      </c>
      <c r="Q1034">
        <v>7.1897947787236598</v>
      </c>
      <c r="R1034">
        <v>8.1</v>
      </c>
      <c r="T1034" s="358" t="str">
        <f t="shared" si="79"/>
        <v>2000MaleMaori23Submersion (drowning)</v>
      </c>
      <c r="U1034" s="360">
        <v>2000</v>
      </c>
      <c r="V1034" s="360" t="s">
        <v>20</v>
      </c>
      <c r="W1034" s="360" t="s">
        <v>18</v>
      </c>
      <c r="X1034" s="360">
        <v>23</v>
      </c>
      <c r="Y1034" s="360" t="s">
        <v>49</v>
      </c>
      <c r="Z1034" s="360">
        <v>1</v>
      </c>
      <c r="AA1034" s="360">
        <v>35</v>
      </c>
      <c r="AB1034" s="360">
        <v>2.9</v>
      </c>
    </row>
    <row r="1035" spans="1:28" x14ac:dyDescent="0.2">
      <c r="A1035" t="str">
        <f t="shared" si="77"/>
        <v>2014MaleNon-Maori22</v>
      </c>
      <c r="B1035">
        <v>2014</v>
      </c>
      <c r="C1035" t="s">
        <v>20</v>
      </c>
      <c r="D1035" t="s">
        <v>19</v>
      </c>
      <c r="E1035">
        <v>22</v>
      </c>
      <c r="F1035">
        <v>48</v>
      </c>
      <c r="G1035">
        <v>18.231540565177799</v>
      </c>
      <c r="H1035">
        <v>5.2</v>
      </c>
      <c r="J1035" s="358" t="str">
        <f t="shared" si="78"/>
        <v>2002FemaleNon-Maori222</v>
      </c>
      <c r="K1035" s="359">
        <v>2002</v>
      </c>
      <c r="L1035" t="s">
        <v>8</v>
      </c>
      <c r="M1035" t="s">
        <v>19</v>
      </c>
      <c r="N1035">
        <v>22</v>
      </c>
      <c r="O1035">
        <v>2</v>
      </c>
      <c r="P1035">
        <v>2</v>
      </c>
      <c r="Q1035">
        <v>4.6705519155663904</v>
      </c>
      <c r="R1035">
        <v>6.5</v>
      </c>
      <c r="T1035" s="358" t="str">
        <f t="shared" si="79"/>
        <v>2000MaleNon-Maori22Firearms and explosives</v>
      </c>
      <c r="U1035" s="360">
        <v>2000</v>
      </c>
      <c r="V1035" s="360" t="s">
        <v>20</v>
      </c>
      <c r="W1035" s="360" t="s">
        <v>19</v>
      </c>
      <c r="X1035" s="360">
        <v>22</v>
      </c>
      <c r="Y1035" s="360" t="s">
        <v>42</v>
      </c>
      <c r="Z1035" s="360">
        <v>3</v>
      </c>
      <c r="AA1035" s="360">
        <v>57</v>
      </c>
      <c r="AB1035" s="360">
        <v>5.3</v>
      </c>
    </row>
    <row r="1036" spans="1:28" x14ac:dyDescent="0.2">
      <c r="A1036" t="str">
        <f t="shared" si="77"/>
        <v>2014MaleNon-Maori23</v>
      </c>
      <c r="B1036">
        <v>2014</v>
      </c>
      <c r="C1036" t="s">
        <v>20</v>
      </c>
      <c r="D1036" t="s">
        <v>19</v>
      </c>
      <c r="E1036">
        <v>23</v>
      </c>
      <c r="F1036">
        <v>104</v>
      </c>
      <c r="G1036">
        <v>21.706461846719002</v>
      </c>
      <c r="H1036">
        <v>4.2</v>
      </c>
      <c r="J1036" s="358" t="str">
        <f t="shared" si="78"/>
        <v>2002FemaleNon-Maori223</v>
      </c>
      <c r="K1036" s="359">
        <v>2002</v>
      </c>
      <c r="L1036" t="s">
        <v>8</v>
      </c>
      <c r="M1036" t="s">
        <v>19</v>
      </c>
      <c r="N1036">
        <v>22</v>
      </c>
      <c r="O1036">
        <v>3</v>
      </c>
      <c r="P1036">
        <v>7</v>
      </c>
      <c r="Q1036">
        <v>15.8212723361762</v>
      </c>
      <c r="R1036">
        <v>11.7</v>
      </c>
      <c r="T1036" s="358" t="str">
        <f t="shared" si="79"/>
        <v>2000MaleNon-Maori23Firearms and explosives</v>
      </c>
      <c r="U1036" s="360">
        <v>2000</v>
      </c>
      <c r="V1036" s="360" t="s">
        <v>20</v>
      </c>
      <c r="W1036" s="360" t="s">
        <v>19</v>
      </c>
      <c r="X1036" s="360">
        <v>23</v>
      </c>
      <c r="Y1036" s="360" t="s">
        <v>42</v>
      </c>
      <c r="Z1036" s="360">
        <v>15</v>
      </c>
      <c r="AA1036" s="360">
        <v>136</v>
      </c>
      <c r="AB1036" s="360">
        <v>11</v>
      </c>
    </row>
    <row r="1037" spans="1:28" x14ac:dyDescent="0.2">
      <c r="A1037" t="str">
        <f t="shared" si="77"/>
        <v>2014MaleNon-Maori24</v>
      </c>
      <c r="B1037">
        <v>2014</v>
      </c>
      <c r="C1037" t="s">
        <v>20</v>
      </c>
      <c r="D1037" t="s">
        <v>19</v>
      </c>
      <c r="E1037">
        <v>24</v>
      </c>
      <c r="F1037">
        <v>110</v>
      </c>
      <c r="G1037">
        <v>22.127454135822301</v>
      </c>
      <c r="H1037">
        <v>4.0999999999999996</v>
      </c>
      <c r="J1037" s="358" t="str">
        <f t="shared" si="78"/>
        <v>2002FemaleNon-Maori224</v>
      </c>
      <c r="K1037" s="359">
        <v>2002</v>
      </c>
      <c r="L1037" t="s">
        <v>8</v>
      </c>
      <c r="M1037" t="s">
        <v>19</v>
      </c>
      <c r="N1037">
        <v>22</v>
      </c>
      <c r="O1037">
        <v>4</v>
      </c>
      <c r="P1037">
        <v>5</v>
      </c>
      <c r="Q1037">
        <v>11.033582697514399</v>
      </c>
      <c r="R1037">
        <v>9.6999999999999993</v>
      </c>
      <c r="T1037" s="358" t="str">
        <f t="shared" si="79"/>
        <v>2000MaleNon-Maori24Firearms and explosives</v>
      </c>
      <c r="U1037" s="360">
        <v>2000</v>
      </c>
      <c r="V1037" s="360" t="s">
        <v>20</v>
      </c>
      <c r="W1037" s="360" t="s">
        <v>19</v>
      </c>
      <c r="X1037" s="360">
        <v>24</v>
      </c>
      <c r="Y1037" s="360" t="s">
        <v>42</v>
      </c>
      <c r="Z1037" s="360">
        <v>6</v>
      </c>
      <c r="AA1037" s="360">
        <v>72</v>
      </c>
      <c r="AB1037" s="360">
        <v>8.3000000000000007</v>
      </c>
    </row>
    <row r="1038" spans="1:28" x14ac:dyDescent="0.2">
      <c r="A1038" t="str">
        <f t="shared" si="77"/>
        <v>2014MaleNon-Maori25</v>
      </c>
      <c r="B1038">
        <v>2014</v>
      </c>
      <c r="C1038" t="s">
        <v>20</v>
      </c>
      <c r="D1038" t="s">
        <v>19</v>
      </c>
      <c r="E1038">
        <v>25</v>
      </c>
      <c r="F1038">
        <v>49</v>
      </c>
      <c r="G1038">
        <v>17.287609370589902</v>
      </c>
      <c r="H1038">
        <v>4.8</v>
      </c>
      <c r="J1038" s="358" t="str">
        <f t="shared" si="78"/>
        <v>2002FemaleNon-Maori225</v>
      </c>
      <c r="K1038" s="359">
        <v>2002</v>
      </c>
      <c r="L1038" t="s">
        <v>8</v>
      </c>
      <c r="M1038" t="s">
        <v>19</v>
      </c>
      <c r="N1038">
        <v>22</v>
      </c>
      <c r="O1038">
        <v>5</v>
      </c>
      <c r="P1038">
        <v>2</v>
      </c>
      <c r="Q1038">
        <v>4.4304369539364297</v>
      </c>
      <c r="R1038">
        <v>6.1</v>
      </c>
      <c r="T1038" s="358" t="str">
        <f t="shared" si="79"/>
        <v>2000MaleNon-Maori25Firearms and explosives</v>
      </c>
      <c r="U1038" s="360">
        <v>2000</v>
      </c>
      <c r="V1038" s="360" t="s">
        <v>20</v>
      </c>
      <c r="W1038" s="360" t="s">
        <v>19</v>
      </c>
      <c r="X1038" s="360">
        <v>25</v>
      </c>
      <c r="Y1038" s="360" t="s">
        <v>42</v>
      </c>
      <c r="Z1038" s="360">
        <v>7</v>
      </c>
      <c r="AA1038" s="360">
        <v>40</v>
      </c>
      <c r="AB1038" s="360">
        <v>17.5</v>
      </c>
    </row>
    <row r="1039" spans="1:28" x14ac:dyDescent="0.2">
      <c r="A1039" t="str">
        <f t="shared" si="77"/>
        <v>2015AllSexAllEth21</v>
      </c>
      <c r="B1039">
        <v>2015</v>
      </c>
      <c r="C1039" t="s">
        <v>17</v>
      </c>
      <c r="D1039" t="s">
        <v>27</v>
      </c>
      <c r="E1039">
        <v>21</v>
      </c>
      <c r="F1039">
        <v>10</v>
      </c>
      <c r="J1039" s="358" t="str">
        <f t="shared" si="78"/>
        <v>2002FemaleNon-Maori231</v>
      </c>
      <c r="K1039" s="359">
        <v>2002</v>
      </c>
      <c r="L1039" t="s">
        <v>8</v>
      </c>
      <c r="M1039" t="s">
        <v>19</v>
      </c>
      <c r="N1039">
        <v>23</v>
      </c>
      <c r="O1039">
        <v>1</v>
      </c>
      <c r="P1039">
        <v>5</v>
      </c>
      <c r="Q1039">
        <v>4.3652951544550396</v>
      </c>
      <c r="R1039">
        <v>3.8</v>
      </c>
      <c r="T1039" s="358" t="str">
        <f t="shared" si="79"/>
        <v>2000MaleNon-Maori21Hanging, strangulation and suffocation</v>
      </c>
      <c r="U1039" s="360">
        <v>2000</v>
      </c>
      <c r="V1039" s="360" t="s">
        <v>20</v>
      </c>
      <c r="W1039" s="360" t="s">
        <v>19</v>
      </c>
      <c r="X1039" s="360">
        <v>21</v>
      </c>
      <c r="Y1039" s="360" t="s">
        <v>43</v>
      </c>
      <c r="Z1039" s="360">
        <v>1</v>
      </c>
      <c r="AA1039" s="360">
        <v>2</v>
      </c>
      <c r="AB1039" s="360">
        <v>50</v>
      </c>
    </row>
    <row r="1040" spans="1:28" x14ac:dyDescent="0.2">
      <c r="A1040" t="str">
        <f t="shared" si="77"/>
        <v>2015AllSexAllEth22</v>
      </c>
      <c r="B1040">
        <v>2015</v>
      </c>
      <c r="C1040" t="s">
        <v>17</v>
      </c>
      <c r="D1040" t="s">
        <v>27</v>
      </c>
      <c r="E1040">
        <v>22</v>
      </c>
      <c r="F1040">
        <v>111</v>
      </c>
      <c r="G1040">
        <v>16.906299500426499</v>
      </c>
      <c r="H1040">
        <v>3.1</v>
      </c>
      <c r="J1040" s="358" t="str">
        <f t="shared" si="78"/>
        <v>2002FemaleNon-Maori232</v>
      </c>
      <c r="K1040" s="359">
        <v>2002</v>
      </c>
      <c r="L1040" t="s">
        <v>8</v>
      </c>
      <c r="M1040" t="s">
        <v>19</v>
      </c>
      <c r="N1040">
        <v>23</v>
      </c>
      <c r="O1040">
        <v>2</v>
      </c>
      <c r="P1040">
        <v>7</v>
      </c>
      <c r="Q1040">
        <v>6.0861361732427701</v>
      </c>
      <c r="R1040">
        <v>4.5</v>
      </c>
      <c r="T1040" s="358" t="str">
        <f t="shared" si="79"/>
        <v>2000MaleNon-Maori22Hanging, strangulation and suffocation</v>
      </c>
      <c r="U1040" s="360">
        <v>2000</v>
      </c>
      <c r="V1040" s="360" t="s">
        <v>20</v>
      </c>
      <c r="W1040" s="360" t="s">
        <v>19</v>
      </c>
      <c r="X1040" s="360">
        <v>22</v>
      </c>
      <c r="Y1040" s="360" t="s">
        <v>43</v>
      </c>
      <c r="Z1040" s="360">
        <v>33</v>
      </c>
      <c r="AA1040" s="360">
        <v>57</v>
      </c>
      <c r="AB1040" s="360">
        <v>57.9</v>
      </c>
    </row>
    <row r="1041" spans="1:28" x14ac:dyDescent="0.2">
      <c r="A1041" t="str">
        <f t="shared" si="77"/>
        <v>2015AllSexAllEth23</v>
      </c>
      <c r="B1041">
        <v>2015</v>
      </c>
      <c r="C1041" t="s">
        <v>17</v>
      </c>
      <c r="D1041" t="s">
        <v>27</v>
      </c>
      <c r="E1041">
        <v>23</v>
      </c>
      <c r="F1041">
        <v>171</v>
      </c>
      <c r="G1041">
        <v>14.440250297671801</v>
      </c>
      <c r="H1041">
        <v>2.2000000000000002</v>
      </c>
      <c r="J1041" s="358" t="str">
        <f t="shared" si="78"/>
        <v>2002FemaleNon-Maori233</v>
      </c>
      <c r="K1041" s="359">
        <v>2002</v>
      </c>
      <c r="L1041" t="s">
        <v>8</v>
      </c>
      <c r="M1041" t="s">
        <v>19</v>
      </c>
      <c r="N1041">
        <v>23</v>
      </c>
      <c r="O1041">
        <v>3</v>
      </c>
      <c r="P1041">
        <v>9</v>
      </c>
      <c r="Q1041">
        <v>8.2852932756103606</v>
      </c>
      <c r="R1041">
        <v>5.4</v>
      </c>
      <c r="T1041" s="358" t="str">
        <f t="shared" si="79"/>
        <v>2000MaleNon-Maori23Hanging, strangulation and suffocation</v>
      </c>
      <c r="U1041" s="360">
        <v>2000</v>
      </c>
      <c r="V1041" s="360" t="s">
        <v>20</v>
      </c>
      <c r="W1041" s="360" t="s">
        <v>19</v>
      </c>
      <c r="X1041" s="360">
        <v>23</v>
      </c>
      <c r="Y1041" s="360" t="s">
        <v>43</v>
      </c>
      <c r="Z1041" s="360">
        <v>61</v>
      </c>
      <c r="AA1041" s="360">
        <v>136</v>
      </c>
      <c r="AB1041" s="360">
        <v>44.9</v>
      </c>
    </row>
    <row r="1042" spans="1:28" x14ac:dyDescent="0.2">
      <c r="A1042" t="str">
        <f t="shared" si="77"/>
        <v>2015AllSexAllEth24</v>
      </c>
      <c r="B1042">
        <v>2015</v>
      </c>
      <c r="C1042" t="s">
        <v>17</v>
      </c>
      <c r="D1042" t="s">
        <v>27</v>
      </c>
      <c r="E1042">
        <v>24</v>
      </c>
      <c r="F1042">
        <v>169</v>
      </c>
      <c r="G1042">
        <v>14.4451852231738</v>
      </c>
      <c r="H1042">
        <v>2.2000000000000002</v>
      </c>
      <c r="J1042" s="358" t="str">
        <f t="shared" si="78"/>
        <v>2002FemaleNon-Maori234</v>
      </c>
      <c r="K1042" s="359">
        <v>2002</v>
      </c>
      <c r="L1042" t="s">
        <v>8</v>
      </c>
      <c r="M1042" t="s">
        <v>19</v>
      </c>
      <c r="N1042">
        <v>23</v>
      </c>
      <c r="O1042">
        <v>4</v>
      </c>
      <c r="P1042">
        <v>6</v>
      </c>
      <c r="Q1042">
        <v>6.1544681923863704</v>
      </c>
      <c r="R1042">
        <v>4.9000000000000004</v>
      </c>
      <c r="T1042" s="358" t="str">
        <f t="shared" si="79"/>
        <v>2000MaleNon-Maori24Hanging, strangulation and suffocation</v>
      </c>
      <c r="U1042" s="360">
        <v>2000</v>
      </c>
      <c r="V1042" s="360" t="s">
        <v>20</v>
      </c>
      <c r="W1042" s="360" t="s">
        <v>19</v>
      </c>
      <c r="X1042" s="360">
        <v>24</v>
      </c>
      <c r="Y1042" s="360" t="s">
        <v>43</v>
      </c>
      <c r="Z1042" s="360">
        <v>23</v>
      </c>
      <c r="AA1042" s="360">
        <v>72</v>
      </c>
      <c r="AB1042" s="360">
        <v>31.9</v>
      </c>
    </row>
    <row r="1043" spans="1:28" x14ac:dyDescent="0.2">
      <c r="A1043" t="str">
        <f t="shared" si="77"/>
        <v>2015AllSexAllEth25</v>
      </c>
      <c r="B1043">
        <v>2015</v>
      </c>
      <c r="C1043" t="s">
        <v>17</v>
      </c>
      <c r="D1043" t="s">
        <v>27</v>
      </c>
      <c r="E1043">
        <v>25</v>
      </c>
      <c r="F1043">
        <v>64</v>
      </c>
      <c r="G1043">
        <v>9.49273212696529</v>
      </c>
      <c r="H1043">
        <v>2.2999999999999998</v>
      </c>
      <c r="J1043" s="358" t="str">
        <f t="shared" si="78"/>
        <v>2002FemaleNon-Maori235</v>
      </c>
      <c r="K1043" s="359">
        <v>2002</v>
      </c>
      <c r="L1043" t="s">
        <v>8</v>
      </c>
      <c r="M1043" t="s">
        <v>19</v>
      </c>
      <c r="N1043">
        <v>23</v>
      </c>
      <c r="O1043">
        <v>5</v>
      </c>
      <c r="P1043">
        <v>8</v>
      </c>
      <c r="Q1043">
        <v>10.7040090635372</v>
      </c>
      <c r="R1043">
        <v>7.4</v>
      </c>
      <c r="T1043" s="358" t="str">
        <f t="shared" si="79"/>
        <v>2000MaleNon-Maori25Hanging, strangulation and suffocation</v>
      </c>
      <c r="U1043" s="360">
        <v>2000</v>
      </c>
      <c r="V1043" s="360" t="s">
        <v>20</v>
      </c>
      <c r="W1043" s="360" t="s">
        <v>19</v>
      </c>
      <c r="X1043" s="360">
        <v>25</v>
      </c>
      <c r="Y1043" s="360" t="s">
        <v>43</v>
      </c>
      <c r="Z1043" s="360">
        <v>16</v>
      </c>
      <c r="AA1043" s="360">
        <v>40</v>
      </c>
      <c r="AB1043" s="360">
        <v>40</v>
      </c>
    </row>
    <row r="1044" spans="1:28" x14ac:dyDescent="0.2">
      <c r="A1044" t="str">
        <f t="shared" si="77"/>
        <v>2015AllSexMaori21</v>
      </c>
      <c r="B1044">
        <v>2015</v>
      </c>
      <c r="C1044" t="s">
        <v>17</v>
      </c>
      <c r="D1044" t="s">
        <v>18</v>
      </c>
      <c r="E1044">
        <v>21</v>
      </c>
      <c r="F1044">
        <v>4</v>
      </c>
      <c r="J1044" s="358" t="str">
        <f t="shared" si="78"/>
        <v>2002FemaleNon-Maori241</v>
      </c>
      <c r="K1044" s="359">
        <v>2002</v>
      </c>
      <c r="L1044" t="s">
        <v>8</v>
      </c>
      <c r="M1044" t="s">
        <v>19</v>
      </c>
      <c r="N1044">
        <v>24</v>
      </c>
      <c r="O1044">
        <v>1</v>
      </c>
      <c r="P1044">
        <v>5</v>
      </c>
      <c r="Q1044">
        <v>4.6434400705157097</v>
      </c>
      <c r="R1044">
        <v>4.0999999999999996</v>
      </c>
      <c r="T1044" s="358" t="str">
        <f t="shared" si="79"/>
        <v>2000MaleNon-Maori22Jumping from a high place</v>
      </c>
      <c r="U1044" s="360">
        <v>2000</v>
      </c>
      <c r="V1044" s="360" t="s">
        <v>20</v>
      </c>
      <c r="W1044" s="360" t="s">
        <v>19</v>
      </c>
      <c r="X1044" s="360">
        <v>22</v>
      </c>
      <c r="Y1044" s="360" t="s">
        <v>44</v>
      </c>
      <c r="Z1044" s="360">
        <v>3</v>
      </c>
      <c r="AA1044" s="360">
        <v>57</v>
      </c>
      <c r="AB1044" s="360">
        <v>5.3</v>
      </c>
    </row>
    <row r="1045" spans="1:28" x14ac:dyDescent="0.2">
      <c r="A1045" t="str">
        <f t="shared" si="77"/>
        <v>2015AllSexMaori22</v>
      </c>
      <c r="B1045">
        <v>2015</v>
      </c>
      <c r="C1045" t="s">
        <v>17</v>
      </c>
      <c r="D1045" t="s">
        <v>18</v>
      </c>
      <c r="E1045">
        <v>22</v>
      </c>
      <c r="F1045">
        <v>42</v>
      </c>
      <c r="G1045">
        <v>31.7989097516657</v>
      </c>
      <c r="H1045">
        <v>9.6</v>
      </c>
      <c r="J1045" s="358" t="str">
        <f t="shared" si="78"/>
        <v>2002FemaleNon-Maori242</v>
      </c>
      <c r="K1045" s="359">
        <v>2002</v>
      </c>
      <c r="L1045" t="s">
        <v>8</v>
      </c>
      <c r="M1045" t="s">
        <v>19</v>
      </c>
      <c r="N1045">
        <v>24</v>
      </c>
      <c r="O1045">
        <v>2</v>
      </c>
      <c r="P1045">
        <v>2</v>
      </c>
      <c r="Q1045">
        <v>2.1367264240269601</v>
      </c>
      <c r="R1045">
        <v>3</v>
      </c>
      <c r="T1045" s="358" t="str">
        <f t="shared" si="79"/>
        <v>2000MaleNon-Maori23Jumping from a high place</v>
      </c>
      <c r="U1045" s="360">
        <v>2000</v>
      </c>
      <c r="V1045" s="360" t="s">
        <v>20</v>
      </c>
      <c r="W1045" s="360" t="s">
        <v>19</v>
      </c>
      <c r="X1045" s="360">
        <v>23</v>
      </c>
      <c r="Y1045" s="360" t="s">
        <v>44</v>
      </c>
      <c r="Z1045" s="360">
        <v>2</v>
      </c>
      <c r="AA1045" s="360">
        <v>136</v>
      </c>
      <c r="AB1045" s="360">
        <v>1.5</v>
      </c>
    </row>
    <row r="1046" spans="1:28" x14ac:dyDescent="0.2">
      <c r="A1046" t="str">
        <f t="shared" si="77"/>
        <v>2015AllSexMaori23</v>
      </c>
      <c r="B1046">
        <v>2015</v>
      </c>
      <c r="C1046" t="s">
        <v>17</v>
      </c>
      <c r="D1046" t="s">
        <v>18</v>
      </c>
      <c r="E1046">
        <v>23</v>
      </c>
      <c r="F1046">
        <v>54</v>
      </c>
      <c r="G1046">
        <v>31.665982525068902</v>
      </c>
      <c r="H1046">
        <v>8.4</v>
      </c>
      <c r="J1046" s="358" t="str">
        <f t="shared" si="78"/>
        <v>2002FemaleNon-Maori243</v>
      </c>
      <c r="K1046" s="359">
        <v>2002</v>
      </c>
      <c r="L1046" t="s">
        <v>8</v>
      </c>
      <c r="M1046" t="s">
        <v>19</v>
      </c>
      <c r="N1046">
        <v>24</v>
      </c>
      <c r="O1046">
        <v>3</v>
      </c>
      <c r="P1046">
        <v>1</v>
      </c>
      <c r="Q1046">
        <v>1.2184423769044299</v>
      </c>
      <c r="R1046">
        <v>2.4</v>
      </c>
      <c r="T1046" s="358" t="str">
        <f t="shared" si="79"/>
        <v>2000MaleNon-Maori24Jumping from a high place</v>
      </c>
      <c r="U1046" s="360">
        <v>2000</v>
      </c>
      <c r="V1046" s="360" t="s">
        <v>20</v>
      </c>
      <c r="W1046" s="360" t="s">
        <v>19</v>
      </c>
      <c r="X1046" s="360">
        <v>24</v>
      </c>
      <c r="Y1046" s="360" t="s">
        <v>44</v>
      </c>
      <c r="Z1046" s="360">
        <v>2</v>
      </c>
      <c r="AA1046" s="360">
        <v>72</v>
      </c>
      <c r="AB1046" s="360">
        <v>2.8</v>
      </c>
    </row>
    <row r="1047" spans="1:28" x14ac:dyDescent="0.2">
      <c r="A1047" t="str">
        <f t="shared" si="77"/>
        <v>2015AllSexMaori24</v>
      </c>
      <c r="B1047">
        <v>2015</v>
      </c>
      <c r="C1047" t="s">
        <v>17</v>
      </c>
      <c r="D1047" t="s">
        <v>18</v>
      </c>
      <c r="E1047">
        <v>24</v>
      </c>
      <c r="F1047">
        <v>18</v>
      </c>
      <c r="G1047">
        <v>13.474062429822601</v>
      </c>
      <c r="H1047">
        <v>6.2</v>
      </c>
      <c r="J1047" s="358" t="str">
        <f t="shared" si="78"/>
        <v>2002FemaleNon-Maori244</v>
      </c>
      <c r="K1047" s="359">
        <v>2002</v>
      </c>
      <c r="L1047" t="s">
        <v>8</v>
      </c>
      <c r="M1047" t="s">
        <v>19</v>
      </c>
      <c r="N1047">
        <v>24</v>
      </c>
      <c r="O1047">
        <v>4</v>
      </c>
      <c r="P1047">
        <v>9</v>
      </c>
      <c r="Q1047">
        <v>12.7703782119531</v>
      </c>
      <c r="R1047">
        <v>8.3000000000000007</v>
      </c>
      <c r="T1047" s="358" t="str">
        <f t="shared" si="79"/>
        <v>2000MaleNon-Maori25Jumping from a high place</v>
      </c>
      <c r="U1047" s="360">
        <v>2000</v>
      </c>
      <c r="V1047" s="360" t="s">
        <v>20</v>
      </c>
      <c r="W1047" s="360" t="s">
        <v>19</v>
      </c>
      <c r="X1047" s="360">
        <v>25</v>
      </c>
      <c r="Y1047" s="360" t="s">
        <v>44</v>
      </c>
      <c r="Z1047" s="360">
        <v>3</v>
      </c>
      <c r="AA1047" s="360">
        <v>40</v>
      </c>
      <c r="AB1047" s="360">
        <v>7.5</v>
      </c>
    </row>
    <row r="1048" spans="1:28" x14ac:dyDescent="0.2">
      <c r="A1048" t="str">
        <f t="shared" si="77"/>
        <v>2015AllSexMaori25</v>
      </c>
      <c r="B1048">
        <v>2015</v>
      </c>
      <c r="C1048" t="s">
        <v>17</v>
      </c>
      <c r="D1048" t="s">
        <v>18</v>
      </c>
      <c r="E1048">
        <v>25</v>
      </c>
      <c r="F1048">
        <v>0</v>
      </c>
      <c r="G1048">
        <v>0</v>
      </c>
      <c r="J1048" s="358" t="str">
        <f t="shared" si="78"/>
        <v>2002FemaleNon-Maori245</v>
      </c>
      <c r="K1048" s="359">
        <v>2002</v>
      </c>
      <c r="L1048" t="s">
        <v>8</v>
      </c>
      <c r="M1048" t="s">
        <v>19</v>
      </c>
      <c r="N1048">
        <v>24</v>
      </c>
      <c r="O1048">
        <v>5</v>
      </c>
      <c r="P1048">
        <v>4</v>
      </c>
      <c r="Q1048">
        <v>7.8121196313569401</v>
      </c>
      <c r="R1048">
        <v>7.7</v>
      </c>
      <c r="T1048" s="358" t="str">
        <f t="shared" si="79"/>
        <v>2000MaleNon-Maori21Other</v>
      </c>
      <c r="U1048" s="360">
        <v>2000</v>
      </c>
      <c r="V1048" s="360" t="s">
        <v>20</v>
      </c>
      <c r="W1048" s="360" t="s">
        <v>19</v>
      </c>
      <c r="X1048" s="360">
        <v>21</v>
      </c>
      <c r="Y1048" s="360" t="s">
        <v>45</v>
      </c>
      <c r="Z1048" s="360">
        <v>1</v>
      </c>
      <c r="AA1048" s="360">
        <v>2</v>
      </c>
      <c r="AB1048" s="360">
        <v>50</v>
      </c>
    </row>
    <row r="1049" spans="1:28" x14ac:dyDescent="0.2">
      <c r="A1049" t="str">
        <f t="shared" si="77"/>
        <v>2015AllSexNon-Maori21</v>
      </c>
      <c r="B1049">
        <v>2015</v>
      </c>
      <c r="C1049" t="s">
        <v>17</v>
      </c>
      <c r="D1049" t="s">
        <v>19</v>
      </c>
      <c r="E1049">
        <v>21</v>
      </c>
      <c r="F1049">
        <v>6</v>
      </c>
      <c r="J1049" s="358" t="str">
        <f t="shared" si="78"/>
        <v>2002FemaleNon-Maori251</v>
      </c>
      <c r="K1049" s="359">
        <v>2002</v>
      </c>
      <c r="L1049" t="s">
        <v>8</v>
      </c>
      <c r="M1049" t="s">
        <v>19</v>
      </c>
      <c r="N1049">
        <v>25</v>
      </c>
      <c r="O1049">
        <v>1</v>
      </c>
      <c r="P1049">
        <v>3</v>
      </c>
      <c r="Q1049">
        <v>6.28368480158613</v>
      </c>
      <c r="R1049">
        <v>7.1</v>
      </c>
      <c r="T1049" s="358" t="str">
        <f t="shared" si="79"/>
        <v>2000MaleNon-Maori22Other</v>
      </c>
      <c r="U1049" s="360">
        <v>2000</v>
      </c>
      <c r="V1049" s="360" t="s">
        <v>20</v>
      </c>
      <c r="W1049" s="360" t="s">
        <v>19</v>
      </c>
      <c r="X1049" s="360">
        <v>22</v>
      </c>
      <c r="Y1049" s="360" t="s">
        <v>45</v>
      </c>
      <c r="Z1049" s="360">
        <v>4</v>
      </c>
      <c r="AA1049" s="360">
        <v>57</v>
      </c>
      <c r="AB1049" s="360">
        <v>7</v>
      </c>
    </row>
    <row r="1050" spans="1:28" x14ac:dyDescent="0.2">
      <c r="A1050" t="str">
        <f t="shared" si="77"/>
        <v>2015AllSexNon-Maori22</v>
      </c>
      <c r="B1050">
        <v>2015</v>
      </c>
      <c r="C1050" t="s">
        <v>17</v>
      </c>
      <c r="D1050" t="s">
        <v>19</v>
      </c>
      <c r="E1050">
        <v>22</v>
      </c>
      <c r="F1050">
        <v>69</v>
      </c>
      <c r="G1050">
        <v>13.155887736424599</v>
      </c>
      <c r="H1050">
        <v>3.1</v>
      </c>
      <c r="J1050" s="358" t="str">
        <f t="shared" si="78"/>
        <v>2002FemaleNon-Maori252</v>
      </c>
      <c r="K1050" s="359">
        <v>2002</v>
      </c>
      <c r="L1050" t="s">
        <v>8</v>
      </c>
      <c r="M1050" t="s">
        <v>19</v>
      </c>
      <c r="N1050">
        <v>25</v>
      </c>
      <c r="O1050">
        <v>2</v>
      </c>
      <c r="P1050">
        <v>2</v>
      </c>
      <c r="Q1050">
        <v>3.7771982224837601</v>
      </c>
      <c r="R1050">
        <v>5.2</v>
      </c>
      <c r="T1050" s="358" t="str">
        <f t="shared" si="79"/>
        <v>2000MaleNon-Maori23Other</v>
      </c>
      <c r="U1050" s="360">
        <v>2000</v>
      </c>
      <c r="V1050" s="360" t="s">
        <v>20</v>
      </c>
      <c r="W1050" s="360" t="s">
        <v>19</v>
      </c>
      <c r="X1050" s="360">
        <v>23</v>
      </c>
      <c r="Y1050" s="360" t="s">
        <v>45</v>
      </c>
      <c r="Z1050" s="360">
        <v>4</v>
      </c>
      <c r="AA1050" s="360">
        <v>136</v>
      </c>
      <c r="AB1050" s="360">
        <v>2.9</v>
      </c>
    </row>
    <row r="1051" spans="1:28" x14ac:dyDescent="0.2">
      <c r="A1051" t="str">
        <f t="shared" si="77"/>
        <v>2015AllSexNon-Maori23</v>
      </c>
      <c r="B1051">
        <v>2015</v>
      </c>
      <c r="C1051" t="s">
        <v>17</v>
      </c>
      <c r="D1051" t="s">
        <v>19</v>
      </c>
      <c r="E1051">
        <v>23</v>
      </c>
      <c r="F1051">
        <v>117</v>
      </c>
      <c r="G1051">
        <v>11.542331748318</v>
      </c>
      <c r="H1051">
        <v>2.1</v>
      </c>
      <c r="J1051" s="358" t="str">
        <f t="shared" si="78"/>
        <v>2002FemaleNon-Maori253</v>
      </c>
      <c r="K1051" s="359">
        <v>2002</v>
      </c>
      <c r="L1051" t="s">
        <v>8</v>
      </c>
      <c r="M1051" t="s">
        <v>19</v>
      </c>
      <c r="N1051">
        <v>25</v>
      </c>
      <c r="O1051">
        <v>3</v>
      </c>
      <c r="P1051">
        <v>0</v>
      </c>
      <c r="Q1051">
        <v>0</v>
      </c>
      <c r="T1051" s="358" t="str">
        <f t="shared" si="79"/>
        <v>2000MaleNon-Maori24Other</v>
      </c>
      <c r="U1051" s="360">
        <v>2000</v>
      </c>
      <c r="V1051" s="360" t="s">
        <v>20</v>
      </c>
      <c r="W1051" s="360" t="s">
        <v>19</v>
      </c>
      <c r="X1051" s="360">
        <v>24</v>
      </c>
      <c r="Y1051" s="360" t="s">
        <v>45</v>
      </c>
      <c r="Z1051" s="360">
        <v>1</v>
      </c>
      <c r="AA1051" s="360">
        <v>72</v>
      </c>
      <c r="AB1051" s="360">
        <v>1.4</v>
      </c>
    </row>
    <row r="1052" spans="1:28" x14ac:dyDescent="0.2">
      <c r="A1052" t="str">
        <f t="shared" si="77"/>
        <v>2015AllSexNon-Maori24</v>
      </c>
      <c r="B1052">
        <v>2015</v>
      </c>
      <c r="C1052" t="s">
        <v>17</v>
      </c>
      <c r="D1052" t="s">
        <v>19</v>
      </c>
      <c r="E1052">
        <v>24</v>
      </c>
      <c r="F1052">
        <v>151</v>
      </c>
      <c r="G1052">
        <v>14.5703671539538</v>
      </c>
      <c r="H1052">
        <v>2.2999999999999998</v>
      </c>
      <c r="J1052" s="358" t="str">
        <f t="shared" si="78"/>
        <v>2002FemaleNon-Maori254</v>
      </c>
      <c r="K1052" s="359">
        <v>2002</v>
      </c>
      <c r="L1052" t="s">
        <v>8</v>
      </c>
      <c r="M1052" t="s">
        <v>19</v>
      </c>
      <c r="N1052">
        <v>25</v>
      </c>
      <c r="O1052">
        <v>4</v>
      </c>
      <c r="P1052">
        <v>2</v>
      </c>
      <c r="Q1052">
        <v>3.5664700891791399</v>
      </c>
      <c r="R1052">
        <v>4.9000000000000004</v>
      </c>
      <c r="T1052" s="358" t="str">
        <f t="shared" si="79"/>
        <v>2000MaleNon-Maori25Other</v>
      </c>
      <c r="U1052" s="360">
        <v>2000</v>
      </c>
      <c r="V1052" s="360" t="s">
        <v>20</v>
      </c>
      <c r="W1052" s="360" t="s">
        <v>19</v>
      </c>
      <c r="X1052" s="360">
        <v>25</v>
      </c>
      <c r="Y1052" s="360" t="s">
        <v>45</v>
      </c>
      <c r="Z1052" s="360">
        <v>1</v>
      </c>
      <c r="AA1052" s="360">
        <v>40</v>
      </c>
      <c r="AB1052" s="360">
        <v>2.5</v>
      </c>
    </row>
    <row r="1053" spans="1:28" x14ac:dyDescent="0.2">
      <c r="A1053" t="str">
        <f t="shared" si="77"/>
        <v>2015AllSexNon-Maori25</v>
      </c>
      <c r="B1053">
        <v>2015</v>
      </c>
      <c r="C1053" t="s">
        <v>17</v>
      </c>
      <c r="D1053" t="s">
        <v>19</v>
      </c>
      <c r="E1053">
        <v>25</v>
      </c>
      <c r="F1053">
        <v>64</v>
      </c>
      <c r="G1053">
        <v>10.103242509392899</v>
      </c>
      <c r="H1053">
        <v>2.5</v>
      </c>
      <c r="J1053" s="358" t="str">
        <f t="shared" si="78"/>
        <v>2002FemaleNon-Maori255</v>
      </c>
      <c r="K1053" s="359">
        <v>2002</v>
      </c>
      <c r="L1053" t="s">
        <v>8</v>
      </c>
      <c r="M1053" t="s">
        <v>19</v>
      </c>
      <c r="N1053">
        <v>25</v>
      </c>
      <c r="O1053">
        <v>5</v>
      </c>
      <c r="P1053">
        <v>5</v>
      </c>
      <c r="Q1053">
        <v>13.004208796894501</v>
      </c>
      <c r="R1053">
        <v>11.4</v>
      </c>
      <c r="T1053" s="358" t="str">
        <f t="shared" si="79"/>
        <v>2000MaleNon-Maori22Poisoning by gases and vapours</v>
      </c>
      <c r="U1053" s="360">
        <v>2000</v>
      </c>
      <c r="V1053" s="360" t="s">
        <v>20</v>
      </c>
      <c r="W1053" s="360" t="s">
        <v>19</v>
      </c>
      <c r="X1053" s="360">
        <v>22</v>
      </c>
      <c r="Y1053" s="360" t="s">
        <v>46</v>
      </c>
      <c r="Z1053" s="360">
        <v>11</v>
      </c>
      <c r="AA1053" s="360">
        <v>57</v>
      </c>
      <c r="AB1053" s="360">
        <v>19.3</v>
      </c>
    </row>
    <row r="1054" spans="1:28" x14ac:dyDescent="0.2">
      <c r="A1054" t="str">
        <f t="shared" si="77"/>
        <v>2015FemaleAllEth21</v>
      </c>
      <c r="B1054">
        <v>2015</v>
      </c>
      <c r="C1054" t="s">
        <v>8</v>
      </c>
      <c r="D1054" t="s">
        <v>27</v>
      </c>
      <c r="E1054">
        <v>21</v>
      </c>
      <c r="F1054">
        <v>4</v>
      </c>
      <c r="J1054" s="358" t="str">
        <f t="shared" si="78"/>
        <v>2002MaleAllEth211</v>
      </c>
      <c r="K1054" s="359">
        <v>2002</v>
      </c>
      <c r="L1054" t="s">
        <v>20</v>
      </c>
      <c r="M1054" t="s">
        <v>27</v>
      </c>
      <c r="N1054">
        <v>21</v>
      </c>
      <c r="O1054">
        <v>1</v>
      </c>
      <c r="P1054">
        <v>0</v>
      </c>
      <c r="T1054" s="358" t="str">
        <f t="shared" si="79"/>
        <v>2000MaleNon-Maori23Poisoning by gases and vapours</v>
      </c>
      <c r="U1054" s="360">
        <v>2000</v>
      </c>
      <c r="V1054" s="360" t="s">
        <v>20</v>
      </c>
      <c r="W1054" s="360" t="s">
        <v>19</v>
      </c>
      <c r="X1054" s="360">
        <v>23</v>
      </c>
      <c r="Y1054" s="360" t="s">
        <v>46</v>
      </c>
      <c r="Z1054" s="360">
        <v>39</v>
      </c>
      <c r="AA1054" s="360">
        <v>136</v>
      </c>
      <c r="AB1054" s="360">
        <v>28.7</v>
      </c>
    </row>
    <row r="1055" spans="1:28" x14ac:dyDescent="0.2">
      <c r="A1055" t="str">
        <f t="shared" si="77"/>
        <v>2015FemaleAllEth22</v>
      </c>
      <c r="B1055">
        <v>2015</v>
      </c>
      <c r="C1055" t="s">
        <v>8</v>
      </c>
      <c r="D1055" t="s">
        <v>27</v>
      </c>
      <c r="E1055">
        <v>22</v>
      </c>
      <c r="F1055">
        <v>42</v>
      </c>
      <c r="G1055">
        <v>13.2391879964695</v>
      </c>
      <c r="H1055">
        <v>4</v>
      </c>
      <c r="J1055" s="358" t="str">
        <f t="shared" si="78"/>
        <v>2002MaleAllEth212</v>
      </c>
      <c r="K1055" s="359">
        <v>2002</v>
      </c>
      <c r="L1055" t="s">
        <v>20</v>
      </c>
      <c r="M1055" t="s">
        <v>27</v>
      </c>
      <c r="N1055">
        <v>21</v>
      </c>
      <c r="O1055">
        <v>2</v>
      </c>
      <c r="P1055">
        <v>0</v>
      </c>
      <c r="T1055" s="358" t="str">
        <f t="shared" si="79"/>
        <v>2000MaleNon-Maori24Poisoning by gases and vapours</v>
      </c>
      <c r="U1055" s="360">
        <v>2000</v>
      </c>
      <c r="V1055" s="360" t="s">
        <v>20</v>
      </c>
      <c r="W1055" s="360" t="s">
        <v>19</v>
      </c>
      <c r="X1055" s="360">
        <v>24</v>
      </c>
      <c r="Y1055" s="360" t="s">
        <v>46</v>
      </c>
      <c r="Z1055" s="360">
        <v>27</v>
      </c>
      <c r="AA1055" s="360">
        <v>72</v>
      </c>
      <c r="AB1055" s="360">
        <v>37.5</v>
      </c>
    </row>
    <row r="1056" spans="1:28" x14ac:dyDescent="0.2">
      <c r="A1056" t="str">
        <f t="shared" si="77"/>
        <v>2015FemaleAllEth23</v>
      </c>
      <c r="B1056">
        <v>2015</v>
      </c>
      <c r="C1056" t="s">
        <v>8</v>
      </c>
      <c r="D1056" t="s">
        <v>27</v>
      </c>
      <c r="E1056">
        <v>23</v>
      </c>
      <c r="F1056">
        <v>35</v>
      </c>
      <c r="G1056">
        <v>5.7242856909212803</v>
      </c>
      <c r="H1056">
        <v>1.9</v>
      </c>
      <c r="J1056" s="358" t="str">
        <f t="shared" si="78"/>
        <v>2002MaleAllEth213</v>
      </c>
      <c r="K1056" s="359">
        <v>2002</v>
      </c>
      <c r="L1056" t="s">
        <v>20</v>
      </c>
      <c r="M1056" t="s">
        <v>27</v>
      </c>
      <c r="N1056">
        <v>21</v>
      </c>
      <c r="O1056">
        <v>3</v>
      </c>
      <c r="P1056">
        <v>0</v>
      </c>
      <c r="T1056" s="358" t="str">
        <f t="shared" si="79"/>
        <v>2000MaleNon-Maori25Poisoning by gases and vapours</v>
      </c>
      <c r="U1056" s="360">
        <v>2000</v>
      </c>
      <c r="V1056" s="360" t="s">
        <v>20</v>
      </c>
      <c r="W1056" s="360" t="s">
        <v>19</v>
      </c>
      <c r="X1056" s="360">
        <v>25</v>
      </c>
      <c r="Y1056" s="360" t="s">
        <v>46</v>
      </c>
      <c r="Z1056" s="360">
        <v>7</v>
      </c>
      <c r="AA1056" s="360">
        <v>40</v>
      </c>
      <c r="AB1056" s="360">
        <v>17.5</v>
      </c>
    </row>
    <row r="1057" spans="1:28" x14ac:dyDescent="0.2">
      <c r="A1057" t="str">
        <f t="shared" si="77"/>
        <v>2015FemaleAllEth24</v>
      </c>
      <c r="B1057">
        <v>2015</v>
      </c>
      <c r="C1057" t="s">
        <v>8</v>
      </c>
      <c r="D1057" t="s">
        <v>27</v>
      </c>
      <c r="E1057">
        <v>24</v>
      </c>
      <c r="F1057">
        <v>45</v>
      </c>
      <c r="G1057">
        <v>7.4433068131068403</v>
      </c>
      <c r="H1057">
        <v>2.2000000000000002</v>
      </c>
      <c r="J1057" s="358" t="str">
        <f t="shared" si="78"/>
        <v>2002MaleAllEth214</v>
      </c>
      <c r="K1057" s="359">
        <v>2002</v>
      </c>
      <c r="L1057" t="s">
        <v>20</v>
      </c>
      <c r="M1057" t="s">
        <v>27</v>
      </c>
      <c r="N1057">
        <v>21</v>
      </c>
      <c r="O1057">
        <v>4</v>
      </c>
      <c r="P1057">
        <v>0</v>
      </c>
      <c r="T1057" s="358" t="str">
        <f t="shared" si="79"/>
        <v>2000MaleNon-Maori23Poisoning by solids and liquids</v>
      </c>
      <c r="U1057" s="360">
        <v>2000</v>
      </c>
      <c r="V1057" s="360" t="s">
        <v>20</v>
      </c>
      <c r="W1057" s="360" t="s">
        <v>19</v>
      </c>
      <c r="X1057" s="360">
        <v>23</v>
      </c>
      <c r="Y1057" s="360" t="s">
        <v>47</v>
      </c>
      <c r="Z1057" s="360">
        <v>8</v>
      </c>
      <c r="AA1057" s="360">
        <v>136</v>
      </c>
      <c r="AB1057" s="360">
        <v>5.9</v>
      </c>
    </row>
    <row r="1058" spans="1:28" x14ac:dyDescent="0.2">
      <c r="A1058" t="str">
        <f t="shared" si="77"/>
        <v>2015FemaleAllEth25</v>
      </c>
      <c r="B1058">
        <v>2015</v>
      </c>
      <c r="C1058" t="s">
        <v>8</v>
      </c>
      <c r="D1058" t="s">
        <v>27</v>
      </c>
      <c r="E1058">
        <v>25</v>
      </c>
      <c r="F1058">
        <v>16</v>
      </c>
      <c r="G1058">
        <v>4.42575791104227</v>
      </c>
      <c r="H1058">
        <v>2.2000000000000002</v>
      </c>
      <c r="J1058" s="358" t="str">
        <f t="shared" si="78"/>
        <v>2002MaleAllEth215</v>
      </c>
      <c r="K1058" s="359">
        <v>2002</v>
      </c>
      <c r="L1058" t="s">
        <v>20</v>
      </c>
      <c r="M1058" t="s">
        <v>27</v>
      </c>
      <c r="N1058">
        <v>21</v>
      </c>
      <c r="O1058">
        <v>5</v>
      </c>
      <c r="P1058">
        <v>0</v>
      </c>
      <c r="T1058" s="358" t="str">
        <f t="shared" si="79"/>
        <v>2000MaleNon-Maori24Poisoning by solids and liquids</v>
      </c>
      <c r="U1058" s="360">
        <v>2000</v>
      </c>
      <c r="V1058" s="360" t="s">
        <v>20</v>
      </c>
      <c r="W1058" s="360" t="s">
        <v>19</v>
      </c>
      <c r="X1058" s="360">
        <v>24</v>
      </c>
      <c r="Y1058" s="360" t="s">
        <v>47</v>
      </c>
      <c r="Z1058" s="360">
        <v>6</v>
      </c>
      <c r="AA1058" s="360">
        <v>72</v>
      </c>
      <c r="AB1058" s="360">
        <v>8.3000000000000007</v>
      </c>
    </row>
    <row r="1059" spans="1:28" x14ac:dyDescent="0.2">
      <c r="A1059" t="str">
        <f t="shared" si="77"/>
        <v>2015FemaleMaori21</v>
      </c>
      <c r="B1059">
        <v>2015</v>
      </c>
      <c r="C1059" t="s">
        <v>8</v>
      </c>
      <c r="D1059" t="s">
        <v>18</v>
      </c>
      <c r="E1059">
        <v>21</v>
      </c>
      <c r="F1059">
        <v>1</v>
      </c>
      <c r="J1059" s="358" t="str">
        <f t="shared" si="78"/>
        <v>2002MaleAllEth221</v>
      </c>
      <c r="K1059" s="359">
        <v>2002</v>
      </c>
      <c r="L1059" t="s">
        <v>20</v>
      </c>
      <c r="M1059" t="s">
        <v>27</v>
      </c>
      <c r="N1059">
        <v>22</v>
      </c>
      <c r="O1059">
        <v>1</v>
      </c>
      <c r="P1059">
        <v>2</v>
      </c>
      <c r="Q1059">
        <v>4.1241705651523199</v>
      </c>
      <c r="R1059">
        <v>5.7</v>
      </c>
      <c r="T1059" s="358" t="str">
        <f t="shared" si="79"/>
        <v>2000MaleNon-Maori25Poisoning by solids and liquids</v>
      </c>
      <c r="U1059" s="360">
        <v>2000</v>
      </c>
      <c r="V1059" s="360" t="s">
        <v>20</v>
      </c>
      <c r="W1059" s="360" t="s">
        <v>19</v>
      </c>
      <c r="X1059" s="360">
        <v>25</v>
      </c>
      <c r="Y1059" s="360" t="s">
        <v>47</v>
      </c>
      <c r="Z1059" s="360">
        <v>3</v>
      </c>
      <c r="AA1059" s="360">
        <v>40</v>
      </c>
      <c r="AB1059" s="360">
        <v>7.5</v>
      </c>
    </row>
    <row r="1060" spans="1:28" x14ac:dyDescent="0.2">
      <c r="A1060" t="str">
        <f t="shared" si="77"/>
        <v>2015FemaleMaori22</v>
      </c>
      <c r="B1060">
        <v>2015</v>
      </c>
      <c r="C1060" t="s">
        <v>8</v>
      </c>
      <c r="D1060" t="s">
        <v>18</v>
      </c>
      <c r="E1060">
        <v>22</v>
      </c>
      <c r="F1060">
        <v>23</v>
      </c>
      <c r="G1060">
        <v>35.281484890320598</v>
      </c>
      <c r="H1060">
        <v>14.4</v>
      </c>
      <c r="J1060" s="358" t="str">
        <f t="shared" si="78"/>
        <v>2002MaleAllEth222</v>
      </c>
      <c r="K1060" s="359">
        <v>2002</v>
      </c>
      <c r="L1060" t="s">
        <v>20</v>
      </c>
      <c r="M1060" t="s">
        <v>27</v>
      </c>
      <c r="N1060">
        <v>22</v>
      </c>
      <c r="O1060">
        <v>2</v>
      </c>
      <c r="P1060">
        <v>18</v>
      </c>
      <c r="Q1060">
        <v>35.145667848102903</v>
      </c>
      <c r="R1060">
        <v>16.2</v>
      </c>
      <c r="T1060" s="358" t="str">
        <f t="shared" si="79"/>
        <v>2000MaleNon-Maori22Sharp object</v>
      </c>
      <c r="U1060" s="360">
        <v>2000</v>
      </c>
      <c r="V1060" s="360" t="s">
        <v>20</v>
      </c>
      <c r="W1060" s="360" t="s">
        <v>19</v>
      </c>
      <c r="X1060" s="360">
        <v>22</v>
      </c>
      <c r="Y1060" s="360" t="s">
        <v>48</v>
      </c>
      <c r="Z1060" s="360">
        <v>3</v>
      </c>
      <c r="AA1060" s="360">
        <v>57</v>
      </c>
      <c r="AB1060" s="360">
        <v>5.3</v>
      </c>
    </row>
    <row r="1061" spans="1:28" x14ac:dyDescent="0.2">
      <c r="A1061" t="str">
        <f t="shared" si="77"/>
        <v>2015FemaleMaori23</v>
      </c>
      <c r="B1061">
        <v>2015</v>
      </c>
      <c r="C1061" t="s">
        <v>8</v>
      </c>
      <c r="D1061" t="s">
        <v>18</v>
      </c>
      <c r="E1061">
        <v>23</v>
      </c>
      <c r="F1061">
        <v>14</v>
      </c>
      <c r="G1061">
        <v>15.1909722222222</v>
      </c>
      <c r="H1061">
        <v>8</v>
      </c>
      <c r="J1061" s="358" t="str">
        <f t="shared" si="78"/>
        <v>2002MaleAllEth223</v>
      </c>
      <c r="K1061" s="359">
        <v>2002</v>
      </c>
      <c r="L1061" t="s">
        <v>20</v>
      </c>
      <c r="M1061" t="s">
        <v>27</v>
      </c>
      <c r="N1061">
        <v>22</v>
      </c>
      <c r="O1061">
        <v>3</v>
      </c>
      <c r="P1061">
        <v>9</v>
      </c>
      <c r="Q1061">
        <v>16.526851423118099</v>
      </c>
      <c r="R1061">
        <v>10.8</v>
      </c>
      <c r="T1061" s="358" t="str">
        <f t="shared" si="79"/>
        <v>2000MaleNon-Maori23Sharp object</v>
      </c>
      <c r="U1061" s="360">
        <v>2000</v>
      </c>
      <c r="V1061" s="360" t="s">
        <v>20</v>
      </c>
      <c r="W1061" s="360" t="s">
        <v>19</v>
      </c>
      <c r="X1061" s="360">
        <v>23</v>
      </c>
      <c r="Y1061" s="360" t="s">
        <v>48</v>
      </c>
      <c r="Z1061" s="360">
        <v>2</v>
      </c>
      <c r="AA1061" s="360">
        <v>136</v>
      </c>
      <c r="AB1061" s="360">
        <v>1.5</v>
      </c>
    </row>
    <row r="1062" spans="1:28" x14ac:dyDescent="0.2">
      <c r="A1062" t="str">
        <f t="shared" si="77"/>
        <v>2015FemaleMaori24</v>
      </c>
      <c r="B1062">
        <v>2015</v>
      </c>
      <c r="C1062" t="s">
        <v>8</v>
      </c>
      <c r="D1062" t="s">
        <v>18</v>
      </c>
      <c r="E1062">
        <v>24</v>
      </c>
      <c r="F1062">
        <v>3</v>
      </c>
      <c r="G1062">
        <v>4.2211903756859401</v>
      </c>
      <c r="H1062">
        <v>4.8</v>
      </c>
      <c r="J1062" s="358" t="str">
        <f t="shared" si="78"/>
        <v>2002MaleAllEth224</v>
      </c>
      <c r="K1062" s="359">
        <v>2002</v>
      </c>
      <c r="L1062" t="s">
        <v>20</v>
      </c>
      <c r="M1062" t="s">
        <v>27</v>
      </c>
      <c r="N1062">
        <v>22</v>
      </c>
      <c r="O1062">
        <v>4</v>
      </c>
      <c r="P1062">
        <v>10</v>
      </c>
      <c r="Q1062">
        <v>17.044276527445199</v>
      </c>
      <c r="R1062">
        <v>10.6</v>
      </c>
      <c r="T1062" s="358" t="str">
        <f t="shared" si="79"/>
        <v>2000MaleNon-Maori24Sharp object</v>
      </c>
      <c r="U1062" s="360">
        <v>2000</v>
      </c>
      <c r="V1062" s="360" t="s">
        <v>20</v>
      </c>
      <c r="W1062" s="360" t="s">
        <v>19</v>
      </c>
      <c r="X1062" s="360">
        <v>24</v>
      </c>
      <c r="Y1062" s="360" t="s">
        <v>48</v>
      </c>
      <c r="Z1062" s="360">
        <v>3</v>
      </c>
      <c r="AA1062" s="360">
        <v>72</v>
      </c>
      <c r="AB1062" s="360">
        <v>4.2</v>
      </c>
    </row>
    <row r="1063" spans="1:28" x14ac:dyDescent="0.2">
      <c r="A1063" t="str">
        <f t="shared" si="77"/>
        <v>2015FemaleMaori25</v>
      </c>
      <c r="B1063">
        <v>2015</v>
      </c>
      <c r="C1063" t="s">
        <v>8</v>
      </c>
      <c r="D1063" t="s">
        <v>18</v>
      </c>
      <c r="E1063">
        <v>25</v>
      </c>
      <c r="F1063">
        <v>0</v>
      </c>
      <c r="G1063">
        <v>0</v>
      </c>
      <c r="J1063" s="358" t="str">
        <f t="shared" si="78"/>
        <v>2002MaleAllEth225</v>
      </c>
      <c r="K1063" s="359">
        <v>2002</v>
      </c>
      <c r="L1063" t="s">
        <v>20</v>
      </c>
      <c r="M1063" t="s">
        <v>27</v>
      </c>
      <c r="N1063">
        <v>22</v>
      </c>
      <c r="O1063">
        <v>5</v>
      </c>
      <c r="P1063">
        <v>18</v>
      </c>
      <c r="Q1063">
        <v>27.062610991601101</v>
      </c>
      <c r="R1063">
        <v>12.5</v>
      </c>
      <c r="T1063" s="358" t="str">
        <f t="shared" si="79"/>
        <v>2000MaleNon-Maori25Sharp object</v>
      </c>
      <c r="U1063" s="360">
        <v>2000</v>
      </c>
      <c r="V1063" s="360" t="s">
        <v>20</v>
      </c>
      <c r="W1063" s="360" t="s">
        <v>19</v>
      </c>
      <c r="X1063" s="360">
        <v>25</v>
      </c>
      <c r="Y1063" s="360" t="s">
        <v>48</v>
      </c>
      <c r="Z1063" s="360">
        <v>1</v>
      </c>
      <c r="AA1063" s="360">
        <v>40</v>
      </c>
      <c r="AB1063" s="360">
        <v>2.5</v>
      </c>
    </row>
    <row r="1064" spans="1:28" x14ac:dyDescent="0.2">
      <c r="A1064" t="str">
        <f t="shared" si="77"/>
        <v>2015FemaleNon-Maori21</v>
      </c>
      <c r="B1064">
        <v>2015</v>
      </c>
      <c r="C1064" t="s">
        <v>8</v>
      </c>
      <c r="D1064" t="s">
        <v>19</v>
      </c>
      <c r="E1064">
        <v>21</v>
      </c>
      <c r="F1064">
        <v>3</v>
      </c>
      <c r="J1064" s="358" t="str">
        <f t="shared" si="78"/>
        <v>2002MaleAllEth231</v>
      </c>
      <c r="K1064" s="359">
        <v>2002</v>
      </c>
      <c r="L1064" t="s">
        <v>20</v>
      </c>
      <c r="M1064" t="s">
        <v>27</v>
      </c>
      <c r="N1064">
        <v>23</v>
      </c>
      <c r="O1064">
        <v>1</v>
      </c>
      <c r="P1064">
        <v>21</v>
      </c>
      <c r="Q1064">
        <v>19.4178712037744</v>
      </c>
      <c r="R1064">
        <v>8.3000000000000007</v>
      </c>
      <c r="T1064" s="358" t="str">
        <f t="shared" si="79"/>
        <v>2000MaleNon-Maori23Submersion (drowning)</v>
      </c>
      <c r="U1064" s="360">
        <v>2000</v>
      </c>
      <c r="V1064" s="360" t="s">
        <v>20</v>
      </c>
      <c r="W1064" s="360" t="s">
        <v>19</v>
      </c>
      <c r="X1064" s="360">
        <v>23</v>
      </c>
      <c r="Y1064" s="360" t="s">
        <v>49</v>
      </c>
      <c r="Z1064" s="360">
        <v>5</v>
      </c>
      <c r="AA1064" s="360">
        <v>136</v>
      </c>
      <c r="AB1064" s="360">
        <v>3.7</v>
      </c>
    </row>
    <row r="1065" spans="1:28" x14ac:dyDescent="0.2">
      <c r="A1065" t="str">
        <f t="shared" si="77"/>
        <v>2015FemaleNon-Maori22</v>
      </c>
      <c r="B1065">
        <v>2015</v>
      </c>
      <c r="C1065" t="s">
        <v>8</v>
      </c>
      <c r="D1065" t="s">
        <v>19</v>
      </c>
      <c r="E1065">
        <v>22</v>
      </c>
      <c r="F1065">
        <v>19</v>
      </c>
      <c r="G1065">
        <v>7.5381868676849804</v>
      </c>
      <c r="H1065">
        <v>3.4</v>
      </c>
      <c r="J1065" s="358" t="str">
        <f t="shared" si="78"/>
        <v>2002MaleAllEth232</v>
      </c>
      <c r="K1065" s="359">
        <v>2002</v>
      </c>
      <c r="L1065" t="s">
        <v>20</v>
      </c>
      <c r="M1065" t="s">
        <v>27</v>
      </c>
      <c r="N1065">
        <v>23</v>
      </c>
      <c r="O1065">
        <v>2</v>
      </c>
      <c r="P1065">
        <v>30</v>
      </c>
      <c r="Q1065">
        <v>25.984442981854301</v>
      </c>
      <c r="R1065">
        <v>9.3000000000000007</v>
      </c>
      <c r="T1065" s="358" t="str">
        <f t="shared" si="79"/>
        <v>2000MaleNon-Maori24Submersion (drowning)</v>
      </c>
      <c r="U1065" s="360">
        <v>2000</v>
      </c>
      <c r="V1065" s="360" t="s">
        <v>20</v>
      </c>
      <c r="W1065" s="360" t="s">
        <v>19</v>
      </c>
      <c r="X1065" s="360">
        <v>24</v>
      </c>
      <c r="Y1065" s="360" t="s">
        <v>49</v>
      </c>
      <c r="Z1065" s="360">
        <v>4</v>
      </c>
      <c r="AA1065" s="360">
        <v>72</v>
      </c>
      <c r="AB1065" s="360">
        <v>5.6</v>
      </c>
    </row>
    <row r="1066" spans="1:28" x14ac:dyDescent="0.2">
      <c r="A1066" t="str">
        <f t="shared" si="77"/>
        <v>2015FemaleNon-Maori23</v>
      </c>
      <c r="B1066">
        <v>2015</v>
      </c>
      <c r="C1066" t="s">
        <v>8</v>
      </c>
      <c r="D1066" t="s">
        <v>19</v>
      </c>
      <c r="E1066">
        <v>23</v>
      </c>
      <c r="F1066">
        <v>21</v>
      </c>
      <c r="G1066">
        <v>4.0441388872840696</v>
      </c>
      <c r="H1066">
        <v>1.7</v>
      </c>
      <c r="J1066" s="358" t="str">
        <f t="shared" si="78"/>
        <v>2002MaleAllEth233</v>
      </c>
      <c r="K1066" s="359">
        <v>2002</v>
      </c>
      <c r="L1066" t="s">
        <v>20</v>
      </c>
      <c r="M1066" t="s">
        <v>27</v>
      </c>
      <c r="N1066">
        <v>23</v>
      </c>
      <c r="O1066">
        <v>3</v>
      </c>
      <c r="P1066">
        <v>31</v>
      </c>
      <c r="Q1066">
        <v>26.5526224245422</v>
      </c>
      <c r="R1066">
        <v>9.3000000000000007</v>
      </c>
      <c r="T1066" s="358" t="str">
        <f t="shared" si="79"/>
        <v>2000MaleNon-Maori25Submersion (drowning)</v>
      </c>
      <c r="U1066" s="360">
        <v>2000</v>
      </c>
      <c r="V1066" s="360" t="s">
        <v>20</v>
      </c>
      <c r="W1066" s="360" t="s">
        <v>19</v>
      </c>
      <c r="X1066" s="360">
        <v>25</v>
      </c>
      <c r="Y1066" s="360" t="s">
        <v>49</v>
      </c>
      <c r="Z1066" s="360">
        <v>2</v>
      </c>
      <c r="AA1066" s="360">
        <v>40</v>
      </c>
      <c r="AB1066" s="360">
        <v>5</v>
      </c>
    </row>
    <row r="1067" spans="1:28" x14ac:dyDescent="0.2">
      <c r="A1067" t="str">
        <f t="shared" si="77"/>
        <v>2015FemaleNon-Maori24</v>
      </c>
      <c r="B1067">
        <v>2015</v>
      </c>
      <c r="C1067" t="s">
        <v>8</v>
      </c>
      <c r="D1067" t="s">
        <v>19</v>
      </c>
      <c r="E1067">
        <v>24</v>
      </c>
      <c r="F1067">
        <v>42</v>
      </c>
      <c r="G1067">
        <v>7.8725398313027197</v>
      </c>
      <c r="H1067">
        <v>2.4</v>
      </c>
      <c r="J1067" s="358" t="str">
        <f t="shared" si="78"/>
        <v>2002MaleAllEth234</v>
      </c>
      <c r="K1067" s="359">
        <v>2002</v>
      </c>
      <c r="L1067" t="s">
        <v>20</v>
      </c>
      <c r="M1067" t="s">
        <v>27</v>
      </c>
      <c r="N1067">
        <v>23</v>
      </c>
      <c r="O1067">
        <v>4</v>
      </c>
      <c r="P1067">
        <v>33</v>
      </c>
      <c r="Q1067">
        <v>28.7247244841559</v>
      </c>
      <c r="R1067">
        <v>9.8000000000000007</v>
      </c>
      <c r="T1067" s="358" t="str">
        <f t="shared" si="79"/>
        <v>2001AllSexAllEth22Firearms and explosives</v>
      </c>
      <c r="U1067" s="360">
        <v>2001</v>
      </c>
      <c r="V1067" s="360" t="s">
        <v>17</v>
      </c>
      <c r="W1067" s="360" t="s">
        <v>27</v>
      </c>
      <c r="X1067" s="360">
        <v>22</v>
      </c>
      <c r="Y1067" s="360" t="s">
        <v>42</v>
      </c>
      <c r="Z1067" s="360">
        <v>5</v>
      </c>
      <c r="AA1067" s="360">
        <v>110</v>
      </c>
      <c r="AB1067" s="360">
        <v>4.5</v>
      </c>
    </row>
    <row r="1068" spans="1:28" x14ac:dyDescent="0.2">
      <c r="A1068" t="str">
        <f t="shared" si="77"/>
        <v>2015FemaleNon-Maori25</v>
      </c>
      <c r="B1068">
        <v>2015</v>
      </c>
      <c r="C1068" t="s">
        <v>8</v>
      </c>
      <c r="D1068" t="s">
        <v>19</v>
      </c>
      <c r="E1068">
        <v>25</v>
      </c>
      <c r="F1068">
        <v>16</v>
      </c>
      <c r="G1068">
        <v>4.7162859248341897</v>
      </c>
      <c r="H1068">
        <v>2.2999999999999998</v>
      </c>
      <c r="J1068" s="358" t="str">
        <f t="shared" si="78"/>
        <v>2002MaleAllEth235</v>
      </c>
      <c r="K1068" s="359">
        <v>2002</v>
      </c>
      <c r="L1068" t="s">
        <v>20</v>
      </c>
      <c r="M1068" t="s">
        <v>27</v>
      </c>
      <c r="N1068">
        <v>23</v>
      </c>
      <c r="O1068">
        <v>5</v>
      </c>
      <c r="P1068">
        <v>42</v>
      </c>
      <c r="Q1068">
        <v>39.616810912531498</v>
      </c>
      <c r="R1068">
        <v>12</v>
      </c>
      <c r="T1068" s="358" t="str">
        <f t="shared" si="79"/>
        <v>2001AllSexAllEth23Firearms and explosives</v>
      </c>
      <c r="U1068" s="360">
        <v>2001</v>
      </c>
      <c r="V1068" s="360" t="s">
        <v>17</v>
      </c>
      <c r="W1068" s="360" t="s">
        <v>27</v>
      </c>
      <c r="X1068" s="360">
        <v>23</v>
      </c>
      <c r="Y1068" s="360" t="s">
        <v>42</v>
      </c>
      <c r="Z1068" s="360">
        <v>30</v>
      </c>
      <c r="AA1068" s="360">
        <v>239</v>
      </c>
      <c r="AB1068" s="360">
        <v>12.6</v>
      </c>
    </row>
    <row r="1069" spans="1:28" x14ac:dyDescent="0.2">
      <c r="A1069" t="str">
        <f t="shared" si="77"/>
        <v>2015MaleAllEth21</v>
      </c>
      <c r="B1069">
        <v>2015</v>
      </c>
      <c r="C1069" t="s">
        <v>20</v>
      </c>
      <c r="D1069" t="s">
        <v>27</v>
      </c>
      <c r="E1069">
        <v>21</v>
      </c>
      <c r="F1069">
        <v>6</v>
      </c>
      <c r="J1069" s="358" t="str">
        <f t="shared" si="78"/>
        <v>2002MaleAllEth241</v>
      </c>
      <c r="K1069" s="359">
        <v>2002</v>
      </c>
      <c r="L1069" t="s">
        <v>20</v>
      </c>
      <c r="M1069" t="s">
        <v>27</v>
      </c>
      <c r="N1069">
        <v>24</v>
      </c>
      <c r="O1069">
        <v>1</v>
      </c>
      <c r="P1069">
        <v>12</v>
      </c>
      <c r="Q1069">
        <v>10.960328592601201</v>
      </c>
      <c r="R1069">
        <v>6.2</v>
      </c>
      <c r="T1069" s="358" t="str">
        <f t="shared" si="79"/>
        <v>2001AllSexAllEth24Firearms and explosives</v>
      </c>
      <c r="U1069" s="360">
        <v>2001</v>
      </c>
      <c r="V1069" s="360" t="s">
        <v>17</v>
      </c>
      <c r="W1069" s="360" t="s">
        <v>27</v>
      </c>
      <c r="X1069" s="360">
        <v>24</v>
      </c>
      <c r="Y1069" s="360" t="s">
        <v>42</v>
      </c>
      <c r="Z1069" s="360">
        <v>13</v>
      </c>
      <c r="AA1069" s="360">
        <v>92</v>
      </c>
      <c r="AB1069" s="360">
        <v>14.1</v>
      </c>
    </row>
    <row r="1070" spans="1:28" x14ac:dyDescent="0.2">
      <c r="A1070" t="str">
        <f t="shared" si="77"/>
        <v>2015MaleAllEth22</v>
      </c>
      <c r="B1070">
        <v>2015</v>
      </c>
      <c r="C1070" t="s">
        <v>20</v>
      </c>
      <c r="D1070" t="s">
        <v>27</v>
      </c>
      <c r="E1070">
        <v>22</v>
      </c>
      <c r="F1070">
        <v>69</v>
      </c>
      <c r="G1070">
        <v>20.334787221501799</v>
      </c>
      <c r="H1070">
        <v>4.8</v>
      </c>
      <c r="J1070" s="358" t="str">
        <f t="shared" si="78"/>
        <v>2002MaleAllEth242</v>
      </c>
      <c r="K1070" s="359">
        <v>2002</v>
      </c>
      <c r="L1070" t="s">
        <v>20</v>
      </c>
      <c r="M1070" t="s">
        <v>27</v>
      </c>
      <c r="N1070">
        <v>24</v>
      </c>
      <c r="O1070">
        <v>2</v>
      </c>
      <c r="P1070">
        <v>24</v>
      </c>
      <c r="Q1070">
        <v>25.069821834718098</v>
      </c>
      <c r="R1070">
        <v>10</v>
      </c>
      <c r="T1070" s="358" t="str">
        <f t="shared" si="79"/>
        <v>2001AllSexAllEth25Firearms and explosives</v>
      </c>
      <c r="U1070" s="360">
        <v>2001</v>
      </c>
      <c r="V1070" s="360" t="s">
        <v>17</v>
      </c>
      <c r="W1070" s="360" t="s">
        <v>27</v>
      </c>
      <c r="X1070" s="360">
        <v>25</v>
      </c>
      <c r="Y1070" s="360" t="s">
        <v>42</v>
      </c>
      <c r="Z1070" s="360">
        <v>3</v>
      </c>
      <c r="AA1070" s="360">
        <v>64</v>
      </c>
      <c r="AB1070" s="360">
        <v>4.7</v>
      </c>
    </row>
    <row r="1071" spans="1:28" x14ac:dyDescent="0.2">
      <c r="A1071" t="str">
        <f t="shared" si="77"/>
        <v>2015MaleAllEth23</v>
      </c>
      <c r="B1071">
        <v>2015</v>
      </c>
      <c r="C1071" t="s">
        <v>20</v>
      </c>
      <c r="D1071" t="s">
        <v>27</v>
      </c>
      <c r="E1071">
        <v>23</v>
      </c>
      <c r="F1071">
        <v>136</v>
      </c>
      <c r="G1071">
        <v>23.744674907465601</v>
      </c>
      <c r="H1071">
        <v>4</v>
      </c>
      <c r="J1071" s="358" t="str">
        <f t="shared" si="78"/>
        <v>2002MaleAllEth243</v>
      </c>
      <c r="K1071" s="359">
        <v>2002</v>
      </c>
      <c r="L1071" t="s">
        <v>20</v>
      </c>
      <c r="M1071" t="s">
        <v>27</v>
      </c>
      <c r="N1071">
        <v>24</v>
      </c>
      <c r="O1071">
        <v>3</v>
      </c>
      <c r="P1071">
        <v>12</v>
      </c>
      <c r="Q1071">
        <v>14.0389674719501</v>
      </c>
      <c r="R1071">
        <v>7.9</v>
      </c>
      <c r="T1071" s="358" t="str">
        <f t="shared" si="79"/>
        <v>2001AllSexAllEth21Hanging, strangulation and suffocation</v>
      </c>
      <c r="U1071" s="360">
        <v>2001</v>
      </c>
      <c r="V1071" s="360" t="s">
        <v>17</v>
      </c>
      <c r="W1071" s="360" t="s">
        <v>27</v>
      </c>
      <c r="X1071" s="360">
        <v>21</v>
      </c>
      <c r="Y1071" s="360" t="s">
        <v>43</v>
      </c>
      <c r="Z1071" s="360">
        <v>2</v>
      </c>
      <c r="AA1071" s="360">
        <v>3</v>
      </c>
      <c r="AB1071" s="360">
        <v>66.7</v>
      </c>
    </row>
    <row r="1072" spans="1:28" x14ac:dyDescent="0.2">
      <c r="A1072" t="str">
        <f t="shared" si="77"/>
        <v>2015MaleAllEth24</v>
      </c>
      <c r="B1072">
        <v>2015</v>
      </c>
      <c r="C1072" t="s">
        <v>20</v>
      </c>
      <c r="D1072" t="s">
        <v>27</v>
      </c>
      <c r="E1072">
        <v>24</v>
      </c>
      <c r="F1072">
        <v>124</v>
      </c>
      <c r="G1072">
        <v>21.932539752728299</v>
      </c>
      <c r="H1072">
        <v>3.9</v>
      </c>
      <c r="J1072" s="358" t="str">
        <f t="shared" si="78"/>
        <v>2002MaleAllEth244</v>
      </c>
      <c r="K1072" s="359">
        <v>2002</v>
      </c>
      <c r="L1072" t="s">
        <v>20</v>
      </c>
      <c r="M1072" t="s">
        <v>27</v>
      </c>
      <c r="N1072">
        <v>24</v>
      </c>
      <c r="O1072">
        <v>4</v>
      </c>
      <c r="P1072">
        <v>22</v>
      </c>
      <c r="Q1072">
        <v>28.2788312043762</v>
      </c>
      <c r="R1072">
        <v>11.8</v>
      </c>
      <c r="T1072" s="358" t="str">
        <f t="shared" si="79"/>
        <v>2001AllSexAllEth22Hanging, strangulation and suffocation</v>
      </c>
      <c r="U1072" s="360">
        <v>2001</v>
      </c>
      <c r="V1072" s="360" t="s">
        <v>17</v>
      </c>
      <c r="W1072" s="360" t="s">
        <v>27</v>
      </c>
      <c r="X1072" s="360">
        <v>22</v>
      </c>
      <c r="Y1072" s="360" t="s">
        <v>43</v>
      </c>
      <c r="Z1072" s="360">
        <v>70</v>
      </c>
      <c r="AA1072" s="360">
        <v>110</v>
      </c>
      <c r="AB1072" s="360">
        <v>63.6</v>
      </c>
    </row>
    <row r="1073" spans="1:28" x14ac:dyDescent="0.2">
      <c r="A1073" t="str">
        <f t="shared" si="77"/>
        <v>2015MaleAllEth25</v>
      </c>
      <c r="B1073">
        <v>2015</v>
      </c>
      <c r="C1073" t="s">
        <v>20</v>
      </c>
      <c r="D1073" t="s">
        <v>27</v>
      </c>
      <c r="E1073">
        <v>25</v>
      </c>
      <c r="F1073">
        <v>48</v>
      </c>
      <c r="G1073">
        <v>15.3516487031055</v>
      </c>
      <c r="H1073">
        <v>4.3</v>
      </c>
      <c r="J1073" s="358" t="str">
        <f t="shared" si="78"/>
        <v>2002MaleAllEth245</v>
      </c>
      <c r="K1073" s="359">
        <v>2002</v>
      </c>
      <c r="L1073" t="s">
        <v>20</v>
      </c>
      <c r="M1073" t="s">
        <v>27</v>
      </c>
      <c r="N1073">
        <v>24</v>
      </c>
      <c r="O1073">
        <v>5</v>
      </c>
      <c r="P1073">
        <v>11</v>
      </c>
      <c r="Q1073">
        <v>15.8917006528416</v>
      </c>
      <c r="R1073">
        <v>9.4</v>
      </c>
      <c r="T1073" s="358" t="str">
        <f t="shared" si="79"/>
        <v>2001AllSexAllEth23Hanging, strangulation and suffocation</v>
      </c>
      <c r="U1073" s="360">
        <v>2001</v>
      </c>
      <c r="V1073" s="360" t="s">
        <v>17</v>
      </c>
      <c r="W1073" s="360" t="s">
        <v>27</v>
      </c>
      <c r="X1073" s="360">
        <v>23</v>
      </c>
      <c r="Y1073" s="360" t="s">
        <v>43</v>
      </c>
      <c r="Z1073" s="360">
        <v>110</v>
      </c>
      <c r="AA1073" s="360">
        <v>239</v>
      </c>
      <c r="AB1073" s="360">
        <v>46</v>
      </c>
    </row>
    <row r="1074" spans="1:28" x14ac:dyDescent="0.2">
      <c r="A1074" t="str">
        <f t="shared" si="77"/>
        <v>2015MaleMaori21</v>
      </c>
      <c r="B1074">
        <v>2015</v>
      </c>
      <c r="C1074" t="s">
        <v>20</v>
      </c>
      <c r="D1074" t="s">
        <v>18</v>
      </c>
      <c r="E1074">
        <v>21</v>
      </c>
      <c r="F1074">
        <v>3</v>
      </c>
      <c r="J1074" s="358" t="str">
        <f t="shared" si="78"/>
        <v>2002MaleAllEth251</v>
      </c>
      <c r="K1074" s="359">
        <v>2002</v>
      </c>
      <c r="L1074" t="s">
        <v>20</v>
      </c>
      <c r="M1074" t="s">
        <v>27</v>
      </c>
      <c r="N1074">
        <v>25</v>
      </c>
      <c r="O1074">
        <v>1</v>
      </c>
      <c r="P1074">
        <v>6</v>
      </c>
      <c r="Q1074">
        <v>14.278242471193</v>
      </c>
      <c r="R1074">
        <v>11.4</v>
      </c>
      <c r="T1074" s="358" t="str">
        <f t="shared" si="79"/>
        <v>2001AllSexAllEth24Hanging, strangulation and suffocation</v>
      </c>
      <c r="U1074" s="360">
        <v>2001</v>
      </c>
      <c r="V1074" s="360" t="s">
        <v>17</v>
      </c>
      <c r="W1074" s="360" t="s">
        <v>27</v>
      </c>
      <c r="X1074" s="360">
        <v>24</v>
      </c>
      <c r="Y1074" s="360" t="s">
        <v>43</v>
      </c>
      <c r="Z1074" s="360">
        <v>32</v>
      </c>
      <c r="AA1074" s="360">
        <v>92</v>
      </c>
      <c r="AB1074" s="360">
        <v>34.799999999999997</v>
      </c>
    </row>
    <row r="1075" spans="1:28" x14ac:dyDescent="0.2">
      <c r="A1075" t="str">
        <f t="shared" si="77"/>
        <v>2015MaleMaori22</v>
      </c>
      <c r="B1075">
        <v>2015</v>
      </c>
      <c r="C1075" t="s">
        <v>20</v>
      </c>
      <c r="D1075" t="s">
        <v>18</v>
      </c>
      <c r="E1075">
        <v>22</v>
      </c>
      <c r="F1075">
        <v>19</v>
      </c>
      <c r="G1075">
        <v>28.4048437733592</v>
      </c>
      <c r="H1075">
        <v>12.8</v>
      </c>
      <c r="J1075" s="358" t="str">
        <f t="shared" si="78"/>
        <v>2002MaleAllEth252</v>
      </c>
      <c r="K1075" s="359">
        <v>2002</v>
      </c>
      <c r="L1075" t="s">
        <v>20</v>
      </c>
      <c r="M1075" t="s">
        <v>27</v>
      </c>
      <c r="N1075">
        <v>25</v>
      </c>
      <c r="O1075">
        <v>2</v>
      </c>
      <c r="P1075">
        <v>8</v>
      </c>
      <c r="Q1075">
        <v>18.679179301032502</v>
      </c>
      <c r="R1075">
        <v>12.9</v>
      </c>
      <c r="T1075" s="358" t="str">
        <f t="shared" si="79"/>
        <v>2001AllSexAllEth25Hanging, strangulation and suffocation</v>
      </c>
      <c r="U1075" s="360">
        <v>2001</v>
      </c>
      <c r="V1075" s="360" t="s">
        <v>17</v>
      </c>
      <c r="W1075" s="360" t="s">
        <v>27</v>
      </c>
      <c r="X1075" s="360">
        <v>25</v>
      </c>
      <c r="Y1075" s="360" t="s">
        <v>43</v>
      </c>
      <c r="Z1075" s="360">
        <v>21</v>
      </c>
      <c r="AA1075" s="360">
        <v>64</v>
      </c>
      <c r="AB1075" s="360">
        <v>32.799999999999997</v>
      </c>
    </row>
    <row r="1076" spans="1:28" x14ac:dyDescent="0.2">
      <c r="A1076" t="str">
        <f t="shared" si="77"/>
        <v>2015MaleMaori23</v>
      </c>
      <c r="B1076">
        <v>2015</v>
      </c>
      <c r="C1076" t="s">
        <v>20</v>
      </c>
      <c r="D1076" t="s">
        <v>18</v>
      </c>
      <c r="E1076">
        <v>23</v>
      </c>
      <c r="F1076">
        <v>40</v>
      </c>
      <c r="G1076">
        <v>51.026916698558502</v>
      </c>
      <c r="H1076">
        <v>15.8</v>
      </c>
      <c r="J1076" s="358" t="str">
        <f t="shared" si="78"/>
        <v>2002MaleAllEth253</v>
      </c>
      <c r="K1076" s="359">
        <v>2002</v>
      </c>
      <c r="L1076" t="s">
        <v>20</v>
      </c>
      <c r="M1076" t="s">
        <v>27</v>
      </c>
      <c r="N1076">
        <v>25</v>
      </c>
      <c r="O1076">
        <v>3</v>
      </c>
      <c r="P1076">
        <v>9</v>
      </c>
      <c r="Q1076">
        <v>20.594488443969801</v>
      </c>
      <c r="R1076">
        <v>13.5</v>
      </c>
      <c r="T1076" s="358" t="str">
        <f t="shared" si="79"/>
        <v>2001AllSexAllEth22Jumping from a high place</v>
      </c>
      <c r="U1076" s="360">
        <v>2001</v>
      </c>
      <c r="V1076" s="360" t="s">
        <v>17</v>
      </c>
      <c r="W1076" s="360" t="s">
        <v>27</v>
      </c>
      <c r="X1076" s="360">
        <v>22</v>
      </c>
      <c r="Y1076" s="360" t="s">
        <v>44</v>
      </c>
      <c r="Z1076" s="360">
        <v>8</v>
      </c>
      <c r="AA1076" s="360">
        <v>110</v>
      </c>
      <c r="AB1076" s="360">
        <v>7.3</v>
      </c>
    </row>
    <row r="1077" spans="1:28" x14ac:dyDescent="0.2">
      <c r="A1077" t="str">
        <f t="shared" si="77"/>
        <v>2015MaleMaori24</v>
      </c>
      <c r="B1077">
        <v>2015</v>
      </c>
      <c r="C1077" t="s">
        <v>20</v>
      </c>
      <c r="D1077" t="s">
        <v>18</v>
      </c>
      <c r="E1077">
        <v>24</v>
      </c>
      <c r="F1077">
        <v>15</v>
      </c>
      <c r="G1077">
        <v>23.996160614301701</v>
      </c>
      <c r="H1077">
        <v>12.1</v>
      </c>
      <c r="J1077" s="358" t="str">
        <f t="shared" si="78"/>
        <v>2002MaleAllEth254</v>
      </c>
      <c r="K1077" s="359">
        <v>2002</v>
      </c>
      <c r="L1077" t="s">
        <v>20</v>
      </c>
      <c r="M1077" t="s">
        <v>27</v>
      </c>
      <c r="N1077">
        <v>25</v>
      </c>
      <c r="O1077">
        <v>4</v>
      </c>
      <c r="P1077">
        <v>6</v>
      </c>
      <c r="Q1077">
        <v>14.126278141119499</v>
      </c>
      <c r="R1077">
        <v>11.3</v>
      </c>
      <c r="T1077" s="358" t="str">
        <f t="shared" si="79"/>
        <v>2001AllSexAllEth23Jumping from a high place</v>
      </c>
      <c r="U1077" s="360">
        <v>2001</v>
      </c>
      <c r="V1077" s="360" t="s">
        <v>17</v>
      </c>
      <c r="W1077" s="360" t="s">
        <v>27</v>
      </c>
      <c r="X1077" s="360">
        <v>23</v>
      </c>
      <c r="Y1077" s="360" t="s">
        <v>44</v>
      </c>
      <c r="Z1077" s="360">
        <v>7</v>
      </c>
      <c r="AA1077" s="360">
        <v>239</v>
      </c>
      <c r="AB1077" s="360">
        <v>2.9</v>
      </c>
    </row>
    <row r="1078" spans="1:28" x14ac:dyDescent="0.2">
      <c r="A1078" t="str">
        <f t="shared" si="77"/>
        <v>2015MaleMaori25</v>
      </c>
      <c r="B1078">
        <v>2015</v>
      </c>
      <c r="C1078" t="s">
        <v>20</v>
      </c>
      <c r="D1078" t="s">
        <v>18</v>
      </c>
      <c r="E1078">
        <v>25</v>
      </c>
      <c r="F1078">
        <v>0</v>
      </c>
      <c r="G1078">
        <v>0</v>
      </c>
      <c r="J1078" s="358" t="str">
        <f t="shared" si="78"/>
        <v>2002MaleAllEth255</v>
      </c>
      <c r="K1078" s="359">
        <v>2002</v>
      </c>
      <c r="L1078" t="s">
        <v>20</v>
      </c>
      <c r="M1078" t="s">
        <v>27</v>
      </c>
      <c r="N1078">
        <v>25</v>
      </c>
      <c r="O1078">
        <v>5</v>
      </c>
      <c r="P1078">
        <v>6</v>
      </c>
      <c r="Q1078">
        <v>17.5415300699723</v>
      </c>
      <c r="R1078">
        <v>14</v>
      </c>
      <c r="T1078" s="358" t="str">
        <f t="shared" si="79"/>
        <v>2001AllSexAllEth24Jumping from a high place</v>
      </c>
      <c r="U1078" s="360">
        <v>2001</v>
      </c>
      <c r="V1078" s="360" t="s">
        <v>17</v>
      </c>
      <c r="W1078" s="360" t="s">
        <v>27</v>
      </c>
      <c r="X1078" s="360">
        <v>24</v>
      </c>
      <c r="Y1078" s="360" t="s">
        <v>44</v>
      </c>
      <c r="Z1078" s="360">
        <v>2</v>
      </c>
      <c r="AA1078" s="360">
        <v>92</v>
      </c>
      <c r="AB1078" s="360">
        <v>2.2000000000000002</v>
      </c>
    </row>
    <row r="1079" spans="1:28" x14ac:dyDescent="0.2">
      <c r="A1079" t="str">
        <f t="shared" si="77"/>
        <v>2015MaleNon-Maori21</v>
      </c>
      <c r="B1079">
        <v>2015</v>
      </c>
      <c r="C1079" t="s">
        <v>20</v>
      </c>
      <c r="D1079" t="s">
        <v>19</v>
      </c>
      <c r="E1079">
        <v>21</v>
      </c>
      <c r="F1079">
        <v>3</v>
      </c>
      <c r="J1079" s="358" t="str">
        <f t="shared" si="78"/>
        <v>2002MaleMaori211</v>
      </c>
      <c r="K1079" s="359">
        <v>2002</v>
      </c>
      <c r="L1079" t="s">
        <v>20</v>
      </c>
      <c r="M1079" t="s">
        <v>18</v>
      </c>
      <c r="N1079">
        <v>21</v>
      </c>
      <c r="O1079">
        <v>1</v>
      </c>
      <c r="P1079">
        <v>0</v>
      </c>
      <c r="T1079" s="358" t="str">
        <f t="shared" si="79"/>
        <v>2001AllSexAllEth25Jumping from a high place</v>
      </c>
      <c r="U1079" s="360">
        <v>2001</v>
      </c>
      <c r="V1079" s="360" t="s">
        <v>17</v>
      </c>
      <c r="W1079" s="360" t="s">
        <v>27</v>
      </c>
      <c r="X1079" s="360">
        <v>25</v>
      </c>
      <c r="Y1079" s="360" t="s">
        <v>44</v>
      </c>
      <c r="Z1079" s="360">
        <v>2</v>
      </c>
      <c r="AA1079" s="360">
        <v>64</v>
      </c>
      <c r="AB1079" s="360">
        <v>3.1</v>
      </c>
    </row>
    <row r="1080" spans="1:28" x14ac:dyDescent="0.2">
      <c r="A1080" t="str">
        <f t="shared" si="77"/>
        <v>2015MaleNon-Maori22</v>
      </c>
      <c r="B1080">
        <v>2015</v>
      </c>
      <c r="C1080" t="s">
        <v>20</v>
      </c>
      <c r="D1080" t="s">
        <v>19</v>
      </c>
      <c r="E1080">
        <v>22</v>
      </c>
      <c r="F1080">
        <v>50</v>
      </c>
      <c r="G1080">
        <v>18.353338472268099</v>
      </c>
      <c r="H1080">
        <v>5.0999999999999996</v>
      </c>
      <c r="J1080" s="358" t="str">
        <f t="shared" si="78"/>
        <v>2002MaleMaori212</v>
      </c>
      <c r="K1080" s="359">
        <v>2002</v>
      </c>
      <c r="L1080" t="s">
        <v>20</v>
      </c>
      <c r="M1080" t="s">
        <v>18</v>
      </c>
      <c r="N1080">
        <v>21</v>
      </c>
      <c r="O1080">
        <v>2</v>
      </c>
      <c r="P1080">
        <v>0</v>
      </c>
      <c r="T1080" s="358" t="str">
        <f t="shared" si="79"/>
        <v>2001AllSexAllEth22Other</v>
      </c>
      <c r="U1080" s="360">
        <v>2001</v>
      </c>
      <c r="V1080" s="360" t="s">
        <v>17</v>
      </c>
      <c r="W1080" s="360" t="s">
        <v>27</v>
      </c>
      <c r="X1080" s="360">
        <v>22</v>
      </c>
      <c r="Y1080" s="360" t="s">
        <v>45</v>
      </c>
      <c r="Z1080" s="360">
        <v>3</v>
      </c>
      <c r="AA1080" s="360">
        <v>110</v>
      </c>
      <c r="AB1080" s="360">
        <v>2.7</v>
      </c>
    </row>
    <row r="1081" spans="1:28" x14ac:dyDescent="0.2">
      <c r="A1081" t="str">
        <f t="shared" si="77"/>
        <v>2015MaleNon-Maori23</v>
      </c>
      <c r="B1081">
        <v>2015</v>
      </c>
      <c r="C1081" t="s">
        <v>20</v>
      </c>
      <c r="D1081" t="s">
        <v>19</v>
      </c>
      <c r="E1081">
        <v>23</v>
      </c>
      <c r="F1081">
        <v>96</v>
      </c>
      <c r="G1081">
        <v>19.418654044541501</v>
      </c>
      <c r="H1081">
        <v>3.9</v>
      </c>
      <c r="J1081" s="358" t="str">
        <f t="shared" si="78"/>
        <v>2002MaleMaori213</v>
      </c>
      <c r="K1081" s="359">
        <v>2002</v>
      </c>
      <c r="L1081" t="s">
        <v>20</v>
      </c>
      <c r="M1081" t="s">
        <v>18</v>
      </c>
      <c r="N1081">
        <v>21</v>
      </c>
      <c r="O1081">
        <v>3</v>
      </c>
      <c r="P1081">
        <v>0</v>
      </c>
      <c r="T1081" s="358" t="str">
        <f t="shared" si="79"/>
        <v>2001AllSexAllEth23Other</v>
      </c>
      <c r="U1081" s="360">
        <v>2001</v>
      </c>
      <c r="V1081" s="360" t="s">
        <v>17</v>
      </c>
      <c r="W1081" s="360" t="s">
        <v>27</v>
      </c>
      <c r="X1081" s="360">
        <v>23</v>
      </c>
      <c r="Y1081" s="360" t="s">
        <v>45</v>
      </c>
      <c r="Z1081" s="360">
        <v>10</v>
      </c>
      <c r="AA1081" s="360">
        <v>239</v>
      </c>
      <c r="AB1081" s="360">
        <v>4.2</v>
      </c>
    </row>
    <row r="1082" spans="1:28" x14ac:dyDescent="0.2">
      <c r="A1082" t="str">
        <f t="shared" si="77"/>
        <v>2015MaleNon-Maori24</v>
      </c>
      <c r="B1082">
        <v>2015</v>
      </c>
      <c r="C1082" t="s">
        <v>20</v>
      </c>
      <c r="D1082" t="s">
        <v>19</v>
      </c>
      <c r="E1082">
        <v>24</v>
      </c>
      <c r="F1082">
        <v>109</v>
      </c>
      <c r="G1082">
        <v>21.676013204470401</v>
      </c>
      <c r="H1082">
        <v>4.0999999999999996</v>
      </c>
      <c r="J1082" s="358" t="str">
        <f t="shared" si="78"/>
        <v>2002MaleMaori214</v>
      </c>
      <c r="K1082" s="359">
        <v>2002</v>
      </c>
      <c r="L1082" t="s">
        <v>20</v>
      </c>
      <c r="M1082" t="s">
        <v>18</v>
      </c>
      <c r="N1082">
        <v>21</v>
      </c>
      <c r="O1082">
        <v>4</v>
      </c>
      <c r="P1082">
        <v>0</v>
      </c>
      <c r="T1082" s="358" t="str">
        <f t="shared" si="79"/>
        <v>2001AllSexAllEth24Other</v>
      </c>
      <c r="U1082" s="360">
        <v>2001</v>
      </c>
      <c r="V1082" s="360" t="s">
        <v>17</v>
      </c>
      <c r="W1082" s="360" t="s">
        <v>27</v>
      </c>
      <c r="X1082" s="360">
        <v>24</v>
      </c>
      <c r="Y1082" s="360" t="s">
        <v>45</v>
      </c>
      <c r="Z1082" s="360">
        <v>3</v>
      </c>
      <c r="AA1082" s="360">
        <v>92</v>
      </c>
      <c r="AB1082" s="360">
        <v>3.3</v>
      </c>
    </row>
    <row r="1083" spans="1:28" x14ac:dyDescent="0.2">
      <c r="A1083" t="str">
        <f t="shared" si="77"/>
        <v>2015MaleNon-Maori25</v>
      </c>
      <c r="B1083">
        <v>2015</v>
      </c>
      <c r="C1083" t="s">
        <v>20</v>
      </c>
      <c r="D1083" t="s">
        <v>19</v>
      </c>
      <c r="E1083">
        <v>25</v>
      </c>
      <c r="F1083">
        <v>48</v>
      </c>
      <c r="G1083">
        <v>16.3148771285816</v>
      </c>
      <c r="H1083">
        <v>4.5999999999999996</v>
      </c>
      <c r="J1083" s="358" t="str">
        <f t="shared" si="78"/>
        <v>2002MaleMaori215</v>
      </c>
      <c r="K1083" s="359">
        <v>2002</v>
      </c>
      <c r="L1083" t="s">
        <v>20</v>
      </c>
      <c r="M1083" t="s">
        <v>18</v>
      </c>
      <c r="N1083">
        <v>21</v>
      </c>
      <c r="O1083">
        <v>5</v>
      </c>
      <c r="P1083">
        <v>0</v>
      </c>
      <c r="T1083" s="358" t="str">
        <f t="shared" si="79"/>
        <v>2001AllSexAllEth25Other</v>
      </c>
      <c r="U1083" s="360">
        <v>2001</v>
      </c>
      <c r="V1083" s="360" t="s">
        <v>17</v>
      </c>
      <c r="W1083" s="360" t="s">
        <v>27</v>
      </c>
      <c r="X1083" s="360">
        <v>25</v>
      </c>
      <c r="Y1083" s="360" t="s">
        <v>45</v>
      </c>
      <c r="Z1083" s="360">
        <v>6</v>
      </c>
      <c r="AA1083" s="360">
        <v>64</v>
      </c>
      <c r="AB1083" s="360">
        <v>9.4</v>
      </c>
    </row>
    <row r="1084" spans="1:28" x14ac:dyDescent="0.2">
      <c r="J1084" s="358" t="str">
        <f t="shared" si="78"/>
        <v>2002MaleMaori221</v>
      </c>
      <c r="K1084" s="359">
        <v>2002</v>
      </c>
      <c r="L1084" t="s">
        <v>20</v>
      </c>
      <c r="M1084" t="s">
        <v>18</v>
      </c>
      <c r="N1084">
        <v>22</v>
      </c>
      <c r="O1084">
        <v>1</v>
      </c>
      <c r="P1084">
        <v>0</v>
      </c>
      <c r="Q1084">
        <v>0</v>
      </c>
      <c r="T1084" s="358" t="str">
        <f t="shared" si="79"/>
        <v>2001AllSexAllEth21Poisoning by gases and vapours</v>
      </c>
      <c r="U1084" s="360">
        <v>2001</v>
      </c>
      <c r="V1084" s="360" t="s">
        <v>17</v>
      </c>
      <c r="W1084" s="360" t="s">
        <v>27</v>
      </c>
      <c r="X1084" s="360">
        <v>21</v>
      </c>
      <c r="Y1084" s="360" t="s">
        <v>46</v>
      </c>
      <c r="Z1084" s="360">
        <v>1</v>
      </c>
      <c r="AA1084" s="360">
        <v>3</v>
      </c>
      <c r="AB1084" s="360">
        <v>33.299999999999997</v>
      </c>
    </row>
    <row r="1085" spans="1:28" x14ac:dyDescent="0.2">
      <c r="J1085" s="358" t="str">
        <f t="shared" si="78"/>
        <v>2002MaleMaori222</v>
      </c>
      <c r="K1085" s="359">
        <v>2002</v>
      </c>
      <c r="L1085" t="s">
        <v>20</v>
      </c>
      <c r="M1085" t="s">
        <v>18</v>
      </c>
      <c r="N1085">
        <v>22</v>
      </c>
      <c r="O1085">
        <v>2</v>
      </c>
      <c r="P1085">
        <v>5</v>
      </c>
      <c r="Q1085">
        <v>86.022241267527093</v>
      </c>
      <c r="R1085">
        <v>75.400000000000006</v>
      </c>
      <c r="T1085" s="358" t="str">
        <f t="shared" si="79"/>
        <v>2001AllSexAllEth22Poisoning by gases and vapours</v>
      </c>
      <c r="U1085" s="360">
        <v>2001</v>
      </c>
      <c r="V1085" s="360" t="s">
        <v>17</v>
      </c>
      <c r="W1085" s="360" t="s">
        <v>27</v>
      </c>
      <c r="X1085" s="360">
        <v>22</v>
      </c>
      <c r="Y1085" s="360" t="s">
        <v>46</v>
      </c>
      <c r="Z1085" s="360">
        <v>15</v>
      </c>
      <c r="AA1085" s="360">
        <v>110</v>
      </c>
      <c r="AB1085" s="360">
        <v>13.6</v>
      </c>
    </row>
    <row r="1086" spans="1:28" x14ac:dyDescent="0.2">
      <c r="J1086" s="358" t="str">
        <f t="shared" si="78"/>
        <v>2002MaleMaori223</v>
      </c>
      <c r="K1086" s="359">
        <v>2002</v>
      </c>
      <c r="L1086" t="s">
        <v>20</v>
      </c>
      <c r="M1086" t="s">
        <v>18</v>
      </c>
      <c r="N1086">
        <v>22</v>
      </c>
      <c r="O1086">
        <v>3</v>
      </c>
      <c r="P1086">
        <v>2</v>
      </c>
      <c r="Q1086">
        <v>23.184762269090701</v>
      </c>
      <c r="R1086">
        <v>32.1</v>
      </c>
      <c r="T1086" s="358" t="str">
        <f t="shared" si="79"/>
        <v>2001AllSexAllEth23Poisoning by gases and vapours</v>
      </c>
      <c r="U1086" s="360">
        <v>2001</v>
      </c>
      <c r="V1086" s="360" t="s">
        <v>17</v>
      </c>
      <c r="W1086" s="360" t="s">
        <v>27</v>
      </c>
      <c r="X1086" s="360">
        <v>23</v>
      </c>
      <c r="Y1086" s="360" t="s">
        <v>46</v>
      </c>
      <c r="Z1086" s="360">
        <v>57</v>
      </c>
      <c r="AA1086" s="360">
        <v>239</v>
      </c>
      <c r="AB1086" s="360">
        <v>23.8</v>
      </c>
    </row>
    <row r="1087" spans="1:28" x14ac:dyDescent="0.2">
      <c r="J1087" s="358" t="str">
        <f t="shared" si="78"/>
        <v>2002MaleMaori224</v>
      </c>
      <c r="K1087" s="359">
        <v>2002</v>
      </c>
      <c r="L1087" t="s">
        <v>20</v>
      </c>
      <c r="M1087" t="s">
        <v>18</v>
      </c>
      <c r="N1087">
        <v>22</v>
      </c>
      <c r="O1087">
        <v>4</v>
      </c>
      <c r="P1087">
        <v>5</v>
      </c>
      <c r="Q1087">
        <v>39.870833922662101</v>
      </c>
      <c r="R1087">
        <v>34.9</v>
      </c>
      <c r="T1087" s="358" t="str">
        <f t="shared" si="79"/>
        <v>2001AllSexAllEth24Poisoning by gases and vapours</v>
      </c>
      <c r="U1087" s="360">
        <v>2001</v>
      </c>
      <c r="V1087" s="360" t="s">
        <v>17</v>
      </c>
      <c r="W1087" s="360" t="s">
        <v>27</v>
      </c>
      <c r="X1087" s="360">
        <v>24</v>
      </c>
      <c r="Y1087" s="360" t="s">
        <v>46</v>
      </c>
      <c r="Z1087" s="360">
        <v>24</v>
      </c>
      <c r="AA1087" s="360">
        <v>92</v>
      </c>
      <c r="AB1087" s="360">
        <v>26.1</v>
      </c>
    </row>
    <row r="1088" spans="1:28" x14ac:dyDescent="0.2">
      <c r="J1088" s="358" t="str">
        <f t="shared" si="78"/>
        <v>2002MaleMaori225</v>
      </c>
      <c r="K1088" s="359">
        <v>2002</v>
      </c>
      <c r="L1088" t="s">
        <v>20</v>
      </c>
      <c r="M1088" t="s">
        <v>18</v>
      </c>
      <c r="N1088">
        <v>22</v>
      </c>
      <c r="O1088">
        <v>5</v>
      </c>
      <c r="P1088">
        <v>7</v>
      </c>
      <c r="Q1088">
        <v>32.596449261695497</v>
      </c>
      <c r="R1088">
        <v>24.1</v>
      </c>
      <c r="T1088" s="358" t="str">
        <f t="shared" si="79"/>
        <v>2001AllSexAllEth25Poisoning by gases and vapours</v>
      </c>
      <c r="U1088" s="360">
        <v>2001</v>
      </c>
      <c r="V1088" s="360" t="s">
        <v>17</v>
      </c>
      <c r="W1088" s="360" t="s">
        <v>27</v>
      </c>
      <c r="X1088" s="360">
        <v>25</v>
      </c>
      <c r="Y1088" s="360" t="s">
        <v>46</v>
      </c>
      <c r="Z1088" s="360">
        <v>14</v>
      </c>
      <c r="AA1088" s="360">
        <v>64</v>
      </c>
      <c r="AB1088" s="360">
        <v>21.9</v>
      </c>
    </row>
    <row r="1089" spans="10:28" x14ac:dyDescent="0.2">
      <c r="J1089" s="358" t="str">
        <f t="shared" si="78"/>
        <v>2002MaleMaori231</v>
      </c>
      <c r="K1089" s="359">
        <v>2002</v>
      </c>
      <c r="L1089" t="s">
        <v>20</v>
      </c>
      <c r="M1089" t="s">
        <v>18</v>
      </c>
      <c r="N1089">
        <v>23</v>
      </c>
      <c r="O1089">
        <v>1</v>
      </c>
      <c r="P1089">
        <v>3</v>
      </c>
      <c r="Q1089">
        <v>42.340760849337002</v>
      </c>
      <c r="R1089">
        <v>47.9</v>
      </c>
      <c r="T1089" s="358" t="str">
        <f t="shared" si="79"/>
        <v>2001AllSexAllEth22Poisoning by solids and liquids</v>
      </c>
      <c r="U1089" s="360">
        <v>2001</v>
      </c>
      <c r="V1089" s="360" t="s">
        <v>17</v>
      </c>
      <c r="W1089" s="360" t="s">
        <v>27</v>
      </c>
      <c r="X1089" s="360">
        <v>22</v>
      </c>
      <c r="Y1089" s="360" t="s">
        <v>47</v>
      </c>
      <c r="Z1089" s="360">
        <v>5</v>
      </c>
      <c r="AA1089" s="360">
        <v>110</v>
      </c>
      <c r="AB1089" s="360">
        <v>4.5</v>
      </c>
    </row>
    <row r="1090" spans="10:28" x14ac:dyDescent="0.2">
      <c r="J1090" s="358" t="str">
        <f t="shared" si="78"/>
        <v>2002MaleMaori232</v>
      </c>
      <c r="K1090" s="359">
        <v>2002</v>
      </c>
      <c r="L1090" t="s">
        <v>20</v>
      </c>
      <c r="M1090" t="s">
        <v>18</v>
      </c>
      <c r="N1090">
        <v>23</v>
      </c>
      <c r="O1090">
        <v>2</v>
      </c>
      <c r="P1090">
        <v>1</v>
      </c>
      <c r="Q1090">
        <v>9.8524452115091297</v>
      </c>
      <c r="R1090">
        <v>19.3</v>
      </c>
      <c r="T1090" s="358" t="str">
        <f t="shared" si="79"/>
        <v>2001AllSexAllEth23Poisoning by solids and liquids</v>
      </c>
      <c r="U1090" s="360">
        <v>2001</v>
      </c>
      <c r="V1090" s="360" t="s">
        <v>17</v>
      </c>
      <c r="W1090" s="360" t="s">
        <v>27</v>
      </c>
      <c r="X1090" s="360">
        <v>23</v>
      </c>
      <c r="Y1090" s="360" t="s">
        <v>47</v>
      </c>
      <c r="Z1090" s="360">
        <v>23</v>
      </c>
      <c r="AA1090" s="360">
        <v>239</v>
      </c>
      <c r="AB1090" s="360">
        <v>9.6</v>
      </c>
    </row>
    <row r="1091" spans="10:28" x14ac:dyDescent="0.2">
      <c r="J1091" s="358" t="str">
        <f t="shared" si="78"/>
        <v>2002MaleMaori233</v>
      </c>
      <c r="K1091" s="359">
        <v>2002</v>
      </c>
      <c r="L1091" t="s">
        <v>20</v>
      </c>
      <c r="M1091" t="s">
        <v>18</v>
      </c>
      <c r="N1091">
        <v>23</v>
      </c>
      <c r="O1091">
        <v>3</v>
      </c>
      <c r="P1091">
        <v>3</v>
      </c>
      <c r="Q1091">
        <v>21.4049119477692</v>
      </c>
      <c r="R1091">
        <v>24.2</v>
      </c>
      <c r="T1091" s="358" t="str">
        <f t="shared" si="79"/>
        <v>2001AllSexAllEth24Poisoning by solids and liquids</v>
      </c>
      <c r="U1091" s="360">
        <v>2001</v>
      </c>
      <c r="V1091" s="360" t="s">
        <v>17</v>
      </c>
      <c r="W1091" s="360" t="s">
        <v>27</v>
      </c>
      <c r="X1091" s="360">
        <v>24</v>
      </c>
      <c r="Y1091" s="360" t="s">
        <v>47</v>
      </c>
      <c r="Z1091" s="360">
        <v>13</v>
      </c>
      <c r="AA1091" s="360">
        <v>92</v>
      </c>
      <c r="AB1091" s="360">
        <v>14.1</v>
      </c>
    </row>
    <row r="1092" spans="10:28" x14ac:dyDescent="0.2">
      <c r="J1092" s="358" t="str">
        <f t="shared" ref="J1092:J1155" si="80">K1092&amp;L1092&amp;M1092&amp;N1092&amp;O1092</f>
        <v>2002MaleMaori234</v>
      </c>
      <c r="K1092" s="359">
        <v>2002</v>
      </c>
      <c r="L1092" t="s">
        <v>20</v>
      </c>
      <c r="M1092" t="s">
        <v>18</v>
      </c>
      <c r="N1092">
        <v>23</v>
      </c>
      <c r="O1092">
        <v>4</v>
      </c>
      <c r="P1092">
        <v>6</v>
      </c>
      <c r="Q1092">
        <v>31.2385769112684</v>
      </c>
      <c r="R1092">
        <v>25</v>
      </c>
      <c r="T1092" s="358" t="str">
        <f t="shared" si="79"/>
        <v>2001AllSexAllEth25Poisoning by solids and liquids</v>
      </c>
      <c r="U1092" s="360">
        <v>2001</v>
      </c>
      <c r="V1092" s="360" t="s">
        <v>17</v>
      </c>
      <c r="W1092" s="360" t="s">
        <v>27</v>
      </c>
      <c r="X1092" s="360">
        <v>25</v>
      </c>
      <c r="Y1092" s="360" t="s">
        <v>47</v>
      </c>
      <c r="Z1092" s="360">
        <v>13</v>
      </c>
      <c r="AA1092" s="360">
        <v>64</v>
      </c>
      <c r="AB1092" s="360">
        <v>20.3</v>
      </c>
    </row>
    <row r="1093" spans="10:28" x14ac:dyDescent="0.2">
      <c r="J1093" s="358" t="str">
        <f t="shared" si="80"/>
        <v>2002MaleMaori235</v>
      </c>
      <c r="K1093" s="359">
        <v>2002</v>
      </c>
      <c r="L1093" t="s">
        <v>20</v>
      </c>
      <c r="M1093" t="s">
        <v>18</v>
      </c>
      <c r="N1093">
        <v>23</v>
      </c>
      <c r="O1093">
        <v>5</v>
      </c>
      <c r="P1093">
        <v>16</v>
      </c>
      <c r="Q1093">
        <v>53.525366621877197</v>
      </c>
      <c r="R1093">
        <v>26.2</v>
      </c>
      <c r="T1093" s="358" t="str">
        <f t="shared" ref="T1093:T1156" si="81">U1093&amp;V1093&amp;W1093&amp;X1093&amp;Y1093</f>
        <v>2001AllSexAllEth22Sharp object</v>
      </c>
      <c r="U1093" s="360">
        <v>2001</v>
      </c>
      <c r="V1093" s="360" t="s">
        <v>17</v>
      </c>
      <c r="W1093" s="360" t="s">
        <v>27</v>
      </c>
      <c r="X1093" s="360">
        <v>22</v>
      </c>
      <c r="Y1093" s="360" t="s">
        <v>48</v>
      </c>
      <c r="Z1093" s="360">
        <v>2</v>
      </c>
      <c r="AA1093" s="360">
        <v>110</v>
      </c>
      <c r="AB1093" s="360">
        <v>1.8</v>
      </c>
    </row>
    <row r="1094" spans="10:28" x14ac:dyDescent="0.2">
      <c r="J1094" s="358" t="str">
        <f t="shared" si="80"/>
        <v>2002MaleMaori241</v>
      </c>
      <c r="K1094" s="359">
        <v>2002</v>
      </c>
      <c r="L1094" t="s">
        <v>20</v>
      </c>
      <c r="M1094" t="s">
        <v>18</v>
      </c>
      <c r="N1094">
        <v>24</v>
      </c>
      <c r="O1094">
        <v>1</v>
      </c>
      <c r="P1094">
        <v>0</v>
      </c>
      <c r="Q1094">
        <v>0</v>
      </c>
      <c r="T1094" s="358" t="str">
        <f t="shared" si="81"/>
        <v>2001AllSexAllEth23Sharp object</v>
      </c>
      <c r="U1094" s="360">
        <v>2001</v>
      </c>
      <c r="V1094" s="360" t="s">
        <v>17</v>
      </c>
      <c r="W1094" s="360" t="s">
        <v>27</v>
      </c>
      <c r="X1094" s="360">
        <v>23</v>
      </c>
      <c r="Y1094" s="360" t="s">
        <v>48</v>
      </c>
      <c r="Z1094" s="360">
        <v>2</v>
      </c>
      <c r="AA1094" s="360">
        <v>239</v>
      </c>
      <c r="AB1094" s="360">
        <v>0.8</v>
      </c>
    </row>
    <row r="1095" spans="10:28" x14ac:dyDescent="0.2">
      <c r="J1095" s="358" t="str">
        <f t="shared" si="80"/>
        <v>2002MaleMaori242</v>
      </c>
      <c r="K1095" s="359">
        <v>2002</v>
      </c>
      <c r="L1095" t="s">
        <v>20</v>
      </c>
      <c r="M1095" t="s">
        <v>18</v>
      </c>
      <c r="N1095">
        <v>24</v>
      </c>
      <c r="O1095">
        <v>2</v>
      </c>
      <c r="P1095">
        <v>1</v>
      </c>
      <c r="Q1095">
        <v>21.0837297817849</v>
      </c>
      <c r="R1095">
        <v>41.3</v>
      </c>
      <c r="T1095" s="358" t="str">
        <f t="shared" si="81"/>
        <v>2001AllSexAllEth24Sharp object</v>
      </c>
      <c r="U1095" s="360">
        <v>2001</v>
      </c>
      <c r="V1095" s="360" t="s">
        <v>17</v>
      </c>
      <c r="W1095" s="360" t="s">
        <v>27</v>
      </c>
      <c r="X1095" s="360">
        <v>24</v>
      </c>
      <c r="Y1095" s="360" t="s">
        <v>48</v>
      </c>
      <c r="Z1095" s="360">
        <v>2</v>
      </c>
      <c r="AA1095" s="360">
        <v>92</v>
      </c>
      <c r="AB1095" s="360">
        <v>2.2000000000000002</v>
      </c>
    </row>
    <row r="1096" spans="10:28" x14ac:dyDescent="0.2">
      <c r="J1096" s="358" t="str">
        <f t="shared" si="80"/>
        <v>2002MaleMaori243</v>
      </c>
      <c r="K1096" s="359">
        <v>2002</v>
      </c>
      <c r="L1096" t="s">
        <v>20</v>
      </c>
      <c r="M1096" t="s">
        <v>18</v>
      </c>
      <c r="N1096">
        <v>24</v>
      </c>
      <c r="O1096">
        <v>3</v>
      </c>
      <c r="P1096">
        <v>0</v>
      </c>
      <c r="Q1096">
        <v>0</v>
      </c>
      <c r="T1096" s="358" t="str">
        <f t="shared" si="81"/>
        <v>2001AllSexAllEth25Sharp object</v>
      </c>
      <c r="U1096" s="360">
        <v>2001</v>
      </c>
      <c r="V1096" s="360" t="s">
        <v>17</v>
      </c>
      <c r="W1096" s="360" t="s">
        <v>27</v>
      </c>
      <c r="X1096" s="360">
        <v>25</v>
      </c>
      <c r="Y1096" s="360" t="s">
        <v>48</v>
      </c>
      <c r="Z1096" s="360">
        <v>3</v>
      </c>
      <c r="AA1096" s="360">
        <v>64</v>
      </c>
      <c r="AB1096" s="360">
        <v>4.7</v>
      </c>
    </row>
    <row r="1097" spans="10:28" x14ac:dyDescent="0.2">
      <c r="J1097" s="358" t="str">
        <f t="shared" si="80"/>
        <v>2002MaleMaori244</v>
      </c>
      <c r="K1097" s="359">
        <v>2002</v>
      </c>
      <c r="L1097" t="s">
        <v>20</v>
      </c>
      <c r="M1097" t="s">
        <v>18</v>
      </c>
      <c r="N1097">
        <v>24</v>
      </c>
      <c r="O1097">
        <v>4</v>
      </c>
      <c r="P1097">
        <v>4</v>
      </c>
      <c r="Q1097">
        <v>43.866456173238397</v>
      </c>
      <c r="R1097">
        <v>43</v>
      </c>
      <c r="T1097" s="358" t="str">
        <f t="shared" si="81"/>
        <v>2001AllSexAllEth22Submersion (drowning)</v>
      </c>
      <c r="U1097" s="360">
        <v>2001</v>
      </c>
      <c r="V1097" s="360" t="s">
        <v>17</v>
      </c>
      <c r="W1097" s="360" t="s">
        <v>27</v>
      </c>
      <c r="X1097" s="360">
        <v>22</v>
      </c>
      <c r="Y1097" s="360" t="s">
        <v>49</v>
      </c>
      <c r="Z1097" s="360">
        <v>2</v>
      </c>
      <c r="AA1097" s="360">
        <v>110</v>
      </c>
      <c r="AB1097" s="360">
        <v>1.8</v>
      </c>
    </row>
    <row r="1098" spans="10:28" x14ac:dyDescent="0.2">
      <c r="J1098" s="358" t="str">
        <f t="shared" si="80"/>
        <v>2002MaleMaori245</v>
      </c>
      <c r="K1098" s="359">
        <v>2002</v>
      </c>
      <c r="L1098" t="s">
        <v>20</v>
      </c>
      <c r="M1098" t="s">
        <v>18</v>
      </c>
      <c r="N1098">
        <v>24</v>
      </c>
      <c r="O1098">
        <v>5</v>
      </c>
      <c r="P1098">
        <v>1</v>
      </c>
      <c r="Q1098">
        <v>6.3777891111426097</v>
      </c>
      <c r="R1098">
        <v>12.5</v>
      </c>
      <c r="T1098" s="358" t="str">
        <f t="shared" si="81"/>
        <v>2001AllSexAllEth24Submersion (drowning)</v>
      </c>
      <c r="U1098" s="360">
        <v>2001</v>
      </c>
      <c r="V1098" s="360" t="s">
        <v>17</v>
      </c>
      <c r="W1098" s="360" t="s">
        <v>27</v>
      </c>
      <c r="X1098" s="360">
        <v>24</v>
      </c>
      <c r="Y1098" s="360" t="s">
        <v>49</v>
      </c>
      <c r="Z1098" s="360">
        <v>3</v>
      </c>
      <c r="AA1098" s="360">
        <v>92</v>
      </c>
      <c r="AB1098" s="360">
        <v>3.3</v>
      </c>
    </row>
    <row r="1099" spans="10:28" x14ac:dyDescent="0.2">
      <c r="J1099" s="358" t="str">
        <f t="shared" si="80"/>
        <v>2002MaleMaori251</v>
      </c>
      <c r="K1099" s="359">
        <v>2002</v>
      </c>
      <c r="L1099" t="s">
        <v>20</v>
      </c>
      <c r="M1099" t="s">
        <v>18</v>
      </c>
      <c r="N1099">
        <v>25</v>
      </c>
      <c r="O1099">
        <v>1</v>
      </c>
      <c r="P1099">
        <v>0</v>
      </c>
      <c r="Q1099">
        <v>0</v>
      </c>
      <c r="T1099" s="358" t="str">
        <f t="shared" si="81"/>
        <v>2001AllSexAllEth25Submersion (drowning)</v>
      </c>
      <c r="U1099" s="360">
        <v>2001</v>
      </c>
      <c r="V1099" s="360" t="s">
        <v>17</v>
      </c>
      <c r="W1099" s="360" t="s">
        <v>27</v>
      </c>
      <c r="X1099" s="360">
        <v>25</v>
      </c>
      <c r="Y1099" s="360" t="s">
        <v>49</v>
      </c>
      <c r="Z1099" s="360">
        <v>2</v>
      </c>
      <c r="AA1099" s="360">
        <v>64</v>
      </c>
      <c r="AB1099" s="360">
        <v>3.1</v>
      </c>
    </row>
    <row r="1100" spans="10:28" x14ac:dyDescent="0.2">
      <c r="J1100" s="358" t="str">
        <f t="shared" si="80"/>
        <v>2002MaleMaori252</v>
      </c>
      <c r="K1100" s="359">
        <v>2002</v>
      </c>
      <c r="L1100" t="s">
        <v>20</v>
      </c>
      <c r="M1100" t="s">
        <v>18</v>
      </c>
      <c r="N1100">
        <v>25</v>
      </c>
      <c r="O1100">
        <v>2</v>
      </c>
      <c r="P1100">
        <v>0</v>
      </c>
      <c r="Q1100">
        <v>0</v>
      </c>
      <c r="T1100" s="358" t="str">
        <f t="shared" si="81"/>
        <v>2001AllSexMaori23Firearms and explosives</v>
      </c>
      <c r="U1100" s="360">
        <v>2001</v>
      </c>
      <c r="V1100" s="360" t="s">
        <v>17</v>
      </c>
      <c r="W1100" s="360" t="s">
        <v>18</v>
      </c>
      <c r="X1100" s="360">
        <v>23</v>
      </c>
      <c r="Y1100" s="360" t="s">
        <v>42</v>
      </c>
      <c r="Z1100" s="360">
        <v>3</v>
      </c>
      <c r="AA1100" s="360">
        <v>42</v>
      </c>
      <c r="AB1100" s="360">
        <v>7.1</v>
      </c>
    </row>
    <row r="1101" spans="10:28" x14ac:dyDescent="0.2">
      <c r="J1101" s="358" t="str">
        <f t="shared" si="80"/>
        <v>2002MaleMaori253</v>
      </c>
      <c r="K1101" s="359">
        <v>2002</v>
      </c>
      <c r="L1101" t="s">
        <v>20</v>
      </c>
      <c r="M1101" t="s">
        <v>18</v>
      </c>
      <c r="N1101">
        <v>25</v>
      </c>
      <c r="O1101">
        <v>3</v>
      </c>
      <c r="P1101">
        <v>0</v>
      </c>
      <c r="Q1101">
        <v>0</v>
      </c>
      <c r="T1101" s="358" t="str">
        <f t="shared" si="81"/>
        <v>2001AllSexMaori24Firearms and explosives</v>
      </c>
      <c r="U1101" s="360">
        <v>2001</v>
      </c>
      <c r="V1101" s="360" t="s">
        <v>17</v>
      </c>
      <c r="W1101" s="360" t="s">
        <v>18</v>
      </c>
      <c r="X1101" s="360">
        <v>24</v>
      </c>
      <c r="Y1101" s="360" t="s">
        <v>42</v>
      </c>
      <c r="Z1101" s="360">
        <v>1</v>
      </c>
      <c r="AA1101" s="360">
        <v>5</v>
      </c>
      <c r="AB1101" s="360">
        <v>20</v>
      </c>
    </row>
    <row r="1102" spans="10:28" x14ac:dyDescent="0.2">
      <c r="J1102" s="358" t="str">
        <f t="shared" si="80"/>
        <v>2002MaleMaori254</v>
      </c>
      <c r="K1102" s="359">
        <v>2002</v>
      </c>
      <c r="L1102" t="s">
        <v>20</v>
      </c>
      <c r="M1102" t="s">
        <v>18</v>
      </c>
      <c r="N1102">
        <v>25</v>
      </c>
      <c r="O1102">
        <v>4</v>
      </c>
      <c r="P1102">
        <v>0</v>
      </c>
      <c r="Q1102">
        <v>0</v>
      </c>
      <c r="T1102" s="358" t="str">
        <f t="shared" si="81"/>
        <v>2001AllSexMaori21Hanging, strangulation and suffocation</v>
      </c>
      <c r="U1102" s="360">
        <v>2001</v>
      </c>
      <c r="V1102" s="360" t="s">
        <v>17</v>
      </c>
      <c r="W1102" s="360" t="s">
        <v>18</v>
      </c>
      <c r="X1102" s="360">
        <v>21</v>
      </c>
      <c r="Y1102" s="360" t="s">
        <v>43</v>
      </c>
      <c r="Z1102" s="360">
        <v>1</v>
      </c>
      <c r="AA1102" s="360">
        <v>1</v>
      </c>
      <c r="AB1102" s="360">
        <v>100</v>
      </c>
    </row>
    <row r="1103" spans="10:28" x14ac:dyDescent="0.2">
      <c r="J1103" s="358" t="str">
        <f t="shared" si="80"/>
        <v>2002MaleMaori255</v>
      </c>
      <c r="K1103" s="359">
        <v>2002</v>
      </c>
      <c r="L1103" t="s">
        <v>20</v>
      </c>
      <c r="M1103" t="s">
        <v>18</v>
      </c>
      <c r="N1103">
        <v>25</v>
      </c>
      <c r="O1103">
        <v>5</v>
      </c>
      <c r="P1103">
        <v>0</v>
      </c>
      <c r="Q1103">
        <v>0</v>
      </c>
      <c r="T1103" s="358" t="str">
        <f t="shared" si="81"/>
        <v>2001AllSexMaori22Hanging, strangulation and suffocation</v>
      </c>
      <c r="U1103" s="360">
        <v>2001</v>
      </c>
      <c r="V1103" s="360" t="s">
        <v>17</v>
      </c>
      <c r="W1103" s="360" t="s">
        <v>18</v>
      </c>
      <c r="X1103" s="360">
        <v>22</v>
      </c>
      <c r="Y1103" s="360" t="s">
        <v>43</v>
      </c>
      <c r="Z1103" s="360">
        <v>25</v>
      </c>
      <c r="AA1103" s="360">
        <v>29</v>
      </c>
      <c r="AB1103" s="360">
        <v>86.2</v>
      </c>
    </row>
    <row r="1104" spans="10:28" x14ac:dyDescent="0.2">
      <c r="J1104" s="358" t="str">
        <f t="shared" si="80"/>
        <v>2002MaleNon-Maori211</v>
      </c>
      <c r="K1104" s="359">
        <v>2002</v>
      </c>
      <c r="L1104" t="s">
        <v>20</v>
      </c>
      <c r="M1104" t="s">
        <v>19</v>
      </c>
      <c r="N1104">
        <v>21</v>
      </c>
      <c r="O1104">
        <v>1</v>
      </c>
      <c r="P1104">
        <v>0</v>
      </c>
      <c r="T1104" s="358" t="str">
        <f t="shared" si="81"/>
        <v>2001AllSexMaori23Hanging, strangulation and suffocation</v>
      </c>
      <c r="U1104" s="360">
        <v>2001</v>
      </c>
      <c r="V1104" s="360" t="s">
        <v>17</v>
      </c>
      <c r="W1104" s="360" t="s">
        <v>18</v>
      </c>
      <c r="X1104" s="360">
        <v>23</v>
      </c>
      <c r="Y1104" s="360" t="s">
        <v>43</v>
      </c>
      <c r="Z1104" s="360">
        <v>28</v>
      </c>
      <c r="AA1104" s="360">
        <v>42</v>
      </c>
      <c r="AB1104" s="360">
        <v>66.7</v>
      </c>
    </row>
    <row r="1105" spans="10:28" x14ac:dyDescent="0.2">
      <c r="J1105" s="358" t="str">
        <f t="shared" si="80"/>
        <v>2002MaleNon-Maori212</v>
      </c>
      <c r="K1105" s="359">
        <v>2002</v>
      </c>
      <c r="L1105" t="s">
        <v>20</v>
      </c>
      <c r="M1105" t="s">
        <v>19</v>
      </c>
      <c r="N1105">
        <v>21</v>
      </c>
      <c r="O1105">
        <v>2</v>
      </c>
      <c r="P1105">
        <v>0</v>
      </c>
      <c r="T1105" s="358" t="str">
        <f t="shared" si="81"/>
        <v>2001AllSexMaori24Hanging, strangulation and suffocation</v>
      </c>
      <c r="U1105" s="360">
        <v>2001</v>
      </c>
      <c r="V1105" s="360" t="s">
        <v>17</v>
      </c>
      <c r="W1105" s="360" t="s">
        <v>18</v>
      </c>
      <c r="X1105" s="360">
        <v>24</v>
      </c>
      <c r="Y1105" s="360" t="s">
        <v>43</v>
      </c>
      <c r="Z1105" s="360">
        <v>2</v>
      </c>
      <c r="AA1105" s="360">
        <v>5</v>
      </c>
      <c r="AB1105" s="360">
        <v>40</v>
      </c>
    </row>
    <row r="1106" spans="10:28" x14ac:dyDescent="0.2">
      <c r="J1106" s="358" t="str">
        <f t="shared" si="80"/>
        <v>2002MaleNon-Maori213</v>
      </c>
      <c r="K1106" s="359">
        <v>2002</v>
      </c>
      <c r="L1106" t="s">
        <v>20</v>
      </c>
      <c r="M1106" t="s">
        <v>19</v>
      </c>
      <c r="N1106">
        <v>21</v>
      </c>
      <c r="O1106">
        <v>3</v>
      </c>
      <c r="P1106">
        <v>0</v>
      </c>
      <c r="T1106" s="358" t="str">
        <f t="shared" si="81"/>
        <v>2001AllSexMaori23Jumping from a high place</v>
      </c>
      <c r="U1106" s="360">
        <v>2001</v>
      </c>
      <c r="V1106" s="360" t="s">
        <v>17</v>
      </c>
      <c r="W1106" s="360" t="s">
        <v>18</v>
      </c>
      <c r="X1106" s="360">
        <v>23</v>
      </c>
      <c r="Y1106" s="360" t="s">
        <v>44</v>
      </c>
      <c r="Z1106" s="360">
        <v>1</v>
      </c>
      <c r="AA1106" s="360">
        <v>42</v>
      </c>
      <c r="AB1106" s="360">
        <v>2.4</v>
      </c>
    </row>
    <row r="1107" spans="10:28" x14ac:dyDescent="0.2">
      <c r="J1107" s="358" t="str">
        <f t="shared" si="80"/>
        <v>2002MaleNon-Maori214</v>
      </c>
      <c r="K1107" s="359">
        <v>2002</v>
      </c>
      <c r="L1107" t="s">
        <v>20</v>
      </c>
      <c r="M1107" t="s">
        <v>19</v>
      </c>
      <c r="N1107">
        <v>21</v>
      </c>
      <c r="O1107">
        <v>4</v>
      </c>
      <c r="P1107">
        <v>0</v>
      </c>
      <c r="T1107" s="358" t="str">
        <f t="shared" si="81"/>
        <v>2001AllSexMaori23Other</v>
      </c>
      <c r="U1107" s="360">
        <v>2001</v>
      </c>
      <c r="V1107" s="360" t="s">
        <v>17</v>
      </c>
      <c r="W1107" s="360" t="s">
        <v>18</v>
      </c>
      <c r="X1107" s="360">
        <v>23</v>
      </c>
      <c r="Y1107" s="360" t="s">
        <v>45</v>
      </c>
      <c r="Z1107" s="360">
        <v>1</v>
      </c>
      <c r="AA1107" s="360">
        <v>42</v>
      </c>
      <c r="AB1107" s="360">
        <v>2.4</v>
      </c>
    </row>
    <row r="1108" spans="10:28" x14ac:dyDescent="0.2">
      <c r="J1108" s="358" t="str">
        <f t="shared" si="80"/>
        <v>2002MaleNon-Maori215</v>
      </c>
      <c r="K1108" s="359">
        <v>2002</v>
      </c>
      <c r="L1108" t="s">
        <v>20</v>
      </c>
      <c r="M1108" t="s">
        <v>19</v>
      </c>
      <c r="N1108">
        <v>21</v>
      </c>
      <c r="O1108">
        <v>5</v>
      </c>
      <c r="P1108">
        <v>0</v>
      </c>
      <c r="T1108" s="358" t="str">
        <f t="shared" si="81"/>
        <v>2001AllSexMaori25Other</v>
      </c>
      <c r="U1108" s="360">
        <v>2001</v>
      </c>
      <c r="V1108" s="360" t="s">
        <v>17</v>
      </c>
      <c r="W1108" s="360" t="s">
        <v>18</v>
      </c>
      <c r="X1108" s="360">
        <v>25</v>
      </c>
      <c r="Y1108" s="360" t="s">
        <v>45</v>
      </c>
      <c r="Z1108" s="360">
        <v>1</v>
      </c>
      <c r="AA1108" s="360">
        <v>2</v>
      </c>
      <c r="AB1108" s="360">
        <v>50</v>
      </c>
    </row>
    <row r="1109" spans="10:28" x14ac:dyDescent="0.2">
      <c r="J1109" s="358" t="str">
        <f t="shared" si="80"/>
        <v>2002MaleNon-Maori221</v>
      </c>
      <c r="K1109" s="359">
        <v>2002</v>
      </c>
      <c r="L1109" t="s">
        <v>20</v>
      </c>
      <c r="M1109" t="s">
        <v>19</v>
      </c>
      <c r="N1109">
        <v>22</v>
      </c>
      <c r="O1109">
        <v>1</v>
      </c>
      <c r="P1109">
        <v>2</v>
      </c>
      <c r="Q1109">
        <v>4.3580616398921999</v>
      </c>
      <c r="R1109">
        <v>6</v>
      </c>
      <c r="T1109" s="358" t="str">
        <f t="shared" si="81"/>
        <v>2001AllSexMaori22Poisoning by gases and vapours</v>
      </c>
      <c r="U1109" s="360">
        <v>2001</v>
      </c>
      <c r="V1109" s="360" t="s">
        <v>17</v>
      </c>
      <c r="W1109" s="360" t="s">
        <v>18</v>
      </c>
      <c r="X1109" s="360">
        <v>22</v>
      </c>
      <c r="Y1109" s="360" t="s">
        <v>46</v>
      </c>
      <c r="Z1109" s="360">
        <v>2</v>
      </c>
      <c r="AA1109" s="360">
        <v>29</v>
      </c>
      <c r="AB1109" s="360">
        <v>6.9</v>
      </c>
    </row>
    <row r="1110" spans="10:28" x14ac:dyDescent="0.2">
      <c r="J1110" s="358" t="str">
        <f t="shared" si="80"/>
        <v>2002MaleNon-Maori222</v>
      </c>
      <c r="K1110" s="359">
        <v>2002</v>
      </c>
      <c r="L1110" t="s">
        <v>20</v>
      </c>
      <c r="M1110" t="s">
        <v>19</v>
      </c>
      <c r="N1110">
        <v>22</v>
      </c>
      <c r="O1110">
        <v>2</v>
      </c>
      <c r="P1110">
        <v>13</v>
      </c>
      <c r="Q1110">
        <v>28.088905745897399</v>
      </c>
      <c r="R1110">
        <v>15.3</v>
      </c>
      <c r="T1110" s="358" t="str">
        <f t="shared" si="81"/>
        <v>2001AllSexMaori23Poisoning by gases and vapours</v>
      </c>
      <c r="U1110" s="360">
        <v>2001</v>
      </c>
      <c r="V1110" s="360" t="s">
        <v>17</v>
      </c>
      <c r="W1110" s="360" t="s">
        <v>18</v>
      </c>
      <c r="X1110" s="360">
        <v>23</v>
      </c>
      <c r="Y1110" s="360" t="s">
        <v>46</v>
      </c>
      <c r="Z1110" s="360">
        <v>7</v>
      </c>
      <c r="AA1110" s="360">
        <v>42</v>
      </c>
      <c r="AB1110" s="360">
        <v>16.7</v>
      </c>
    </row>
    <row r="1111" spans="10:28" x14ac:dyDescent="0.2">
      <c r="J1111" s="358" t="str">
        <f t="shared" si="80"/>
        <v>2002MaleNon-Maori223</v>
      </c>
      <c r="K1111" s="359">
        <v>2002</v>
      </c>
      <c r="L1111" t="s">
        <v>20</v>
      </c>
      <c r="M1111" t="s">
        <v>19</v>
      </c>
      <c r="N1111">
        <v>22</v>
      </c>
      <c r="O1111">
        <v>3</v>
      </c>
      <c r="P1111">
        <v>7</v>
      </c>
      <c r="Q1111">
        <v>15.153142715968</v>
      </c>
      <c r="R1111">
        <v>11.2</v>
      </c>
      <c r="T1111" s="358" t="str">
        <f t="shared" si="81"/>
        <v>2001AllSexMaori24Poisoning by gases and vapours</v>
      </c>
      <c r="U1111" s="360">
        <v>2001</v>
      </c>
      <c r="V1111" s="360" t="s">
        <v>17</v>
      </c>
      <c r="W1111" s="360" t="s">
        <v>18</v>
      </c>
      <c r="X1111" s="360">
        <v>24</v>
      </c>
      <c r="Y1111" s="360" t="s">
        <v>46</v>
      </c>
      <c r="Z1111" s="360">
        <v>1</v>
      </c>
      <c r="AA1111" s="360">
        <v>5</v>
      </c>
      <c r="AB1111" s="360">
        <v>20</v>
      </c>
    </row>
    <row r="1112" spans="10:28" x14ac:dyDescent="0.2">
      <c r="J1112" s="358" t="str">
        <f t="shared" si="80"/>
        <v>2002MaleNon-Maori224</v>
      </c>
      <c r="K1112" s="359">
        <v>2002</v>
      </c>
      <c r="L1112" t="s">
        <v>20</v>
      </c>
      <c r="M1112" t="s">
        <v>19</v>
      </c>
      <c r="N1112">
        <v>22</v>
      </c>
      <c r="O1112">
        <v>4</v>
      </c>
      <c r="P1112">
        <v>5</v>
      </c>
      <c r="Q1112">
        <v>10.962519554957501</v>
      </c>
      <c r="R1112">
        <v>9.6</v>
      </c>
      <c r="T1112" s="358" t="str">
        <f t="shared" si="81"/>
        <v>2001AllSexMaori25Poisoning by gases and vapours</v>
      </c>
      <c r="U1112" s="360">
        <v>2001</v>
      </c>
      <c r="V1112" s="360" t="s">
        <v>17</v>
      </c>
      <c r="W1112" s="360" t="s">
        <v>18</v>
      </c>
      <c r="X1112" s="360">
        <v>25</v>
      </c>
      <c r="Y1112" s="360" t="s">
        <v>46</v>
      </c>
      <c r="Z1112" s="360">
        <v>1</v>
      </c>
      <c r="AA1112" s="360">
        <v>2</v>
      </c>
      <c r="AB1112" s="360">
        <v>50</v>
      </c>
    </row>
    <row r="1113" spans="10:28" x14ac:dyDescent="0.2">
      <c r="J1113" s="358" t="str">
        <f t="shared" si="80"/>
        <v>2002MaleNon-Maori225</v>
      </c>
      <c r="K1113" s="359">
        <v>2002</v>
      </c>
      <c r="L1113" t="s">
        <v>20</v>
      </c>
      <c r="M1113" t="s">
        <v>19</v>
      </c>
      <c r="N1113">
        <v>22</v>
      </c>
      <c r="O1113">
        <v>5</v>
      </c>
      <c r="P1113">
        <v>11</v>
      </c>
      <c r="Q1113">
        <v>25.574597618693499</v>
      </c>
      <c r="R1113">
        <v>15.1</v>
      </c>
      <c r="T1113" s="358" t="str">
        <f t="shared" si="81"/>
        <v>2001AllSexMaori22Poisoning by solids and liquids</v>
      </c>
      <c r="U1113" s="360">
        <v>2001</v>
      </c>
      <c r="V1113" s="360" t="s">
        <v>17</v>
      </c>
      <c r="W1113" s="360" t="s">
        <v>18</v>
      </c>
      <c r="X1113" s="360">
        <v>22</v>
      </c>
      <c r="Y1113" s="360" t="s">
        <v>47</v>
      </c>
      <c r="Z1113" s="360">
        <v>1</v>
      </c>
      <c r="AA1113" s="360">
        <v>29</v>
      </c>
      <c r="AB1113" s="360">
        <v>3.4</v>
      </c>
    </row>
    <row r="1114" spans="10:28" x14ac:dyDescent="0.2">
      <c r="J1114" s="358" t="str">
        <f t="shared" si="80"/>
        <v>2002MaleNon-Maori231</v>
      </c>
      <c r="K1114" s="359">
        <v>2002</v>
      </c>
      <c r="L1114" t="s">
        <v>20</v>
      </c>
      <c r="M1114" t="s">
        <v>19</v>
      </c>
      <c r="N1114">
        <v>23</v>
      </c>
      <c r="O1114">
        <v>1</v>
      </c>
      <c r="P1114">
        <v>18</v>
      </c>
      <c r="Q1114">
        <v>17.375884351015898</v>
      </c>
      <c r="R1114">
        <v>8</v>
      </c>
      <c r="T1114" s="358" t="str">
        <f t="shared" si="81"/>
        <v>2001AllSexMaori23Poisoning by solids and liquids</v>
      </c>
      <c r="U1114" s="360">
        <v>2001</v>
      </c>
      <c r="V1114" s="360" t="s">
        <v>17</v>
      </c>
      <c r="W1114" s="360" t="s">
        <v>18</v>
      </c>
      <c r="X1114" s="360">
        <v>23</v>
      </c>
      <c r="Y1114" s="360" t="s">
        <v>47</v>
      </c>
      <c r="Z1114" s="360">
        <v>2</v>
      </c>
      <c r="AA1114" s="360">
        <v>42</v>
      </c>
      <c r="AB1114" s="360">
        <v>4.8</v>
      </c>
    </row>
    <row r="1115" spans="10:28" x14ac:dyDescent="0.2">
      <c r="J1115" s="358" t="str">
        <f t="shared" si="80"/>
        <v>2002MaleNon-Maori232</v>
      </c>
      <c r="K1115" s="359">
        <v>2002</v>
      </c>
      <c r="L1115" t="s">
        <v>20</v>
      </c>
      <c r="M1115" t="s">
        <v>19</v>
      </c>
      <c r="N1115">
        <v>23</v>
      </c>
      <c r="O1115">
        <v>2</v>
      </c>
      <c r="P1115">
        <v>29</v>
      </c>
      <c r="Q1115">
        <v>27.094462828832501</v>
      </c>
      <c r="R1115">
        <v>9.9</v>
      </c>
      <c r="T1115" s="358" t="str">
        <f t="shared" si="81"/>
        <v>2001AllSexMaori24Poisoning by solids and liquids</v>
      </c>
      <c r="U1115" s="360">
        <v>2001</v>
      </c>
      <c r="V1115" s="360" t="s">
        <v>17</v>
      </c>
      <c r="W1115" s="360" t="s">
        <v>18</v>
      </c>
      <c r="X1115" s="360">
        <v>24</v>
      </c>
      <c r="Y1115" s="360" t="s">
        <v>47</v>
      </c>
      <c r="Z1115" s="360">
        <v>1</v>
      </c>
      <c r="AA1115" s="360">
        <v>5</v>
      </c>
      <c r="AB1115" s="360">
        <v>20</v>
      </c>
    </row>
    <row r="1116" spans="10:28" x14ac:dyDescent="0.2">
      <c r="J1116" s="358" t="str">
        <f t="shared" si="80"/>
        <v>2002MaleNon-Maori233</v>
      </c>
      <c r="K1116" s="359">
        <v>2002</v>
      </c>
      <c r="L1116" t="s">
        <v>20</v>
      </c>
      <c r="M1116" t="s">
        <v>19</v>
      </c>
      <c r="N1116">
        <v>23</v>
      </c>
      <c r="O1116">
        <v>3</v>
      </c>
      <c r="P1116">
        <v>28</v>
      </c>
      <c r="Q1116">
        <v>27.1061212535956</v>
      </c>
      <c r="R1116">
        <v>10</v>
      </c>
      <c r="T1116" s="358" t="str">
        <f t="shared" si="81"/>
        <v>2001AllSexMaori22Sharp object</v>
      </c>
      <c r="U1116" s="360">
        <v>2001</v>
      </c>
      <c r="V1116" s="360" t="s">
        <v>17</v>
      </c>
      <c r="W1116" s="360" t="s">
        <v>18</v>
      </c>
      <c r="X1116" s="360">
        <v>22</v>
      </c>
      <c r="Y1116" s="360" t="s">
        <v>48</v>
      </c>
      <c r="Z1116" s="360">
        <v>1</v>
      </c>
      <c r="AA1116" s="360">
        <v>29</v>
      </c>
      <c r="AB1116" s="360">
        <v>3.4</v>
      </c>
    </row>
    <row r="1117" spans="10:28" x14ac:dyDescent="0.2">
      <c r="J1117" s="358" t="str">
        <f t="shared" si="80"/>
        <v>2002MaleNon-Maori234</v>
      </c>
      <c r="K1117" s="359">
        <v>2002</v>
      </c>
      <c r="L1117" t="s">
        <v>20</v>
      </c>
      <c r="M1117" t="s">
        <v>19</v>
      </c>
      <c r="N1117">
        <v>23</v>
      </c>
      <c r="O1117">
        <v>4</v>
      </c>
      <c r="P1117">
        <v>27</v>
      </c>
      <c r="Q1117">
        <v>28.639395011903002</v>
      </c>
      <c r="R1117">
        <v>10.8</v>
      </c>
      <c r="T1117" s="358" t="str">
        <f t="shared" si="81"/>
        <v>2001AllSexNon-Maori22Firearms and explosives</v>
      </c>
      <c r="U1117" s="360">
        <v>2001</v>
      </c>
      <c r="V1117" s="360" t="s">
        <v>17</v>
      </c>
      <c r="W1117" s="360" t="s">
        <v>19</v>
      </c>
      <c r="X1117" s="360">
        <v>22</v>
      </c>
      <c r="Y1117" s="360" t="s">
        <v>42</v>
      </c>
      <c r="Z1117" s="360">
        <v>5</v>
      </c>
      <c r="AA1117" s="360">
        <v>81</v>
      </c>
      <c r="AB1117" s="360">
        <v>6.2</v>
      </c>
    </row>
    <row r="1118" spans="10:28" x14ac:dyDescent="0.2">
      <c r="J1118" s="358" t="str">
        <f t="shared" si="80"/>
        <v>2002MaleNon-Maori235</v>
      </c>
      <c r="K1118" s="359">
        <v>2002</v>
      </c>
      <c r="L1118" t="s">
        <v>20</v>
      </c>
      <c r="M1118" t="s">
        <v>19</v>
      </c>
      <c r="N1118">
        <v>23</v>
      </c>
      <c r="O1118">
        <v>5</v>
      </c>
      <c r="P1118">
        <v>26</v>
      </c>
      <c r="Q1118">
        <v>35.757619400350599</v>
      </c>
      <c r="R1118">
        <v>13.7</v>
      </c>
      <c r="T1118" s="358" t="str">
        <f t="shared" si="81"/>
        <v>2001AllSexNon-Maori23Firearms and explosives</v>
      </c>
      <c r="U1118" s="360">
        <v>2001</v>
      </c>
      <c r="V1118" s="360" t="s">
        <v>17</v>
      </c>
      <c r="W1118" s="360" t="s">
        <v>19</v>
      </c>
      <c r="X1118" s="360">
        <v>23</v>
      </c>
      <c r="Y1118" s="360" t="s">
        <v>42</v>
      </c>
      <c r="Z1118" s="360">
        <v>27</v>
      </c>
      <c r="AA1118" s="360">
        <v>197</v>
      </c>
      <c r="AB1118" s="360">
        <v>13.7</v>
      </c>
    </row>
    <row r="1119" spans="10:28" x14ac:dyDescent="0.2">
      <c r="J1119" s="358" t="str">
        <f t="shared" si="80"/>
        <v>2002MaleNon-Maori241</v>
      </c>
      <c r="K1119" s="359">
        <v>2002</v>
      </c>
      <c r="L1119" t="s">
        <v>20</v>
      </c>
      <c r="M1119" t="s">
        <v>19</v>
      </c>
      <c r="N1119">
        <v>24</v>
      </c>
      <c r="O1119">
        <v>1</v>
      </c>
      <c r="P1119">
        <v>12</v>
      </c>
      <c r="Q1119">
        <v>11.109868877558601</v>
      </c>
      <c r="R1119">
        <v>6.3</v>
      </c>
      <c r="T1119" s="358" t="str">
        <f t="shared" si="81"/>
        <v>2001AllSexNon-Maori24Firearms and explosives</v>
      </c>
      <c r="U1119" s="360">
        <v>2001</v>
      </c>
      <c r="V1119" s="360" t="s">
        <v>17</v>
      </c>
      <c r="W1119" s="360" t="s">
        <v>19</v>
      </c>
      <c r="X1119" s="360">
        <v>24</v>
      </c>
      <c r="Y1119" s="360" t="s">
        <v>42</v>
      </c>
      <c r="Z1119" s="360">
        <v>12</v>
      </c>
      <c r="AA1119" s="360">
        <v>87</v>
      </c>
      <c r="AB1119" s="360">
        <v>13.8</v>
      </c>
    </row>
    <row r="1120" spans="10:28" x14ac:dyDescent="0.2">
      <c r="J1120" s="358" t="str">
        <f t="shared" si="80"/>
        <v>2002MaleNon-Maori242</v>
      </c>
      <c r="K1120" s="359">
        <v>2002</v>
      </c>
      <c r="L1120" t="s">
        <v>20</v>
      </c>
      <c r="M1120" t="s">
        <v>19</v>
      </c>
      <c r="N1120">
        <v>24</v>
      </c>
      <c r="O1120">
        <v>2</v>
      </c>
      <c r="P1120">
        <v>23</v>
      </c>
      <c r="Q1120">
        <v>24.970001324542899</v>
      </c>
      <c r="R1120">
        <v>10.199999999999999</v>
      </c>
      <c r="T1120" s="358" t="str">
        <f t="shared" si="81"/>
        <v>2001AllSexNon-Maori25Firearms and explosives</v>
      </c>
      <c r="U1120" s="360">
        <v>2001</v>
      </c>
      <c r="V1120" s="360" t="s">
        <v>17</v>
      </c>
      <c r="W1120" s="360" t="s">
        <v>19</v>
      </c>
      <c r="X1120" s="360">
        <v>25</v>
      </c>
      <c r="Y1120" s="360" t="s">
        <v>42</v>
      </c>
      <c r="Z1120" s="360">
        <v>3</v>
      </c>
      <c r="AA1120" s="360">
        <v>62</v>
      </c>
      <c r="AB1120" s="360">
        <v>4.8</v>
      </c>
    </row>
    <row r="1121" spans="10:28" x14ac:dyDescent="0.2">
      <c r="J1121" s="358" t="str">
        <f t="shared" si="80"/>
        <v>2002MaleNon-Maori243</v>
      </c>
      <c r="K1121" s="359">
        <v>2002</v>
      </c>
      <c r="L1121" t="s">
        <v>20</v>
      </c>
      <c r="M1121" t="s">
        <v>19</v>
      </c>
      <c r="N1121">
        <v>24</v>
      </c>
      <c r="O1121">
        <v>3</v>
      </c>
      <c r="P1121">
        <v>12</v>
      </c>
      <c r="Q1121">
        <v>15.1693509339387</v>
      </c>
      <c r="R1121">
        <v>8.6</v>
      </c>
      <c r="T1121" s="358" t="str">
        <f t="shared" si="81"/>
        <v>2001AllSexNon-Maori21Hanging, strangulation and suffocation</v>
      </c>
      <c r="U1121" s="360">
        <v>2001</v>
      </c>
      <c r="V1121" s="360" t="s">
        <v>17</v>
      </c>
      <c r="W1121" s="360" t="s">
        <v>19</v>
      </c>
      <c r="X1121" s="360">
        <v>21</v>
      </c>
      <c r="Y1121" s="360" t="s">
        <v>43</v>
      </c>
      <c r="Z1121" s="360">
        <v>1</v>
      </c>
      <c r="AA1121" s="360">
        <v>2</v>
      </c>
      <c r="AB1121" s="360">
        <v>50</v>
      </c>
    </row>
    <row r="1122" spans="10:28" x14ac:dyDescent="0.2">
      <c r="J1122" s="358" t="str">
        <f t="shared" si="80"/>
        <v>2002MaleNon-Maori244</v>
      </c>
      <c r="K1122" s="359">
        <v>2002</v>
      </c>
      <c r="L1122" t="s">
        <v>20</v>
      </c>
      <c r="M1122" t="s">
        <v>19</v>
      </c>
      <c r="N1122">
        <v>24</v>
      </c>
      <c r="O1122">
        <v>4</v>
      </c>
      <c r="P1122">
        <v>18</v>
      </c>
      <c r="Q1122">
        <v>26.536841778563002</v>
      </c>
      <c r="R1122">
        <v>12.3</v>
      </c>
      <c r="T1122" s="358" t="str">
        <f t="shared" si="81"/>
        <v>2001AllSexNon-Maori22Hanging, strangulation and suffocation</v>
      </c>
      <c r="U1122" s="360">
        <v>2001</v>
      </c>
      <c r="V1122" s="360" t="s">
        <v>17</v>
      </c>
      <c r="W1122" s="360" t="s">
        <v>19</v>
      </c>
      <c r="X1122" s="360">
        <v>22</v>
      </c>
      <c r="Y1122" s="360" t="s">
        <v>43</v>
      </c>
      <c r="Z1122" s="360">
        <v>45</v>
      </c>
      <c r="AA1122" s="360">
        <v>81</v>
      </c>
      <c r="AB1122" s="360">
        <v>55.6</v>
      </c>
    </row>
    <row r="1123" spans="10:28" x14ac:dyDescent="0.2">
      <c r="J1123" s="358" t="str">
        <f t="shared" si="80"/>
        <v>2002MaleNon-Maori245</v>
      </c>
      <c r="K1123" s="359">
        <v>2002</v>
      </c>
      <c r="L1123" t="s">
        <v>20</v>
      </c>
      <c r="M1123" t="s">
        <v>19</v>
      </c>
      <c r="N1123">
        <v>24</v>
      </c>
      <c r="O1123">
        <v>5</v>
      </c>
      <c r="P1123">
        <v>10</v>
      </c>
      <c r="Q1123">
        <v>19.603887367399501</v>
      </c>
      <c r="R1123">
        <v>12.2</v>
      </c>
      <c r="T1123" s="358" t="str">
        <f t="shared" si="81"/>
        <v>2001AllSexNon-Maori23Hanging, strangulation and suffocation</v>
      </c>
      <c r="U1123" s="360">
        <v>2001</v>
      </c>
      <c r="V1123" s="360" t="s">
        <v>17</v>
      </c>
      <c r="W1123" s="360" t="s">
        <v>19</v>
      </c>
      <c r="X1123" s="360">
        <v>23</v>
      </c>
      <c r="Y1123" s="360" t="s">
        <v>43</v>
      </c>
      <c r="Z1123" s="360">
        <v>82</v>
      </c>
      <c r="AA1123" s="360">
        <v>197</v>
      </c>
      <c r="AB1123" s="360">
        <v>41.6</v>
      </c>
    </row>
    <row r="1124" spans="10:28" x14ac:dyDescent="0.2">
      <c r="J1124" s="358" t="str">
        <f t="shared" si="80"/>
        <v>2002MaleNon-Maori251</v>
      </c>
      <c r="K1124" s="359">
        <v>2002</v>
      </c>
      <c r="L1124" t="s">
        <v>20</v>
      </c>
      <c r="M1124" t="s">
        <v>19</v>
      </c>
      <c r="N1124">
        <v>25</v>
      </c>
      <c r="O1124">
        <v>1</v>
      </c>
      <c r="P1124">
        <v>6</v>
      </c>
      <c r="Q1124">
        <v>14.1834231837356</v>
      </c>
      <c r="R1124">
        <v>11.3</v>
      </c>
      <c r="T1124" s="358" t="str">
        <f t="shared" si="81"/>
        <v>2001AllSexNon-Maori24Hanging, strangulation and suffocation</v>
      </c>
      <c r="U1124" s="360">
        <v>2001</v>
      </c>
      <c r="V1124" s="360" t="s">
        <v>17</v>
      </c>
      <c r="W1124" s="360" t="s">
        <v>19</v>
      </c>
      <c r="X1124" s="360">
        <v>24</v>
      </c>
      <c r="Y1124" s="360" t="s">
        <v>43</v>
      </c>
      <c r="Z1124" s="360">
        <v>30</v>
      </c>
      <c r="AA1124" s="360">
        <v>87</v>
      </c>
      <c r="AB1124" s="360">
        <v>34.5</v>
      </c>
    </row>
    <row r="1125" spans="10:28" x14ac:dyDescent="0.2">
      <c r="J1125" s="358" t="str">
        <f t="shared" si="80"/>
        <v>2002MaleNon-Maori252</v>
      </c>
      <c r="K1125" s="359">
        <v>2002</v>
      </c>
      <c r="L1125" t="s">
        <v>20</v>
      </c>
      <c r="M1125" t="s">
        <v>19</v>
      </c>
      <c r="N1125">
        <v>25</v>
      </c>
      <c r="O1125">
        <v>2</v>
      </c>
      <c r="P1125">
        <v>8</v>
      </c>
      <c r="Q1125">
        <v>18.839043373547099</v>
      </c>
      <c r="R1125">
        <v>13.1</v>
      </c>
      <c r="T1125" s="358" t="str">
        <f t="shared" si="81"/>
        <v>2001AllSexNon-Maori25Hanging, strangulation and suffocation</v>
      </c>
      <c r="U1125" s="360">
        <v>2001</v>
      </c>
      <c r="V1125" s="360" t="s">
        <v>17</v>
      </c>
      <c r="W1125" s="360" t="s">
        <v>19</v>
      </c>
      <c r="X1125" s="360">
        <v>25</v>
      </c>
      <c r="Y1125" s="360" t="s">
        <v>43</v>
      </c>
      <c r="Z1125" s="360">
        <v>21</v>
      </c>
      <c r="AA1125" s="360">
        <v>62</v>
      </c>
      <c r="AB1125" s="360">
        <v>33.9</v>
      </c>
    </row>
    <row r="1126" spans="10:28" x14ac:dyDescent="0.2">
      <c r="J1126" s="358" t="str">
        <f t="shared" si="80"/>
        <v>2002MaleNon-Maori253</v>
      </c>
      <c r="K1126" s="359">
        <v>2002</v>
      </c>
      <c r="L1126" t="s">
        <v>20</v>
      </c>
      <c r="M1126" t="s">
        <v>19</v>
      </c>
      <c r="N1126">
        <v>25</v>
      </c>
      <c r="O1126">
        <v>3</v>
      </c>
      <c r="P1126">
        <v>9</v>
      </c>
      <c r="Q1126">
        <v>21.223399055947802</v>
      </c>
      <c r="R1126">
        <v>13.9</v>
      </c>
      <c r="T1126" s="358" t="str">
        <f t="shared" si="81"/>
        <v>2001AllSexNon-Maori22Jumping from a high place</v>
      </c>
      <c r="U1126" s="360">
        <v>2001</v>
      </c>
      <c r="V1126" s="360" t="s">
        <v>17</v>
      </c>
      <c r="W1126" s="360" t="s">
        <v>19</v>
      </c>
      <c r="X1126" s="360">
        <v>22</v>
      </c>
      <c r="Y1126" s="360" t="s">
        <v>44</v>
      </c>
      <c r="Z1126" s="360">
        <v>8</v>
      </c>
      <c r="AA1126" s="360">
        <v>81</v>
      </c>
      <c r="AB1126" s="360">
        <v>9.9</v>
      </c>
    </row>
    <row r="1127" spans="10:28" x14ac:dyDescent="0.2">
      <c r="J1127" s="358" t="str">
        <f t="shared" si="80"/>
        <v>2002MaleNon-Maori254</v>
      </c>
      <c r="K1127" s="359">
        <v>2002</v>
      </c>
      <c r="L1127" t="s">
        <v>20</v>
      </c>
      <c r="M1127" t="s">
        <v>19</v>
      </c>
      <c r="N1127">
        <v>25</v>
      </c>
      <c r="O1127">
        <v>4</v>
      </c>
      <c r="P1127">
        <v>6</v>
      </c>
      <c r="Q1127">
        <v>15.0314012211342</v>
      </c>
      <c r="R1127">
        <v>12</v>
      </c>
      <c r="T1127" s="358" t="str">
        <f t="shared" si="81"/>
        <v>2001AllSexNon-Maori23Jumping from a high place</v>
      </c>
      <c r="U1127" s="360">
        <v>2001</v>
      </c>
      <c r="V1127" s="360" t="s">
        <v>17</v>
      </c>
      <c r="W1127" s="360" t="s">
        <v>19</v>
      </c>
      <c r="X1127" s="360">
        <v>23</v>
      </c>
      <c r="Y1127" s="360" t="s">
        <v>44</v>
      </c>
      <c r="Z1127" s="360">
        <v>6</v>
      </c>
      <c r="AA1127" s="360">
        <v>197</v>
      </c>
      <c r="AB1127" s="360">
        <v>3</v>
      </c>
    </row>
    <row r="1128" spans="10:28" x14ac:dyDescent="0.2">
      <c r="J1128" s="358" t="str">
        <f t="shared" si="80"/>
        <v>2002MaleNon-Maori255</v>
      </c>
      <c r="K1128" s="359">
        <v>2002</v>
      </c>
      <c r="L1128" t="s">
        <v>20</v>
      </c>
      <c r="M1128" t="s">
        <v>19</v>
      </c>
      <c r="N1128">
        <v>25</v>
      </c>
      <c r="O1128">
        <v>5</v>
      </c>
      <c r="P1128">
        <v>6</v>
      </c>
      <c r="Q1128">
        <v>20.906192682537799</v>
      </c>
      <c r="R1128">
        <v>16.7</v>
      </c>
      <c r="T1128" s="358" t="str">
        <f t="shared" si="81"/>
        <v>2001AllSexNon-Maori24Jumping from a high place</v>
      </c>
      <c r="U1128" s="360">
        <v>2001</v>
      </c>
      <c r="V1128" s="360" t="s">
        <v>17</v>
      </c>
      <c r="W1128" s="360" t="s">
        <v>19</v>
      </c>
      <c r="X1128" s="360">
        <v>24</v>
      </c>
      <c r="Y1128" s="360" t="s">
        <v>44</v>
      </c>
      <c r="Z1128" s="360">
        <v>2</v>
      </c>
      <c r="AA1128" s="360">
        <v>87</v>
      </c>
      <c r="AB1128" s="360">
        <v>2.2999999999999998</v>
      </c>
    </row>
    <row r="1129" spans="10:28" x14ac:dyDescent="0.2">
      <c r="J1129" s="358" t="str">
        <f t="shared" si="80"/>
        <v>2003AllSexAllEth211</v>
      </c>
      <c r="K1129" s="359">
        <v>2003</v>
      </c>
      <c r="L1129" t="s">
        <v>17</v>
      </c>
      <c r="M1129" t="s">
        <v>27</v>
      </c>
      <c r="N1129">
        <v>21</v>
      </c>
      <c r="O1129">
        <v>1</v>
      </c>
      <c r="P1129">
        <v>0</v>
      </c>
      <c r="T1129" s="358" t="str">
        <f t="shared" si="81"/>
        <v>2001AllSexNon-Maori25Jumping from a high place</v>
      </c>
      <c r="U1129" s="360">
        <v>2001</v>
      </c>
      <c r="V1129" s="360" t="s">
        <v>17</v>
      </c>
      <c r="W1129" s="360" t="s">
        <v>19</v>
      </c>
      <c r="X1129" s="360">
        <v>25</v>
      </c>
      <c r="Y1129" s="360" t="s">
        <v>44</v>
      </c>
      <c r="Z1129" s="360">
        <v>2</v>
      </c>
      <c r="AA1129" s="360">
        <v>62</v>
      </c>
      <c r="AB1129" s="360">
        <v>3.2</v>
      </c>
    </row>
    <row r="1130" spans="10:28" x14ac:dyDescent="0.2">
      <c r="J1130" s="358" t="str">
        <f t="shared" si="80"/>
        <v>2003AllSexAllEth212</v>
      </c>
      <c r="K1130" s="359">
        <v>2003</v>
      </c>
      <c r="L1130" t="s">
        <v>17</v>
      </c>
      <c r="M1130" t="s">
        <v>27</v>
      </c>
      <c r="N1130">
        <v>21</v>
      </c>
      <c r="O1130">
        <v>2</v>
      </c>
      <c r="P1130">
        <v>0</v>
      </c>
      <c r="T1130" s="358" t="str">
        <f t="shared" si="81"/>
        <v>2001AllSexNon-Maori22Other</v>
      </c>
      <c r="U1130" s="360">
        <v>2001</v>
      </c>
      <c r="V1130" s="360" t="s">
        <v>17</v>
      </c>
      <c r="W1130" s="360" t="s">
        <v>19</v>
      </c>
      <c r="X1130" s="360">
        <v>22</v>
      </c>
      <c r="Y1130" s="360" t="s">
        <v>45</v>
      </c>
      <c r="Z1130" s="360">
        <v>3</v>
      </c>
      <c r="AA1130" s="360">
        <v>81</v>
      </c>
      <c r="AB1130" s="360">
        <v>3.7</v>
      </c>
    </row>
    <row r="1131" spans="10:28" x14ac:dyDescent="0.2">
      <c r="J1131" s="358" t="str">
        <f t="shared" si="80"/>
        <v>2003AllSexAllEth213</v>
      </c>
      <c r="K1131" s="359">
        <v>2003</v>
      </c>
      <c r="L1131" t="s">
        <v>17</v>
      </c>
      <c r="M1131" t="s">
        <v>27</v>
      </c>
      <c r="N1131">
        <v>21</v>
      </c>
      <c r="O1131">
        <v>3</v>
      </c>
      <c r="P1131">
        <v>0</v>
      </c>
      <c r="T1131" s="358" t="str">
        <f t="shared" si="81"/>
        <v>2001AllSexNon-Maori23Other</v>
      </c>
      <c r="U1131" s="360">
        <v>2001</v>
      </c>
      <c r="V1131" s="360" t="s">
        <v>17</v>
      </c>
      <c r="W1131" s="360" t="s">
        <v>19</v>
      </c>
      <c r="X1131" s="360">
        <v>23</v>
      </c>
      <c r="Y1131" s="360" t="s">
        <v>45</v>
      </c>
      <c r="Z1131" s="360">
        <v>9</v>
      </c>
      <c r="AA1131" s="360">
        <v>197</v>
      </c>
      <c r="AB1131" s="360">
        <v>4.5999999999999996</v>
      </c>
    </row>
    <row r="1132" spans="10:28" x14ac:dyDescent="0.2">
      <c r="J1132" s="358" t="str">
        <f t="shared" si="80"/>
        <v>2003AllSexAllEth214</v>
      </c>
      <c r="K1132" s="359">
        <v>2003</v>
      </c>
      <c r="L1132" t="s">
        <v>17</v>
      </c>
      <c r="M1132" t="s">
        <v>27</v>
      </c>
      <c r="N1132">
        <v>21</v>
      </c>
      <c r="O1132">
        <v>4</v>
      </c>
      <c r="P1132">
        <v>1</v>
      </c>
      <c r="T1132" s="358" t="str">
        <f t="shared" si="81"/>
        <v>2001AllSexNon-Maori24Other</v>
      </c>
      <c r="U1132" s="360">
        <v>2001</v>
      </c>
      <c r="V1132" s="360" t="s">
        <v>17</v>
      </c>
      <c r="W1132" s="360" t="s">
        <v>19</v>
      </c>
      <c r="X1132" s="360">
        <v>24</v>
      </c>
      <c r="Y1132" s="360" t="s">
        <v>45</v>
      </c>
      <c r="Z1132" s="360">
        <v>3</v>
      </c>
      <c r="AA1132" s="360">
        <v>87</v>
      </c>
      <c r="AB1132" s="360">
        <v>3.4</v>
      </c>
    </row>
    <row r="1133" spans="10:28" x14ac:dyDescent="0.2">
      <c r="J1133" s="358" t="str">
        <f t="shared" si="80"/>
        <v>2003AllSexAllEth215</v>
      </c>
      <c r="K1133" s="359">
        <v>2003</v>
      </c>
      <c r="L1133" t="s">
        <v>17</v>
      </c>
      <c r="M1133" t="s">
        <v>27</v>
      </c>
      <c r="N1133">
        <v>21</v>
      </c>
      <c r="O1133">
        <v>5</v>
      </c>
      <c r="P1133">
        <v>4</v>
      </c>
      <c r="T1133" s="358" t="str">
        <f t="shared" si="81"/>
        <v>2001AllSexNon-Maori25Other</v>
      </c>
      <c r="U1133" s="360">
        <v>2001</v>
      </c>
      <c r="V1133" s="360" t="s">
        <v>17</v>
      </c>
      <c r="W1133" s="360" t="s">
        <v>19</v>
      </c>
      <c r="X1133" s="360">
        <v>25</v>
      </c>
      <c r="Y1133" s="360" t="s">
        <v>45</v>
      </c>
      <c r="Z1133" s="360">
        <v>5</v>
      </c>
      <c r="AA1133" s="360">
        <v>62</v>
      </c>
      <c r="AB1133" s="360">
        <v>8.1</v>
      </c>
    </row>
    <row r="1134" spans="10:28" x14ac:dyDescent="0.2">
      <c r="J1134" s="358" t="str">
        <f t="shared" si="80"/>
        <v>2003AllSexAllEth221</v>
      </c>
      <c r="K1134" s="359">
        <v>2003</v>
      </c>
      <c r="L1134" t="s">
        <v>17</v>
      </c>
      <c r="M1134" t="s">
        <v>27</v>
      </c>
      <c r="N1134">
        <v>22</v>
      </c>
      <c r="O1134">
        <v>1</v>
      </c>
      <c r="P1134">
        <v>13</v>
      </c>
      <c r="Q1134">
        <v>13.502506695119999</v>
      </c>
      <c r="R1134">
        <v>7.3</v>
      </c>
      <c r="T1134" s="358" t="str">
        <f t="shared" si="81"/>
        <v>2001AllSexNon-Maori21Poisoning by gases and vapours</v>
      </c>
      <c r="U1134" s="360">
        <v>2001</v>
      </c>
      <c r="V1134" s="360" t="s">
        <v>17</v>
      </c>
      <c r="W1134" s="360" t="s">
        <v>19</v>
      </c>
      <c r="X1134" s="360">
        <v>21</v>
      </c>
      <c r="Y1134" s="360" t="s">
        <v>46</v>
      </c>
      <c r="Z1134" s="360">
        <v>1</v>
      </c>
      <c r="AA1134" s="360">
        <v>2</v>
      </c>
      <c r="AB1134" s="360">
        <v>50</v>
      </c>
    </row>
    <row r="1135" spans="10:28" x14ac:dyDescent="0.2">
      <c r="J1135" s="358" t="str">
        <f t="shared" si="80"/>
        <v>2003AllSexAllEth222</v>
      </c>
      <c r="K1135" s="359">
        <v>2003</v>
      </c>
      <c r="L1135" t="s">
        <v>17</v>
      </c>
      <c r="M1135" t="s">
        <v>27</v>
      </c>
      <c r="N1135">
        <v>22</v>
      </c>
      <c r="O1135">
        <v>2</v>
      </c>
      <c r="P1135">
        <v>9</v>
      </c>
      <c r="Q1135">
        <v>8.7756368086707308</v>
      </c>
      <c r="R1135">
        <v>5.7</v>
      </c>
      <c r="T1135" s="358" t="str">
        <f t="shared" si="81"/>
        <v>2001AllSexNon-Maori22Poisoning by gases and vapours</v>
      </c>
      <c r="U1135" s="360">
        <v>2001</v>
      </c>
      <c r="V1135" s="360" t="s">
        <v>17</v>
      </c>
      <c r="W1135" s="360" t="s">
        <v>19</v>
      </c>
      <c r="X1135" s="360">
        <v>22</v>
      </c>
      <c r="Y1135" s="360" t="s">
        <v>46</v>
      </c>
      <c r="Z1135" s="360">
        <v>13</v>
      </c>
      <c r="AA1135" s="360">
        <v>81</v>
      </c>
      <c r="AB1135" s="360">
        <v>16</v>
      </c>
    </row>
    <row r="1136" spans="10:28" x14ac:dyDescent="0.2">
      <c r="J1136" s="358" t="str">
        <f t="shared" si="80"/>
        <v>2003AllSexAllEth223</v>
      </c>
      <c r="K1136" s="359">
        <v>2003</v>
      </c>
      <c r="L1136" t="s">
        <v>17</v>
      </c>
      <c r="M1136" t="s">
        <v>27</v>
      </c>
      <c r="N1136">
        <v>22</v>
      </c>
      <c r="O1136">
        <v>3</v>
      </c>
      <c r="P1136">
        <v>19</v>
      </c>
      <c r="Q1136">
        <v>17.120572499819101</v>
      </c>
      <c r="R1136">
        <v>7.7</v>
      </c>
      <c r="T1136" s="358" t="str">
        <f t="shared" si="81"/>
        <v>2001AllSexNon-Maori23Poisoning by gases and vapours</v>
      </c>
      <c r="U1136" s="360">
        <v>2001</v>
      </c>
      <c r="V1136" s="360" t="s">
        <v>17</v>
      </c>
      <c r="W1136" s="360" t="s">
        <v>19</v>
      </c>
      <c r="X1136" s="360">
        <v>23</v>
      </c>
      <c r="Y1136" s="360" t="s">
        <v>46</v>
      </c>
      <c r="Z1136" s="360">
        <v>50</v>
      </c>
      <c r="AA1136" s="360">
        <v>197</v>
      </c>
      <c r="AB1136" s="360">
        <v>25.4</v>
      </c>
    </row>
    <row r="1137" spans="10:28" x14ac:dyDescent="0.2">
      <c r="J1137" s="358" t="str">
        <f t="shared" si="80"/>
        <v>2003AllSexAllEth224</v>
      </c>
      <c r="K1137" s="359">
        <v>2003</v>
      </c>
      <c r="L1137" t="s">
        <v>17</v>
      </c>
      <c r="M1137" t="s">
        <v>27</v>
      </c>
      <c r="N1137">
        <v>22</v>
      </c>
      <c r="O1137">
        <v>4</v>
      </c>
      <c r="P1137">
        <v>25</v>
      </c>
      <c r="Q1137">
        <v>20.513394662723002</v>
      </c>
      <c r="R1137">
        <v>8</v>
      </c>
      <c r="T1137" s="358" t="str">
        <f t="shared" si="81"/>
        <v>2001AllSexNon-Maori24Poisoning by gases and vapours</v>
      </c>
      <c r="U1137" s="360">
        <v>2001</v>
      </c>
      <c r="V1137" s="360" t="s">
        <v>17</v>
      </c>
      <c r="W1137" s="360" t="s">
        <v>19</v>
      </c>
      <c r="X1137" s="360">
        <v>24</v>
      </c>
      <c r="Y1137" s="360" t="s">
        <v>46</v>
      </c>
      <c r="Z1137" s="360">
        <v>23</v>
      </c>
      <c r="AA1137" s="360">
        <v>87</v>
      </c>
      <c r="AB1137" s="360">
        <v>26.4</v>
      </c>
    </row>
    <row r="1138" spans="10:28" x14ac:dyDescent="0.2">
      <c r="J1138" s="358" t="str">
        <f t="shared" si="80"/>
        <v>2003AllSexAllEth225</v>
      </c>
      <c r="K1138" s="359">
        <v>2003</v>
      </c>
      <c r="L1138" t="s">
        <v>17</v>
      </c>
      <c r="M1138" t="s">
        <v>27</v>
      </c>
      <c r="N1138">
        <v>22</v>
      </c>
      <c r="O1138">
        <v>5</v>
      </c>
      <c r="P1138">
        <v>28</v>
      </c>
      <c r="Q1138">
        <v>19.724458510504601</v>
      </c>
      <c r="R1138">
        <v>7.3</v>
      </c>
      <c r="T1138" s="358" t="str">
        <f t="shared" si="81"/>
        <v>2001AllSexNon-Maori25Poisoning by gases and vapours</v>
      </c>
      <c r="U1138" s="360">
        <v>2001</v>
      </c>
      <c r="V1138" s="360" t="s">
        <v>17</v>
      </c>
      <c r="W1138" s="360" t="s">
        <v>19</v>
      </c>
      <c r="X1138" s="360">
        <v>25</v>
      </c>
      <c r="Y1138" s="360" t="s">
        <v>46</v>
      </c>
      <c r="Z1138" s="360">
        <v>13</v>
      </c>
      <c r="AA1138" s="360">
        <v>62</v>
      </c>
      <c r="AB1138" s="360">
        <v>21</v>
      </c>
    </row>
    <row r="1139" spans="10:28" x14ac:dyDescent="0.2">
      <c r="J1139" s="358" t="str">
        <f t="shared" si="80"/>
        <v>2003AllSexAllEth231</v>
      </c>
      <c r="K1139" s="359">
        <v>2003</v>
      </c>
      <c r="L1139" t="s">
        <v>17</v>
      </c>
      <c r="M1139" t="s">
        <v>27</v>
      </c>
      <c r="N1139">
        <v>23</v>
      </c>
      <c r="O1139">
        <v>1</v>
      </c>
      <c r="P1139">
        <v>26</v>
      </c>
      <c r="Q1139">
        <v>11.3108267233678</v>
      </c>
      <c r="R1139">
        <v>4.3</v>
      </c>
      <c r="T1139" s="358" t="str">
        <f t="shared" si="81"/>
        <v>2001AllSexNon-Maori22Poisoning by solids and liquids</v>
      </c>
      <c r="U1139" s="360">
        <v>2001</v>
      </c>
      <c r="V1139" s="360" t="s">
        <v>17</v>
      </c>
      <c r="W1139" s="360" t="s">
        <v>19</v>
      </c>
      <c r="X1139" s="360">
        <v>22</v>
      </c>
      <c r="Y1139" s="360" t="s">
        <v>47</v>
      </c>
      <c r="Z1139" s="360">
        <v>4</v>
      </c>
      <c r="AA1139" s="360">
        <v>81</v>
      </c>
      <c r="AB1139" s="360">
        <v>4.9000000000000004</v>
      </c>
    </row>
    <row r="1140" spans="10:28" x14ac:dyDescent="0.2">
      <c r="J1140" s="358" t="str">
        <f t="shared" si="80"/>
        <v>2003AllSexAllEth232</v>
      </c>
      <c r="K1140" s="359">
        <v>2003</v>
      </c>
      <c r="L1140" t="s">
        <v>17</v>
      </c>
      <c r="M1140" t="s">
        <v>27</v>
      </c>
      <c r="N1140">
        <v>23</v>
      </c>
      <c r="O1140">
        <v>2</v>
      </c>
      <c r="P1140">
        <v>30</v>
      </c>
      <c r="Q1140">
        <v>12.4049988306581</v>
      </c>
      <c r="R1140">
        <v>4.4000000000000004</v>
      </c>
      <c r="T1140" s="358" t="str">
        <f t="shared" si="81"/>
        <v>2001AllSexNon-Maori23Poisoning by solids and liquids</v>
      </c>
      <c r="U1140" s="360">
        <v>2001</v>
      </c>
      <c r="V1140" s="360" t="s">
        <v>17</v>
      </c>
      <c r="W1140" s="360" t="s">
        <v>19</v>
      </c>
      <c r="X1140" s="360">
        <v>23</v>
      </c>
      <c r="Y1140" s="360" t="s">
        <v>47</v>
      </c>
      <c r="Z1140" s="360">
        <v>21</v>
      </c>
      <c r="AA1140" s="360">
        <v>197</v>
      </c>
      <c r="AB1140" s="360">
        <v>10.7</v>
      </c>
    </row>
    <row r="1141" spans="10:28" x14ac:dyDescent="0.2">
      <c r="J1141" s="358" t="str">
        <f t="shared" si="80"/>
        <v>2003AllSexAllEth233</v>
      </c>
      <c r="K1141" s="359">
        <v>2003</v>
      </c>
      <c r="L1141" t="s">
        <v>17</v>
      </c>
      <c r="M1141" t="s">
        <v>27</v>
      </c>
      <c r="N1141">
        <v>23</v>
      </c>
      <c r="O1141">
        <v>3</v>
      </c>
      <c r="P1141">
        <v>51</v>
      </c>
      <c r="Q1141">
        <v>21.083701901419602</v>
      </c>
      <c r="R1141">
        <v>5.8</v>
      </c>
      <c r="T1141" s="358" t="str">
        <f t="shared" si="81"/>
        <v>2001AllSexNon-Maori24Poisoning by solids and liquids</v>
      </c>
      <c r="U1141" s="360">
        <v>2001</v>
      </c>
      <c r="V1141" s="360" t="s">
        <v>17</v>
      </c>
      <c r="W1141" s="360" t="s">
        <v>19</v>
      </c>
      <c r="X1141" s="360">
        <v>24</v>
      </c>
      <c r="Y1141" s="360" t="s">
        <v>47</v>
      </c>
      <c r="Z1141" s="360">
        <v>12</v>
      </c>
      <c r="AA1141" s="360">
        <v>87</v>
      </c>
      <c r="AB1141" s="360">
        <v>13.8</v>
      </c>
    </row>
    <row r="1142" spans="10:28" x14ac:dyDescent="0.2">
      <c r="J1142" s="358" t="str">
        <f t="shared" si="80"/>
        <v>2003AllSexAllEth234</v>
      </c>
      <c r="K1142" s="359">
        <v>2003</v>
      </c>
      <c r="L1142" t="s">
        <v>17</v>
      </c>
      <c r="M1142" t="s">
        <v>27</v>
      </c>
      <c r="N1142">
        <v>23</v>
      </c>
      <c r="O1142">
        <v>4</v>
      </c>
      <c r="P1142">
        <v>49</v>
      </c>
      <c r="Q1142">
        <v>20.638608417285599</v>
      </c>
      <c r="R1142">
        <v>5.8</v>
      </c>
      <c r="T1142" s="358" t="str">
        <f t="shared" si="81"/>
        <v>2001AllSexNon-Maori25Poisoning by solids and liquids</v>
      </c>
      <c r="U1142" s="360">
        <v>2001</v>
      </c>
      <c r="V1142" s="360" t="s">
        <v>17</v>
      </c>
      <c r="W1142" s="360" t="s">
        <v>19</v>
      </c>
      <c r="X1142" s="360">
        <v>25</v>
      </c>
      <c r="Y1142" s="360" t="s">
        <v>47</v>
      </c>
      <c r="Z1142" s="360">
        <v>13</v>
      </c>
      <c r="AA1142" s="360">
        <v>62</v>
      </c>
      <c r="AB1142" s="360">
        <v>21</v>
      </c>
    </row>
    <row r="1143" spans="10:28" x14ac:dyDescent="0.2">
      <c r="J1143" s="358" t="str">
        <f t="shared" si="80"/>
        <v>2003AllSexAllEth235</v>
      </c>
      <c r="K1143" s="359">
        <v>2003</v>
      </c>
      <c r="L1143" t="s">
        <v>17</v>
      </c>
      <c r="M1143" t="s">
        <v>27</v>
      </c>
      <c r="N1143">
        <v>23</v>
      </c>
      <c r="O1143">
        <v>5</v>
      </c>
      <c r="P1143">
        <v>51</v>
      </c>
      <c r="Q1143">
        <v>22.8684404374726</v>
      </c>
      <c r="R1143">
        <v>6.3</v>
      </c>
      <c r="T1143" s="358" t="str">
        <f t="shared" si="81"/>
        <v>2001AllSexNon-Maori22Sharp object</v>
      </c>
      <c r="U1143" s="360">
        <v>2001</v>
      </c>
      <c r="V1143" s="360" t="s">
        <v>17</v>
      </c>
      <c r="W1143" s="360" t="s">
        <v>19</v>
      </c>
      <c r="X1143" s="360">
        <v>22</v>
      </c>
      <c r="Y1143" s="360" t="s">
        <v>48</v>
      </c>
      <c r="Z1143" s="360">
        <v>1</v>
      </c>
      <c r="AA1143" s="360">
        <v>81</v>
      </c>
      <c r="AB1143" s="360">
        <v>1.2</v>
      </c>
    </row>
    <row r="1144" spans="10:28" x14ac:dyDescent="0.2">
      <c r="J1144" s="358" t="str">
        <f t="shared" si="80"/>
        <v>2003AllSexAllEth241</v>
      </c>
      <c r="K1144" s="359">
        <v>2003</v>
      </c>
      <c r="L1144" t="s">
        <v>17</v>
      </c>
      <c r="M1144" t="s">
        <v>27</v>
      </c>
      <c r="N1144">
        <v>24</v>
      </c>
      <c r="O1144">
        <v>1</v>
      </c>
      <c r="P1144">
        <v>17</v>
      </c>
      <c r="Q1144">
        <v>7.54019232600458</v>
      </c>
      <c r="R1144">
        <v>3.6</v>
      </c>
      <c r="T1144" s="358" t="str">
        <f t="shared" si="81"/>
        <v>2001AllSexNon-Maori23Sharp object</v>
      </c>
      <c r="U1144" s="360">
        <v>2001</v>
      </c>
      <c r="V1144" s="360" t="s">
        <v>17</v>
      </c>
      <c r="W1144" s="360" t="s">
        <v>19</v>
      </c>
      <c r="X1144" s="360">
        <v>23</v>
      </c>
      <c r="Y1144" s="360" t="s">
        <v>48</v>
      </c>
      <c r="Z1144" s="360">
        <v>2</v>
      </c>
      <c r="AA1144" s="360">
        <v>197</v>
      </c>
      <c r="AB1144" s="360">
        <v>1</v>
      </c>
    </row>
    <row r="1145" spans="10:28" x14ac:dyDescent="0.2">
      <c r="J1145" s="358" t="str">
        <f t="shared" si="80"/>
        <v>2003AllSexAllEth242</v>
      </c>
      <c r="K1145" s="359">
        <v>2003</v>
      </c>
      <c r="L1145" t="s">
        <v>17</v>
      </c>
      <c r="M1145" t="s">
        <v>27</v>
      </c>
      <c r="N1145">
        <v>24</v>
      </c>
      <c r="O1145">
        <v>2</v>
      </c>
      <c r="P1145">
        <v>22</v>
      </c>
      <c r="Q1145">
        <v>11.053262406889001</v>
      </c>
      <c r="R1145">
        <v>4.5999999999999996</v>
      </c>
      <c r="T1145" s="358" t="str">
        <f t="shared" si="81"/>
        <v>2001AllSexNon-Maori24Sharp object</v>
      </c>
      <c r="U1145" s="360">
        <v>2001</v>
      </c>
      <c r="V1145" s="360" t="s">
        <v>17</v>
      </c>
      <c r="W1145" s="360" t="s">
        <v>19</v>
      </c>
      <c r="X1145" s="360">
        <v>24</v>
      </c>
      <c r="Y1145" s="360" t="s">
        <v>48</v>
      </c>
      <c r="Z1145" s="360">
        <v>2</v>
      </c>
      <c r="AA1145" s="360">
        <v>87</v>
      </c>
      <c r="AB1145" s="360">
        <v>2.2999999999999998</v>
      </c>
    </row>
    <row r="1146" spans="10:28" x14ac:dyDescent="0.2">
      <c r="J1146" s="358" t="str">
        <f t="shared" si="80"/>
        <v>2003AllSexAllEth243</v>
      </c>
      <c r="K1146" s="359">
        <v>2003</v>
      </c>
      <c r="L1146" t="s">
        <v>17</v>
      </c>
      <c r="M1146" t="s">
        <v>27</v>
      </c>
      <c r="N1146">
        <v>24</v>
      </c>
      <c r="O1146">
        <v>3</v>
      </c>
      <c r="P1146">
        <v>30</v>
      </c>
      <c r="Q1146">
        <v>16.7202623475719</v>
      </c>
      <c r="R1146">
        <v>6</v>
      </c>
      <c r="T1146" s="358" t="str">
        <f t="shared" si="81"/>
        <v>2001AllSexNon-Maori25Sharp object</v>
      </c>
      <c r="U1146" s="360">
        <v>2001</v>
      </c>
      <c r="V1146" s="360" t="s">
        <v>17</v>
      </c>
      <c r="W1146" s="360" t="s">
        <v>19</v>
      </c>
      <c r="X1146" s="360">
        <v>25</v>
      </c>
      <c r="Y1146" s="360" t="s">
        <v>48</v>
      </c>
      <c r="Z1146" s="360">
        <v>3</v>
      </c>
      <c r="AA1146" s="360">
        <v>62</v>
      </c>
      <c r="AB1146" s="360">
        <v>4.8</v>
      </c>
    </row>
    <row r="1147" spans="10:28" x14ac:dyDescent="0.2">
      <c r="J1147" s="358" t="str">
        <f t="shared" si="80"/>
        <v>2003AllSexAllEth244</v>
      </c>
      <c r="K1147" s="359">
        <v>2003</v>
      </c>
      <c r="L1147" t="s">
        <v>17</v>
      </c>
      <c r="M1147" t="s">
        <v>27</v>
      </c>
      <c r="N1147">
        <v>24</v>
      </c>
      <c r="O1147">
        <v>4</v>
      </c>
      <c r="P1147">
        <v>32</v>
      </c>
      <c r="Q1147">
        <v>19.512740659110399</v>
      </c>
      <c r="R1147">
        <v>6.8</v>
      </c>
      <c r="T1147" s="358" t="str">
        <f t="shared" si="81"/>
        <v>2001AllSexNon-Maori22Submersion (drowning)</v>
      </c>
      <c r="U1147" s="360">
        <v>2001</v>
      </c>
      <c r="V1147" s="360" t="s">
        <v>17</v>
      </c>
      <c r="W1147" s="360" t="s">
        <v>19</v>
      </c>
      <c r="X1147" s="360">
        <v>22</v>
      </c>
      <c r="Y1147" s="360" t="s">
        <v>49</v>
      </c>
      <c r="Z1147" s="360">
        <v>2</v>
      </c>
      <c r="AA1147" s="360">
        <v>81</v>
      </c>
      <c r="AB1147" s="360">
        <v>2.5</v>
      </c>
    </row>
    <row r="1148" spans="10:28" x14ac:dyDescent="0.2">
      <c r="J1148" s="358" t="str">
        <f t="shared" si="80"/>
        <v>2003AllSexAllEth245</v>
      </c>
      <c r="K1148" s="359">
        <v>2003</v>
      </c>
      <c r="L1148" t="s">
        <v>17</v>
      </c>
      <c r="M1148" t="s">
        <v>27</v>
      </c>
      <c r="N1148">
        <v>24</v>
      </c>
      <c r="O1148">
        <v>5</v>
      </c>
      <c r="P1148">
        <v>27</v>
      </c>
      <c r="Q1148">
        <v>18.498625519725501</v>
      </c>
      <c r="R1148">
        <v>7</v>
      </c>
      <c r="T1148" s="358" t="str">
        <f t="shared" si="81"/>
        <v>2001AllSexNon-Maori24Submersion (drowning)</v>
      </c>
      <c r="U1148" s="360">
        <v>2001</v>
      </c>
      <c r="V1148" s="360" t="s">
        <v>17</v>
      </c>
      <c r="W1148" s="360" t="s">
        <v>19</v>
      </c>
      <c r="X1148" s="360">
        <v>24</v>
      </c>
      <c r="Y1148" s="360" t="s">
        <v>49</v>
      </c>
      <c r="Z1148" s="360">
        <v>3</v>
      </c>
      <c r="AA1148" s="360">
        <v>87</v>
      </c>
      <c r="AB1148" s="360">
        <v>3.4</v>
      </c>
    </row>
    <row r="1149" spans="10:28" x14ac:dyDescent="0.2">
      <c r="J1149" s="358" t="str">
        <f t="shared" si="80"/>
        <v>2003AllSexAllEth251</v>
      </c>
      <c r="K1149" s="359">
        <v>2003</v>
      </c>
      <c r="L1149" t="s">
        <v>17</v>
      </c>
      <c r="M1149" t="s">
        <v>27</v>
      </c>
      <c r="N1149">
        <v>25</v>
      </c>
      <c r="O1149">
        <v>1</v>
      </c>
      <c r="P1149">
        <v>7</v>
      </c>
      <c r="Q1149">
        <v>7.670286252506</v>
      </c>
      <c r="R1149">
        <v>5.7</v>
      </c>
      <c r="T1149" s="358" t="str">
        <f t="shared" si="81"/>
        <v>2001AllSexNon-Maori25Submersion (drowning)</v>
      </c>
      <c r="U1149" s="360">
        <v>2001</v>
      </c>
      <c r="V1149" s="360" t="s">
        <v>17</v>
      </c>
      <c r="W1149" s="360" t="s">
        <v>19</v>
      </c>
      <c r="X1149" s="360">
        <v>25</v>
      </c>
      <c r="Y1149" s="360" t="s">
        <v>49</v>
      </c>
      <c r="Z1149" s="360">
        <v>2</v>
      </c>
      <c r="AA1149" s="360">
        <v>62</v>
      </c>
      <c r="AB1149" s="360">
        <v>3.2</v>
      </c>
    </row>
    <row r="1150" spans="10:28" x14ac:dyDescent="0.2">
      <c r="J1150" s="358" t="str">
        <f t="shared" si="80"/>
        <v>2003AllSexAllEth252</v>
      </c>
      <c r="K1150" s="359">
        <v>2003</v>
      </c>
      <c r="L1150" t="s">
        <v>17</v>
      </c>
      <c r="M1150" t="s">
        <v>27</v>
      </c>
      <c r="N1150">
        <v>25</v>
      </c>
      <c r="O1150">
        <v>2</v>
      </c>
      <c r="P1150">
        <v>11</v>
      </c>
      <c r="Q1150">
        <v>11.2241712388299</v>
      </c>
      <c r="R1150">
        <v>6.6</v>
      </c>
      <c r="T1150" s="358" t="str">
        <f t="shared" si="81"/>
        <v>2001FemaleAllEth23Firearms and explosives</v>
      </c>
      <c r="U1150" s="360">
        <v>2001</v>
      </c>
      <c r="V1150" s="360" t="s">
        <v>8</v>
      </c>
      <c r="W1150" s="360" t="s">
        <v>27</v>
      </c>
      <c r="X1150" s="360">
        <v>23</v>
      </c>
      <c r="Y1150" s="360" t="s">
        <v>42</v>
      </c>
      <c r="Z1150" s="360">
        <v>1</v>
      </c>
      <c r="AA1150" s="360">
        <v>50</v>
      </c>
      <c r="AB1150" s="360">
        <v>2</v>
      </c>
    </row>
    <row r="1151" spans="10:28" x14ac:dyDescent="0.2">
      <c r="J1151" s="358" t="str">
        <f t="shared" si="80"/>
        <v>2003AllSexAllEth253</v>
      </c>
      <c r="K1151" s="359">
        <v>2003</v>
      </c>
      <c r="L1151" t="s">
        <v>17</v>
      </c>
      <c r="M1151" t="s">
        <v>27</v>
      </c>
      <c r="N1151">
        <v>25</v>
      </c>
      <c r="O1151">
        <v>3</v>
      </c>
      <c r="P1151">
        <v>19</v>
      </c>
      <c r="Q1151">
        <v>18.547885756350802</v>
      </c>
      <c r="R1151">
        <v>8.3000000000000007</v>
      </c>
      <c r="T1151" s="358" t="str">
        <f t="shared" si="81"/>
        <v>2001FemaleAllEth21Hanging, strangulation and suffocation</v>
      </c>
      <c r="U1151" s="360">
        <v>2001</v>
      </c>
      <c r="V1151" s="360" t="s">
        <v>8</v>
      </c>
      <c r="W1151" s="360" t="s">
        <v>27</v>
      </c>
      <c r="X1151" s="360">
        <v>21</v>
      </c>
      <c r="Y1151" s="360" t="s">
        <v>43</v>
      </c>
      <c r="Z1151" s="360">
        <v>1</v>
      </c>
      <c r="AA1151" s="360">
        <v>2</v>
      </c>
      <c r="AB1151" s="360">
        <v>50</v>
      </c>
    </row>
    <row r="1152" spans="10:28" x14ac:dyDescent="0.2">
      <c r="J1152" s="358" t="str">
        <f t="shared" si="80"/>
        <v>2003AllSexAllEth254</v>
      </c>
      <c r="K1152" s="359">
        <v>2003</v>
      </c>
      <c r="L1152" t="s">
        <v>17</v>
      </c>
      <c r="M1152" t="s">
        <v>27</v>
      </c>
      <c r="N1152">
        <v>25</v>
      </c>
      <c r="O1152">
        <v>4</v>
      </c>
      <c r="P1152">
        <v>15</v>
      </c>
      <c r="Q1152">
        <v>14.509078111963101</v>
      </c>
      <c r="R1152">
        <v>7.3</v>
      </c>
      <c r="T1152" s="358" t="str">
        <f t="shared" si="81"/>
        <v>2001FemaleAllEth22Hanging, strangulation and suffocation</v>
      </c>
      <c r="U1152" s="360">
        <v>2001</v>
      </c>
      <c r="V1152" s="360" t="s">
        <v>8</v>
      </c>
      <c r="W1152" s="360" t="s">
        <v>27</v>
      </c>
      <c r="X1152" s="360">
        <v>22</v>
      </c>
      <c r="Y1152" s="360" t="s">
        <v>43</v>
      </c>
      <c r="Z1152" s="360">
        <v>12</v>
      </c>
      <c r="AA1152" s="360">
        <v>23</v>
      </c>
      <c r="AB1152" s="360">
        <v>52.2</v>
      </c>
    </row>
    <row r="1153" spans="10:28" x14ac:dyDescent="0.2">
      <c r="J1153" s="358" t="str">
        <f t="shared" si="80"/>
        <v>2003AllSexAllEth255</v>
      </c>
      <c r="K1153" s="359">
        <v>2003</v>
      </c>
      <c r="L1153" t="s">
        <v>17</v>
      </c>
      <c r="M1153" t="s">
        <v>27</v>
      </c>
      <c r="N1153">
        <v>25</v>
      </c>
      <c r="O1153">
        <v>5</v>
      </c>
      <c r="P1153">
        <v>10</v>
      </c>
      <c r="Q1153">
        <v>12.406251108463399</v>
      </c>
      <c r="R1153">
        <v>7.7</v>
      </c>
      <c r="T1153" s="358" t="str">
        <f t="shared" si="81"/>
        <v>2001FemaleAllEth23Hanging, strangulation and suffocation</v>
      </c>
      <c r="U1153" s="360">
        <v>2001</v>
      </c>
      <c r="V1153" s="360" t="s">
        <v>8</v>
      </c>
      <c r="W1153" s="360" t="s">
        <v>27</v>
      </c>
      <c r="X1153" s="360">
        <v>23</v>
      </c>
      <c r="Y1153" s="360" t="s">
        <v>43</v>
      </c>
      <c r="Z1153" s="360">
        <v>20</v>
      </c>
      <c r="AA1153" s="360">
        <v>50</v>
      </c>
      <c r="AB1153" s="360">
        <v>40</v>
      </c>
    </row>
    <row r="1154" spans="10:28" x14ac:dyDescent="0.2">
      <c r="J1154" s="358" t="str">
        <f t="shared" si="80"/>
        <v>2003AllSexMaori211</v>
      </c>
      <c r="K1154" s="359">
        <v>2003</v>
      </c>
      <c r="L1154" t="s">
        <v>17</v>
      </c>
      <c r="M1154" t="s">
        <v>18</v>
      </c>
      <c r="N1154">
        <v>21</v>
      </c>
      <c r="O1154">
        <v>1</v>
      </c>
      <c r="P1154">
        <v>0</v>
      </c>
      <c r="T1154" s="358" t="str">
        <f t="shared" si="81"/>
        <v>2001FemaleAllEth24Hanging, strangulation and suffocation</v>
      </c>
      <c r="U1154" s="360">
        <v>2001</v>
      </c>
      <c r="V1154" s="360" t="s">
        <v>8</v>
      </c>
      <c r="W1154" s="360" t="s">
        <v>27</v>
      </c>
      <c r="X1154" s="360">
        <v>24</v>
      </c>
      <c r="Y1154" s="360" t="s">
        <v>43</v>
      </c>
      <c r="Z1154" s="360">
        <v>11</v>
      </c>
      <c r="AA1154" s="360">
        <v>27</v>
      </c>
      <c r="AB1154" s="360">
        <v>40.700000000000003</v>
      </c>
    </row>
    <row r="1155" spans="10:28" x14ac:dyDescent="0.2">
      <c r="J1155" s="358" t="str">
        <f t="shared" si="80"/>
        <v>2003AllSexMaori212</v>
      </c>
      <c r="K1155" s="359">
        <v>2003</v>
      </c>
      <c r="L1155" t="s">
        <v>17</v>
      </c>
      <c r="M1155" t="s">
        <v>18</v>
      </c>
      <c r="N1155">
        <v>21</v>
      </c>
      <c r="O1155">
        <v>2</v>
      </c>
      <c r="P1155">
        <v>0</v>
      </c>
      <c r="T1155" s="358" t="str">
        <f t="shared" si="81"/>
        <v>2001FemaleAllEth25Hanging, strangulation and suffocation</v>
      </c>
      <c r="U1155" s="360">
        <v>2001</v>
      </c>
      <c r="V1155" s="360" t="s">
        <v>8</v>
      </c>
      <c r="W1155" s="360" t="s">
        <v>27</v>
      </c>
      <c r="X1155" s="360">
        <v>25</v>
      </c>
      <c r="Y1155" s="360" t="s">
        <v>43</v>
      </c>
      <c r="Z1155" s="360">
        <v>7</v>
      </c>
      <c r="AA1155" s="360">
        <v>16</v>
      </c>
      <c r="AB1155" s="360">
        <v>43.8</v>
      </c>
    </row>
    <row r="1156" spans="10:28" x14ac:dyDescent="0.2">
      <c r="J1156" s="358" t="str">
        <f t="shared" ref="J1156:J1219" si="82">K1156&amp;L1156&amp;M1156&amp;N1156&amp;O1156</f>
        <v>2003AllSexMaori213</v>
      </c>
      <c r="K1156" s="359">
        <v>2003</v>
      </c>
      <c r="L1156" t="s">
        <v>17</v>
      </c>
      <c r="M1156" t="s">
        <v>18</v>
      </c>
      <c r="N1156">
        <v>21</v>
      </c>
      <c r="O1156">
        <v>3</v>
      </c>
      <c r="P1156">
        <v>0</v>
      </c>
      <c r="T1156" s="358" t="str">
        <f t="shared" si="81"/>
        <v>2001FemaleAllEth22Jumping from a high place</v>
      </c>
      <c r="U1156" s="360">
        <v>2001</v>
      </c>
      <c r="V1156" s="360" t="s">
        <v>8</v>
      </c>
      <c r="W1156" s="360" t="s">
        <v>27</v>
      </c>
      <c r="X1156" s="360">
        <v>22</v>
      </c>
      <c r="Y1156" s="360" t="s">
        <v>44</v>
      </c>
      <c r="Z1156" s="360">
        <v>2</v>
      </c>
      <c r="AA1156" s="360">
        <v>23</v>
      </c>
      <c r="AB1156" s="360">
        <v>8.6999999999999993</v>
      </c>
    </row>
    <row r="1157" spans="10:28" x14ac:dyDescent="0.2">
      <c r="J1157" s="358" t="str">
        <f t="shared" si="82"/>
        <v>2003AllSexMaori214</v>
      </c>
      <c r="K1157" s="359">
        <v>2003</v>
      </c>
      <c r="L1157" t="s">
        <v>17</v>
      </c>
      <c r="M1157" t="s">
        <v>18</v>
      </c>
      <c r="N1157">
        <v>21</v>
      </c>
      <c r="O1157">
        <v>4</v>
      </c>
      <c r="P1157">
        <v>1</v>
      </c>
      <c r="T1157" s="358" t="str">
        <f t="shared" ref="T1157:T1220" si="83">U1157&amp;V1157&amp;W1157&amp;X1157&amp;Y1157</f>
        <v>2001FemaleAllEth23Jumping from a high place</v>
      </c>
      <c r="U1157" s="360">
        <v>2001</v>
      </c>
      <c r="V1157" s="360" t="s">
        <v>8</v>
      </c>
      <c r="W1157" s="360" t="s">
        <v>27</v>
      </c>
      <c r="X1157" s="360">
        <v>23</v>
      </c>
      <c r="Y1157" s="360" t="s">
        <v>44</v>
      </c>
      <c r="Z1157" s="360">
        <v>4</v>
      </c>
      <c r="AA1157" s="360">
        <v>50</v>
      </c>
      <c r="AB1157" s="360">
        <v>8</v>
      </c>
    </row>
    <row r="1158" spans="10:28" x14ac:dyDescent="0.2">
      <c r="J1158" s="358" t="str">
        <f t="shared" si="82"/>
        <v>2003AllSexMaori215</v>
      </c>
      <c r="K1158" s="359">
        <v>2003</v>
      </c>
      <c r="L1158" t="s">
        <v>17</v>
      </c>
      <c r="M1158" t="s">
        <v>18</v>
      </c>
      <c r="N1158">
        <v>21</v>
      </c>
      <c r="O1158">
        <v>5</v>
      </c>
      <c r="P1158">
        <v>4</v>
      </c>
      <c r="T1158" s="358" t="str">
        <f t="shared" si="83"/>
        <v>2001FemaleAllEth24Jumping from a high place</v>
      </c>
      <c r="U1158" s="360">
        <v>2001</v>
      </c>
      <c r="V1158" s="360" t="s">
        <v>8</v>
      </c>
      <c r="W1158" s="360" t="s">
        <v>27</v>
      </c>
      <c r="X1158" s="360">
        <v>24</v>
      </c>
      <c r="Y1158" s="360" t="s">
        <v>44</v>
      </c>
      <c r="Z1158" s="360">
        <v>1</v>
      </c>
      <c r="AA1158" s="360">
        <v>27</v>
      </c>
      <c r="AB1158" s="360">
        <v>3.7</v>
      </c>
    </row>
    <row r="1159" spans="10:28" x14ac:dyDescent="0.2">
      <c r="J1159" s="358" t="str">
        <f t="shared" si="82"/>
        <v>2003AllSexMaori221</v>
      </c>
      <c r="K1159" s="359">
        <v>2003</v>
      </c>
      <c r="L1159" t="s">
        <v>17</v>
      </c>
      <c r="M1159" t="s">
        <v>18</v>
      </c>
      <c r="N1159">
        <v>22</v>
      </c>
      <c r="O1159">
        <v>1</v>
      </c>
      <c r="P1159">
        <v>1</v>
      </c>
      <c r="Q1159">
        <v>12.884348324569</v>
      </c>
      <c r="R1159">
        <v>25.3</v>
      </c>
      <c r="T1159" s="358" t="str">
        <f t="shared" si="83"/>
        <v>2001FemaleAllEth25Jumping from a high place</v>
      </c>
      <c r="U1159" s="360">
        <v>2001</v>
      </c>
      <c r="V1159" s="360" t="s">
        <v>8</v>
      </c>
      <c r="W1159" s="360" t="s">
        <v>27</v>
      </c>
      <c r="X1159" s="360">
        <v>25</v>
      </c>
      <c r="Y1159" s="360" t="s">
        <v>44</v>
      </c>
      <c r="Z1159" s="360">
        <v>2</v>
      </c>
      <c r="AA1159" s="360">
        <v>16</v>
      </c>
      <c r="AB1159" s="360">
        <v>12.5</v>
      </c>
    </row>
    <row r="1160" spans="10:28" x14ac:dyDescent="0.2">
      <c r="J1160" s="358" t="str">
        <f t="shared" si="82"/>
        <v>2003AllSexMaori222</v>
      </c>
      <c r="K1160" s="359">
        <v>2003</v>
      </c>
      <c r="L1160" t="s">
        <v>17</v>
      </c>
      <c r="M1160" t="s">
        <v>18</v>
      </c>
      <c r="N1160">
        <v>22</v>
      </c>
      <c r="O1160">
        <v>2</v>
      </c>
      <c r="P1160">
        <v>2</v>
      </c>
      <c r="Q1160">
        <v>17.361572427494998</v>
      </c>
      <c r="R1160">
        <v>24.1</v>
      </c>
      <c r="T1160" s="358" t="str">
        <f t="shared" si="83"/>
        <v>2001FemaleAllEth22Other</v>
      </c>
      <c r="U1160" s="360">
        <v>2001</v>
      </c>
      <c r="V1160" s="360" t="s">
        <v>8</v>
      </c>
      <c r="W1160" s="360" t="s">
        <v>27</v>
      </c>
      <c r="X1160" s="360">
        <v>22</v>
      </c>
      <c r="Y1160" s="360" t="s">
        <v>45</v>
      </c>
      <c r="Z1160" s="360">
        <v>1</v>
      </c>
      <c r="AA1160" s="360">
        <v>23</v>
      </c>
      <c r="AB1160" s="360">
        <v>4.3</v>
      </c>
    </row>
    <row r="1161" spans="10:28" x14ac:dyDescent="0.2">
      <c r="J1161" s="358" t="str">
        <f t="shared" si="82"/>
        <v>2003AllSexMaori223</v>
      </c>
      <c r="K1161" s="359">
        <v>2003</v>
      </c>
      <c r="L1161" t="s">
        <v>17</v>
      </c>
      <c r="M1161" t="s">
        <v>18</v>
      </c>
      <c r="N1161">
        <v>22</v>
      </c>
      <c r="O1161">
        <v>3</v>
      </c>
      <c r="P1161">
        <v>4</v>
      </c>
      <c r="Q1161">
        <v>22.900103397077402</v>
      </c>
      <c r="R1161">
        <v>22.4</v>
      </c>
      <c r="T1161" s="358" t="str">
        <f t="shared" si="83"/>
        <v>2001FemaleAllEth23Other</v>
      </c>
      <c r="U1161" s="360">
        <v>2001</v>
      </c>
      <c r="V1161" s="360" t="s">
        <v>8</v>
      </c>
      <c r="W1161" s="360" t="s">
        <v>27</v>
      </c>
      <c r="X1161" s="360">
        <v>23</v>
      </c>
      <c r="Y1161" s="360" t="s">
        <v>45</v>
      </c>
      <c r="Z1161" s="360">
        <v>3</v>
      </c>
      <c r="AA1161" s="360">
        <v>50</v>
      </c>
      <c r="AB1161" s="360">
        <v>6</v>
      </c>
    </row>
    <row r="1162" spans="10:28" x14ac:dyDescent="0.2">
      <c r="J1162" s="358" t="str">
        <f t="shared" si="82"/>
        <v>2003AllSexMaori224</v>
      </c>
      <c r="K1162" s="359">
        <v>2003</v>
      </c>
      <c r="L1162" t="s">
        <v>17</v>
      </c>
      <c r="M1162" t="s">
        <v>18</v>
      </c>
      <c r="N1162">
        <v>22</v>
      </c>
      <c r="O1162">
        <v>4</v>
      </c>
      <c r="P1162">
        <v>7</v>
      </c>
      <c r="Q1162">
        <v>27.017953573362298</v>
      </c>
      <c r="R1162">
        <v>20</v>
      </c>
      <c r="T1162" s="358" t="str">
        <f t="shared" si="83"/>
        <v>2001FemaleAllEth24Other</v>
      </c>
      <c r="U1162" s="360">
        <v>2001</v>
      </c>
      <c r="V1162" s="360" t="s">
        <v>8</v>
      </c>
      <c r="W1162" s="360" t="s">
        <v>27</v>
      </c>
      <c r="X1162" s="360">
        <v>24</v>
      </c>
      <c r="Y1162" s="360" t="s">
        <v>45</v>
      </c>
      <c r="Z1162" s="360">
        <v>1</v>
      </c>
      <c r="AA1162" s="360">
        <v>27</v>
      </c>
      <c r="AB1162" s="360">
        <v>3.7</v>
      </c>
    </row>
    <row r="1163" spans="10:28" x14ac:dyDescent="0.2">
      <c r="J1163" s="358" t="str">
        <f t="shared" si="82"/>
        <v>2003AllSexMaori225</v>
      </c>
      <c r="K1163" s="359">
        <v>2003</v>
      </c>
      <c r="L1163" t="s">
        <v>17</v>
      </c>
      <c r="M1163" t="s">
        <v>18</v>
      </c>
      <c r="N1163">
        <v>22</v>
      </c>
      <c r="O1163">
        <v>5</v>
      </c>
      <c r="P1163">
        <v>16</v>
      </c>
      <c r="Q1163">
        <v>35.039245922888497</v>
      </c>
      <c r="R1163">
        <v>17.2</v>
      </c>
      <c r="T1163" s="358" t="str">
        <f t="shared" si="83"/>
        <v>2001FemaleAllEth21Poisoning by gases and vapours</v>
      </c>
      <c r="U1163" s="360">
        <v>2001</v>
      </c>
      <c r="V1163" s="360" t="s">
        <v>8</v>
      </c>
      <c r="W1163" s="360" t="s">
        <v>27</v>
      </c>
      <c r="X1163" s="360">
        <v>21</v>
      </c>
      <c r="Y1163" s="360" t="s">
        <v>46</v>
      </c>
      <c r="Z1163" s="360">
        <v>1</v>
      </c>
      <c r="AA1163" s="360">
        <v>2</v>
      </c>
      <c r="AB1163" s="360">
        <v>50</v>
      </c>
    </row>
    <row r="1164" spans="10:28" x14ac:dyDescent="0.2">
      <c r="J1164" s="358" t="str">
        <f t="shared" si="82"/>
        <v>2003AllSexMaori231</v>
      </c>
      <c r="K1164" s="359">
        <v>2003</v>
      </c>
      <c r="L1164" t="s">
        <v>17</v>
      </c>
      <c r="M1164" t="s">
        <v>18</v>
      </c>
      <c r="N1164">
        <v>23</v>
      </c>
      <c r="O1164">
        <v>1</v>
      </c>
      <c r="P1164">
        <v>1</v>
      </c>
      <c r="Q1164">
        <v>7.15937107522792</v>
      </c>
      <c r="R1164">
        <v>14</v>
      </c>
      <c r="T1164" s="358" t="str">
        <f t="shared" si="83"/>
        <v>2001FemaleAllEth22Poisoning by gases and vapours</v>
      </c>
      <c r="U1164" s="360">
        <v>2001</v>
      </c>
      <c r="V1164" s="360" t="s">
        <v>8</v>
      </c>
      <c r="W1164" s="360" t="s">
        <v>27</v>
      </c>
      <c r="X1164" s="360">
        <v>22</v>
      </c>
      <c r="Y1164" s="360" t="s">
        <v>46</v>
      </c>
      <c r="Z1164" s="360">
        <v>2</v>
      </c>
      <c r="AA1164" s="360">
        <v>23</v>
      </c>
      <c r="AB1164" s="360">
        <v>8.6999999999999993</v>
      </c>
    </row>
    <row r="1165" spans="10:28" x14ac:dyDescent="0.2">
      <c r="J1165" s="358" t="str">
        <f t="shared" si="82"/>
        <v>2003AllSexMaori232</v>
      </c>
      <c r="K1165" s="359">
        <v>2003</v>
      </c>
      <c r="L1165" t="s">
        <v>17</v>
      </c>
      <c r="M1165" t="s">
        <v>18</v>
      </c>
      <c r="N1165">
        <v>23</v>
      </c>
      <c r="O1165">
        <v>2</v>
      </c>
      <c r="P1165">
        <v>3</v>
      </c>
      <c r="Q1165">
        <v>14.789565175356801</v>
      </c>
      <c r="R1165">
        <v>16.7</v>
      </c>
      <c r="T1165" s="358" t="str">
        <f t="shared" si="83"/>
        <v>2001FemaleAllEth23Poisoning by gases and vapours</v>
      </c>
      <c r="U1165" s="360">
        <v>2001</v>
      </c>
      <c r="V1165" s="360" t="s">
        <v>8</v>
      </c>
      <c r="W1165" s="360" t="s">
        <v>27</v>
      </c>
      <c r="X1165" s="360">
        <v>23</v>
      </c>
      <c r="Y1165" s="360" t="s">
        <v>46</v>
      </c>
      <c r="Z1165" s="360">
        <v>12</v>
      </c>
      <c r="AA1165" s="360">
        <v>50</v>
      </c>
      <c r="AB1165" s="360">
        <v>24</v>
      </c>
    </row>
    <row r="1166" spans="10:28" x14ac:dyDescent="0.2">
      <c r="J1166" s="358" t="str">
        <f t="shared" si="82"/>
        <v>2003AllSexMaori233</v>
      </c>
      <c r="K1166" s="359">
        <v>2003</v>
      </c>
      <c r="L1166" t="s">
        <v>17</v>
      </c>
      <c r="M1166" t="s">
        <v>18</v>
      </c>
      <c r="N1166">
        <v>23</v>
      </c>
      <c r="O1166">
        <v>3</v>
      </c>
      <c r="P1166">
        <v>10</v>
      </c>
      <c r="Q1166">
        <v>35.278889891998297</v>
      </c>
      <c r="R1166">
        <v>21.9</v>
      </c>
      <c r="T1166" s="358" t="str">
        <f t="shared" si="83"/>
        <v>2001FemaleAllEth24Poisoning by gases and vapours</v>
      </c>
      <c r="U1166" s="360">
        <v>2001</v>
      </c>
      <c r="V1166" s="360" t="s">
        <v>8</v>
      </c>
      <c r="W1166" s="360" t="s">
        <v>27</v>
      </c>
      <c r="X1166" s="360">
        <v>24</v>
      </c>
      <c r="Y1166" s="360" t="s">
        <v>46</v>
      </c>
      <c r="Z1166" s="360">
        <v>6</v>
      </c>
      <c r="AA1166" s="360">
        <v>27</v>
      </c>
      <c r="AB1166" s="360">
        <v>22.2</v>
      </c>
    </row>
    <row r="1167" spans="10:28" x14ac:dyDescent="0.2">
      <c r="J1167" s="358" t="str">
        <f t="shared" si="82"/>
        <v>2003AllSexMaori234</v>
      </c>
      <c r="K1167" s="359">
        <v>2003</v>
      </c>
      <c r="L1167" t="s">
        <v>17</v>
      </c>
      <c r="M1167" t="s">
        <v>18</v>
      </c>
      <c r="N1167">
        <v>23</v>
      </c>
      <c r="O1167">
        <v>4</v>
      </c>
      <c r="P1167">
        <v>10</v>
      </c>
      <c r="Q1167">
        <v>24.668511041854199</v>
      </c>
      <c r="R1167">
        <v>15.3</v>
      </c>
      <c r="T1167" s="358" t="str">
        <f t="shared" si="83"/>
        <v>2001FemaleAllEth22Poisoning by solids and liquids</v>
      </c>
      <c r="U1167" s="360">
        <v>2001</v>
      </c>
      <c r="V1167" s="360" t="s">
        <v>8</v>
      </c>
      <c r="W1167" s="360" t="s">
        <v>27</v>
      </c>
      <c r="X1167" s="360">
        <v>22</v>
      </c>
      <c r="Y1167" s="360" t="s">
        <v>47</v>
      </c>
      <c r="Z1167" s="360">
        <v>5</v>
      </c>
      <c r="AA1167" s="360">
        <v>23</v>
      </c>
      <c r="AB1167" s="360">
        <v>21.7</v>
      </c>
    </row>
    <row r="1168" spans="10:28" x14ac:dyDescent="0.2">
      <c r="J1168" s="358" t="str">
        <f t="shared" si="82"/>
        <v>2003AllSexMaori235</v>
      </c>
      <c r="K1168" s="359">
        <v>2003</v>
      </c>
      <c r="L1168" t="s">
        <v>17</v>
      </c>
      <c r="M1168" t="s">
        <v>18</v>
      </c>
      <c r="N1168">
        <v>23</v>
      </c>
      <c r="O1168">
        <v>5</v>
      </c>
      <c r="P1168">
        <v>20</v>
      </c>
      <c r="Q1168">
        <v>29.969439545053401</v>
      </c>
      <c r="R1168">
        <v>13.1</v>
      </c>
      <c r="T1168" s="358" t="str">
        <f t="shared" si="83"/>
        <v>2001FemaleAllEth23Poisoning by solids and liquids</v>
      </c>
      <c r="U1168" s="360">
        <v>2001</v>
      </c>
      <c r="V1168" s="360" t="s">
        <v>8</v>
      </c>
      <c r="W1168" s="360" t="s">
        <v>27</v>
      </c>
      <c r="X1168" s="360">
        <v>23</v>
      </c>
      <c r="Y1168" s="360" t="s">
        <v>47</v>
      </c>
      <c r="Z1168" s="360">
        <v>9</v>
      </c>
      <c r="AA1168" s="360">
        <v>50</v>
      </c>
      <c r="AB1168" s="360">
        <v>18</v>
      </c>
    </row>
    <row r="1169" spans="10:28" x14ac:dyDescent="0.2">
      <c r="J1169" s="358" t="str">
        <f t="shared" si="82"/>
        <v>2003AllSexMaori241</v>
      </c>
      <c r="K1169" s="359">
        <v>2003</v>
      </c>
      <c r="L1169" t="s">
        <v>17</v>
      </c>
      <c r="M1169" t="s">
        <v>18</v>
      </c>
      <c r="N1169">
        <v>24</v>
      </c>
      <c r="O1169">
        <v>1</v>
      </c>
      <c r="P1169">
        <v>2</v>
      </c>
      <c r="Q1169">
        <v>27.568723552744299</v>
      </c>
      <c r="R1169">
        <v>38.200000000000003</v>
      </c>
      <c r="T1169" s="358" t="str">
        <f t="shared" si="83"/>
        <v>2001FemaleAllEth24Poisoning by solids and liquids</v>
      </c>
      <c r="U1169" s="360">
        <v>2001</v>
      </c>
      <c r="V1169" s="360" t="s">
        <v>8</v>
      </c>
      <c r="W1169" s="360" t="s">
        <v>27</v>
      </c>
      <c r="X1169" s="360">
        <v>24</v>
      </c>
      <c r="Y1169" s="360" t="s">
        <v>47</v>
      </c>
      <c r="Z1169" s="360">
        <v>5</v>
      </c>
      <c r="AA1169" s="360">
        <v>27</v>
      </c>
      <c r="AB1169" s="360">
        <v>18.5</v>
      </c>
    </row>
    <row r="1170" spans="10:28" x14ac:dyDescent="0.2">
      <c r="J1170" s="358" t="str">
        <f t="shared" si="82"/>
        <v>2003AllSexMaori242</v>
      </c>
      <c r="K1170" s="359">
        <v>2003</v>
      </c>
      <c r="L1170" t="s">
        <v>17</v>
      </c>
      <c r="M1170" t="s">
        <v>18</v>
      </c>
      <c r="N1170">
        <v>24</v>
      </c>
      <c r="O1170">
        <v>2</v>
      </c>
      <c r="P1170">
        <v>0</v>
      </c>
      <c r="Q1170">
        <v>0</v>
      </c>
      <c r="T1170" s="358" t="str">
        <f t="shared" si="83"/>
        <v>2001FemaleAllEth25Poisoning by solids and liquids</v>
      </c>
      <c r="U1170" s="360">
        <v>2001</v>
      </c>
      <c r="V1170" s="360" t="s">
        <v>8</v>
      </c>
      <c r="W1170" s="360" t="s">
        <v>27</v>
      </c>
      <c r="X1170" s="360">
        <v>25</v>
      </c>
      <c r="Y1170" s="360" t="s">
        <v>47</v>
      </c>
      <c r="Z1170" s="360">
        <v>6</v>
      </c>
      <c r="AA1170" s="360">
        <v>16</v>
      </c>
      <c r="AB1170" s="360">
        <v>37.5</v>
      </c>
    </row>
    <row r="1171" spans="10:28" x14ac:dyDescent="0.2">
      <c r="J1171" s="358" t="str">
        <f t="shared" si="82"/>
        <v>2003AllSexMaori243</v>
      </c>
      <c r="K1171" s="359">
        <v>2003</v>
      </c>
      <c r="L1171" t="s">
        <v>17</v>
      </c>
      <c r="M1171" t="s">
        <v>18</v>
      </c>
      <c r="N1171">
        <v>24</v>
      </c>
      <c r="O1171">
        <v>3</v>
      </c>
      <c r="P1171">
        <v>1</v>
      </c>
      <c r="Q1171">
        <v>7.35781917480492</v>
      </c>
      <c r="R1171">
        <v>14.4</v>
      </c>
      <c r="T1171" s="358" t="str">
        <f t="shared" si="83"/>
        <v>2001FemaleAllEth23Sharp object</v>
      </c>
      <c r="U1171" s="360">
        <v>2001</v>
      </c>
      <c r="V1171" s="360" t="s">
        <v>8</v>
      </c>
      <c r="W1171" s="360" t="s">
        <v>27</v>
      </c>
      <c r="X1171" s="360">
        <v>23</v>
      </c>
      <c r="Y1171" s="360" t="s">
        <v>48</v>
      </c>
      <c r="Z1171" s="360">
        <v>1</v>
      </c>
      <c r="AA1171" s="360">
        <v>50</v>
      </c>
      <c r="AB1171" s="360">
        <v>2</v>
      </c>
    </row>
    <row r="1172" spans="10:28" x14ac:dyDescent="0.2">
      <c r="J1172" s="358" t="str">
        <f t="shared" si="82"/>
        <v>2003AllSexMaori244</v>
      </c>
      <c r="K1172" s="359">
        <v>2003</v>
      </c>
      <c r="L1172" t="s">
        <v>17</v>
      </c>
      <c r="M1172" t="s">
        <v>18</v>
      </c>
      <c r="N1172">
        <v>24</v>
      </c>
      <c r="O1172">
        <v>4</v>
      </c>
      <c r="P1172">
        <v>1</v>
      </c>
      <c r="Q1172">
        <v>5.0693683596903298</v>
      </c>
      <c r="R1172">
        <v>9.9</v>
      </c>
      <c r="T1172" s="358" t="str">
        <f t="shared" si="83"/>
        <v>2001FemaleAllEth22Submersion (drowning)</v>
      </c>
      <c r="U1172" s="360">
        <v>2001</v>
      </c>
      <c r="V1172" s="360" t="s">
        <v>8</v>
      </c>
      <c r="W1172" s="360" t="s">
        <v>27</v>
      </c>
      <c r="X1172" s="360">
        <v>22</v>
      </c>
      <c r="Y1172" s="360" t="s">
        <v>49</v>
      </c>
      <c r="Z1172" s="360">
        <v>1</v>
      </c>
      <c r="AA1172" s="360">
        <v>23</v>
      </c>
      <c r="AB1172" s="360">
        <v>4.3</v>
      </c>
    </row>
    <row r="1173" spans="10:28" x14ac:dyDescent="0.2">
      <c r="J1173" s="358" t="str">
        <f t="shared" si="82"/>
        <v>2003AllSexMaori245</v>
      </c>
      <c r="K1173" s="359">
        <v>2003</v>
      </c>
      <c r="L1173" t="s">
        <v>17</v>
      </c>
      <c r="M1173" t="s">
        <v>18</v>
      </c>
      <c r="N1173">
        <v>24</v>
      </c>
      <c r="O1173">
        <v>5</v>
      </c>
      <c r="P1173">
        <v>1</v>
      </c>
      <c r="Q1173">
        <v>2.8594886590033899</v>
      </c>
      <c r="R1173">
        <v>5.6</v>
      </c>
      <c r="T1173" s="358" t="str">
        <f t="shared" si="83"/>
        <v>2001FemaleAllEth24Submersion (drowning)</v>
      </c>
      <c r="U1173" s="360">
        <v>2001</v>
      </c>
      <c r="V1173" s="360" t="s">
        <v>8</v>
      </c>
      <c r="W1173" s="360" t="s">
        <v>27</v>
      </c>
      <c r="X1173" s="360">
        <v>24</v>
      </c>
      <c r="Y1173" s="360" t="s">
        <v>49</v>
      </c>
      <c r="Z1173" s="360">
        <v>3</v>
      </c>
      <c r="AA1173" s="360">
        <v>27</v>
      </c>
      <c r="AB1173" s="360">
        <v>11.1</v>
      </c>
    </row>
    <row r="1174" spans="10:28" x14ac:dyDescent="0.2">
      <c r="J1174" s="358" t="str">
        <f t="shared" si="82"/>
        <v>2003AllSexMaori251</v>
      </c>
      <c r="K1174" s="359">
        <v>2003</v>
      </c>
      <c r="L1174" t="s">
        <v>17</v>
      </c>
      <c r="M1174" t="s">
        <v>18</v>
      </c>
      <c r="N1174">
        <v>25</v>
      </c>
      <c r="O1174">
        <v>1</v>
      </c>
      <c r="P1174">
        <v>0</v>
      </c>
      <c r="Q1174">
        <v>0</v>
      </c>
      <c r="T1174" s="358" t="str">
        <f t="shared" si="83"/>
        <v>2001FemaleAllEth25Submersion (drowning)</v>
      </c>
      <c r="U1174" s="360">
        <v>2001</v>
      </c>
      <c r="V1174" s="360" t="s">
        <v>8</v>
      </c>
      <c r="W1174" s="360" t="s">
        <v>27</v>
      </c>
      <c r="X1174" s="360">
        <v>25</v>
      </c>
      <c r="Y1174" s="360" t="s">
        <v>49</v>
      </c>
      <c r="Z1174" s="360">
        <v>1</v>
      </c>
      <c r="AA1174" s="360">
        <v>16</v>
      </c>
      <c r="AB1174" s="360">
        <v>6.2</v>
      </c>
    </row>
    <row r="1175" spans="10:28" x14ac:dyDescent="0.2">
      <c r="J1175" s="358" t="str">
        <f t="shared" si="82"/>
        <v>2003AllSexMaori252</v>
      </c>
      <c r="K1175" s="359">
        <v>2003</v>
      </c>
      <c r="L1175" t="s">
        <v>17</v>
      </c>
      <c r="M1175" t="s">
        <v>18</v>
      </c>
      <c r="N1175">
        <v>25</v>
      </c>
      <c r="O1175">
        <v>2</v>
      </c>
      <c r="P1175">
        <v>0</v>
      </c>
      <c r="Q1175">
        <v>0</v>
      </c>
      <c r="T1175" s="358" t="str">
        <f t="shared" si="83"/>
        <v>2001FemaleMaori21Hanging, strangulation and suffocation</v>
      </c>
      <c r="U1175" s="360">
        <v>2001</v>
      </c>
      <c r="V1175" s="360" t="s">
        <v>8</v>
      </c>
      <c r="W1175" s="360" t="s">
        <v>18</v>
      </c>
      <c r="X1175" s="360">
        <v>21</v>
      </c>
      <c r="Y1175" s="360" t="s">
        <v>43</v>
      </c>
      <c r="Z1175" s="360">
        <v>1</v>
      </c>
      <c r="AA1175" s="360">
        <v>1</v>
      </c>
      <c r="AB1175" s="360">
        <v>100</v>
      </c>
    </row>
    <row r="1176" spans="10:28" x14ac:dyDescent="0.2">
      <c r="J1176" s="358" t="str">
        <f t="shared" si="82"/>
        <v>2003AllSexMaori253</v>
      </c>
      <c r="K1176" s="359">
        <v>2003</v>
      </c>
      <c r="L1176" t="s">
        <v>17</v>
      </c>
      <c r="M1176" t="s">
        <v>18</v>
      </c>
      <c r="N1176">
        <v>25</v>
      </c>
      <c r="O1176">
        <v>3</v>
      </c>
      <c r="P1176">
        <v>0</v>
      </c>
      <c r="Q1176">
        <v>0</v>
      </c>
      <c r="T1176" s="358" t="str">
        <f t="shared" si="83"/>
        <v>2001FemaleMaori22Hanging, strangulation and suffocation</v>
      </c>
      <c r="U1176" s="360">
        <v>2001</v>
      </c>
      <c r="V1176" s="360" t="s">
        <v>8</v>
      </c>
      <c r="W1176" s="360" t="s">
        <v>18</v>
      </c>
      <c r="X1176" s="360">
        <v>22</v>
      </c>
      <c r="Y1176" s="360" t="s">
        <v>43</v>
      </c>
      <c r="Z1176" s="360">
        <v>8</v>
      </c>
      <c r="AA1176" s="360">
        <v>9</v>
      </c>
      <c r="AB1176" s="360">
        <v>88.9</v>
      </c>
    </row>
    <row r="1177" spans="10:28" x14ac:dyDescent="0.2">
      <c r="J1177" s="358" t="str">
        <f t="shared" si="82"/>
        <v>2003AllSexMaori254</v>
      </c>
      <c r="K1177" s="359">
        <v>2003</v>
      </c>
      <c r="L1177" t="s">
        <v>17</v>
      </c>
      <c r="M1177" t="s">
        <v>18</v>
      </c>
      <c r="N1177">
        <v>25</v>
      </c>
      <c r="O1177">
        <v>4</v>
      </c>
      <c r="P1177">
        <v>0</v>
      </c>
      <c r="Q1177">
        <v>0</v>
      </c>
      <c r="T1177" s="358" t="str">
        <f t="shared" si="83"/>
        <v>2001FemaleMaori23Hanging, strangulation and suffocation</v>
      </c>
      <c r="U1177" s="360">
        <v>2001</v>
      </c>
      <c r="V1177" s="360" t="s">
        <v>8</v>
      </c>
      <c r="W1177" s="360" t="s">
        <v>18</v>
      </c>
      <c r="X1177" s="360">
        <v>23</v>
      </c>
      <c r="Y1177" s="360" t="s">
        <v>43</v>
      </c>
      <c r="Z1177" s="360">
        <v>6</v>
      </c>
      <c r="AA1177" s="360">
        <v>11</v>
      </c>
      <c r="AB1177" s="360">
        <v>54.5</v>
      </c>
    </row>
    <row r="1178" spans="10:28" x14ac:dyDescent="0.2">
      <c r="J1178" s="358" t="str">
        <f t="shared" si="82"/>
        <v>2003AllSexMaori255</v>
      </c>
      <c r="K1178" s="359">
        <v>2003</v>
      </c>
      <c r="L1178" t="s">
        <v>17</v>
      </c>
      <c r="M1178" t="s">
        <v>18</v>
      </c>
      <c r="N1178">
        <v>25</v>
      </c>
      <c r="O1178">
        <v>5</v>
      </c>
      <c r="P1178">
        <v>0</v>
      </c>
      <c r="Q1178">
        <v>0</v>
      </c>
      <c r="T1178" s="358" t="str">
        <f t="shared" si="83"/>
        <v>2001FemaleMaori23Jumping from a high place</v>
      </c>
      <c r="U1178" s="360">
        <v>2001</v>
      </c>
      <c r="V1178" s="360" t="s">
        <v>8</v>
      </c>
      <c r="W1178" s="360" t="s">
        <v>18</v>
      </c>
      <c r="X1178" s="360">
        <v>23</v>
      </c>
      <c r="Y1178" s="360" t="s">
        <v>44</v>
      </c>
      <c r="Z1178" s="360">
        <v>1</v>
      </c>
      <c r="AA1178" s="360">
        <v>11</v>
      </c>
      <c r="AB1178" s="360">
        <v>9.1</v>
      </c>
    </row>
    <row r="1179" spans="10:28" x14ac:dyDescent="0.2">
      <c r="J1179" s="358" t="str">
        <f t="shared" si="82"/>
        <v>2003AllSexNon-Maori211</v>
      </c>
      <c r="K1179" s="359">
        <v>2003</v>
      </c>
      <c r="L1179" t="s">
        <v>17</v>
      </c>
      <c r="M1179" t="s">
        <v>19</v>
      </c>
      <c r="N1179">
        <v>21</v>
      </c>
      <c r="O1179">
        <v>1</v>
      </c>
      <c r="P1179">
        <v>0</v>
      </c>
      <c r="T1179" s="358" t="str">
        <f t="shared" si="83"/>
        <v>2001FemaleMaori23Other</v>
      </c>
      <c r="U1179" s="360">
        <v>2001</v>
      </c>
      <c r="V1179" s="360" t="s">
        <v>8</v>
      </c>
      <c r="W1179" s="360" t="s">
        <v>18</v>
      </c>
      <c r="X1179" s="360">
        <v>23</v>
      </c>
      <c r="Y1179" s="360" t="s">
        <v>45</v>
      </c>
      <c r="Z1179" s="360">
        <v>1</v>
      </c>
      <c r="AA1179" s="360">
        <v>11</v>
      </c>
      <c r="AB1179" s="360">
        <v>9.1</v>
      </c>
    </row>
    <row r="1180" spans="10:28" x14ac:dyDescent="0.2">
      <c r="J1180" s="358" t="str">
        <f t="shared" si="82"/>
        <v>2003AllSexNon-Maori212</v>
      </c>
      <c r="K1180" s="359">
        <v>2003</v>
      </c>
      <c r="L1180" t="s">
        <v>17</v>
      </c>
      <c r="M1180" t="s">
        <v>19</v>
      </c>
      <c r="N1180">
        <v>21</v>
      </c>
      <c r="O1180">
        <v>2</v>
      </c>
      <c r="P1180">
        <v>0</v>
      </c>
      <c r="T1180" s="358" t="str">
        <f t="shared" si="83"/>
        <v>2001FemaleMaori23Poisoning by gases and vapours</v>
      </c>
      <c r="U1180" s="360">
        <v>2001</v>
      </c>
      <c r="V1180" s="360" t="s">
        <v>8</v>
      </c>
      <c r="W1180" s="360" t="s">
        <v>18</v>
      </c>
      <c r="X1180" s="360">
        <v>23</v>
      </c>
      <c r="Y1180" s="360" t="s">
        <v>46</v>
      </c>
      <c r="Z1180" s="360">
        <v>3</v>
      </c>
      <c r="AA1180" s="360">
        <v>11</v>
      </c>
      <c r="AB1180" s="360">
        <v>27.3</v>
      </c>
    </row>
    <row r="1181" spans="10:28" x14ac:dyDescent="0.2">
      <c r="J1181" s="358" t="str">
        <f t="shared" si="82"/>
        <v>2003AllSexNon-Maori213</v>
      </c>
      <c r="K1181" s="359">
        <v>2003</v>
      </c>
      <c r="L1181" t="s">
        <v>17</v>
      </c>
      <c r="M1181" t="s">
        <v>19</v>
      </c>
      <c r="N1181">
        <v>21</v>
      </c>
      <c r="O1181">
        <v>3</v>
      </c>
      <c r="P1181">
        <v>0</v>
      </c>
      <c r="T1181" s="358" t="str">
        <f t="shared" si="83"/>
        <v>2001FemaleMaori22Poisoning by solids and liquids</v>
      </c>
      <c r="U1181" s="360">
        <v>2001</v>
      </c>
      <c r="V1181" s="360" t="s">
        <v>8</v>
      </c>
      <c r="W1181" s="360" t="s">
        <v>18</v>
      </c>
      <c r="X1181" s="360">
        <v>22</v>
      </c>
      <c r="Y1181" s="360" t="s">
        <v>47</v>
      </c>
      <c r="Z1181" s="360">
        <v>1</v>
      </c>
      <c r="AA1181" s="360">
        <v>9</v>
      </c>
      <c r="AB1181" s="360">
        <v>11.1</v>
      </c>
    </row>
    <row r="1182" spans="10:28" x14ac:dyDescent="0.2">
      <c r="J1182" s="358" t="str">
        <f t="shared" si="82"/>
        <v>2003AllSexNon-Maori214</v>
      </c>
      <c r="K1182" s="359">
        <v>2003</v>
      </c>
      <c r="L1182" t="s">
        <v>17</v>
      </c>
      <c r="M1182" t="s">
        <v>19</v>
      </c>
      <c r="N1182">
        <v>21</v>
      </c>
      <c r="O1182">
        <v>4</v>
      </c>
      <c r="P1182">
        <v>0</v>
      </c>
      <c r="T1182" s="358" t="str">
        <f t="shared" si="83"/>
        <v>2001FemaleNon-Maori23Firearms and explosives</v>
      </c>
      <c r="U1182" s="360">
        <v>2001</v>
      </c>
      <c r="V1182" s="360" t="s">
        <v>8</v>
      </c>
      <c r="W1182" s="360" t="s">
        <v>19</v>
      </c>
      <c r="X1182" s="360">
        <v>23</v>
      </c>
      <c r="Y1182" s="360" t="s">
        <v>42</v>
      </c>
      <c r="Z1182" s="360">
        <v>1</v>
      </c>
      <c r="AA1182" s="360">
        <v>39</v>
      </c>
      <c r="AB1182" s="360">
        <v>2.6</v>
      </c>
    </row>
    <row r="1183" spans="10:28" x14ac:dyDescent="0.2">
      <c r="J1183" s="358" t="str">
        <f t="shared" si="82"/>
        <v>2003AllSexNon-Maori215</v>
      </c>
      <c r="K1183" s="359">
        <v>2003</v>
      </c>
      <c r="L1183" t="s">
        <v>17</v>
      </c>
      <c r="M1183" t="s">
        <v>19</v>
      </c>
      <c r="N1183">
        <v>21</v>
      </c>
      <c r="O1183">
        <v>5</v>
      </c>
      <c r="P1183">
        <v>0</v>
      </c>
      <c r="T1183" s="358" t="str">
        <f t="shared" si="83"/>
        <v>2001FemaleNon-Maori22Hanging, strangulation and suffocation</v>
      </c>
      <c r="U1183" s="360">
        <v>2001</v>
      </c>
      <c r="V1183" s="360" t="s">
        <v>8</v>
      </c>
      <c r="W1183" s="360" t="s">
        <v>19</v>
      </c>
      <c r="X1183" s="360">
        <v>22</v>
      </c>
      <c r="Y1183" s="360" t="s">
        <v>43</v>
      </c>
      <c r="Z1183" s="360">
        <v>4</v>
      </c>
      <c r="AA1183" s="360">
        <v>14</v>
      </c>
      <c r="AB1183" s="360">
        <v>28.6</v>
      </c>
    </row>
    <row r="1184" spans="10:28" x14ac:dyDescent="0.2">
      <c r="J1184" s="358" t="str">
        <f t="shared" si="82"/>
        <v>2003AllSexNon-Maori221</v>
      </c>
      <c r="K1184" s="359">
        <v>2003</v>
      </c>
      <c r="L1184" t="s">
        <v>17</v>
      </c>
      <c r="M1184" t="s">
        <v>19</v>
      </c>
      <c r="N1184">
        <v>22</v>
      </c>
      <c r="O1184">
        <v>1</v>
      </c>
      <c r="P1184">
        <v>12</v>
      </c>
      <c r="Q1184">
        <v>13.217438170758101</v>
      </c>
      <c r="R1184">
        <v>7.5</v>
      </c>
      <c r="T1184" s="358" t="str">
        <f t="shared" si="83"/>
        <v>2001FemaleNon-Maori23Hanging, strangulation and suffocation</v>
      </c>
      <c r="U1184" s="360">
        <v>2001</v>
      </c>
      <c r="V1184" s="360" t="s">
        <v>8</v>
      </c>
      <c r="W1184" s="360" t="s">
        <v>19</v>
      </c>
      <c r="X1184" s="360">
        <v>23</v>
      </c>
      <c r="Y1184" s="360" t="s">
        <v>43</v>
      </c>
      <c r="Z1184" s="360">
        <v>14</v>
      </c>
      <c r="AA1184" s="360">
        <v>39</v>
      </c>
      <c r="AB1184" s="360">
        <v>35.9</v>
      </c>
    </row>
    <row r="1185" spans="10:28" x14ac:dyDescent="0.2">
      <c r="J1185" s="358" t="str">
        <f t="shared" si="82"/>
        <v>2003AllSexNon-Maori222</v>
      </c>
      <c r="K1185" s="359">
        <v>2003</v>
      </c>
      <c r="L1185" t="s">
        <v>17</v>
      </c>
      <c r="M1185" t="s">
        <v>19</v>
      </c>
      <c r="N1185">
        <v>22</v>
      </c>
      <c r="O1185">
        <v>2</v>
      </c>
      <c r="P1185">
        <v>7</v>
      </c>
      <c r="Q1185">
        <v>7.5510544548882796</v>
      </c>
      <c r="R1185">
        <v>5.6</v>
      </c>
      <c r="T1185" s="358" t="str">
        <f t="shared" si="83"/>
        <v>2001FemaleNon-Maori24Hanging, strangulation and suffocation</v>
      </c>
      <c r="U1185" s="360">
        <v>2001</v>
      </c>
      <c r="V1185" s="360" t="s">
        <v>8</v>
      </c>
      <c r="W1185" s="360" t="s">
        <v>19</v>
      </c>
      <c r="X1185" s="360">
        <v>24</v>
      </c>
      <c r="Y1185" s="360" t="s">
        <v>43</v>
      </c>
      <c r="Z1185" s="360">
        <v>11</v>
      </c>
      <c r="AA1185" s="360">
        <v>27</v>
      </c>
      <c r="AB1185" s="360">
        <v>40.700000000000003</v>
      </c>
    </row>
    <row r="1186" spans="10:28" x14ac:dyDescent="0.2">
      <c r="J1186" s="358" t="str">
        <f t="shared" si="82"/>
        <v>2003AllSexNon-Maori223</v>
      </c>
      <c r="K1186" s="359">
        <v>2003</v>
      </c>
      <c r="L1186" t="s">
        <v>17</v>
      </c>
      <c r="M1186" t="s">
        <v>19</v>
      </c>
      <c r="N1186">
        <v>22</v>
      </c>
      <c r="O1186">
        <v>3</v>
      </c>
      <c r="P1186">
        <v>15</v>
      </c>
      <c r="Q1186">
        <v>15.889628929397199</v>
      </c>
      <c r="R1186">
        <v>8</v>
      </c>
      <c r="T1186" s="358" t="str">
        <f t="shared" si="83"/>
        <v>2001FemaleNon-Maori25Hanging, strangulation and suffocation</v>
      </c>
      <c r="U1186" s="360">
        <v>2001</v>
      </c>
      <c r="V1186" s="360" t="s">
        <v>8</v>
      </c>
      <c r="W1186" s="360" t="s">
        <v>19</v>
      </c>
      <c r="X1186" s="360">
        <v>25</v>
      </c>
      <c r="Y1186" s="360" t="s">
        <v>43</v>
      </c>
      <c r="Z1186" s="360">
        <v>7</v>
      </c>
      <c r="AA1186" s="360">
        <v>16</v>
      </c>
      <c r="AB1186" s="360">
        <v>43.8</v>
      </c>
    </row>
    <row r="1187" spans="10:28" x14ac:dyDescent="0.2">
      <c r="J1187" s="358" t="str">
        <f t="shared" si="82"/>
        <v>2003AllSexNon-Maori224</v>
      </c>
      <c r="K1187" s="359">
        <v>2003</v>
      </c>
      <c r="L1187" t="s">
        <v>17</v>
      </c>
      <c r="M1187" t="s">
        <v>19</v>
      </c>
      <c r="N1187">
        <v>22</v>
      </c>
      <c r="O1187">
        <v>4</v>
      </c>
      <c r="P1187">
        <v>18</v>
      </c>
      <c r="Q1187">
        <v>18.9140109745437</v>
      </c>
      <c r="R1187">
        <v>8.6999999999999993</v>
      </c>
      <c r="T1187" s="358" t="str">
        <f t="shared" si="83"/>
        <v>2001FemaleNon-Maori22Jumping from a high place</v>
      </c>
      <c r="U1187" s="360">
        <v>2001</v>
      </c>
      <c r="V1187" s="360" t="s">
        <v>8</v>
      </c>
      <c r="W1187" s="360" t="s">
        <v>19</v>
      </c>
      <c r="X1187" s="360">
        <v>22</v>
      </c>
      <c r="Y1187" s="360" t="s">
        <v>44</v>
      </c>
      <c r="Z1187" s="360">
        <v>2</v>
      </c>
      <c r="AA1187" s="360">
        <v>14</v>
      </c>
      <c r="AB1187" s="360">
        <v>14.3</v>
      </c>
    </row>
    <row r="1188" spans="10:28" x14ac:dyDescent="0.2">
      <c r="J1188" s="358" t="str">
        <f t="shared" si="82"/>
        <v>2003AllSexNon-Maori225</v>
      </c>
      <c r="K1188" s="359">
        <v>2003</v>
      </c>
      <c r="L1188" t="s">
        <v>17</v>
      </c>
      <c r="M1188" t="s">
        <v>19</v>
      </c>
      <c r="N1188">
        <v>22</v>
      </c>
      <c r="O1188">
        <v>5</v>
      </c>
      <c r="P1188">
        <v>12</v>
      </c>
      <c r="Q1188">
        <v>13.0053358102956</v>
      </c>
      <c r="R1188">
        <v>7.4</v>
      </c>
      <c r="T1188" s="358" t="str">
        <f t="shared" si="83"/>
        <v>2001FemaleNon-Maori23Jumping from a high place</v>
      </c>
      <c r="U1188" s="360">
        <v>2001</v>
      </c>
      <c r="V1188" s="360" t="s">
        <v>8</v>
      </c>
      <c r="W1188" s="360" t="s">
        <v>19</v>
      </c>
      <c r="X1188" s="360">
        <v>23</v>
      </c>
      <c r="Y1188" s="360" t="s">
        <v>44</v>
      </c>
      <c r="Z1188" s="360">
        <v>3</v>
      </c>
      <c r="AA1188" s="360">
        <v>39</v>
      </c>
      <c r="AB1188" s="360">
        <v>7.7</v>
      </c>
    </row>
    <row r="1189" spans="10:28" x14ac:dyDescent="0.2">
      <c r="J1189" s="358" t="str">
        <f t="shared" si="82"/>
        <v>2003AllSexNon-Maori231</v>
      </c>
      <c r="K1189" s="359">
        <v>2003</v>
      </c>
      <c r="L1189" t="s">
        <v>17</v>
      </c>
      <c r="M1189" t="s">
        <v>19</v>
      </c>
      <c r="N1189">
        <v>23</v>
      </c>
      <c r="O1189">
        <v>1</v>
      </c>
      <c r="P1189">
        <v>25</v>
      </c>
      <c r="Q1189">
        <v>11.3541230151272</v>
      </c>
      <c r="R1189">
        <v>4.5</v>
      </c>
      <c r="T1189" s="358" t="str">
        <f t="shared" si="83"/>
        <v>2001FemaleNon-Maori24Jumping from a high place</v>
      </c>
      <c r="U1189" s="360">
        <v>2001</v>
      </c>
      <c r="V1189" s="360" t="s">
        <v>8</v>
      </c>
      <c r="W1189" s="360" t="s">
        <v>19</v>
      </c>
      <c r="X1189" s="360">
        <v>24</v>
      </c>
      <c r="Y1189" s="360" t="s">
        <v>44</v>
      </c>
      <c r="Z1189" s="360">
        <v>1</v>
      </c>
      <c r="AA1189" s="360">
        <v>27</v>
      </c>
      <c r="AB1189" s="360">
        <v>3.7</v>
      </c>
    </row>
    <row r="1190" spans="10:28" x14ac:dyDescent="0.2">
      <c r="J1190" s="358" t="str">
        <f t="shared" si="82"/>
        <v>2003AllSexNon-Maori232</v>
      </c>
      <c r="K1190" s="359">
        <v>2003</v>
      </c>
      <c r="L1190" t="s">
        <v>17</v>
      </c>
      <c r="M1190" t="s">
        <v>19</v>
      </c>
      <c r="N1190">
        <v>23</v>
      </c>
      <c r="O1190">
        <v>2</v>
      </c>
      <c r="P1190">
        <v>27</v>
      </c>
      <c r="Q1190">
        <v>12.029784483588999</v>
      </c>
      <c r="R1190">
        <v>4.5</v>
      </c>
      <c r="T1190" s="358" t="str">
        <f t="shared" si="83"/>
        <v>2001FemaleNon-Maori25Jumping from a high place</v>
      </c>
      <c r="U1190" s="360">
        <v>2001</v>
      </c>
      <c r="V1190" s="360" t="s">
        <v>8</v>
      </c>
      <c r="W1190" s="360" t="s">
        <v>19</v>
      </c>
      <c r="X1190" s="360">
        <v>25</v>
      </c>
      <c r="Y1190" s="360" t="s">
        <v>44</v>
      </c>
      <c r="Z1190" s="360">
        <v>2</v>
      </c>
      <c r="AA1190" s="360">
        <v>16</v>
      </c>
      <c r="AB1190" s="360">
        <v>12.5</v>
      </c>
    </row>
    <row r="1191" spans="10:28" x14ac:dyDescent="0.2">
      <c r="J1191" s="358" t="str">
        <f t="shared" si="82"/>
        <v>2003AllSexNon-Maori233</v>
      </c>
      <c r="K1191" s="359">
        <v>2003</v>
      </c>
      <c r="L1191" t="s">
        <v>17</v>
      </c>
      <c r="M1191" t="s">
        <v>19</v>
      </c>
      <c r="N1191">
        <v>23</v>
      </c>
      <c r="O1191">
        <v>3</v>
      </c>
      <c r="P1191">
        <v>41</v>
      </c>
      <c r="Q1191">
        <v>19.105677770045599</v>
      </c>
      <c r="R1191">
        <v>5.8</v>
      </c>
      <c r="T1191" s="358" t="str">
        <f t="shared" si="83"/>
        <v>2001FemaleNon-Maori22Other</v>
      </c>
      <c r="U1191" s="360">
        <v>2001</v>
      </c>
      <c r="V1191" s="360" t="s">
        <v>8</v>
      </c>
      <c r="W1191" s="360" t="s">
        <v>19</v>
      </c>
      <c r="X1191" s="360">
        <v>22</v>
      </c>
      <c r="Y1191" s="360" t="s">
        <v>45</v>
      </c>
      <c r="Z1191" s="360">
        <v>1</v>
      </c>
      <c r="AA1191" s="360">
        <v>14</v>
      </c>
      <c r="AB1191" s="360">
        <v>7.1</v>
      </c>
    </row>
    <row r="1192" spans="10:28" x14ac:dyDescent="0.2">
      <c r="J1192" s="358" t="str">
        <f t="shared" si="82"/>
        <v>2003AllSexNon-Maori234</v>
      </c>
      <c r="K1192" s="359">
        <v>2003</v>
      </c>
      <c r="L1192" t="s">
        <v>17</v>
      </c>
      <c r="M1192" t="s">
        <v>19</v>
      </c>
      <c r="N1192">
        <v>23</v>
      </c>
      <c r="O1192">
        <v>4</v>
      </c>
      <c r="P1192">
        <v>39</v>
      </c>
      <c r="Q1192">
        <v>20.024576517766601</v>
      </c>
      <c r="R1192">
        <v>6.3</v>
      </c>
      <c r="T1192" s="358" t="str">
        <f t="shared" si="83"/>
        <v>2001FemaleNon-Maori23Other</v>
      </c>
      <c r="U1192" s="360">
        <v>2001</v>
      </c>
      <c r="V1192" s="360" t="s">
        <v>8</v>
      </c>
      <c r="W1192" s="360" t="s">
        <v>19</v>
      </c>
      <c r="X1192" s="360">
        <v>23</v>
      </c>
      <c r="Y1192" s="360" t="s">
        <v>45</v>
      </c>
      <c r="Z1192" s="360">
        <v>2</v>
      </c>
      <c r="AA1192" s="360">
        <v>39</v>
      </c>
      <c r="AB1192" s="360">
        <v>5.0999999999999996</v>
      </c>
    </row>
    <row r="1193" spans="10:28" x14ac:dyDescent="0.2">
      <c r="J1193" s="358" t="str">
        <f t="shared" si="82"/>
        <v>2003AllSexNon-Maori235</v>
      </c>
      <c r="K1193" s="359">
        <v>2003</v>
      </c>
      <c r="L1193" t="s">
        <v>17</v>
      </c>
      <c r="M1193" t="s">
        <v>19</v>
      </c>
      <c r="N1193">
        <v>23</v>
      </c>
      <c r="O1193">
        <v>5</v>
      </c>
      <c r="P1193">
        <v>31</v>
      </c>
      <c r="Q1193">
        <v>20.642421911894999</v>
      </c>
      <c r="R1193">
        <v>7.3</v>
      </c>
      <c r="T1193" s="358" t="str">
        <f t="shared" si="83"/>
        <v>2001FemaleNon-Maori24Other</v>
      </c>
      <c r="U1193" s="360">
        <v>2001</v>
      </c>
      <c r="V1193" s="360" t="s">
        <v>8</v>
      </c>
      <c r="W1193" s="360" t="s">
        <v>19</v>
      </c>
      <c r="X1193" s="360">
        <v>24</v>
      </c>
      <c r="Y1193" s="360" t="s">
        <v>45</v>
      </c>
      <c r="Z1193" s="360">
        <v>1</v>
      </c>
      <c r="AA1193" s="360">
        <v>27</v>
      </c>
      <c r="AB1193" s="360">
        <v>3.7</v>
      </c>
    </row>
    <row r="1194" spans="10:28" x14ac:dyDescent="0.2">
      <c r="J1194" s="358" t="str">
        <f t="shared" si="82"/>
        <v>2003AllSexNon-Maori241</v>
      </c>
      <c r="K1194" s="359">
        <v>2003</v>
      </c>
      <c r="L1194" t="s">
        <v>17</v>
      </c>
      <c r="M1194" t="s">
        <v>19</v>
      </c>
      <c r="N1194">
        <v>24</v>
      </c>
      <c r="O1194">
        <v>1</v>
      </c>
      <c r="P1194">
        <v>15</v>
      </c>
      <c r="Q1194">
        <v>6.7567570900277802</v>
      </c>
      <c r="R1194">
        <v>3.4</v>
      </c>
      <c r="T1194" s="358" t="str">
        <f t="shared" si="83"/>
        <v>2001FemaleNon-Maori21Poisoning by gases and vapours</v>
      </c>
      <c r="U1194" s="360">
        <v>2001</v>
      </c>
      <c r="V1194" s="360" t="s">
        <v>8</v>
      </c>
      <c r="W1194" s="360" t="s">
        <v>19</v>
      </c>
      <c r="X1194" s="360">
        <v>21</v>
      </c>
      <c r="Y1194" s="360" t="s">
        <v>46</v>
      </c>
      <c r="Z1194" s="360">
        <v>1</v>
      </c>
      <c r="AA1194" s="360">
        <v>1</v>
      </c>
      <c r="AB1194" s="360">
        <v>100</v>
      </c>
    </row>
    <row r="1195" spans="10:28" x14ac:dyDescent="0.2">
      <c r="J1195" s="358" t="str">
        <f t="shared" si="82"/>
        <v>2003AllSexNon-Maori242</v>
      </c>
      <c r="K1195" s="359">
        <v>2003</v>
      </c>
      <c r="L1195" t="s">
        <v>17</v>
      </c>
      <c r="M1195" t="s">
        <v>19</v>
      </c>
      <c r="N1195">
        <v>24</v>
      </c>
      <c r="O1195">
        <v>2</v>
      </c>
      <c r="P1195">
        <v>22</v>
      </c>
      <c r="Q1195">
        <v>11.492128953530999</v>
      </c>
      <c r="R1195">
        <v>4.8</v>
      </c>
      <c r="T1195" s="358" t="str">
        <f t="shared" si="83"/>
        <v>2001FemaleNon-Maori22Poisoning by gases and vapours</v>
      </c>
      <c r="U1195" s="360">
        <v>2001</v>
      </c>
      <c r="V1195" s="360" t="s">
        <v>8</v>
      </c>
      <c r="W1195" s="360" t="s">
        <v>19</v>
      </c>
      <c r="X1195" s="360">
        <v>22</v>
      </c>
      <c r="Y1195" s="360" t="s">
        <v>46</v>
      </c>
      <c r="Z1195" s="360">
        <v>2</v>
      </c>
      <c r="AA1195" s="360">
        <v>14</v>
      </c>
      <c r="AB1195" s="360">
        <v>14.3</v>
      </c>
    </row>
    <row r="1196" spans="10:28" x14ac:dyDescent="0.2">
      <c r="J1196" s="358" t="str">
        <f t="shared" si="82"/>
        <v>2003AllSexNon-Maori243</v>
      </c>
      <c r="K1196" s="359">
        <v>2003</v>
      </c>
      <c r="L1196" t="s">
        <v>17</v>
      </c>
      <c r="M1196" t="s">
        <v>19</v>
      </c>
      <c r="N1196">
        <v>24</v>
      </c>
      <c r="O1196">
        <v>3</v>
      </c>
      <c r="P1196">
        <v>29</v>
      </c>
      <c r="Q1196">
        <v>17.4370571795261</v>
      </c>
      <c r="R1196">
        <v>6.3</v>
      </c>
      <c r="T1196" s="358" t="str">
        <f t="shared" si="83"/>
        <v>2001FemaleNon-Maori23Poisoning by gases and vapours</v>
      </c>
      <c r="U1196" s="360">
        <v>2001</v>
      </c>
      <c r="V1196" s="360" t="s">
        <v>8</v>
      </c>
      <c r="W1196" s="360" t="s">
        <v>19</v>
      </c>
      <c r="X1196" s="360">
        <v>23</v>
      </c>
      <c r="Y1196" s="360" t="s">
        <v>46</v>
      </c>
      <c r="Z1196" s="360">
        <v>9</v>
      </c>
      <c r="AA1196" s="360">
        <v>39</v>
      </c>
      <c r="AB1196" s="360">
        <v>23.1</v>
      </c>
    </row>
    <row r="1197" spans="10:28" x14ac:dyDescent="0.2">
      <c r="J1197" s="358" t="str">
        <f t="shared" si="82"/>
        <v>2003AllSexNon-Maori244</v>
      </c>
      <c r="K1197" s="359">
        <v>2003</v>
      </c>
      <c r="L1197" t="s">
        <v>17</v>
      </c>
      <c r="M1197" t="s">
        <v>19</v>
      </c>
      <c r="N1197">
        <v>24</v>
      </c>
      <c r="O1197">
        <v>4</v>
      </c>
      <c r="P1197">
        <v>31</v>
      </c>
      <c r="Q1197">
        <v>21.6916993713021</v>
      </c>
      <c r="R1197">
        <v>7.6</v>
      </c>
      <c r="T1197" s="358" t="str">
        <f t="shared" si="83"/>
        <v>2001FemaleNon-Maori24Poisoning by gases and vapours</v>
      </c>
      <c r="U1197" s="360">
        <v>2001</v>
      </c>
      <c r="V1197" s="360" t="s">
        <v>8</v>
      </c>
      <c r="W1197" s="360" t="s">
        <v>19</v>
      </c>
      <c r="X1197" s="360">
        <v>24</v>
      </c>
      <c r="Y1197" s="360" t="s">
        <v>46</v>
      </c>
      <c r="Z1197" s="360">
        <v>6</v>
      </c>
      <c r="AA1197" s="360">
        <v>27</v>
      </c>
      <c r="AB1197" s="360">
        <v>22.2</v>
      </c>
    </row>
    <row r="1198" spans="10:28" x14ac:dyDescent="0.2">
      <c r="J1198" s="358" t="str">
        <f t="shared" si="82"/>
        <v>2003AllSexNon-Maori245</v>
      </c>
      <c r="K1198" s="359">
        <v>2003</v>
      </c>
      <c r="L1198" t="s">
        <v>17</v>
      </c>
      <c r="M1198" t="s">
        <v>19</v>
      </c>
      <c r="N1198">
        <v>24</v>
      </c>
      <c r="O1198">
        <v>5</v>
      </c>
      <c r="P1198">
        <v>26</v>
      </c>
      <c r="Q1198">
        <v>24.5467441295452</v>
      </c>
      <c r="R1198">
        <v>9.4</v>
      </c>
      <c r="T1198" s="358" t="str">
        <f t="shared" si="83"/>
        <v>2001FemaleNon-Maori22Poisoning by solids and liquids</v>
      </c>
      <c r="U1198" s="360">
        <v>2001</v>
      </c>
      <c r="V1198" s="360" t="s">
        <v>8</v>
      </c>
      <c r="W1198" s="360" t="s">
        <v>19</v>
      </c>
      <c r="X1198" s="360">
        <v>22</v>
      </c>
      <c r="Y1198" s="360" t="s">
        <v>47</v>
      </c>
      <c r="Z1198" s="360">
        <v>4</v>
      </c>
      <c r="AA1198" s="360">
        <v>14</v>
      </c>
      <c r="AB1198" s="360">
        <v>28.6</v>
      </c>
    </row>
    <row r="1199" spans="10:28" x14ac:dyDescent="0.2">
      <c r="J1199" s="358" t="str">
        <f t="shared" si="82"/>
        <v>2003AllSexNon-Maori251</v>
      </c>
      <c r="K1199" s="359">
        <v>2003</v>
      </c>
      <c r="L1199" t="s">
        <v>17</v>
      </c>
      <c r="M1199" t="s">
        <v>19</v>
      </c>
      <c r="N1199">
        <v>25</v>
      </c>
      <c r="O1199">
        <v>1</v>
      </c>
      <c r="P1199">
        <v>7</v>
      </c>
      <c r="Q1199">
        <v>7.6587608789528803</v>
      </c>
      <c r="R1199">
        <v>5.7</v>
      </c>
      <c r="T1199" s="358" t="str">
        <f t="shared" si="83"/>
        <v>2001FemaleNon-Maori23Poisoning by solids and liquids</v>
      </c>
      <c r="U1199" s="360">
        <v>2001</v>
      </c>
      <c r="V1199" s="360" t="s">
        <v>8</v>
      </c>
      <c r="W1199" s="360" t="s">
        <v>19</v>
      </c>
      <c r="X1199" s="360">
        <v>23</v>
      </c>
      <c r="Y1199" s="360" t="s">
        <v>47</v>
      </c>
      <c r="Z1199" s="360">
        <v>9</v>
      </c>
      <c r="AA1199" s="360">
        <v>39</v>
      </c>
      <c r="AB1199" s="360">
        <v>23.1</v>
      </c>
    </row>
    <row r="1200" spans="10:28" x14ac:dyDescent="0.2">
      <c r="J1200" s="358" t="str">
        <f t="shared" si="82"/>
        <v>2003AllSexNon-Maori252</v>
      </c>
      <c r="K1200" s="359">
        <v>2003</v>
      </c>
      <c r="L1200" t="s">
        <v>17</v>
      </c>
      <c r="M1200" t="s">
        <v>19</v>
      </c>
      <c r="N1200">
        <v>25</v>
      </c>
      <c r="O1200">
        <v>2</v>
      </c>
      <c r="P1200">
        <v>11</v>
      </c>
      <c r="Q1200">
        <v>11.353790910808</v>
      </c>
      <c r="R1200">
        <v>6.7</v>
      </c>
      <c r="T1200" s="358" t="str">
        <f t="shared" si="83"/>
        <v>2001FemaleNon-Maori24Poisoning by solids and liquids</v>
      </c>
      <c r="U1200" s="360">
        <v>2001</v>
      </c>
      <c r="V1200" s="360" t="s">
        <v>8</v>
      </c>
      <c r="W1200" s="360" t="s">
        <v>19</v>
      </c>
      <c r="X1200" s="360">
        <v>24</v>
      </c>
      <c r="Y1200" s="360" t="s">
        <v>47</v>
      </c>
      <c r="Z1200" s="360">
        <v>5</v>
      </c>
      <c r="AA1200" s="360">
        <v>27</v>
      </c>
      <c r="AB1200" s="360">
        <v>18.5</v>
      </c>
    </row>
    <row r="1201" spans="10:28" x14ac:dyDescent="0.2">
      <c r="J1201" s="358" t="str">
        <f t="shared" si="82"/>
        <v>2003AllSexNon-Maori253</v>
      </c>
      <c r="K1201" s="359">
        <v>2003</v>
      </c>
      <c r="L1201" t="s">
        <v>17</v>
      </c>
      <c r="M1201" t="s">
        <v>19</v>
      </c>
      <c r="N1201">
        <v>25</v>
      </c>
      <c r="O1201">
        <v>3</v>
      </c>
      <c r="P1201">
        <v>19</v>
      </c>
      <c r="Q1201">
        <v>19.0946724380399</v>
      </c>
      <c r="R1201">
        <v>8.6</v>
      </c>
      <c r="T1201" s="358" t="str">
        <f t="shared" si="83"/>
        <v>2001FemaleNon-Maori25Poisoning by solids and liquids</v>
      </c>
      <c r="U1201" s="360">
        <v>2001</v>
      </c>
      <c r="V1201" s="360" t="s">
        <v>8</v>
      </c>
      <c r="W1201" s="360" t="s">
        <v>19</v>
      </c>
      <c r="X1201" s="360">
        <v>25</v>
      </c>
      <c r="Y1201" s="360" t="s">
        <v>47</v>
      </c>
      <c r="Z1201" s="360">
        <v>6</v>
      </c>
      <c r="AA1201" s="360">
        <v>16</v>
      </c>
      <c r="AB1201" s="360">
        <v>37.5</v>
      </c>
    </row>
    <row r="1202" spans="10:28" x14ac:dyDescent="0.2">
      <c r="J1202" s="358" t="str">
        <f t="shared" si="82"/>
        <v>2003AllSexNon-Maori254</v>
      </c>
      <c r="K1202" s="359">
        <v>2003</v>
      </c>
      <c r="L1202" t="s">
        <v>17</v>
      </c>
      <c r="M1202" t="s">
        <v>19</v>
      </c>
      <c r="N1202">
        <v>25</v>
      </c>
      <c r="O1202">
        <v>4</v>
      </c>
      <c r="P1202">
        <v>15</v>
      </c>
      <c r="Q1202">
        <v>15.376849409639201</v>
      </c>
      <c r="R1202">
        <v>7.8</v>
      </c>
      <c r="T1202" s="358" t="str">
        <f t="shared" si="83"/>
        <v>2001FemaleNon-Maori23Sharp object</v>
      </c>
      <c r="U1202" s="360">
        <v>2001</v>
      </c>
      <c r="V1202" s="360" t="s">
        <v>8</v>
      </c>
      <c r="W1202" s="360" t="s">
        <v>19</v>
      </c>
      <c r="X1202" s="360">
        <v>23</v>
      </c>
      <c r="Y1202" s="360" t="s">
        <v>48</v>
      </c>
      <c r="Z1202" s="360">
        <v>1</v>
      </c>
      <c r="AA1202" s="360">
        <v>39</v>
      </c>
      <c r="AB1202" s="360">
        <v>2.6</v>
      </c>
    </row>
    <row r="1203" spans="10:28" x14ac:dyDescent="0.2">
      <c r="J1203" s="358" t="str">
        <f t="shared" si="82"/>
        <v>2003AllSexNon-Maori255</v>
      </c>
      <c r="K1203" s="359">
        <v>2003</v>
      </c>
      <c r="L1203" t="s">
        <v>17</v>
      </c>
      <c r="M1203" t="s">
        <v>19</v>
      </c>
      <c r="N1203">
        <v>25</v>
      </c>
      <c r="O1203">
        <v>5</v>
      </c>
      <c r="P1203">
        <v>10</v>
      </c>
      <c r="Q1203">
        <v>14.6104788401662</v>
      </c>
      <c r="R1203">
        <v>9.1</v>
      </c>
      <c r="T1203" s="358" t="str">
        <f t="shared" si="83"/>
        <v>2001FemaleNon-Maori22Submersion (drowning)</v>
      </c>
      <c r="U1203" s="360">
        <v>2001</v>
      </c>
      <c r="V1203" s="360" t="s">
        <v>8</v>
      </c>
      <c r="W1203" s="360" t="s">
        <v>19</v>
      </c>
      <c r="X1203" s="360">
        <v>22</v>
      </c>
      <c r="Y1203" s="360" t="s">
        <v>49</v>
      </c>
      <c r="Z1203" s="360">
        <v>1</v>
      </c>
      <c r="AA1203" s="360">
        <v>14</v>
      </c>
      <c r="AB1203" s="360">
        <v>7.1</v>
      </c>
    </row>
    <row r="1204" spans="10:28" x14ac:dyDescent="0.2">
      <c r="J1204" s="358" t="str">
        <f t="shared" si="82"/>
        <v>2003FemaleAllEth211</v>
      </c>
      <c r="K1204" s="359">
        <v>2003</v>
      </c>
      <c r="L1204" t="s">
        <v>8</v>
      </c>
      <c r="M1204" t="s">
        <v>27</v>
      </c>
      <c r="N1204">
        <v>21</v>
      </c>
      <c r="O1204">
        <v>1</v>
      </c>
      <c r="P1204">
        <v>0</v>
      </c>
      <c r="T1204" s="358" t="str">
        <f t="shared" si="83"/>
        <v>2001FemaleNon-Maori24Submersion (drowning)</v>
      </c>
      <c r="U1204" s="360">
        <v>2001</v>
      </c>
      <c r="V1204" s="360" t="s">
        <v>8</v>
      </c>
      <c r="W1204" s="360" t="s">
        <v>19</v>
      </c>
      <c r="X1204" s="360">
        <v>24</v>
      </c>
      <c r="Y1204" s="360" t="s">
        <v>49</v>
      </c>
      <c r="Z1204" s="360">
        <v>3</v>
      </c>
      <c r="AA1204" s="360">
        <v>27</v>
      </c>
      <c r="AB1204" s="360">
        <v>11.1</v>
      </c>
    </row>
    <row r="1205" spans="10:28" x14ac:dyDescent="0.2">
      <c r="J1205" s="358" t="str">
        <f t="shared" si="82"/>
        <v>2003FemaleAllEth212</v>
      </c>
      <c r="K1205" s="359">
        <v>2003</v>
      </c>
      <c r="L1205" t="s">
        <v>8</v>
      </c>
      <c r="M1205" t="s">
        <v>27</v>
      </c>
      <c r="N1205">
        <v>21</v>
      </c>
      <c r="O1205">
        <v>2</v>
      </c>
      <c r="P1205">
        <v>0</v>
      </c>
      <c r="T1205" s="358" t="str">
        <f t="shared" si="83"/>
        <v>2001FemaleNon-Maori25Submersion (drowning)</v>
      </c>
      <c r="U1205" s="360">
        <v>2001</v>
      </c>
      <c r="V1205" s="360" t="s">
        <v>8</v>
      </c>
      <c r="W1205" s="360" t="s">
        <v>19</v>
      </c>
      <c r="X1205" s="360">
        <v>25</v>
      </c>
      <c r="Y1205" s="360" t="s">
        <v>49</v>
      </c>
      <c r="Z1205" s="360">
        <v>1</v>
      </c>
      <c r="AA1205" s="360">
        <v>16</v>
      </c>
      <c r="AB1205" s="360">
        <v>6.2</v>
      </c>
    </row>
    <row r="1206" spans="10:28" x14ac:dyDescent="0.2">
      <c r="J1206" s="358" t="str">
        <f t="shared" si="82"/>
        <v>2003FemaleAllEth213</v>
      </c>
      <c r="K1206" s="359">
        <v>2003</v>
      </c>
      <c r="L1206" t="s">
        <v>8</v>
      </c>
      <c r="M1206" t="s">
        <v>27</v>
      </c>
      <c r="N1206">
        <v>21</v>
      </c>
      <c r="O1206">
        <v>3</v>
      </c>
      <c r="P1206">
        <v>0</v>
      </c>
      <c r="T1206" s="358" t="str">
        <f t="shared" si="83"/>
        <v>2001MaleAllEth22Firearms and explosives</v>
      </c>
      <c r="U1206" s="360">
        <v>2001</v>
      </c>
      <c r="V1206" s="360" t="s">
        <v>20</v>
      </c>
      <c r="W1206" s="360" t="s">
        <v>27</v>
      </c>
      <c r="X1206" s="360">
        <v>22</v>
      </c>
      <c r="Y1206" s="360" t="s">
        <v>42</v>
      </c>
      <c r="Z1206" s="360">
        <v>5</v>
      </c>
      <c r="AA1206" s="360">
        <v>87</v>
      </c>
      <c r="AB1206" s="360">
        <v>5.7</v>
      </c>
    </row>
    <row r="1207" spans="10:28" x14ac:dyDescent="0.2">
      <c r="J1207" s="358" t="str">
        <f t="shared" si="82"/>
        <v>2003FemaleAllEth214</v>
      </c>
      <c r="K1207" s="359">
        <v>2003</v>
      </c>
      <c r="L1207" t="s">
        <v>8</v>
      </c>
      <c r="M1207" t="s">
        <v>27</v>
      </c>
      <c r="N1207">
        <v>21</v>
      </c>
      <c r="O1207">
        <v>4</v>
      </c>
      <c r="P1207">
        <v>0</v>
      </c>
      <c r="T1207" s="358" t="str">
        <f t="shared" si="83"/>
        <v>2001MaleAllEth23Firearms and explosives</v>
      </c>
      <c r="U1207" s="360">
        <v>2001</v>
      </c>
      <c r="V1207" s="360" t="s">
        <v>20</v>
      </c>
      <c r="W1207" s="360" t="s">
        <v>27</v>
      </c>
      <c r="X1207" s="360">
        <v>23</v>
      </c>
      <c r="Y1207" s="360" t="s">
        <v>42</v>
      </c>
      <c r="Z1207" s="360">
        <v>29</v>
      </c>
      <c r="AA1207" s="360">
        <v>189</v>
      </c>
      <c r="AB1207" s="360">
        <v>15.3</v>
      </c>
    </row>
    <row r="1208" spans="10:28" x14ac:dyDescent="0.2">
      <c r="J1208" s="358" t="str">
        <f t="shared" si="82"/>
        <v>2003FemaleAllEth215</v>
      </c>
      <c r="K1208" s="359">
        <v>2003</v>
      </c>
      <c r="L1208" t="s">
        <v>8</v>
      </c>
      <c r="M1208" t="s">
        <v>27</v>
      </c>
      <c r="N1208">
        <v>21</v>
      </c>
      <c r="O1208">
        <v>5</v>
      </c>
      <c r="P1208">
        <v>1</v>
      </c>
      <c r="T1208" s="358" t="str">
        <f t="shared" si="83"/>
        <v>2001MaleAllEth24Firearms and explosives</v>
      </c>
      <c r="U1208" s="360">
        <v>2001</v>
      </c>
      <c r="V1208" s="360" t="s">
        <v>20</v>
      </c>
      <c r="W1208" s="360" t="s">
        <v>27</v>
      </c>
      <c r="X1208" s="360">
        <v>24</v>
      </c>
      <c r="Y1208" s="360" t="s">
        <v>42</v>
      </c>
      <c r="Z1208" s="360">
        <v>13</v>
      </c>
      <c r="AA1208" s="360">
        <v>65</v>
      </c>
      <c r="AB1208" s="360">
        <v>20</v>
      </c>
    </row>
    <row r="1209" spans="10:28" x14ac:dyDescent="0.2">
      <c r="J1209" s="358" t="str">
        <f t="shared" si="82"/>
        <v>2003FemaleAllEth221</v>
      </c>
      <c r="K1209" s="359">
        <v>2003</v>
      </c>
      <c r="L1209" t="s">
        <v>8</v>
      </c>
      <c r="M1209" t="s">
        <v>27</v>
      </c>
      <c r="N1209">
        <v>22</v>
      </c>
      <c r="O1209">
        <v>1</v>
      </c>
      <c r="P1209">
        <v>4</v>
      </c>
      <c r="Q1209">
        <v>8.7049561983799801</v>
      </c>
      <c r="R1209">
        <v>8.5</v>
      </c>
      <c r="T1209" s="358" t="str">
        <f t="shared" si="83"/>
        <v>2001MaleAllEth25Firearms and explosives</v>
      </c>
      <c r="U1209" s="360">
        <v>2001</v>
      </c>
      <c r="V1209" s="360" t="s">
        <v>20</v>
      </c>
      <c r="W1209" s="360" t="s">
        <v>27</v>
      </c>
      <c r="X1209" s="360">
        <v>25</v>
      </c>
      <c r="Y1209" s="360" t="s">
        <v>42</v>
      </c>
      <c r="Z1209" s="360">
        <v>3</v>
      </c>
      <c r="AA1209" s="360">
        <v>48</v>
      </c>
      <c r="AB1209" s="360">
        <v>6.2</v>
      </c>
    </row>
    <row r="1210" spans="10:28" x14ac:dyDescent="0.2">
      <c r="J1210" s="358" t="str">
        <f t="shared" si="82"/>
        <v>2003FemaleAllEth222</v>
      </c>
      <c r="K1210" s="359">
        <v>2003</v>
      </c>
      <c r="L1210" t="s">
        <v>8</v>
      </c>
      <c r="M1210" t="s">
        <v>27</v>
      </c>
      <c r="N1210">
        <v>22</v>
      </c>
      <c r="O1210">
        <v>2</v>
      </c>
      <c r="P1210">
        <v>1</v>
      </c>
      <c r="Q1210">
        <v>2.0274634064134802</v>
      </c>
      <c r="R1210">
        <v>4</v>
      </c>
      <c r="T1210" s="358" t="str">
        <f t="shared" si="83"/>
        <v>2001MaleAllEth21Hanging, strangulation and suffocation</v>
      </c>
      <c r="U1210" s="360">
        <v>2001</v>
      </c>
      <c r="V1210" s="360" t="s">
        <v>20</v>
      </c>
      <c r="W1210" s="360" t="s">
        <v>27</v>
      </c>
      <c r="X1210" s="360">
        <v>21</v>
      </c>
      <c r="Y1210" s="360" t="s">
        <v>43</v>
      </c>
      <c r="Z1210" s="360">
        <v>1</v>
      </c>
      <c r="AA1210" s="360">
        <v>1</v>
      </c>
      <c r="AB1210" s="360">
        <v>100</v>
      </c>
    </row>
    <row r="1211" spans="10:28" x14ac:dyDescent="0.2">
      <c r="J1211" s="358" t="str">
        <f t="shared" si="82"/>
        <v>2003FemaleAllEth223</v>
      </c>
      <c r="K1211" s="359">
        <v>2003</v>
      </c>
      <c r="L1211" t="s">
        <v>8</v>
      </c>
      <c r="M1211" t="s">
        <v>27</v>
      </c>
      <c r="N1211">
        <v>22</v>
      </c>
      <c r="O1211">
        <v>3</v>
      </c>
      <c r="P1211">
        <v>6</v>
      </c>
      <c r="Q1211">
        <v>11.048993296613199</v>
      </c>
      <c r="R1211">
        <v>8.8000000000000007</v>
      </c>
      <c r="T1211" s="358" t="str">
        <f t="shared" si="83"/>
        <v>2001MaleAllEth22Hanging, strangulation and suffocation</v>
      </c>
      <c r="U1211" s="360">
        <v>2001</v>
      </c>
      <c r="V1211" s="360" t="s">
        <v>20</v>
      </c>
      <c r="W1211" s="360" t="s">
        <v>27</v>
      </c>
      <c r="X1211" s="360">
        <v>22</v>
      </c>
      <c r="Y1211" s="360" t="s">
        <v>43</v>
      </c>
      <c r="Z1211" s="360">
        <v>58</v>
      </c>
      <c r="AA1211" s="360">
        <v>87</v>
      </c>
      <c r="AB1211" s="360">
        <v>66.7</v>
      </c>
    </row>
    <row r="1212" spans="10:28" x14ac:dyDescent="0.2">
      <c r="J1212" s="358" t="str">
        <f t="shared" si="82"/>
        <v>2003FemaleAllEth224</v>
      </c>
      <c r="K1212" s="359">
        <v>2003</v>
      </c>
      <c r="L1212" t="s">
        <v>8</v>
      </c>
      <c r="M1212" t="s">
        <v>27</v>
      </c>
      <c r="N1212">
        <v>22</v>
      </c>
      <c r="O1212">
        <v>4</v>
      </c>
      <c r="P1212">
        <v>6</v>
      </c>
      <c r="Q1212">
        <v>9.8755228542466593</v>
      </c>
      <c r="R1212">
        <v>7.9</v>
      </c>
      <c r="T1212" s="358" t="str">
        <f t="shared" si="83"/>
        <v>2001MaleAllEth23Hanging, strangulation and suffocation</v>
      </c>
      <c r="U1212" s="360">
        <v>2001</v>
      </c>
      <c r="V1212" s="360" t="s">
        <v>20</v>
      </c>
      <c r="W1212" s="360" t="s">
        <v>27</v>
      </c>
      <c r="X1212" s="360">
        <v>23</v>
      </c>
      <c r="Y1212" s="360" t="s">
        <v>43</v>
      </c>
      <c r="Z1212" s="360">
        <v>90</v>
      </c>
      <c r="AA1212" s="360">
        <v>189</v>
      </c>
      <c r="AB1212" s="360">
        <v>47.6</v>
      </c>
    </row>
    <row r="1213" spans="10:28" x14ac:dyDescent="0.2">
      <c r="J1213" s="358" t="str">
        <f t="shared" si="82"/>
        <v>2003FemaleAllEth225</v>
      </c>
      <c r="K1213" s="359">
        <v>2003</v>
      </c>
      <c r="L1213" t="s">
        <v>8</v>
      </c>
      <c r="M1213" t="s">
        <v>27</v>
      </c>
      <c r="N1213">
        <v>22</v>
      </c>
      <c r="O1213">
        <v>5</v>
      </c>
      <c r="P1213">
        <v>12</v>
      </c>
      <c r="Q1213">
        <v>16.504695102336399</v>
      </c>
      <c r="R1213">
        <v>9.3000000000000007</v>
      </c>
      <c r="T1213" s="358" t="str">
        <f t="shared" si="83"/>
        <v>2001MaleAllEth24Hanging, strangulation and suffocation</v>
      </c>
      <c r="U1213" s="360">
        <v>2001</v>
      </c>
      <c r="V1213" s="360" t="s">
        <v>20</v>
      </c>
      <c r="W1213" s="360" t="s">
        <v>27</v>
      </c>
      <c r="X1213" s="360">
        <v>24</v>
      </c>
      <c r="Y1213" s="360" t="s">
        <v>43</v>
      </c>
      <c r="Z1213" s="360">
        <v>21</v>
      </c>
      <c r="AA1213" s="360">
        <v>65</v>
      </c>
      <c r="AB1213" s="360">
        <v>32.299999999999997</v>
      </c>
    </row>
    <row r="1214" spans="10:28" x14ac:dyDescent="0.2">
      <c r="J1214" s="358" t="str">
        <f t="shared" si="82"/>
        <v>2003FemaleAllEth231</v>
      </c>
      <c r="K1214" s="359">
        <v>2003</v>
      </c>
      <c r="L1214" t="s">
        <v>8</v>
      </c>
      <c r="M1214" t="s">
        <v>27</v>
      </c>
      <c r="N1214">
        <v>23</v>
      </c>
      <c r="O1214">
        <v>1</v>
      </c>
      <c r="P1214">
        <v>7</v>
      </c>
      <c r="Q1214">
        <v>5.8152509545933304</v>
      </c>
      <c r="R1214">
        <v>4.3</v>
      </c>
      <c r="T1214" s="358" t="str">
        <f t="shared" si="83"/>
        <v>2001MaleAllEth25Hanging, strangulation and suffocation</v>
      </c>
      <c r="U1214" s="360">
        <v>2001</v>
      </c>
      <c r="V1214" s="360" t="s">
        <v>20</v>
      </c>
      <c r="W1214" s="360" t="s">
        <v>27</v>
      </c>
      <c r="X1214" s="360">
        <v>25</v>
      </c>
      <c r="Y1214" s="360" t="s">
        <v>43</v>
      </c>
      <c r="Z1214" s="360">
        <v>14</v>
      </c>
      <c r="AA1214" s="360">
        <v>48</v>
      </c>
      <c r="AB1214" s="360">
        <v>29.2</v>
      </c>
    </row>
    <row r="1215" spans="10:28" x14ac:dyDescent="0.2">
      <c r="J1215" s="358" t="str">
        <f t="shared" si="82"/>
        <v>2003FemaleAllEth232</v>
      </c>
      <c r="K1215" s="359">
        <v>2003</v>
      </c>
      <c r="L1215" t="s">
        <v>8</v>
      </c>
      <c r="M1215" t="s">
        <v>27</v>
      </c>
      <c r="N1215">
        <v>23</v>
      </c>
      <c r="O1215">
        <v>2</v>
      </c>
      <c r="P1215">
        <v>5</v>
      </c>
      <c r="Q1215">
        <v>3.99619094531212</v>
      </c>
      <c r="R1215">
        <v>3.5</v>
      </c>
      <c r="T1215" s="358" t="str">
        <f t="shared" si="83"/>
        <v>2001MaleAllEth22Jumping from a high place</v>
      </c>
      <c r="U1215" s="360">
        <v>2001</v>
      </c>
      <c r="V1215" s="360" t="s">
        <v>20</v>
      </c>
      <c r="W1215" s="360" t="s">
        <v>27</v>
      </c>
      <c r="X1215" s="360">
        <v>22</v>
      </c>
      <c r="Y1215" s="360" t="s">
        <v>44</v>
      </c>
      <c r="Z1215" s="360">
        <v>6</v>
      </c>
      <c r="AA1215" s="360">
        <v>87</v>
      </c>
      <c r="AB1215" s="360">
        <v>6.9</v>
      </c>
    </row>
    <row r="1216" spans="10:28" x14ac:dyDescent="0.2">
      <c r="J1216" s="358" t="str">
        <f t="shared" si="82"/>
        <v>2003FemaleAllEth233</v>
      </c>
      <c r="K1216" s="359">
        <v>2003</v>
      </c>
      <c r="L1216" t="s">
        <v>8</v>
      </c>
      <c r="M1216" t="s">
        <v>27</v>
      </c>
      <c r="N1216">
        <v>23</v>
      </c>
      <c r="O1216">
        <v>3</v>
      </c>
      <c r="P1216">
        <v>14</v>
      </c>
      <c r="Q1216">
        <v>11.294620745217999</v>
      </c>
      <c r="R1216">
        <v>5.9</v>
      </c>
      <c r="T1216" s="358" t="str">
        <f t="shared" si="83"/>
        <v>2001MaleAllEth23Jumping from a high place</v>
      </c>
      <c r="U1216" s="360">
        <v>2001</v>
      </c>
      <c r="V1216" s="360" t="s">
        <v>20</v>
      </c>
      <c r="W1216" s="360" t="s">
        <v>27</v>
      </c>
      <c r="X1216" s="360">
        <v>23</v>
      </c>
      <c r="Y1216" s="360" t="s">
        <v>44</v>
      </c>
      <c r="Z1216" s="360">
        <v>3</v>
      </c>
      <c r="AA1216" s="360">
        <v>189</v>
      </c>
      <c r="AB1216" s="360">
        <v>1.6</v>
      </c>
    </row>
    <row r="1217" spans="10:28" x14ac:dyDescent="0.2">
      <c r="J1217" s="358" t="str">
        <f t="shared" si="82"/>
        <v>2003FemaleAllEth234</v>
      </c>
      <c r="K1217" s="359">
        <v>2003</v>
      </c>
      <c r="L1217" t="s">
        <v>8</v>
      </c>
      <c r="M1217" t="s">
        <v>27</v>
      </c>
      <c r="N1217">
        <v>23</v>
      </c>
      <c r="O1217">
        <v>4</v>
      </c>
      <c r="P1217">
        <v>8</v>
      </c>
      <c r="Q1217">
        <v>6.5890670562718601</v>
      </c>
      <c r="R1217">
        <v>4.5999999999999996</v>
      </c>
      <c r="T1217" s="358" t="str">
        <f t="shared" si="83"/>
        <v>2001MaleAllEth24Jumping from a high place</v>
      </c>
      <c r="U1217" s="360">
        <v>2001</v>
      </c>
      <c r="V1217" s="360" t="s">
        <v>20</v>
      </c>
      <c r="W1217" s="360" t="s">
        <v>27</v>
      </c>
      <c r="X1217" s="360">
        <v>24</v>
      </c>
      <c r="Y1217" s="360" t="s">
        <v>44</v>
      </c>
      <c r="Z1217" s="360">
        <v>1</v>
      </c>
      <c r="AA1217" s="360">
        <v>65</v>
      </c>
      <c r="AB1217" s="360">
        <v>1.5</v>
      </c>
    </row>
    <row r="1218" spans="10:28" x14ac:dyDescent="0.2">
      <c r="J1218" s="358" t="str">
        <f t="shared" si="82"/>
        <v>2003FemaleAllEth235</v>
      </c>
      <c r="K1218" s="359">
        <v>2003</v>
      </c>
      <c r="L1218" t="s">
        <v>8</v>
      </c>
      <c r="M1218" t="s">
        <v>27</v>
      </c>
      <c r="N1218">
        <v>23</v>
      </c>
      <c r="O1218">
        <v>5</v>
      </c>
      <c r="P1218">
        <v>15</v>
      </c>
      <c r="Q1218">
        <v>12.938656950589399</v>
      </c>
      <c r="R1218">
        <v>6.5</v>
      </c>
      <c r="T1218" s="358" t="str">
        <f t="shared" si="83"/>
        <v>2001MaleAllEth22Other</v>
      </c>
      <c r="U1218" s="360">
        <v>2001</v>
      </c>
      <c r="V1218" s="360" t="s">
        <v>20</v>
      </c>
      <c r="W1218" s="360" t="s">
        <v>27</v>
      </c>
      <c r="X1218" s="360">
        <v>22</v>
      </c>
      <c r="Y1218" s="360" t="s">
        <v>45</v>
      </c>
      <c r="Z1218" s="360">
        <v>2</v>
      </c>
      <c r="AA1218" s="360">
        <v>87</v>
      </c>
      <c r="AB1218" s="360">
        <v>2.2999999999999998</v>
      </c>
    </row>
    <row r="1219" spans="10:28" x14ac:dyDescent="0.2">
      <c r="J1219" s="358" t="str">
        <f t="shared" si="82"/>
        <v>2003FemaleAllEth241</v>
      </c>
      <c r="K1219" s="359">
        <v>2003</v>
      </c>
      <c r="L1219" t="s">
        <v>8</v>
      </c>
      <c r="M1219" t="s">
        <v>27</v>
      </c>
      <c r="N1219">
        <v>24</v>
      </c>
      <c r="O1219">
        <v>1</v>
      </c>
      <c r="P1219">
        <v>2</v>
      </c>
      <c r="Q1219">
        <v>1.7779981221259999</v>
      </c>
      <c r="R1219">
        <v>2.5</v>
      </c>
      <c r="T1219" s="358" t="str">
        <f t="shared" si="83"/>
        <v>2001MaleAllEth23Other</v>
      </c>
      <c r="U1219" s="360">
        <v>2001</v>
      </c>
      <c r="V1219" s="360" t="s">
        <v>20</v>
      </c>
      <c r="W1219" s="360" t="s">
        <v>27</v>
      </c>
      <c r="X1219" s="360">
        <v>23</v>
      </c>
      <c r="Y1219" s="360" t="s">
        <v>45</v>
      </c>
      <c r="Z1219" s="360">
        <v>7</v>
      </c>
      <c r="AA1219" s="360">
        <v>189</v>
      </c>
      <c r="AB1219" s="360">
        <v>3.7</v>
      </c>
    </row>
    <row r="1220" spans="10:28" x14ac:dyDescent="0.2">
      <c r="J1220" s="358" t="str">
        <f t="shared" ref="J1220:J1283" si="84">K1220&amp;L1220&amp;M1220&amp;N1220&amp;O1220</f>
        <v>2003FemaleAllEth242</v>
      </c>
      <c r="K1220" s="359">
        <v>2003</v>
      </c>
      <c r="L1220" t="s">
        <v>8</v>
      </c>
      <c r="M1220" t="s">
        <v>27</v>
      </c>
      <c r="N1220">
        <v>24</v>
      </c>
      <c r="O1220">
        <v>2</v>
      </c>
      <c r="P1220">
        <v>6</v>
      </c>
      <c r="Q1220">
        <v>5.9849058301859603</v>
      </c>
      <c r="R1220">
        <v>4.8</v>
      </c>
      <c r="T1220" s="358" t="str">
        <f t="shared" si="83"/>
        <v>2001MaleAllEth24Other</v>
      </c>
      <c r="U1220" s="360">
        <v>2001</v>
      </c>
      <c r="V1220" s="360" t="s">
        <v>20</v>
      </c>
      <c r="W1220" s="360" t="s">
        <v>27</v>
      </c>
      <c r="X1220" s="360">
        <v>24</v>
      </c>
      <c r="Y1220" s="360" t="s">
        <v>45</v>
      </c>
      <c r="Z1220" s="360">
        <v>2</v>
      </c>
      <c r="AA1220" s="360">
        <v>65</v>
      </c>
      <c r="AB1220" s="360">
        <v>3.1</v>
      </c>
    </row>
    <row r="1221" spans="10:28" x14ac:dyDescent="0.2">
      <c r="J1221" s="358" t="str">
        <f t="shared" si="84"/>
        <v>2003FemaleAllEth243</v>
      </c>
      <c r="K1221" s="359">
        <v>2003</v>
      </c>
      <c r="L1221" t="s">
        <v>8</v>
      </c>
      <c r="M1221" t="s">
        <v>27</v>
      </c>
      <c r="N1221">
        <v>24</v>
      </c>
      <c r="O1221">
        <v>3</v>
      </c>
      <c r="P1221">
        <v>9</v>
      </c>
      <c r="Q1221">
        <v>9.8663479615906802</v>
      </c>
      <c r="R1221">
        <v>6.4</v>
      </c>
      <c r="T1221" s="358" t="str">
        <f t="shared" ref="T1221:T1284" si="85">U1221&amp;V1221&amp;W1221&amp;X1221&amp;Y1221</f>
        <v>2001MaleAllEth25Other</v>
      </c>
      <c r="U1221" s="360">
        <v>2001</v>
      </c>
      <c r="V1221" s="360" t="s">
        <v>20</v>
      </c>
      <c r="W1221" s="360" t="s">
        <v>27</v>
      </c>
      <c r="X1221" s="360">
        <v>25</v>
      </c>
      <c r="Y1221" s="360" t="s">
        <v>45</v>
      </c>
      <c r="Z1221" s="360">
        <v>6</v>
      </c>
      <c r="AA1221" s="360">
        <v>48</v>
      </c>
      <c r="AB1221" s="360">
        <v>12.5</v>
      </c>
    </row>
    <row r="1222" spans="10:28" x14ac:dyDescent="0.2">
      <c r="J1222" s="358" t="str">
        <f t="shared" si="84"/>
        <v>2003FemaleAllEth244</v>
      </c>
      <c r="K1222" s="359">
        <v>2003</v>
      </c>
      <c r="L1222" t="s">
        <v>8</v>
      </c>
      <c r="M1222" t="s">
        <v>27</v>
      </c>
      <c r="N1222">
        <v>24</v>
      </c>
      <c r="O1222">
        <v>4</v>
      </c>
      <c r="P1222">
        <v>8</v>
      </c>
      <c r="Q1222">
        <v>9.5546244713928097</v>
      </c>
      <c r="R1222">
        <v>6.6</v>
      </c>
      <c r="T1222" s="358" t="str">
        <f t="shared" si="85"/>
        <v>2001MaleAllEth22Poisoning by gases and vapours</v>
      </c>
      <c r="U1222" s="360">
        <v>2001</v>
      </c>
      <c r="V1222" s="360" t="s">
        <v>20</v>
      </c>
      <c r="W1222" s="360" t="s">
        <v>27</v>
      </c>
      <c r="X1222" s="360">
        <v>22</v>
      </c>
      <c r="Y1222" s="360" t="s">
        <v>46</v>
      </c>
      <c r="Z1222" s="360">
        <v>13</v>
      </c>
      <c r="AA1222" s="360">
        <v>87</v>
      </c>
      <c r="AB1222" s="360">
        <v>14.9</v>
      </c>
    </row>
    <row r="1223" spans="10:28" x14ac:dyDescent="0.2">
      <c r="J1223" s="358" t="str">
        <f t="shared" si="84"/>
        <v>2003FemaleAllEth245</v>
      </c>
      <c r="K1223" s="359">
        <v>2003</v>
      </c>
      <c r="L1223" t="s">
        <v>8</v>
      </c>
      <c r="M1223" t="s">
        <v>27</v>
      </c>
      <c r="N1223">
        <v>24</v>
      </c>
      <c r="O1223">
        <v>5</v>
      </c>
      <c r="P1223">
        <v>7</v>
      </c>
      <c r="Q1223">
        <v>9.39049181031071</v>
      </c>
      <c r="R1223">
        <v>7</v>
      </c>
      <c r="T1223" s="358" t="str">
        <f t="shared" si="85"/>
        <v>2001MaleAllEth23Poisoning by gases and vapours</v>
      </c>
      <c r="U1223" s="360">
        <v>2001</v>
      </c>
      <c r="V1223" s="360" t="s">
        <v>20</v>
      </c>
      <c r="W1223" s="360" t="s">
        <v>27</v>
      </c>
      <c r="X1223" s="360">
        <v>23</v>
      </c>
      <c r="Y1223" s="360" t="s">
        <v>46</v>
      </c>
      <c r="Z1223" s="360">
        <v>45</v>
      </c>
      <c r="AA1223" s="360">
        <v>189</v>
      </c>
      <c r="AB1223" s="360">
        <v>23.8</v>
      </c>
    </row>
    <row r="1224" spans="10:28" x14ac:dyDescent="0.2">
      <c r="J1224" s="358" t="str">
        <f t="shared" si="84"/>
        <v>2003FemaleAllEth251</v>
      </c>
      <c r="K1224" s="359">
        <v>2003</v>
      </c>
      <c r="L1224" t="s">
        <v>8</v>
      </c>
      <c r="M1224" t="s">
        <v>27</v>
      </c>
      <c r="N1224">
        <v>25</v>
      </c>
      <c r="O1224">
        <v>1</v>
      </c>
      <c r="P1224">
        <v>2</v>
      </c>
      <c r="Q1224">
        <v>4.1449910022713103</v>
      </c>
      <c r="R1224">
        <v>5.7</v>
      </c>
      <c r="T1224" s="358" t="str">
        <f t="shared" si="85"/>
        <v>2001MaleAllEth24Poisoning by gases and vapours</v>
      </c>
      <c r="U1224" s="360">
        <v>2001</v>
      </c>
      <c r="V1224" s="360" t="s">
        <v>20</v>
      </c>
      <c r="W1224" s="360" t="s">
        <v>27</v>
      </c>
      <c r="X1224" s="360">
        <v>24</v>
      </c>
      <c r="Y1224" s="360" t="s">
        <v>46</v>
      </c>
      <c r="Z1224" s="360">
        <v>18</v>
      </c>
      <c r="AA1224" s="360">
        <v>65</v>
      </c>
      <c r="AB1224" s="360">
        <v>27.7</v>
      </c>
    </row>
    <row r="1225" spans="10:28" x14ac:dyDescent="0.2">
      <c r="J1225" s="358" t="str">
        <f t="shared" si="84"/>
        <v>2003FemaleAllEth252</v>
      </c>
      <c r="K1225" s="359">
        <v>2003</v>
      </c>
      <c r="L1225" t="s">
        <v>8</v>
      </c>
      <c r="M1225" t="s">
        <v>27</v>
      </c>
      <c r="N1225">
        <v>25</v>
      </c>
      <c r="O1225">
        <v>2</v>
      </c>
      <c r="P1225">
        <v>4</v>
      </c>
      <c r="Q1225">
        <v>7.3801070298046101</v>
      </c>
      <c r="R1225">
        <v>7.2</v>
      </c>
      <c r="T1225" s="358" t="str">
        <f t="shared" si="85"/>
        <v>2001MaleAllEth25Poisoning by gases and vapours</v>
      </c>
      <c r="U1225" s="360">
        <v>2001</v>
      </c>
      <c r="V1225" s="360" t="s">
        <v>20</v>
      </c>
      <c r="W1225" s="360" t="s">
        <v>27</v>
      </c>
      <c r="X1225" s="360">
        <v>25</v>
      </c>
      <c r="Y1225" s="360" t="s">
        <v>46</v>
      </c>
      <c r="Z1225" s="360">
        <v>14</v>
      </c>
      <c r="AA1225" s="360">
        <v>48</v>
      </c>
      <c r="AB1225" s="360">
        <v>29.2</v>
      </c>
    </row>
    <row r="1226" spans="10:28" x14ac:dyDescent="0.2">
      <c r="J1226" s="358" t="str">
        <f t="shared" si="84"/>
        <v>2003FemaleAllEth253</v>
      </c>
      <c r="K1226" s="359">
        <v>2003</v>
      </c>
      <c r="L1226" t="s">
        <v>8</v>
      </c>
      <c r="M1226" t="s">
        <v>27</v>
      </c>
      <c r="N1226">
        <v>25</v>
      </c>
      <c r="O1226">
        <v>3</v>
      </c>
      <c r="P1226">
        <v>4</v>
      </c>
      <c r="Q1226">
        <v>6.9248512735535703</v>
      </c>
      <c r="R1226">
        <v>6.8</v>
      </c>
      <c r="T1226" s="358" t="str">
        <f t="shared" si="85"/>
        <v>2001MaleAllEth23Poisoning by solids and liquids</v>
      </c>
      <c r="U1226" s="360">
        <v>2001</v>
      </c>
      <c r="V1226" s="360" t="s">
        <v>20</v>
      </c>
      <c r="W1226" s="360" t="s">
        <v>27</v>
      </c>
      <c r="X1226" s="360">
        <v>23</v>
      </c>
      <c r="Y1226" s="360" t="s">
        <v>47</v>
      </c>
      <c r="Z1226" s="360">
        <v>14</v>
      </c>
      <c r="AA1226" s="360">
        <v>189</v>
      </c>
      <c r="AB1226" s="360">
        <v>7.4</v>
      </c>
    </row>
    <row r="1227" spans="10:28" x14ac:dyDescent="0.2">
      <c r="J1227" s="358" t="str">
        <f t="shared" si="84"/>
        <v>2003FemaleAllEth254</v>
      </c>
      <c r="K1227" s="359">
        <v>2003</v>
      </c>
      <c r="L1227" t="s">
        <v>8</v>
      </c>
      <c r="M1227" t="s">
        <v>27</v>
      </c>
      <c r="N1227">
        <v>25</v>
      </c>
      <c r="O1227">
        <v>4</v>
      </c>
      <c r="P1227">
        <v>5</v>
      </c>
      <c r="Q1227">
        <v>8.3359225339486898</v>
      </c>
      <c r="R1227">
        <v>7.3</v>
      </c>
      <c r="T1227" s="358" t="str">
        <f t="shared" si="85"/>
        <v>2001MaleAllEth24Poisoning by solids and liquids</v>
      </c>
      <c r="U1227" s="360">
        <v>2001</v>
      </c>
      <c r="V1227" s="360" t="s">
        <v>20</v>
      </c>
      <c r="W1227" s="360" t="s">
        <v>27</v>
      </c>
      <c r="X1227" s="360">
        <v>24</v>
      </c>
      <c r="Y1227" s="360" t="s">
        <v>47</v>
      </c>
      <c r="Z1227" s="360">
        <v>8</v>
      </c>
      <c r="AA1227" s="360">
        <v>65</v>
      </c>
      <c r="AB1227" s="360">
        <v>12.3</v>
      </c>
    </row>
    <row r="1228" spans="10:28" x14ac:dyDescent="0.2">
      <c r="J1228" s="358" t="str">
        <f t="shared" si="84"/>
        <v>2003FemaleAllEth255</v>
      </c>
      <c r="K1228" s="359">
        <v>2003</v>
      </c>
      <c r="L1228" t="s">
        <v>8</v>
      </c>
      <c r="M1228" t="s">
        <v>27</v>
      </c>
      <c r="N1228">
        <v>25</v>
      </c>
      <c r="O1228">
        <v>5</v>
      </c>
      <c r="P1228">
        <v>4</v>
      </c>
      <c r="Q1228">
        <v>8.7594634113698397</v>
      </c>
      <c r="R1228">
        <v>8.6</v>
      </c>
      <c r="T1228" s="358" t="str">
        <f t="shared" si="85"/>
        <v>2001MaleAllEth25Poisoning by solids and liquids</v>
      </c>
      <c r="U1228" s="360">
        <v>2001</v>
      </c>
      <c r="V1228" s="360" t="s">
        <v>20</v>
      </c>
      <c r="W1228" s="360" t="s">
        <v>27</v>
      </c>
      <c r="X1228" s="360">
        <v>25</v>
      </c>
      <c r="Y1228" s="360" t="s">
        <v>47</v>
      </c>
      <c r="Z1228" s="360">
        <v>7</v>
      </c>
      <c r="AA1228" s="360">
        <v>48</v>
      </c>
      <c r="AB1228" s="360">
        <v>14.6</v>
      </c>
    </row>
    <row r="1229" spans="10:28" x14ac:dyDescent="0.2">
      <c r="J1229" s="358" t="str">
        <f t="shared" si="84"/>
        <v>2003FemaleMaori211</v>
      </c>
      <c r="K1229" s="359">
        <v>2003</v>
      </c>
      <c r="L1229" t="s">
        <v>8</v>
      </c>
      <c r="M1229" t="s">
        <v>18</v>
      </c>
      <c r="N1229">
        <v>21</v>
      </c>
      <c r="O1229">
        <v>1</v>
      </c>
      <c r="P1229">
        <v>0</v>
      </c>
      <c r="T1229" s="358" t="str">
        <f t="shared" si="85"/>
        <v>2001MaleAllEth22Sharp object</v>
      </c>
      <c r="U1229" s="360">
        <v>2001</v>
      </c>
      <c r="V1229" s="360" t="s">
        <v>20</v>
      </c>
      <c r="W1229" s="360" t="s">
        <v>27</v>
      </c>
      <c r="X1229" s="360">
        <v>22</v>
      </c>
      <c r="Y1229" s="360" t="s">
        <v>48</v>
      </c>
      <c r="Z1229" s="360">
        <v>2</v>
      </c>
      <c r="AA1229" s="360">
        <v>87</v>
      </c>
      <c r="AB1229" s="360">
        <v>2.2999999999999998</v>
      </c>
    </row>
    <row r="1230" spans="10:28" x14ac:dyDescent="0.2">
      <c r="J1230" s="358" t="str">
        <f t="shared" si="84"/>
        <v>2003FemaleMaori212</v>
      </c>
      <c r="K1230" s="359">
        <v>2003</v>
      </c>
      <c r="L1230" t="s">
        <v>8</v>
      </c>
      <c r="M1230" t="s">
        <v>18</v>
      </c>
      <c r="N1230">
        <v>21</v>
      </c>
      <c r="O1230">
        <v>2</v>
      </c>
      <c r="P1230">
        <v>0</v>
      </c>
      <c r="T1230" s="358" t="str">
        <f t="shared" si="85"/>
        <v>2001MaleAllEth23Sharp object</v>
      </c>
      <c r="U1230" s="360">
        <v>2001</v>
      </c>
      <c r="V1230" s="360" t="s">
        <v>20</v>
      </c>
      <c r="W1230" s="360" t="s">
        <v>27</v>
      </c>
      <c r="X1230" s="360">
        <v>23</v>
      </c>
      <c r="Y1230" s="360" t="s">
        <v>48</v>
      </c>
      <c r="Z1230" s="360">
        <v>1</v>
      </c>
      <c r="AA1230" s="360">
        <v>189</v>
      </c>
      <c r="AB1230" s="360">
        <v>0.5</v>
      </c>
    </row>
    <row r="1231" spans="10:28" x14ac:dyDescent="0.2">
      <c r="J1231" s="358" t="str">
        <f t="shared" si="84"/>
        <v>2003FemaleMaori213</v>
      </c>
      <c r="K1231" s="359">
        <v>2003</v>
      </c>
      <c r="L1231" t="s">
        <v>8</v>
      </c>
      <c r="M1231" t="s">
        <v>18</v>
      </c>
      <c r="N1231">
        <v>21</v>
      </c>
      <c r="O1231">
        <v>3</v>
      </c>
      <c r="P1231">
        <v>0</v>
      </c>
      <c r="T1231" s="358" t="str">
        <f t="shared" si="85"/>
        <v>2001MaleAllEth24Sharp object</v>
      </c>
      <c r="U1231" s="360">
        <v>2001</v>
      </c>
      <c r="V1231" s="360" t="s">
        <v>20</v>
      </c>
      <c r="W1231" s="360" t="s">
        <v>27</v>
      </c>
      <c r="X1231" s="360">
        <v>24</v>
      </c>
      <c r="Y1231" s="360" t="s">
        <v>48</v>
      </c>
      <c r="Z1231" s="360">
        <v>2</v>
      </c>
      <c r="AA1231" s="360">
        <v>65</v>
      </c>
      <c r="AB1231" s="360">
        <v>3.1</v>
      </c>
    </row>
    <row r="1232" spans="10:28" x14ac:dyDescent="0.2">
      <c r="J1232" s="358" t="str">
        <f t="shared" si="84"/>
        <v>2003FemaleMaori214</v>
      </c>
      <c r="K1232" s="359">
        <v>2003</v>
      </c>
      <c r="L1232" t="s">
        <v>8</v>
      </c>
      <c r="M1232" t="s">
        <v>18</v>
      </c>
      <c r="N1232">
        <v>21</v>
      </c>
      <c r="O1232">
        <v>4</v>
      </c>
      <c r="P1232">
        <v>0</v>
      </c>
      <c r="T1232" s="358" t="str">
        <f t="shared" si="85"/>
        <v>2001MaleAllEth25Sharp object</v>
      </c>
      <c r="U1232" s="360">
        <v>2001</v>
      </c>
      <c r="V1232" s="360" t="s">
        <v>20</v>
      </c>
      <c r="W1232" s="360" t="s">
        <v>27</v>
      </c>
      <c r="X1232" s="360">
        <v>25</v>
      </c>
      <c r="Y1232" s="360" t="s">
        <v>48</v>
      </c>
      <c r="Z1232" s="360">
        <v>3</v>
      </c>
      <c r="AA1232" s="360">
        <v>48</v>
      </c>
      <c r="AB1232" s="360">
        <v>6.2</v>
      </c>
    </row>
    <row r="1233" spans="10:28" x14ac:dyDescent="0.2">
      <c r="J1233" s="358" t="str">
        <f t="shared" si="84"/>
        <v>2003FemaleMaori215</v>
      </c>
      <c r="K1233" s="359">
        <v>2003</v>
      </c>
      <c r="L1233" t="s">
        <v>8</v>
      </c>
      <c r="M1233" t="s">
        <v>18</v>
      </c>
      <c r="N1233">
        <v>21</v>
      </c>
      <c r="O1233">
        <v>5</v>
      </c>
      <c r="P1233">
        <v>1</v>
      </c>
      <c r="T1233" s="358" t="str">
        <f t="shared" si="85"/>
        <v>2001MaleAllEth22Submersion (drowning)</v>
      </c>
      <c r="U1233" s="360">
        <v>2001</v>
      </c>
      <c r="V1233" s="360" t="s">
        <v>20</v>
      </c>
      <c r="W1233" s="360" t="s">
        <v>27</v>
      </c>
      <c r="X1233" s="360">
        <v>22</v>
      </c>
      <c r="Y1233" s="360" t="s">
        <v>49</v>
      </c>
      <c r="Z1233" s="360">
        <v>1</v>
      </c>
      <c r="AA1233" s="360">
        <v>87</v>
      </c>
      <c r="AB1233" s="360">
        <v>1.1000000000000001</v>
      </c>
    </row>
    <row r="1234" spans="10:28" x14ac:dyDescent="0.2">
      <c r="J1234" s="358" t="str">
        <f t="shared" si="84"/>
        <v>2003FemaleMaori221</v>
      </c>
      <c r="K1234" s="359">
        <v>2003</v>
      </c>
      <c r="L1234" t="s">
        <v>8</v>
      </c>
      <c r="M1234" t="s">
        <v>18</v>
      </c>
      <c r="N1234">
        <v>22</v>
      </c>
      <c r="O1234">
        <v>1</v>
      </c>
      <c r="P1234">
        <v>0</v>
      </c>
      <c r="Q1234">
        <v>0</v>
      </c>
      <c r="T1234" s="358" t="str">
        <f t="shared" si="85"/>
        <v>2001MaleAllEth25Submersion (drowning)</v>
      </c>
      <c r="U1234" s="360">
        <v>2001</v>
      </c>
      <c r="V1234" s="360" t="s">
        <v>20</v>
      </c>
      <c r="W1234" s="360" t="s">
        <v>27</v>
      </c>
      <c r="X1234" s="360">
        <v>25</v>
      </c>
      <c r="Y1234" s="360" t="s">
        <v>49</v>
      </c>
      <c r="Z1234" s="360">
        <v>1</v>
      </c>
      <c r="AA1234" s="360">
        <v>48</v>
      </c>
      <c r="AB1234" s="360">
        <v>2.1</v>
      </c>
    </row>
    <row r="1235" spans="10:28" x14ac:dyDescent="0.2">
      <c r="J1235" s="358" t="str">
        <f t="shared" si="84"/>
        <v>2003FemaleMaori222</v>
      </c>
      <c r="K1235" s="359">
        <v>2003</v>
      </c>
      <c r="L1235" t="s">
        <v>8</v>
      </c>
      <c r="M1235" t="s">
        <v>18</v>
      </c>
      <c r="N1235">
        <v>22</v>
      </c>
      <c r="O1235">
        <v>2</v>
      </c>
      <c r="P1235">
        <v>0</v>
      </c>
      <c r="Q1235">
        <v>0</v>
      </c>
      <c r="T1235" s="358" t="str">
        <f t="shared" si="85"/>
        <v>2001MaleMaori23Firearms and explosives</v>
      </c>
      <c r="U1235" s="360">
        <v>2001</v>
      </c>
      <c r="V1235" s="360" t="s">
        <v>20</v>
      </c>
      <c r="W1235" s="360" t="s">
        <v>18</v>
      </c>
      <c r="X1235" s="360">
        <v>23</v>
      </c>
      <c r="Y1235" s="360" t="s">
        <v>42</v>
      </c>
      <c r="Z1235" s="360">
        <v>3</v>
      </c>
      <c r="AA1235" s="360">
        <v>31</v>
      </c>
      <c r="AB1235" s="360">
        <v>9.6999999999999993</v>
      </c>
    </row>
    <row r="1236" spans="10:28" x14ac:dyDescent="0.2">
      <c r="J1236" s="358" t="str">
        <f t="shared" si="84"/>
        <v>2003FemaleMaori223</v>
      </c>
      <c r="K1236" s="359">
        <v>2003</v>
      </c>
      <c r="L1236" t="s">
        <v>8</v>
      </c>
      <c r="M1236" t="s">
        <v>18</v>
      </c>
      <c r="N1236">
        <v>22</v>
      </c>
      <c r="O1236">
        <v>3</v>
      </c>
      <c r="P1236">
        <v>0</v>
      </c>
      <c r="Q1236">
        <v>0</v>
      </c>
      <c r="T1236" s="358" t="str">
        <f t="shared" si="85"/>
        <v>2001MaleMaori24Firearms and explosives</v>
      </c>
      <c r="U1236" s="360">
        <v>2001</v>
      </c>
      <c r="V1236" s="360" t="s">
        <v>20</v>
      </c>
      <c r="W1236" s="360" t="s">
        <v>18</v>
      </c>
      <c r="X1236" s="360">
        <v>24</v>
      </c>
      <c r="Y1236" s="360" t="s">
        <v>42</v>
      </c>
      <c r="Z1236" s="360">
        <v>1</v>
      </c>
      <c r="AA1236" s="360">
        <v>5</v>
      </c>
      <c r="AB1236" s="360">
        <v>20</v>
      </c>
    </row>
    <row r="1237" spans="10:28" x14ac:dyDescent="0.2">
      <c r="J1237" s="358" t="str">
        <f t="shared" si="84"/>
        <v>2003FemaleMaori224</v>
      </c>
      <c r="K1237" s="359">
        <v>2003</v>
      </c>
      <c r="L1237" t="s">
        <v>8</v>
      </c>
      <c r="M1237" t="s">
        <v>18</v>
      </c>
      <c r="N1237">
        <v>22</v>
      </c>
      <c r="O1237">
        <v>4</v>
      </c>
      <c r="P1237">
        <v>3</v>
      </c>
      <c r="Q1237">
        <v>22.908825611188099</v>
      </c>
      <c r="R1237">
        <v>25.9</v>
      </c>
      <c r="T1237" s="358" t="str">
        <f t="shared" si="85"/>
        <v>2001MaleMaori22Hanging, strangulation and suffocation</v>
      </c>
      <c r="U1237" s="360">
        <v>2001</v>
      </c>
      <c r="V1237" s="360" t="s">
        <v>20</v>
      </c>
      <c r="W1237" s="360" t="s">
        <v>18</v>
      </c>
      <c r="X1237" s="360">
        <v>22</v>
      </c>
      <c r="Y1237" s="360" t="s">
        <v>43</v>
      </c>
      <c r="Z1237" s="360">
        <v>17</v>
      </c>
      <c r="AA1237" s="360">
        <v>20</v>
      </c>
      <c r="AB1237" s="360">
        <v>85</v>
      </c>
    </row>
    <row r="1238" spans="10:28" x14ac:dyDescent="0.2">
      <c r="J1238" s="358" t="str">
        <f t="shared" si="84"/>
        <v>2003FemaleMaori225</v>
      </c>
      <c r="K1238" s="359">
        <v>2003</v>
      </c>
      <c r="L1238" t="s">
        <v>8</v>
      </c>
      <c r="M1238" t="s">
        <v>18</v>
      </c>
      <c r="N1238">
        <v>22</v>
      </c>
      <c r="O1238">
        <v>5</v>
      </c>
      <c r="P1238">
        <v>7</v>
      </c>
      <c r="Q1238">
        <v>29.5787148804725</v>
      </c>
      <c r="R1238">
        <v>21.9</v>
      </c>
      <c r="T1238" s="358" t="str">
        <f t="shared" si="85"/>
        <v>2001MaleMaori23Hanging, strangulation and suffocation</v>
      </c>
      <c r="U1238" s="360">
        <v>2001</v>
      </c>
      <c r="V1238" s="360" t="s">
        <v>20</v>
      </c>
      <c r="W1238" s="360" t="s">
        <v>18</v>
      </c>
      <c r="X1238" s="360">
        <v>23</v>
      </c>
      <c r="Y1238" s="360" t="s">
        <v>43</v>
      </c>
      <c r="Z1238" s="360">
        <v>22</v>
      </c>
      <c r="AA1238" s="360">
        <v>31</v>
      </c>
      <c r="AB1238" s="360">
        <v>71</v>
      </c>
    </row>
    <row r="1239" spans="10:28" x14ac:dyDescent="0.2">
      <c r="J1239" s="358" t="str">
        <f t="shared" si="84"/>
        <v>2003FemaleMaori231</v>
      </c>
      <c r="K1239" s="359">
        <v>2003</v>
      </c>
      <c r="L1239" t="s">
        <v>8</v>
      </c>
      <c r="M1239" t="s">
        <v>18</v>
      </c>
      <c r="N1239">
        <v>23</v>
      </c>
      <c r="O1239">
        <v>1</v>
      </c>
      <c r="P1239">
        <v>0</v>
      </c>
      <c r="Q1239">
        <v>0</v>
      </c>
      <c r="T1239" s="358" t="str">
        <f t="shared" si="85"/>
        <v>2001MaleMaori24Hanging, strangulation and suffocation</v>
      </c>
      <c r="U1239" s="360">
        <v>2001</v>
      </c>
      <c r="V1239" s="360" t="s">
        <v>20</v>
      </c>
      <c r="W1239" s="360" t="s">
        <v>18</v>
      </c>
      <c r="X1239" s="360">
        <v>24</v>
      </c>
      <c r="Y1239" s="360" t="s">
        <v>43</v>
      </c>
      <c r="Z1239" s="360">
        <v>2</v>
      </c>
      <c r="AA1239" s="360">
        <v>5</v>
      </c>
      <c r="AB1239" s="360">
        <v>40</v>
      </c>
    </row>
    <row r="1240" spans="10:28" x14ac:dyDescent="0.2">
      <c r="J1240" s="358" t="str">
        <f t="shared" si="84"/>
        <v>2003FemaleMaori232</v>
      </c>
      <c r="K1240" s="359">
        <v>2003</v>
      </c>
      <c r="L1240" t="s">
        <v>8</v>
      </c>
      <c r="M1240" t="s">
        <v>18</v>
      </c>
      <c r="N1240">
        <v>23</v>
      </c>
      <c r="O1240">
        <v>2</v>
      </c>
      <c r="P1240">
        <v>1</v>
      </c>
      <c r="Q1240">
        <v>9.8459522818496801</v>
      </c>
      <c r="R1240">
        <v>19.3</v>
      </c>
      <c r="T1240" s="358" t="str">
        <f t="shared" si="85"/>
        <v>2001MaleMaori25Other</v>
      </c>
      <c r="U1240" s="360">
        <v>2001</v>
      </c>
      <c r="V1240" s="360" t="s">
        <v>20</v>
      </c>
      <c r="W1240" s="360" t="s">
        <v>18</v>
      </c>
      <c r="X1240" s="360">
        <v>25</v>
      </c>
      <c r="Y1240" s="360" t="s">
        <v>45</v>
      </c>
      <c r="Z1240" s="360">
        <v>1</v>
      </c>
      <c r="AA1240" s="360">
        <v>2</v>
      </c>
      <c r="AB1240" s="360">
        <v>50</v>
      </c>
    </row>
    <row r="1241" spans="10:28" x14ac:dyDescent="0.2">
      <c r="J1241" s="358" t="str">
        <f t="shared" si="84"/>
        <v>2003FemaleMaori233</v>
      </c>
      <c r="K1241" s="359">
        <v>2003</v>
      </c>
      <c r="L1241" t="s">
        <v>8</v>
      </c>
      <c r="M1241" t="s">
        <v>18</v>
      </c>
      <c r="N1241">
        <v>23</v>
      </c>
      <c r="O1241">
        <v>3</v>
      </c>
      <c r="P1241">
        <v>1</v>
      </c>
      <c r="Q1241">
        <v>6.9629182348313003</v>
      </c>
      <c r="R1241">
        <v>13.6</v>
      </c>
      <c r="T1241" s="358" t="str">
        <f t="shared" si="85"/>
        <v>2001MaleMaori22Poisoning by gases and vapours</v>
      </c>
      <c r="U1241" s="360">
        <v>2001</v>
      </c>
      <c r="V1241" s="360" t="s">
        <v>20</v>
      </c>
      <c r="W1241" s="360" t="s">
        <v>18</v>
      </c>
      <c r="X1241" s="360">
        <v>22</v>
      </c>
      <c r="Y1241" s="360" t="s">
        <v>46</v>
      </c>
      <c r="Z1241" s="360">
        <v>2</v>
      </c>
      <c r="AA1241" s="360">
        <v>20</v>
      </c>
      <c r="AB1241" s="360">
        <v>10</v>
      </c>
    </row>
    <row r="1242" spans="10:28" x14ac:dyDescent="0.2">
      <c r="J1242" s="358" t="str">
        <f t="shared" si="84"/>
        <v>2003FemaleMaori234</v>
      </c>
      <c r="K1242" s="359">
        <v>2003</v>
      </c>
      <c r="L1242" t="s">
        <v>8</v>
      </c>
      <c r="M1242" t="s">
        <v>18</v>
      </c>
      <c r="N1242">
        <v>23</v>
      </c>
      <c r="O1242">
        <v>4</v>
      </c>
      <c r="P1242">
        <v>2</v>
      </c>
      <c r="Q1242">
        <v>9.3730104596023693</v>
      </c>
      <c r="R1242">
        <v>13</v>
      </c>
      <c r="T1242" s="358" t="str">
        <f t="shared" si="85"/>
        <v>2001MaleMaori23Poisoning by gases and vapours</v>
      </c>
      <c r="U1242" s="360">
        <v>2001</v>
      </c>
      <c r="V1242" s="360" t="s">
        <v>20</v>
      </c>
      <c r="W1242" s="360" t="s">
        <v>18</v>
      </c>
      <c r="X1242" s="360">
        <v>23</v>
      </c>
      <c r="Y1242" s="360" t="s">
        <v>46</v>
      </c>
      <c r="Z1242" s="360">
        <v>4</v>
      </c>
      <c r="AA1242" s="360">
        <v>31</v>
      </c>
      <c r="AB1242" s="360">
        <v>12.9</v>
      </c>
    </row>
    <row r="1243" spans="10:28" x14ac:dyDescent="0.2">
      <c r="J1243" s="358" t="str">
        <f t="shared" si="84"/>
        <v>2003FemaleMaori235</v>
      </c>
      <c r="K1243" s="359">
        <v>2003</v>
      </c>
      <c r="L1243" t="s">
        <v>8</v>
      </c>
      <c r="M1243" t="s">
        <v>18</v>
      </c>
      <c r="N1243">
        <v>23</v>
      </c>
      <c r="O1243">
        <v>5</v>
      </c>
      <c r="P1243">
        <v>3</v>
      </c>
      <c r="Q1243">
        <v>8.1606911925166905</v>
      </c>
      <c r="R1243">
        <v>9.1999999999999993</v>
      </c>
      <c r="T1243" s="358" t="str">
        <f t="shared" si="85"/>
        <v>2001MaleMaori24Poisoning by gases and vapours</v>
      </c>
      <c r="U1243" s="360">
        <v>2001</v>
      </c>
      <c r="V1243" s="360" t="s">
        <v>20</v>
      </c>
      <c r="W1243" s="360" t="s">
        <v>18</v>
      </c>
      <c r="X1243" s="360">
        <v>24</v>
      </c>
      <c r="Y1243" s="360" t="s">
        <v>46</v>
      </c>
      <c r="Z1243" s="360">
        <v>1</v>
      </c>
      <c r="AA1243" s="360">
        <v>5</v>
      </c>
      <c r="AB1243" s="360">
        <v>20</v>
      </c>
    </row>
    <row r="1244" spans="10:28" x14ac:dyDescent="0.2">
      <c r="J1244" s="358" t="str">
        <f t="shared" si="84"/>
        <v>2003FemaleMaori241</v>
      </c>
      <c r="K1244" s="359">
        <v>2003</v>
      </c>
      <c r="L1244" t="s">
        <v>8</v>
      </c>
      <c r="M1244" t="s">
        <v>18</v>
      </c>
      <c r="N1244">
        <v>24</v>
      </c>
      <c r="O1244">
        <v>1</v>
      </c>
      <c r="P1244">
        <v>1</v>
      </c>
      <c r="Q1244">
        <v>28.112012238976501</v>
      </c>
      <c r="R1244">
        <v>55.1</v>
      </c>
      <c r="T1244" s="358" t="str">
        <f t="shared" si="85"/>
        <v>2001MaleMaori25Poisoning by gases and vapours</v>
      </c>
      <c r="U1244" s="360">
        <v>2001</v>
      </c>
      <c r="V1244" s="360" t="s">
        <v>20</v>
      </c>
      <c r="W1244" s="360" t="s">
        <v>18</v>
      </c>
      <c r="X1244" s="360">
        <v>25</v>
      </c>
      <c r="Y1244" s="360" t="s">
        <v>46</v>
      </c>
      <c r="Z1244" s="360">
        <v>1</v>
      </c>
      <c r="AA1244" s="360">
        <v>2</v>
      </c>
      <c r="AB1244" s="360">
        <v>50</v>
      </c>
    </row>
    <row r="1245" spans="10:28" x14ac:dyDescent="0.2">
      <c r="J1245" s="358" t="str">
        <f t="shared" si="84"/>
        <v>2003FemaleMaori242</v>
      </c>
      <c r="K1245" s="359">
        <v>2003</v>
      </c>
      <c r="L1245" t="s">
        <v>8</v>
      </c>
      <c r="M1245" t="s">
        <v>18</v>
      </c>
      <c r="N1245">
        <v>24</v>
      </c>
      <c r="O1245">
        <v>2</v>
      </c>
      <c r="P1245">
        <v>0</v>
      </c>
      <c r="Q1245">
        <v>0</v>
      </c>
      <c r="T1245" s="358" t="str">
        <f t="shared" si="85"/>
        <v>2001MaleMaori23Poisoning by solids and liquids</v>
      </c>
      <c r="U1245" s="360">
        <v>2001</v>
      </c>
      <c r="V1245" s="360" t="s">
        <v>20</v>
      </c>
      <c r="W1245" s="360" t="s">
        <v>18</v>
      </c>
      <c r="X1245" s="360">
        <v>23</v>
      </c>
      <c r="Y1245" s="360" t="s">
        <v>47</v>
      </c>
      <c r="Z1245" s="360">
        <v>2</v>
      </c>
      <c r="AA1245" s="360">
        <v>31</v>
      </c>
      <c r="AB1245" s="360">
        <v>6.5</v>
      </c>
    </row>
    <row r="1246" spans="10:28" x14ac:dyDescent="0.2">
      <c r="J1246" s="358" t="str">
        <f t="shared" si="84"/>
        <v>2003FemaleMaori243</v>
      </c>
      <c r="K1246" s="359">
        <v>2003</v>
      </c>
      <c r="L1246" t="s">
        <v>8</v>
      </c>
      <c r="M1246" t="s">
        <v>18</v>
      </c>
      <c r="N1246">
        <v>24</v>
      </c>
      <c r="O1246">
        <v>3</v>
      </c>
      <c r="P1246">
        <v>0</v>
      </c>
      <c r="Q1246">
        <v>0</v>
      </c>
      <c r="T1246" s="358" t="str">
        <f t="shared" si="85"/>
        <v>2001MaleMaori24Poisoning by solids and liquids</v>
      </c>
      <c r="U1246" s="360">
        <v>2001</v>
      </c>
      <c r="V1246" s="360" t="s">
        <v>20</v>
      </c>
      <c r="W1246" s="360" t="s">
        <v>18</v>
      </c>
      <c r="X1246" s="360">
        <v>24</v>
      </c>
      <c r="Y1246" s="360" t="s">
        <v>47</v>
      </c>
      <c r="Z1246" s="360">
        <v>1</v>
      </c>
      <c r="AA1246" s="360">
        <v>5</v>
      </c>
      <c r="AB1246" s="360">
        <v>20</v>
      </c>
    </row>
    <row r="1247" spans="10:28" x14ac:dyDescent="0.2">
      <c r="J1247" s="358" t="str">
        <f t="shared" si="84"/>
        <v>2003FemaleMaori244</v>
      </c>
      <c r="K1247" s="359">
        <v>2003</v>
      </c>
      <c r="L1247" t="s">
        <v>8</v>
      </c>
      <c r="M1247" t="s">
        <v>18</v>
      </c>
      <c r="N1247">
        <v>24</v>
      </c>
      <c r="O1247">
        <v>4</v>
      </c>
      <c r="P1247">
        <v>0</v>
      </c>
      <c r="Q1247">
        <v>0</v>
      </c>
      <c r="T1247" s="358" t="str">
        <f t="shared" si="85"/>
        <v>2001MaleMaori22Sharp object</v>
      </c>
      <c r="U1247" s="360">
        <v>2001</v>
      </c>
      <c r="V1247" s="360" t="s">
        <v>20</v>
      </c>
      <c r="W1247" s="360" t="s">
        <v>18</v>
      </c>
      <c r="X1247" s="360">
        <v>22</v>
      </c>
      <c r="Y1247" s="360" t="s">
        <v>48</v>
      </c>
      <c r="Z1247" s="360">
        <v>1</v>
      </c>
      <c r="AA1247" s="360">
        <v>20</v>
      </c>
      <c r="AB1247" s="360">
        <v>5</v>
      </c>
    </row>
    <row r="1248" spans="10:28" x14ac:dyDescent="0.2">
      <c r="J1248" s="358" t="str">
        <f t="shared" si="84"/>
        <v>2003FemaleMaori245</v>
      </c>
      <c r="K1248" s="359">
        <v>2003</v>
      </c>
      <c r="L1248" t="s">
        <v>8</v>
      </c>
      <c r="M1248" t="s">
        <v>18</v>
      </c>
      <c r="N1248">
        <v>24</v>
      </c>
      <c r="O1248">
        <v>5</v>
      </c>
      <c r="P1248">
        <v>0</v>
      </c>
      <c r="Q1248">
        <v>0</v>
      </c>
      <c r="T1248" s="358" t="str">
        <f t="shared" si="85"/>
        <v>2001MaleNon-Maori22Firearms and explosives</v>
      </c>
      <c r="U1248" s="360">
        <v>2001</v>
      </c>
      <c r="V1248" s="360" t="s">
        <v>20</v>
      </c>
      <c r="W1248" s="360" t="s">
        <v>19</v>
      </c>
      <c r="X1248" s="360">
        <v>22</v>
      </c>
      <c r="Y1248" s="360" t="s">
        <v>42</v>
      </c>
      <c r="Z1248" s="360">
        <v>5</v>
      </c>
      <c r="AA1248" s="360">
        <v>67</v>
      </c>
      <c r="AB1248" s="360">
        <v>7.5</v>
      </c>
    </row>
    <row r="1249" spans="10:28" x14ac:dyDescent="0.2">
      <c r="J1249" s="358" t="str">
        <f t="shared" si="84"/>
        <v>2003FemaleMaori251</v>
      </c>
      <c r="K1249" s="359">
        <v>2003</v>
      </c>
      <c r="L1249" t="s">
        <v>8</v>
      </c>
      <c r="M1249" t="s">
        <v>18</v>
      </c>
      <c r="N1249">
        <v>25</v>
      </c>
      <c r="O1249">
        <v>1</v>
      </c>
      <c r="P1249">
        <v>0</v>
      </c>
      <c r="Q1249">
        <v>0</v>
      </c>
      <c r="T1249" s="358" t="str">
        <f t="shared" si="85"/>
        <v>2001MaleNon-Maori23Firearms and explosives</v>
      </c>
      <c r="U1249" s="360">
        <v>2001</v>
      </c>
      <c r="V1249" s="360" t="s">
        <v>20</v>
      </c>
      <c r="W1249" s="360" t="s">
        <v>19</v>
      </c>
      <c r="X1249" s="360">
        <v>23</v>
      </c>
      <c r="Y1249" s="360" t="s">
        <v>42</v>
      </c>
      <c r="Z1249" s="360">
        <v>26</v>
      </c>
      <c r="AA1249" s="360">
        <v>158</v>
      </c>
      <c r="AB1249" s="360">
        <v>16.5</v>
      </c>
    </row>
    <row r="1250" spans="10:28" x14ac:dyDescent="0.2">
      <c r="J1250" s="358" t="str">
        <f t="shared" si="84"/>
        <v>2003FemaleMaori252</v>
      </c>
      <c r="K1250" s="359">
        <v>2003</v>
      </c>
      <c r="L1250" t="s">
        <v>8</v>
      </c>
      <c r="M1250" t="s">
        <v>18</v>
      </c>
      <c r="N1250">
        <v>25</v>
      </c>
      <c r="O1250">
        <v>2</v>
      </c>
      <c r="P1250">
        <v>0</v>
      </c>
      <c r="Q1250">
        <v>0</v>
      </c>
      <c r="T1250" s="358" t="str">
        <f t="shared" si="85"/>
        <v>2001MaleNon-Maori24Firearms and explosives</v>
      </c>
      <c r="U1250" s="360">
        <v>2001</v>
      </c>
      <c r="V1250" s="360" t="s">
        <v>20</v>
      </c>
      <c r="W1250" s="360" t="s">
        <v>19</v>
      </c>
      <c r="X1250" s="360">
        <v>24</v>
      </c>
      <c r="Y1250" s="360" t="s">
        <v>42</v>
      </c>
      <c r="Z1250" s="360">
        <v>12</v>
      </c>
      <c r="AA1250" s="360">
        <v>60</v>
      </c>
      <c r="AB1250" s="360">
        <v>20</v>
      </c>
    </row>
    <row r="1251" spans="10:28" x14ac:dyDescent="0.2">
      <c r="J1251" s="358" t="str">
        <f t="shared" si="84"/>
        <v>2003FemaleMaori253</v>
      </c>
      <c r="K1251" s="359">
        <v>2003</v>
      </c>
      <c r="L1251" t="s">
        <v>8</v>
      </c>
      <c r="M1251" t="s">
        <v>18</v>
      </c>
      <c r="N1251">
        <v>25</v>
      </c>
      <c r="O1251">
        <v>3</v>
      </c>
      <c r="P1251">
        <v>0</v>
      </c>
      <c r="Q1251">
        <v>0</v>
      </c>
      <c r="T1251" s="358" t="str">
        <f t="shared" si="85"/>
        <v>2001MaleNon-Maori25Firearms and explosives</v>
      </c>
      <c r="U1251" s="360">
        <v>2001</v>
      </c>
      <c r="V1251" s="360" t="s">
        <v>20</v>
      </c>
      <c r="W1251" s="360" t="s">
        <v>19</v>
      </c>
      <c r="X1251" s="360">
        <v>25</v>
      </c>
      <c r="Y1251" s="360" t="s">
        <v>42</v>
      </c>
      <c r="Z1251" s="360">
        <v>3</v>
      </c>
      <c r="AA1251" s="360">
        <v>46</v>
      </c>
      <c r="AB1251" s="360">
        <v>6.5</v>
      </c>
    </row>
    <row r="1252" spans="10:28" x14ac:dyDescent="0.2">
      <c r="J1252" s="358" t="str">
        <f t="shared" si="84"/>
        <v>2003FemaleMaori254</v>
      </c>
      <c r="K1252" s="359">
        <v>2003</v>
      </c>
      <c r="L1252" t="s">
        <v>8</v>
      </c>
      <c r="M1252" t="s">
        <v>18</v>
      </c>
      <c r="N1252">
        <v>25</v>
      </c>
      <c r="O1252">
        <v>4</v>
      </c>
      <c r="P1252">
        <v>0</v>
      </c>
      <c r="Q1252">
        <v>0</v>
      </c>
      <c r="T1252" s="358" t="str">
        <f t="shared" si="85"/>
        <v>2001MaleNon-Maori21Hanging, strangulation and suffocation</v>
      </c>
      <c r="U1252" s="360">
        <v>2001</v>
      </c>
      <c r="V1252" s="360" t="s">
        <v>20</v>
      </c>
      <c r="W1252" s="360" t="s">
        <v>19</v>
      </c>
      <c r="X1252" s="360">
        <v>21</v>
      </c>
      <c r="Y1252" s="360" t="s">
        <v>43</v>
      </c>
      <c r="Z1252" s="360">
        <v>1</v>
      </c>
      <c r="AA1252" s="360">
        <v>1</v>
      </c>
      <c r="AB1252" s="360">
        <v>100</v>
      </c>
    </row>
    <row r="1253" spans="10:28" x14ac:dyDescent="0.2">
      <c r="J1253" s="358" t="str">
        <f t="shared" si="84"/>
        <v>2003FemaleMaori255</v>
      </c>
      <c r="K1253" s="359">
        <v>2003</v>
      </c>
      <c r="L1253" t="s">
        <v>8</v>
      </c>
      <c r="M1253" t="s">
        <v>18</v>
      </c>
      <c r="N1253">
        <v>25</v>
      </c>
      <c r="O1253">
        <v>5</v>
      </c>
      <c r="P1253">
        <v>0</v>
      </c>
      <c r="Q1253">
        <v>0</v>
      </c>
      <c r="T1253" s="358" t="str">
        <f t="shared" si="85"/>
        <v>2001MaleNon-Maori22Hanging, strangulation and suffocation</v>
      </c>
      <c r="U1253" s="360">
        <v>2001</v>
      </c>
      <c r="V1253" s="360" t="s">
        <v>20</v>
      </c>
      <c r="W1253" s="360" t="s">
        <v>19</v>
      </c>
      <c r="X1253" s="360">
        <v>22</v>
      </c>
      <c r="Y1253" s="360" t="s">
        <v>43</v>
      </c>
      <c r="Z1253" s="360">
        <v>41</v>
      </c>
      <c r="AA1253" s="360">
        <v>67</v>
      </c>
      <c r="AB1253" s="360">
        <v>61.2</v>
      </c>
    </row>
    <row r="1254" spans="10:28" x14ac:dyDescent="0.2">
      <c r="J1254" s="358" t="str">
        <f t="shared" si="84"/>
        <v>2003FemaleNon-Maori211</v>
      </c>
      <c r="K1254" s="359">
        <v>2003</v>
      </c>
      <c r="L1254" t="s">
        <v>8</v>
      </c>
      <c r="M1254" t="s">
        <v>19</v>
      </c>
      <c r="N1254">
        <v>21</v>
      </c>
      <c r="O1254">
        <v>1</v>
      </c>
      <c r="P1254">
        <v>0</v>
      </c>
      <c r="T1254" s="358" t="str">
        <f t="shared" si="85"/>
        <v>2001MaleNon-Maori23Hanging, strangulation and suffocation</v>
      </c>
      <c r="U1254" s="360">
        <v>2001</v>
      </c>
      <c r="V1254" s="360" t="s">
        <v>20</v>
      </c>
      <c r="W1254" s="360" t="s">
        <v>19</v>
      </c>
      <c r="X1254" s="360">
        <v>23</v>
      </c>
      <c r="Y1254" s="360" t="s">
        <v>43</v>
      </c>
      <c r="Z1254" s="360">
        <v>68</v>
      </c>
      <c r="AA1254" s="360">
        <v>158</v>
      </c>
      <c r="AB1254" s="360">
        <v>43</v>
      </c>
    </row>
    <row r="1255" spans="10:28" x14ac:dyDescent="0.2">
      <c r="J1255" s="358" t="str">
        <f t="shared" si="84"/>
        <v>2003FemaleNon-Maori212</v>
      </c>
      <c r="K1255" s="359">
        <v>2003</v>
      </c>
      <c r="L1255" t="s">
        <v>8</v>
      </c>
      <c r="M1255" t="s">
        <v>19</v>
      </c>
      <c r="N1255">
        <v>21</v>
      </c>
      <c r="O1255">
        <v>2</v>
      </c>
      <c r="P1255">
        <v>0</v>
      </c>
      <c r="T1255" s="358" t="str">
        <f t="shared" si="85"/>
        <v>2001MaleNon-Maori24Hanging, strangulation and suffocation</v>
      </c>
      <c r="U1255" s="360">
        <v>2001</v>
      </c>
      <c r="V1255" s="360" t="s">
        <v>20</v>
      </c>
      <c r="W1255" s="360" t="s">
        <v>19</v>
      </c>
      <c r="X1255" s="360">
        <v>24</v>
      </c>
      <c r="Y1255" s="360" t="s">
        <v>43</v>
      </c>
      <c r="Z1255" s="360">
        <v>19</v>
      </c>
      <c r="AA1255" s="360">
        <v>60</v>
      </c>
      <c r="AB1255" s="360">
        <v>31.7</v>
      </c>
    </row>
    <row r="1256" spans="10:28" x14ac:dyDescent="0.2">
      <c r="J1256" s="358" t="str">
        <f t="shared" si="84"/>
        <v>2003FemaleNon-Maori213</v>
      </c>
      <c r="K1256" s="359">
        <v>2003</v>
      </c>
      <c r="L1256" t="s">
        <v>8</v>
      </c>
      <c r="M1256" t="s">
        <v>19</v>
      </c>
      <c r="N1256">
        <v>21</v>
      </c>
      <c r="O1256">
        <v>3</v>
      </c>
      <c r="P1256">
        <v>0</v>
      </c>
      <c r="T1256" s="358" t="str">
        <f t="shared" si="85"/>
        <v>2001MaleNon-Maori25Hanging, strangulation and suffocation</v>
      </c>
      <c r="U1256" s="360">
        <v>2001</v>
      </c>
      <c r="V1256" s="360" t="s">
        <v>20</v>
      </c>
      <c r="W1256" s="360" t="s">
        <v>19</v>
      </c>
      <c r="X1256" s="360">
        <v>25</v>
      </c>
      <c r="Y1256" s="360" t="s">
        <v>43</v>
      </c>
      <c r="Z1256" s="360">
        <v>14</v>
      </c>
      <c r="AA1256" s="360">
        <v>46</v>
      </c>
      <c r="AB1256" s="360">
        <v>30.4</v>
      </c>
    </row>
    <row r="1257" spans="10:28" x14ac:dyDescent="0.2">
      <c r="J1257" s="358" t="str">
        <f t="shared" si="84"/>
        <v>2003FemaleNon-Maori214</v>
      </c>
      <c r="K1257" s="359">
        <v>2003</v>
      </c>
      <c r="L1257" t="s">
        <v>8</v>
      </c>
      <c r="M1257" t="s">
        <v>19</v>
      </c>
      <c r="N1257">
        <v>21</v>
      </c>
      <c r="O1257">
        <v>4</v>
      </c>
      <c r="P1257">
        <v>0</v>
      </c>
      <c r="T1257" s="358" t="str">
        <f t="shared" si="85"/>
        <v>2001MaleNon-Maori22Jumping from a high place</v>
      </c>
      <c r="U1257" s="360">
        <v>2001</v>
      </c>
      <c r="V1257" s="360" t="s">
        <v>20</v>
      </c>
      <c r="W1257" s="360" t="s">
        <v>19</v>
      </c>
      <c r="X1257" s="360">
        <v>22</v>
      </c>
      <c r="Y1257" s="360" t="s">
        <v>44</v>
      </c>
      <c r="Z1257" s="360">
        <v>6</v>
      </c>
      <c r="AA1257" s="360">
        <v>67</v>
      </c>
      <c r="AB1257" s="360">
        <v>9</v>
      </c>
    </row>
    <row r="1258" spans="10:28" x14ac:dyDescent="0.2">
      <c r="J1258" s="358" t="str">
        <f t="shared" si="84"/>
        <v>2003FemaleNon-Maori215</v>
      </c>
      <c r="K1258" s="359">
        <v>2003</v>
      </c>
      <c r="L1258" t="s">
        <v>8</v>
      </c>
      <c r="M1258" t="s">
        <v>19</v>
      </c>
      <c r="N1258">
        <v>21</v>
      </c>
      <c r="O1258">
        <v>5</v>
      </c>
      <c r="P1258">
        <v>0</v>
      </c>
      <c r="T1258" s="358" t="str">
        <f t="shared" si="85"/>
        <v>2001MaleNon-Maori23Jumping from a high place</v>
      </c>
      <c r="U1258" s="360">
        <v>2001</v>
      </c>
      <c r="V1258" s="360" t="s">
        <v>20</v>
      </c>
      <c r="W1258" s="360" t="s">
        <v>19</v>
      </c>
      <c r="X1258" s="360">
        <v>23</v>
      </c>
      <c r="Y1258" s="360" t="s">
        <v>44</v>
      </c>
      <c r="Z1258" s="360">
        <v>3</v>
      </c>
      <c r="AA1258" s="360">
        <v>158</v>
      </c>
      <c r="AB1258" s="360">
        <v>1.9</v>
      </c>
    </row>
    <row r="1259" spans="10:28" x14ac:dyDescent="0.2">
      <c r="J1259" s="358" t="str">
        <f t="shared" si="84"/>
        <v>2003FemaleNon-Maori221</v>
      </c>
      <c r="K1259" s="359">
        <v>2003</v>
      </c>
      <c r="L1259" t="s">
        <v>8</v>
      </c>
      <c r="M1259" t="s">
        <v>19</v>
      </c>
      <c r="N1259">
        <v>22</v>
      </c>
      <c r="O1259">
        <v>1</v>
      </c>
      <c r="P1259">
        <v>4</v>
      </c>
      <c r="Q1259">
        <v>9.2553767876907909</v>
      </c>
      <c r="R1259">
        <v>9.1</v>
      </c>
      <c r="T1259" s="358" t="str">
        <f t="shared" si="85"/>
        <v>2001MaleNon-Maori24Jumping from a high place</v>
      </c>
      <c r="U1259" s="360">
        <v>2001</v>
      </c>
      <c r="V1259" s="360" t="s">
        <v>20</v>
      </c>
      <c r="W1259" s="360" t="s">
        <v>19</v>
      </c>
      <c r="X1259" s="360">
        <v>24</v>
      </c>
      <c r="Y1259" s="360" t="s">
        <v>44</v>
      </c>
      <c r="Z1259" s="360">
        <v>1</v>
      </c>
      <c r="AA1259" s="360">
        <v>60</v>
      </c>
      <c r="AB1259" s="360">
        <v>1.7</v>
      </c>
    </row>
    <row r="1260" spans="10:28" x14ac:dyDescent="0.2">
      <c r="J1260" s="358" t="str">
        <f t="shared" si="84"/>
        <v>2003FemaleNon-Maori222</v>
      </c>
      <c r="K1260" s="359">
        <v>2003</v>
      </c>
      <c r="L1260" t="s">
        <v>8</v>
      </c>
      <c r="M1260" t="s">
        <v>19</v>
      </c>
      <c r="N1260">
        <v>22</v>
      </c>
      <c r="O1260">
        <v>2</v>
      </c>
      <c r="P1260">
        <v>1</v>
      </c>
      <c r="Q1260">
        <v>2.2465732570241501</v>
      </c>
      <c r="R1260">
        <v>4.4000000000000004</v>
      </c>
      <c r="T1260" s="358" t="str">
        <f t="shared" si="85"/>
        <v>2001MaleNon-Maori22Other</v>
      </c>
      <c r="U1260" s="360">
        <v>2001</v>
      </c>
      <c r="V1260" s="360" t="s">
        <v>20</v>
      </c>
      <c r="W1260" s="360" t="s">
        <v>19</v>
      </c>
      <c r="X1260" s="360">
        <v>22</v>
      </c>
      <c r="Y1260" s="360" t="s">
        <v>45</v>
      </c>
      <c r="Z1260" s="360">
        <v>2</v>
      </c>
      <c r="AA1260" s="360">
        <v>67</v>
      </c>
      <c r="AB1260" s="360">
        <v>3</v>
      </c>
    </row>
    <row r="1261" spans="10:28" x14ac:dyDescent="0.2">
      <c r="J1261" s="358" t="str">
        <f t="shared" si="84"/>
        <v>2003FemaleNon-Maori223</v>
      </c>
      <c r="K1261" s="359">
        <v>2003</v>
      </c>
      <c r="L1261" t="s">
        <v>8</v>
      </c>
      <c r="M1261" t="s">
        <v>19</v>
      </c>
      <c r="N1261">
        <v>22</v>
      </c>
      <c r="O1261">
        <v>3</v>
      </c>
      <c r="P1261">
        <v>6</v>
      </c>
      <c r="Q1261">
        <v>13.01249573922</v>
      </c>
      <c r="R1261">
        <v>10.4</v>
      </c>
      <c r="T1261" s="358" t="str">
        <f t="shared" si="85"/>
        <v>2001MaleNon-Maori23Other</v>
      </c>
      <c r="U1261" s="360">
        <v>2001</v>
      </c>
      <c r="V1261" s="360" t="s">
        <v>20</v>
      </c>
      <c r="W1261" s="360" t="s">
        <v>19</v>
      </c>
      <c r="X1261" s="360">
        <v>23</v>
      </c>
      <c r="Y1261" s="360" t="s">
        <v>45</v>
      </c>
      <c r="Z1261" s="360">
        <v>7</v>
      </c>
      <c r="AA1261" s="360">
        <v>158</v>
      </c>
      <c r="AB1261" s="360">
        <v>4.4000000000000004</v>
      </c>
    </row>
    <row r="1262" spans="10:28" x14ac:dyDescent="0.2">
      <c r="J1262" s="358" t="str">
        <f t="shared" si="84"/>
        <v>2003FemaleNon-Maori224</v>
      </c>
      <c r="K1262" s="359">
        <v>2003</v>
      </c>
      <c r="L1262" t="s">
        <v>8</v>
      </c>
      <c r="M1262" t="s">
        <v>19</v>
      </c>
      <c r="N1262">
        <v>22</v>
      </c>
      <c r="O1262">
        <v>4</v>
      </c>
      <c r="P1262">
        <v>3</v>
      </c>
      <c r="Q1262">
        <v>6.3391228418276899</v>
      </c>
      <c r="R1262">
        <v>7.2</v>
      </c>
      <c r="T1262" s="358" t="str">
        <f t="shared" si="85"/>
        <v>2001MaleNon-Maori24Other</v>
      </c>
      <c r="U1262" s="360">
        <v>2001</v>
      </c>
      <c r="V1262" s="360" t="s">
        <v>20</v>
      </c>
      <c r="W1262" s="360" t="s">
        <v>19</v>
      </c>
      <c r="X1262" s="360">
        <v>24</v>
      </c>
      <c r="Y1262" s="360" t="s">
        <v>45</v>
      </c>
      <c r="Z1262" s="360">
        <v>2</v>
      </c>
      <c r="AA1262" s="360">
        <v>60</v>
      </c>
      <c r="AB1262" s="360">
        <v>3.3</v>
      </c>
    </row>
    <row r="1263" spans="10:28" x14ac:dyDescent="0.2">
      <c r="J1263" s="358" t="str">
        <f t="shared" si="84"/>
        <v>2003FemaleNon-Maori225</v>
      </c>
      <c r="K1263" s="359">
        <v>2003</v>
      </c>
      <c r="L1263" t="s">
        <v>8</v>
      </c>
      <c r="M1263" t="s">
        <v>19</v>
      </c>
      <c r="N1263">
        <v>22</v>
      </c>
      <c r="O1263">
        <v>5</v>
      </c>
      <c r="P1263">
        <v>5</v>
      </c>
      <c r="Q1263">
        <v>10.6100892232317</v>
      </c>
      <c r="R1263">
        <v>9.3000000000000007</v>
      </c>
      <c r="T1263" s="358" t="str">
        <f t="shared" si="85"/>
        <v>2001MaleNon-Maori25Other</v>
      </c>
      <c r="U1263" s="360">
        <v>2001</v>
      </c>
      <c r="V1263" s="360" t="s">
        <v>20</v>
      </c>
      <c r="W1263" s="360" t="s">
        <v>19</v>
      </c>
      <c r="X1263" s="360">
        <v>25</v>
      </c>
      <c r="Y1263" s="360" t="s">
        <v>45</v>
      </c>
      <c r="Z1263" s="360">
        <v>5</v>
      </c>
      <c r="AA1263" s="360">
        <v>46</v>
      </c>
      <c r="AB1263" s="360">
        <v>10.9</v>
      </c>
    </row>
    <row r="1264" spans="10:28" x14ac:dyDescent="0.2">
      <c r="J1264" s="358" t="str">
        <f t="shared" si="84"/>
        <v>2003FemaleNon-Maori231</v>
      </c>
      <c r="K1264" s="359">
        <v>2003</v>
      </c>
      <c r="L1264" t="s">
        <v>8</v>
      </c>
      <c r="M1264" t="s">
        <v>19</v>
      </c>
      <c r="N1264">
        <v>23</v>
      </c>
      <c r="O1264">
        <v>1</v>
      </c>
      <c r="P1264">
        <v>7</v>
      </c>
      <c r="Q1264">
        <v>6.0506246746549701</v>
      </c>
      <c r="R1264">
        <v>4.5</v>
      </c>
      <c r="T1264" s="358" t="str">
        <f t="shared" si="85"/>
        <v>2001MaleNon-Maori22Poisoning by gases and vapours</v>
      </c>
      <c r="U1264" s="360">
        <v>2001</v>
      </c>
      <c r="V1264" s="360" t="s">
        <v>20</v>
      </c>
      <c r="W1264" s="360" t="s">
        <v>19</v>
      </c>
      <c r="X1264" s="360">
        <v>22</v>
      </c>
      <c r="Y1264" s="360" t="s">
        <v>46</v>
      </c>
      <c r="Z1264" s="360">
        <v>11</v>
      </c>
      <c r="AA1264" s="360">
        <v>67</v>
      </c>
      <c r="AB1264" s="360">
        <v>16.399999999999999</v>
      </c>
    </row>
    <row r="1265" spans="10:28" x14ac:dyDescent="0.2">
      <c r="J1265" s="358" t="str">
        <f t="shared" si="84"/>
        <v>2003FemaleNon-Maori232</v>
      </c>
      <c r="K1265" s="359">
        <v>2003</v>
      </c>
      <c r="L1265" t="s">
        <v>8</v>
      </c>
      <c r="M1265" t="s">
        <v>19</v>
      </c>
      <c r="N1265">
        <v>23</v>
      </c>
      <c r="O1265">
        <v>2</v>
      </c>
      <c r="P1265">
        <v>4</v>
      </c>
      <c r="Q1265">
        <v>3.43760947197371</v>
      </c>
      <c r="R1265">
        <v>3.4</v>
      </c>
      <c r="T1265" s="358" t="str">
        <f t="shared" si="85"/>
        <v>2001MaleNon-Maori23Poisoning by gases and vapours</v>
      </c>
      <c r="U1265" s="360">
        <v>2001</v>
      </c>
      <c r="V1265" s="360" t="s">
        <v>20</v>
      </c>
      <c r="W1265" s="360" t="s">
        <v>19</v>
      </c>
      <c r="X1265" s="360">
        <v>23</v>
      </c>
      <c r="Y1265" s="360" t="s">
        <v>46</v>
      </c>
      <c r="Z1265" s="360">
        <v>41</v>
      </c>
      <c r="AA1265" s="360">
        <v>158</v>
      </c>
      <c r="AB1265" s="360">
        <v>25.9</v>
      </c>
    </row>
    <row r="1266" spans="10:28" x14ac:dyDescent="0.2">
      <c r="J1266" s="358" t="str">
        <f t="shared" si="84"/>
        <v>2003FemaleNon-Maori233</v>
      </c>
      <c r="K1266" s="359">
        <v>2003</v>
      </c>
      <c r="L1266" t="s">
        <v>8</v>
      </c>
      <c r="M1266" t="s">
        <v>19</v>
      </c>
      <c r="N1266">
        <v>23</v>
      </c>
      <c r="O1266">
        <v>3</v>
      </c>
      <c r="P1266">
        <v>13</v>
      </c>
      <c r="Q1266">
        <v>11.8108285731804</v>
      </c>
      <c r="R1266">
        <v>6.4</v>
      </c>
      <c r="T1266" s="358" t="str">
        <f t="shared" si="85"/>
        <v>2001MaleNon-Maori24Poisoning by gases and vapours</v>
      </c>
      <c r="U1266" s="360">
        <v>2001</v>
      </c>
      <c r="V1266" s="360" t="s">
        <v>20</v>
      </c>
      <c r="W1266" s="360" t="s">
        <v>19</v>
      </c>
      <c r="X1266" s="360">
        <v>24</v>
      </c>
      <c r="Y1266" s="360" t="s">
        <v>46</v>
      </c>
      <c r="Z1266" s="360">
        <v>17</v>
      </c>
      <c r="AA1266" s="360">
        <v>60</v>
      </c>
      <c r="AB1266" s="360">
        <v>28.3</v>
      </c>
    </row>
    <row r="1267" spans="10:28" x14ac:dyDescent="0.2">
      <c r="J1267" s="358" t="str">
        <f t="shared" si="84"/>
        <v>2003FemaleNon-Maori234</v>
      </c>
      <c r="K1267" s="359">
        <v>2003</v>
      </c>
      <c r="L1267" t="s">
        <v>8</v>
      </c>
      <c r="M1267" t="s">
        <v>19</v>
      </c>
      <c r="N1267">
        <v>23</v>
      </c>
      <c r="O1267">
        <v>4</v>
      </c>
      <c r="P1267">
        <v>6</v>
      </c>
      <c r="Q1267">
        <v>6.0576619915856202</v>
      </c>
      <c r="R1267">
        <v>4.8</v>
      </c>
      <c r="T1267" s="358" t="str">
        <f t="shared" si="85"/>
        <v>2001MaleNon-Maori25Poisoning by gases and vapours</v>
      </c>
      <c r="U1267" s="360">
        <v>2001</v>
      </c>
      <c r="V1267" s="360" t="s">
        <v>20</v>
      </c>
      <c r="W1267" s="360" t="s">
        <v>19</v>
      </c>
      <c r="X1267" s="360">
        <v>25</v>
      </c>
      <c r="Y1267" s="360" t="s">
        <v>46</v>
      </c>
      <c r="Z1267" s="360">
        <v>13</v>
      </c>
      <c r="AA1267" s="360">
        <v>46</v>
      </c>
      <c r="AB1267" s="360">
        <v>28.3</v>
      </c>
    </row>
    <row r="1268" spans="10:28" x14ac:dyDescent="0.2">
      <c r="J1268" s="358" t="str">
        <f t="shared" si="84"/>
        <v>2003FemaleNon-Maori235</v>
      </c>
      <c r="K1268" s="359">
        <v>2003</v>
      </c>
      <c r="L1268" t="s">
        <v>8</v>
      </c>
      <c r="M1268" t="s">
        <v>19</v>
      </c>
      <c r="N1268">
        <v>23</v>
      </c>
      <c r="O1268">
        <v>5</v>
      </c>
      <c r="P1268">
        <v>12</v>
      </c>
      <c r="Q1268">
        <v>15.759833557935099</v>
      </c>
      <c r="R1268">
        <v>8.9</v>
      </c>
      <c r="T1268" s="358" t="str">
        <f t="shared" si="85"/>
        <v>2001MaleNon-Maori23Poisoning by solids and liquids</v>
      </c>
      <c r="U1268" s="360">
        <v>2001</v>
      </c>
      <c r="V1268" s="360" t="s">
        <v>20</v>
      </c>
      <c r="W1268" s="360" t="s">
        <v>19</v>
      </c>
      <c r="X1268" s="360">
        <v>23</v>
      </c>
      <c r="Y1268" s="360" t="s">
        <v>47</v>
      </c>
      <c r="Z1268" s="360">
        <v>12</v>
      </c>
      <c r="AA1268" s="360">
        <v>158</v>
      </c>
      <c r="AB1268" s="360">
        <v>7.6</v>
      </c>
    </row>
    <row r="1269" spans="10:28" x14ac:dyDescent="0.2">
      <c r="J1269" s="358" t="str">
        <f t="shared" si="84"/>
        <v>2003FemaleNon-Maori241</v>
      </c>
      <c r="K1269" s="359">
        <v>2003</v>
      </c>
      <c r="L1269" t="s">
        <v>8</v>
      </c>
      <c r="M1269" t="s">
        <v>19</v>
      </c>
      <c r="N1269">
        <v>24</v>
      </c>
      <c r="O1269">
        <v>1</v>
      </c>
      <c r="P1269">
        <v>1</v>
      </c>
      <c r="Q1269">
        <v>0.90161786772076902</v>
      </c>
      <c r="R1269">
        <v>1.8</v>
      </c>
      <c r="T1269" s="358" t="str">
        <f t="shared" si="85"/>
        <v>2001MaleNon-Maori24Poisoning by solids and liquids</v>
      </c>
      <c r="U1269" s="360">
        <v>2001</v>
      </c>
      <c r="V1269" s="360" t="s">
        <v>20</v>
      </c>
      <c r="W1269" s="360" t="s">
        <v>19</v>
      </c>
      <c r="X1269" s="360">
        <v>24</v>
      </c>
      <c r="Y1269" s="360" t="s">
        <v>47</v>
      </c>
      <c r="Z1269" s="360">
        <v>7</v>
      </c>
      <c r="AA1269" s="360">
        <v>60</v>
      </c>
      <c r="AB1269" s="360">
        <v>11.7</v>
      </c>
    </row>
    <row r="1270" spans="10:28" x14ac:dyDescent="0.2">
      <c r="J1270" s="358" t="str">
        <f t="shared" si="84"/>
        <v>2003FemaleNon-Maori242</v>
      </c>
      <c r="K1270" s="359">
        <v>2003</v>
      </c>
      <c r="L1270" t="s">
        <v>8</v>
      </c>
      <c r="M1270" t="s">
        <v>19</v>
      </c>
      <c r="N1270">
        <v>24</v>
      </c>
      <c r="O1270">
        <v>2</v>
      </c>
      <c r="P1270">
        <v>6</v>
      </c>
      <c r="Q1270">
        <v>6.2144533950877401</v>
      </c>
      <c r="R1270">
        <v>5</v>
      </c>
      <c r="T1270" s="358" t="str">
        <f t="shared" si="85"/>
        <v>2001MaleNon-Maori25Poisoning by solids and liquids</v>
      </c>
      <c r="U1270" s="360">
        <v>2001</v>
      </c>
      <c r="V1270" s="360" t="s">
        <v>20</v>
      </c>
      <c r="W1270" s="360" t="s">
        <v>19</v>
      </c>
      <c r="X1270" s="360">
        <v>25</v>
      </c>
      <c r="Y1270" s="360" t="s">
        <v>47</v>
      </c>
      <c r="Z1270" s="360">
        <v>7</v>
      </c>
      <c r="AA1270" s="360">
        <v>46</v>
      </c>
      <c r="AB1270" s="360">
        <v>15.2</v>
      </c>
    </row>
    <row r="1271" spans="10:28" x14ac:dyDescent="0.2">
      <c r="J1271" s="358" t="str">
        <f t="shared" si="84"/>
        <v>2003FemaleNon-Maori243</v>
      </c>
      <c r="K1271" s="359">
        <v>2003</v>
      </c>
      <c r="L1271" t="s">
        <v>8</v>
      </c>
      <c r="M1271" t="s">
        <v>19</v>
      </c>
      <c r="N1271">
        <v>24</v>
      </c>
      <c r="O1271">
        <v>3</v>
      </c>
      <c r="P1271">
        <v>9</v>
      </c>
      <c r="Q1271">
        <v>10.619885980690601</v>
      </c>
      <c r="R1271">
        <v>6.9</v>
      </c>
      <c r="T1271" s="358" t="str">
        <f t="shared" si="85"/>
        <v>2001MaleNon-Maori22Sharp object</v>
      </c>
      <c r="U1271" s="360">
        <v>2001</v>
      </c>
      <c r="V1271" s="360" t="s">
        <v>20</v>
      </c>
      <c r="W1271" s="360" t="s">
        <v>19</v>
      </c>
      <c r="X1271" s="360">
        <v>22</v>
      </c>
      <c r="Y1271" s="360" t="s">
        <v>48</v>
      </c>
      <c r="Z1271" s="360">
        <v>1</v>
      </c>
      <c r="AA1271" s="360">
        <v>67</v>
      </c>
      <c r="AB1271" s="360">
        <v>1.5</v>
      </c>
    </row>
    <row r="1272" spans="10:28" x14ac:dyDescent="0.2">
      <c r="J1272" s="358" t="str">
        <f t="shared" si="84"/>
        <v>2003FemaleNon-Maori244</v>
      </c>
      <c r="K1272" s="359">
        <v>2003</v>
      </c>
      <c r="L1272" t="s">
        <v>8</v>
      </c>
      <c r="M1272" t="s">
        <v>19</v>
      </c>
      <c r="N1272">
        <v>24</v>
      </c>
      <c r="O1272">
        <v>4</v>
      </c>
      <c r="P1272">
        <v>8</v>
      </c>
      <c r="Q1272">
        <v>10.9759282329843</v>
      </c>
      <c r="R1272">
        <v>7.6</v>
      </c>
      <c r="T1272" s="358" t="str">
        <f t="shared" si="85"/>
        <v>2001MaleNon-Maori23Sharp object</v>
      </c>
      <c r="U1272" s="360">
        <v>2001</v>
      </c>
      <c r="V1272" s="360" t="s">
        <v>20</v>
      </c>
      <c r="W1272" s="360" t="s">
        <v>19</v>
      </c>
      <c r="X1272" s="360">
        <v>23</v>
      </c>
      <c r="Y1272" s="360" t="s">
        <v>48</v>
      </c>
      <c r="Z1272" s="360">
        <v>1</v>
      </c>
      <c r="AA1272" s="360">
        <v>158</v>
      </c>
      <c r="AB1272" s="360">
        <v>0.6</v>
      </c>
    </row>
    <row r="1273" spans="10:28" x14ac:dyDescent="0.2">
      <c r="J1273" s="358" t="str">
        <f t="shared" si="84"/>
        <v>2003FemaleNon-Maori245</v>
      </c>
      <c r="K1273" s="359">
        <v>2003</v>
      </c>
      <c r="L1273" t="s">
        <v>8</v>
      </c>
      <c r="M1273" t="s">
        <v>19</v>
      </c>
      <c r="N1273">
        <v>24</v>
      </c>
      <c r="O1273">
        <v>5</v>
      </c>
      <c r="P1273">
        <v>7</v>
      </c>
      <c r="Q1273">
        <v>13.1738167878763</v>
      </c>
      <c r="R1273">
        <v>9.8000000000000007</v>
      </c>
      <c r="T1273" s="358" t="str">
        <f t="shared" si="85"/>
        <v>2001MaleNon-Maori24Sharp object</v>
      </c>
      <c r="U1273" s="360">
        <v>2001</v>
      </c>
      <c r="V1273" s="360" t="s">
        <v>20</v>
      </c>
      <c r="W1273" s="360" t="s">
        <v>19</v>
      </c>
      <c r="X1273" s="360">
        <v>24</v>
      </c>
      <c r="Y1273" s="360" t="s">
        <v>48</v>
      </c>
      <c r="Z1273" s="360">
        <v>2</v>
      </c>
      <c r="AA1273" s="360">
        <v>60</v>
      </c>
      <c r="AB1273" s="360">
        <v>3.3</v>
      </c>
    </row>
    <row r="1274" spans="10:28" x14ac:dyDescent="0.2">
      <c r="J1274" s="358" t="str">
        <f t="shared" si="84"/>
        <v>2003FemaleNon-Maori251</v>
      </c>
      <c r="K1274" s="359">
        <v>2003</v>
      </c>
      <c r="L1274" t="s">
        <v>8</v>
      </c>
      <c r="M1274" t="s">
        <v>19</v>
      </c>
      <c r="N1274">
        <v>25</v>
      </c>
      <c r="O1274">
        <v>1</v>
      </c>
      <c r="P1274">
        <v>2</v>
      </c>
      <c r="Q1274">
        <v>4.1450005921513302</v>
      </c>
      <c r="R1274">
        <v>5.7</v>
      </c>
      <c r="T1274" s="358" t="str">
        <f t="shared" si="85"/>
        <v>2001MaleNon-Maori25Sharp object</v>
      </c>
      <c r="U1274" s="360">
        <v>2001</v>
      </c>
      <c r="V1274" s="360" t="s">
        <v>20</v>
      </c>
      <c r="W1274" s="360" t="s">
        <v>19</v>
      </c>
      <c r="X1274" s="360">
        <v>25</v>
      </c>
      <c r="Y1274" s="360" t="s">
        <v>48</v>
      </c>
      <c r="Z1274" s="360">
        <v>3</v>
      </c>
      <c r="AA1274" s="360">
        <v>46</v>
      </c>
      <c r="AB1274" s="360">
        <v>6.5</v>
      </c>
    </row>
    <row r="1275" spans="10:28" x14ac:dyDescent="0.2">
      <c r="J1275" s="358" t="str">
        <f t="shared" si="84"/>
        <v>2003FemaleNon-Maori252</v>
      </c>
      <c r="K1275" s="359">
        <v>2003</v>
      </c>
      <c r="L1275" t="s">
        <v>8</v>
      </c>
      <c r="M1275" t="s">
        <v>19</v>
      </c>
      <c r="N1275">
        <v>25</v>
      </c>
      <c r="O1275">
        <v>2</v>
      </c>
      <c r="P1275">
        <v>4</v>
      </c>
      <c r="Q1275">
        <v>7.4694403438872703</v>
      </c>
      <c r="R1275">
        <v>7.3</v>
      </c>
      <c r="T1275" s="358" t="str">
        <f t="shared" si="85"/>
        <v>2001MaleNon-Maori22Submersion (drowning)</v>
      </c>
      <c r="U1275" s="360">
        <v>2001</v>
      </c>
      <c r="V1275" s="360" t="s">
        <v>20</v>
      </c>
      <c r="W1275" s="360" t="s">
        <v>19</v>
      </c>
      <c r="X1275" s="360">
        <v>22</v>
      </c>
      <c r="Y1275" s="360" t="s">
        <v>49</v>
      </c>
      <c r="Z1275" s="360">
        <v>1</v>
      </c>
      <c r="AA1275" s="360">
        <v>67</v>
      </c>
      <c r="AB1275" s="360">
        <v>1.5</v>
      </c>
    </row>
    <row r="1276" spans="10:28" x14ac:dyDescent="0.2">
      <c r="J1276" s="358" t="str">
        <f t="shared" si="84"/>
        <v>2003FemaleNon-Maori253</v>
      </c>
      <c r="K1276" s="359">
        <v>2003</v>
      </c>
      <c r="L1276" t="s">
        <v>8</v>
      </c>
      <c r="M1276" t="s">
        <v>19</v>
      </c>
      <c r="N1276">
        <v>25</v>
      </c>
      <c r="O1276">
        <v>3</v>
      </c>
      <c r="P1276">
        <v>4</v>
      </c>
      <c r="Q1276">
        <v>7.1125740812695</v>
      </c>
      <c r="R1276">
        <v>7</v>
      </c>
      <c r="T1276" s="358" t="str">
        <f t="shared" si="85"/>
        <v>2001MaleNon-Maori25Submersion (drowning)</v>
      </c>
      <c r="U1276" s="360">
        <v>2001</v>
      </c>
      <c r="V1276" s="360" t="s">
        <v>20</v>
      </c>
      <c r="W1276" s="360" t="s">
        <v>19</v>
      </c>
      <c r="X1276" s="360">
        <v>25</v>
      </c>
      <c r="Y1276" s="360" t="s">
        <v>49</v>
      </c>
      <c r="Z1276" s="360">
        <v>1</v>
      </c>
      <c r="AA1276" s="360">
        <v>46</v>
      </c>
      <c r="AB1276" s="360">
        <v>2.2000000000000002</v>
      </c>
    </row>
    <row r="1277" spans="10:28" x14ac:dyDescent="0.2">
      <c r="J1277" s="358" t="str">
        <f t="shared" si="84"/>
        <v>2003FemaleNon-Maori254</v>
      </c>
      <c r="K1277" s="359">
        <v>2003</v>
      </c>
      <c r="L1277" t="s">
        <v>8</v>
      </c>
      <c r="M1277" t="s">
        <v>19</v>
      </c>
      <c r="N1277">
        <v>25</v>
      </c>
      <c r="O1277">
        <v>4</v>
      </c>
      <c r="P1277">
        <v>5</v>
      </c>
      <c r="Q1277">
        <v>8.8061010644599307</v>
      </c>
      <c r="R1277">
        <v>7.7</v>
      </c>
      <c r="T1277" s="358" t="str">
        <f t="shared" si="85"/>
        <v>2002AllSexAllEth22Firearms and explosives</v>
      </c>
      <c r="U1277" s="360">
        <v>2002</v>
      </c>
      <c r="V1277" s="360" t="s">
        <v>17</v>
      </c>
      <c r="W1277" s="360" t="s">
        <v>27</v>
      </c>
      <c r="X1277" s="360">
        <v>22</v>
      </c>
      <c r="Y1277" s="360" t="s">
        <v>42</v>
      </c>
      <c r="Z1277" s="360">
        <v>6</v>
      </c>
      <c r="AA1277" s="360">
        <v>96</v>
      </c>
      <c r="AB1277" s="360">
        <v>6.2</v>
      </c>
    </row>
    <row r="1278" spans="10:28" x14ac:dyDescent="0.2">
      <c r="J1278" s="358" t="str">
        <f t="shared" si="84"/>
        <v>2003FemaleNon-Maori255</v>
      </c>
      <c r="K1278" s="359">
        <v>2003</v>
      </c>
      <c r="L1278" t="s">
        <v>8</v>
      </c>
      <c r="M1278" t="s">
        <v>19</v>
      </c>
      <c r="N1278">
        <v>25</v>
      </c>
      <c r="O1278">
        <v>5</v>
      </c>
      <c r="P1278">
        <v>4</v>
      </c>
      <c r="Q1278">
        <v>10.2510692680682</v>
      </c>
      <c r="R1278">
        <v>10</v>
      </c>
      <c r="T1278" s="358" t="str">
        <f t="shared" si="85"/>
        <v>2002AllSexAllEth23Firearms and explosives</v>
      </c>
      <c r="U1278" s="360">
        <v>2002</v>
      </c>
      <c r="V1278" s="360" t="s">
        <v>17</v>
      </c>
      <c r="W1278" s="360" t="s">
        <v>27</v>
      </c>
      <c r="X1278" s="360">
        <v>23</v>
      </c>
      <c r="Y1278" s="360" t="s">
        <v>42</v>
      </c>
      <c r="Z1278" s="360">
        <v>19</v>
      </c>
      <c r="AA1278" s="360">
        <v>213</v>
      </c>
      <c r="AB1278" s="360">
        <v>8.9</v>
      </c>
    </row>
    <row r="1279" spans="10:28" x14ac:dyDescent="0.2">
      <c r="J1279" s="358" t="str">
        <f t="shared" si="84"/>
        <v>2003MaleAllEth211</v>
      </c>
      <c r="K1279" s="359">
        <v>2003</v>
      </c>
      <c r="L1279" t="s">
        <v>20</v>
      </c>
      <c r="M1279" t="s">
        <v>27</v>
      </c>
      <c r="N1279">
        <v>21</v>
      </c>
      <c r="O1279">
        <v>1</v>
      </c>
      <c r="P1279">
        <v>0</v>
      </c>
      <c r="T1279" s="358" t="str">
        <f t="shared" si="85"/>
        <v>2002AllSexAllEth24Firearms and explosives</v>
      </c>
      <c r="U1279" s="360">
        <v>2002</v>
      </c>
      <c r="V1279" s="360" t="s">
        <v>17</v>
      </c>
      <c r="W1279" s="360" t="s">
        <v>27</v>
      </c>
      <c r="X1279" s="360">
        <v>24</v>
      </c>
      <c r="Y1279" s="360" t="s">
        <v>42</v>
      </c>
      <c r="Z1279" s="360">
        <v>17</v>
      </c>
      <c r="AA1279" s="360">
        <v>113</v>
      </c>
      <c r="AB1279" s="360">
        <v>15</v>
      </c>
    </row>
    <row r="1280" spans="10:28" x14ac:dyDescent="0.2">
      <c r="J1280" s="358" t="str">
        <f t="shared" si="84"/>
        <v>2003MaleAllEth212</v>
      </c>
      <c r="K1280" s="359">
        <v>2003</v>
      </c>
      <c r="L1280" t="s">
        <v>20</v>
      </c>
      <c r="M1280" t="s">
        <v>27</v>
      </c>
      <c r="N1280">
        <v>21</v>
      </c>
      <c r="O1280">
        <v>2</v>
      </c>
      <c r="P1280">
        <v>0</v>
      </c>
      <c r="T1280" s="358" t="str">
        <f t="shared" si="85"/>
        <v>2002AllSexAllEth25Firearms and explosives</v>
      </c>
      <c r="U1280" s="360">
        <v>2002</v>
      </c>
      <c r="V1280" s="360" t="s">
        <v>17</v>
      </c>
      <c r="W1280" s="360" t="s">
        <v>27</v>
      </c>
      <c r="X1280" s="360">
        <v>25</v>
      </c>
      <c r="Y1280" s="360" t="s">
        <v>42</v>
      </c>
      <c r="Z1280" s="360">
        <v>7</v>
      </c>
      <c r="AA1280" s="360">
        <v>48</v>
      </c>
      <c r="AB1280" s="360">
        <v>14.6</v>
      </c>
    </row>
    <row r="1281" spans="10:28" x14ac:dyDescent="0.2">
      <c r="J1281" s="358" t="str">
        <f t="shared" si="84"/>
        <v>2003MaleAllEth213</v>
      </c>
      <c r="K1281" s="359">
        <v>2003</v>
      </c>
      <c r="L1281" t="s">
        <v>20</v>
      </c>
      <c r="M1281" t="s">
        <v>27</v>
      </c>
      <c r="N1281">
        <v>21</v>
      </c>
      <c r="O1281">
        <v>3</v>
      </c>
      <c r="P1281">
        <v>0</v>
      </c>
      <c r="T1281" s="358" t="str">
        <f t="shared" si="85"/>
        <v>2002AllSexAllEth22Hanging, strangulation and suffocation</v>
      </c>
      <c r="U1281" s="360">
        <v>2002</v>
      </c>
      <c r="V1281" s="360" t="s">
        <v>17</v>
      </c>
      <c r="W1281" s="360" t="s">
        <v>27</v>
      </c>
      <c r="X1281" s="360">
        <v>22</v>
      </c>
      <c r="Y1281" s="360" t="s">
        <v>43</v>
      </c>
      <c r="Z1281" s="360">
        <v>61</v>
      </c>
      <c r="AA1281" s="360">
        <v>96</v>
      </c>
      <c r="AB1281" s="360">
        <v>63.5</v>
      </c>
    </row>
    <row r="1282" spans="10:28" x14ac:dyDescent="0.2">
      <c r="J1282" s="358" t="str">
        <f t="shared" si="84"/>
        <v>2003MaleAllEth214</v>
      </c>
      <c r="K1282" s="359">
        <v>2003</v>
      </c>
      <c r="L1282" t="s">
        <v>20</v>
      </c>
      <c r="M1282" t="s">
        <v>27</v>
      </c>
      <c r="N1282">
        <v>21</v>
      </c>
      <c r="O1282">
        <v>4</v>
      </c>
      <c r="P1282">
        <v>1</v>
      </c>
      <c r="T1282" s="358" t="str">
        <f t="shared" si="85"/>
        <v>2002AllSexAllEth23Hanging, strangulation and suffocation</v>
      </c>
      <c r="U1282" s="360">
        <v>2002</v>
      </c>
      <c r="V1282" s="360" t="s">
        <v>17</v>
      </c>
      <c r="W1282" s="360" t="s">
        <v>27</v>
      </c>
      <c r="X1282" s="360">
        <v>23</v>
      </c>
      <c r="Y1282" s="360" t="s">
        <v>43</v>
      </c>
      <c r="Z1282" s="360">
        <v>98</v>
      </c>
      <c r="AA1282" s="360">
        <v>213</v>
      </c>
      <c r="AB1282" s="360">
        <v>46</v>
      </c>
    </row>
    <row r="1283" spans="10:28" x14ac:dyDescent="0.2">
      <c r="J1283" s="358" t="str">
        <f t="shared" si="84"/>
        <v>2003MaleAllEth215</v>
      </c>
      <c r="K1283" s="359">
        <v>2003</v>
      </c>
      <c r="L1283" t="s">
        <v>20</v>
      </c>
      <c r="M1283" t="s">
        <v>27</v>
      </c>
      <c r="N1283">
        <v>21</v>
      </c>
      <c r="O1283">
        <v>5</v>
      </c>
      <c r="P1283">
        <v>3</v>
      </c>
      <c r="T1283" s="358" t="str">
        <f t="shared" si="85"/>
        <v>2002AllSexAllEth24Hanging, strangulation and suffocation</v>
      </c>
      <c r="U1283" s="360">
        <v>2002</v>
      </c>
      <c r="V1283" s="360" t="s">
        <v>17</v>
      </c>
      <c r="W1283" s="360" t="s">
        <v>27</v>
      </c>
      <c r="X1283" s="360">
        <v>24</v>
      </c>
      <c r="Y1283" s="360" t="s">
        <v>43</v>
      </c>
      <c r="Z1283" s="360">
        <v>50</v>
      </c>
      <c r="AA1283" s="360">
        <v>113</v>
      </c>
      <c r="AB1283" s="360">
        <v>44.2</v>
      </c>
    </row>
    <row r="1284" spans="10:28" x14ac:dyDescent="0.2">
      <c r="J1284" s="358" t="str">
        <f t="shared" ref="J1284:J1347" si="86">K1284&amp;L1284&amp;M1284&amp;N1284&amp;O1284</f>
        <v>2003MaleAllEth221</v>
      </c>
      <c r="K1284" s="359">
        <v>2003</v>
      </c>
      <c r="L1284" t="s">
        <v>20</v>
      </c>
      <c r="M1284" t="s">
        <v>27</v>
      </c>
      <c r="N1284">
        <v>22</v>
      </c>
      <c r="O1284">
        <v>1</v>
      </c>
      <c r="P1284">
        <v>9</v>
      </c>
      <c r="Q1284">
        <v>17.874208127810501</v>
      </c>
      <c r="R1284">
        <v>11.7</v>
      </c>
      <c r="T1284" s="358" t="str">
        <f t="shared" si="85"/>
        <v>2002AllSexAllEth25Hanging, strangulation and suffocation</v>
      </c>
      <c r="U1284" s="360">
        <v>2002</v>
      </c>
      <c r="V1284" s="360" t="s">
        <v>17</v>
      </c>
      <c r="W1284" s="360" t="s">
        <v>27</v>
      </c>
      <c r="X1284" s="360">
        <v>25</v>
      </c>
      <c r="Y1284" s="360" t="s">
        <v>43</v>
      </c>
      <c r="Z1284" s="360">
        <v>13</v>
      </c>
      <c r="AA1284" s="360">
        <v>48</v>
      </c>
      <c r="AB1284" s="360">
        <v>27.1</v>
      </c>
    </row>
    <row r="1285" spans="10:28" x14ac:dyDescent="0.2">
      <c r="J1285" s="358" t="str">
        <f t="shared" si="86"/>
        <v>2003MaleAllEth222</v>
      </c>
      <c r="K1285" s="359">
        <v>2003</v>
      </c>
      <c r="L1285" t="s">
        <v>20</v>
      </c>
      <c r="M1285" t="s">
        <v>27</v>
      </c>
      <c r="N1285">
        <v>22</v>
      </c>
      <c r="O1285">
        <v>2</v>
      </c>
      <c r="P1285">
        <v>8</v>
      </c>
      <c r="Q1285">
        <v>15.0232020855308</v>
      </c>
      <c r="R1285">
        <v>10.4</v>
      </c>
      <c r="T1285" s="358" t="str">
        <f t="shared" ref="T1285:T1348" si="87">U1285&amp;V1285&amp;W1285&amp;X1285&amp;Y1285</f>
        <v>2002AllSexAllEth22Jumping from a high place</v>
      </c>
      <c r="U1285" s="360">
        <v>2002</v>
      </c>
      <c r="V1285" s="360" t="s">
        <v>17</v>
      </c>
      <c r="W1285" s="360" t="s">
        <v>27</v>
      </c>
      <c r="X1285" s="360">
        <v>22</v>
      </c>
      <c r="Y1285" s="360" t="s">
        <v>44</v>
      </c>
      <c r="Z1285" s="360">
        <v>3</v>
      </c>
      <c r="AA1285" s="360">
        <v>96</v>
      </c>
      <c r="AB1285" s="360">
        <v>3.1</v>
      </c>
    </row>
    <row r="1286" spans="10:28" x14ac:dyDescent="0.2">
      <c r="J1286" s="358" t="str">
        <f t="shared" si="86"/>
        <v>2003MaleAllEth223</v>
      </c>
      <c r="K1286" s="359">
        <v>2003</v>
      </c>
      <c r="L1286" t="s">
        <v>20</v>
      </c>
      <c r="M1286" t="s">
        <v>27</v>
      </c>
      <c r="N1286">
        <v>22</v>
      </c>
      <c r="O1286">
        <v>3</v>
      </c>
      <c r="P1286">
        <v>13</v>
      </c>
      <c r="Q1286">
        <v>22.9354311334816</v>
      </c>
      <c r="R1286">
        <v>12.5</v>
      </c>
      <c r="T1286" s="358" t="str">
        <f t="shared" si="87"/>
        <v>2002AllSexAllEth23Jumping from a high place</v>
      </c>
      <c r="U1286" s="360">
        <v>2002</v>
      </c>
      <c r="V1286" s="360" t="s">
        <v>17</v>
      </c>
      <c r="W1286" s="360" t="s">
        <v>27</v>
      </c>
      <c r="X1286" s="360">
        <v>23</v>
      </c>
      <c r="Y1286" s="360" t="s">
        <v>44</v>
      </c>
      <c r="Z1286" s="360">
        <v>10</v>
      </c>
      <c r="AA1286" s="360">
        <v>213</v>
      </c>
      <c r="AB1286" s="360">
        <v>4.7</v>
      </c>
    </row>
    <row r="1287" spans="10:28" x14ac:dyDescent="0.2">
      <c r="J1287" s="358" t="str">
        <f t="shared" si="86"/>
        <v>2003MaleAllEth224</v>
      </c>
      <c r="K1287" s="359">
        <v>2003</v>
      </c>
      <c r="L1287" t="s">
        <v>20</v>
      </c>
      <c r="M1287" t="s">
        <v>27</v>
      </c>
      <c r="N1287">
        <v>22</v>
      </c>
      <c r="O1287">
        <v>4</v>
      </c>
      <c r="P1287">
        <v>19</v>
      </c>
      <c r="Q1287">
        <v>31.095434792089002</v>
      </c>
      <c r="R1287">
        <v>14</v>
      </c>
      <c r="T1287" s="358" t="str">
        <f t="shared" si="87"/>
        <v>2002AllSexAllEth24Jumping from a high place</v>
      </c>
      <c r="U1287" s="360">
        <v>2002</v>
      </c>
      <c r="V1287" s="360" t="s">
        <v>17</v>
      </c>
      <c r="W1287" s="360" t="s">
        <v>27</v>
      </c>
      <c r="X1287" s="360">
        <v>24</v>
      </c>
      <c r="Y1287" s="360" t="s">
        <v>44</v>
      </c>
      <c r="Z1287" s="360">
        <v>1</v>
      </c>
      <c r="AA1287" s="360">
        <v>113</v>
      </c>
      <c r="AB1287" s="360">
        <v>0.9</v>
      </c>
    </row>
    <row r="1288" spans="10:28" x14ac:dyDescent="0.2">
      <c r="J1288" s="358" t="str">
        <f t="shared" si="86"/>
        <v>2003MaleAllEth225</v>
      </c>
      <c r="K1288" s="359">
        <v>2003</v>
      </c>
      <c r="L1288" t="s">
        <v>20</v>
      </c>
      <c r="M1288" t="s">
        <v>27</v>
      </c>
      <c r="N1288">
        <v>22</v>
      </c>
      <c r="O1288">
        <v>5</v>
      </c>
      <c r="P1288">
        <v>16</v>
      </c>
      <c r="Q1288">
        <v>23.116685094872501</v>
      </c>
      <c r="R1288">
        <v>11.3</v>
      </c>
      <c r="T1288" s="358" t="str">
        <f t="shared" si="87"/>
        <v>2002AllSexAllEth25Jumping from a high place</v>
      </c>
      <c r="U1288" s="360">
        <v>2002</v>
      </c>
      <c r="V1288" s="360" t="s">
        <v>17</v>
      </c>
      <c r="W1288" s="360" t="s">
        <v>27</v>
      </c>
      <c r="X1288" s="360">
        <v>25</v>
      </c>
      <c r="Y1288" s="360" t="s">
        <v>44</v>
      </c>
      <c r="Z1288" s="360">
        <v>5</v>
      </c>
      <c r="AA1288" s="360">
        <v>48</v>
      </c>
      <c r="AB1288" s="360">
        <v>10.4</v>
      </c>
    </row>
    <row r="1289" spans="10:28" x14ac:dyDescent="0.2">
      <c r="J1289" s="358" t="str">
        <f t="shared" si="86"/>
        <v>2003MaleAllEth231</v>
      </c>
      <c r="K1289" s="359">
        <v>2003</v>
      </c>
      <c r="L1289" t="s">
        <v>20</v>
      </c>
      <c r="M1289" t="s">
        <v>27</v>
      </c>
      <c r="N1289">
        <v>23</v>
      </c>
      <c r="O1289">
        <v>1</v>
      </c>
      <c r="P1289">
        <v>19</v>
      </c>
      <c r="Q1289">
        <v>17.3582992540648</v>
      </c>
      <c r="R1289">
        <v>7.8</v>
      </c>
      <c r="T1289" s="358" t="str">
        <f t="shared" si="87"/>
        <v>2002AllSexAllEth22Other</v>
      </c>
      <c r="U1289" s="360">
        <v>2002</v>
      </c>
      <c r="V1289" s="360" t="s">
        <v>17</v>
      </c>
      <c r="W1289" s="360" t="s">
        <v>27</v>
      </c>
      <c r="X1289" s="360">
        <v>22</v>
      </c>
      <c r="Y1289" s="360" t="s">
        <v>45</v>
      </c>
      <c r="Z1289" s="360">
        <v>4</v>
      </c>
      <c r="AA1289" s="360">
        <v>96</v>
      </c>
      <c r="AB1289" s="360">
        <v>4.2</v>
      </c>
    </row>
    <row r="1290" spans="10:28" x14ac:dyDescent="0.2">
      <c r="J1290" s="358" t="str">
        <f t="shared" si="86"/>
        <v>2003MaleAllEth232</v>
      </c>
      <c r="K1290" s="359">
        <v>2003</v>
      </c>
      <c r="L1290" t="s">
        <v>20</v>
      </c>
      <c r="M1290" t="s">
        <v>27</v>
      </c>
      <c r="N1290">
        <v>23</v>
      </c>
      <c r="O1290">
        <v>2</v>
      </c>
      <c r="P1290">
        <v>25</v>
      </c>
      <c r="Q1290">
        <v>21.418207955490601</v>
      </c>
      <c r="R1290">
        <v>8.4</v>
      </c>
      <c r="T1290" s="358" t="str">
        <f t="shared" si="87"/>
        <v>2002AllSexAllEth23Other</v>
      </c>
      <c r="U1290" s="360">
        <v>2002</v>
      </c>
      <c r="V1290" s="360" t="s">
        <v>17</v>
      </c>
      <c r="W1290" s="360" t="s">
        <v>27</v>
      </c>
      <c r="X1290" s="360">
        <v>23</v>
      </c>
      <c r="Y1290" s="360" t="s">
        <v>45</v>
      </c>
      <c r="Z1290" s="360">
        <v>2</v>
      </c>
      <c r="AA1290" s="360">
        <v>213</v>
      </c>
      <c r="AB1290" s="360">
        <v>0.9</v>
      </c>
    </row>
    <row r="1291" spans="10:28" x14ac:dyDescent="0.2">
      <c r="J1291" s="358" t="str">
        <f t="shared" si="86"/>
        <v>2003MaleAllEth233</v>
      </c>
      <c r="K1291" s="359">
        <v>2003</v>
      </c>
      <c r="L1291" t="s">
        <v>20</v>
      </c>
      <c r="M1291" t="s">
        <v>27</v>
      </c>
      <c r="N1291">
        <v>23</v>
      </c>
      <c r="O1291">
        <v>3</v>
      </c>
      <c r="P1291">
        <v>37</v>
      </c>
      <c r="Q1291">
        <v>31.366144997546499</v>
      </c>
      <c r="R1291">
        <v>10.1</v>
      </c>
      <c r="T1291" s="358" t="str">
        <f t="shared" si="87"/>
        <v>2002AllSexAllEth24Other</v>
      </c>
      <c r="U1291" s="360">
        <v>2002</v>
      </c>
      <c r="V1291" s="360" t="s">
        <v>17</v>
      </c>
      <c r="W1291" s="360" t="s">
        <v>27</v>
      </c>
      <c r="X1291" s="360">
        <v>24</v>
      </c>
      <c r="Y1291" s="360" t="s">
        <v>45</v>
      </c>
      <c r="Z1291" s="360">
        <v>9</v>
      </c>
      <c r="AA1291" s="360">
        <v>113</v>
      </c>
      <c r="AB1291" s="360">
        <v>8</v>
      </c>
    </row>
    <row r="1292" spans="10:28" x14ac:dyDescent="0.2">
      <c r="J1292" s="358" t="str">
        <f t="shared" si="86"/>
        <v>2003MaleAllEth234</v>
      </c>
      <c r="K1292" s="359">
        <v>2003</v>
      </c>
      <c r="L1292" t="s">
        <v>20</v>
      </c>
      <c r="M1292" t="s">
        <v>27</v>
      </c>
      <c r="N1292">
        <v>23</v>
      </c>
      <c r="O1292">
        <v>4</v>
      </c>
      <c r="P1292">
        <v>41</v>
      </c>
      <c r="Q1292">
        <v>35.333909825779799</v>
      </c>
      <c r="R1292">
        <v>10.8</v>
      </c>
      <c r="T1292" s="358" t="str">
        <f t="shared" si="87"/>
        <v>2002AllSexAllEth25Other</v>
      </c>
      <c r="U1292" s="360">
        <v>2002</v>
      </c>
      <c r="V1292" s="360" t="s">
        <v>17</v>
      </c>
      <c r="W1292" s="360" t="s">
        <v>27</v>
      </c>
      <c r="X1292" s="360">
        <v>25</v>
      </c>
      <c r="Y1292" s="360" t="s">
        <v>45</v>
      </c>
      <c r="Z1292" s="360">
        <v>1</v>
      </c>
      <c r="AA1292" s="360">
        <v>48</v>
      </c>
      <c r="AB1292" s="360">
        <v>2.1</v>
      </c>
    </row>
    <row r="1293" spans="10:28" x14ac:dyDescent="0.2">
      <c r="J1293" s="358" t="str">
        <f t="shared" si="86"/>
        <v>2003MaleAllEth235</v>
      </c>
      <c r="K1293" s="359">
        <v>2003</v>
      </c>
      <c r="L1293" t="s">
        <v>20</v>
      </c>
      <c r="M1293" t="s">
        <v>27</v>
      </c>
      <c r="N1293">
        <v>23</v>
      </c>
      <c r="O1293">
        <v>5</v>
      </c>
      <c r="P1293">
        <v>36</v>
      </c>
      <c r="Q1293">
        <v>33.622319452056502</v>
      </c>
      <c r="R1293">
        <v>11</v>
      </c>
      <c r="T1293" s="358" t="str">
        <f t="shared" si="87"/>
        <v>2002AllSexAllEth22Poisoning by gases and vapours</v>
      </c>
      <c r="U1293" s="360">
        <v>2002</v>
      </c>
      <c r="V1293" s="360" t="s">
        <v>17</v>
      </c>
      <c r="W1293" s="360" t="s">
        <v>27</v>
      </c>
      <c r="X1293" s="360">
        <v>22</v>
      </c>
      <c r="Y1293" s="360" t="s">
        <v>46</v>
      </c>
      <c r="Z1293" s="360">
        <v>13</v>
      </c>
      <c r="AA1293" s="360">
        <v>96</v>
      </c>
      <c r="AB1293" s="360">
        <v>13.5</v>
      </c>
    </row>
    <row r="1294" spans="10:28" x14ac:dyDescent="0.2">
      <c r="J1294" s="358" t="str">
        <f t="shared" si="86"/>
        <v>2003MaleAllEth241</v>
      </c>
      <c r="K1294" s="359">
        <v>2003</v>
      </c>
      <c r="L1294" t="s">
        <v>20</v>
      </c>
      <c r="M1294" t="s">
        <v>27</v>
      </c>
      <c r="N1294">
        <v>24</v>
      </c>
      <c r="O1294">
        <v>1</v>
      </c>
      <c r="P1294">
        <v>15</v>
      </c>
      <c r="Q1294">
        <v>13.275318637210299</v>
      </c>
      <c r="R1294">
        <v>6.7</v>
      </c>
      <c r="T1294" s="358" t="str">
        <f t="shared" si="87"/>
        <v>2002AllSexAllEth23Poisoning by gases and vapours</v>
      </c>
      <c r="U1294" s="360">
        <v>2002</v>
      </c>
      <c r="V1294" s="360" t="s">
        <v>17</v>
      </c>
      <c r="W1294" s="360" t="s">
        <v>27</v>
      </c>
      <c r="X1294" s="360">
        <v>23</v>
      </c>
      <c r="Y1294" s="360" t="s">
        <v>46</v>
      </c>
      <c r="Z1294" s="360">
        <v>53</v>
      </c>
      <c r="AA1294" s="360">
        <v>213</v>
      </c>
      <c r="AB1294" s="360">
        <v>24.9</v>
      </c>
    </row>
    <row r="1295" spans="10:28" x14ac:dyDescent="0.2">
      <c r="J1295" s="358" t="str">
        <f t="shared" si="86"/>
        <v>2003MaleAllEth242</v>
      </c>
      <c r="K1295" s="359">
        <v>2003</v>
      </c>
      <c r="L1295" t="s">
        <v>20</v>
      </c>
      <c r="M1295" t="s">
        <v>27</v>
      </c>
      <c r="N1295">
        <v>24</v>
      </c>
      <c r="O1295">
        <v>2</v>
      </c>
      <c r="P1295">
        <v>16</v>
      </c>
      <c r="Q1295">
        <v>16.195515790066299</v>
      </c>
      <c r="R1295">
        <v>7.9</v>
      </c>
      <c r="T1295" s="358" t="str">
        <f t="shared" si="87"/>
        <v>2002AllSexAllEth24Poisoning by gases and vapours</v>
      </c>
      <c r="U1295" s="360">
        <v>2002</v>
      </c>
      <c r="V1295" s="360" t="s">
        <v>17</v>
      </c>
      <c r="W1295" s="360" t="s">
        <v>27</v>
      </c>
      <c r="X1295" s="360">
        <v>24</v>
      </c>
      <c r="Y1295" s="360" t="s">
        <v>46</v>
      </c>
      <c r="Z1295" s="360">
        <v>24</v>
      </c>
      <c r="AA1295" s="360">
        <v>113</v>
      </c>
      <c r="AB1295" s="360">
        <v>21.2</v>
      </c>
    </row>
    <row r="1296" spans="10:28" x14ac:dyDescent="0.2">
      <c r="J1296" s="358" t="str">
        <f t="shared" si="86"/>
        <v>2003MaleAllEth243</v>
      </c>
      <c r="K1296" s="359">
        <v>2003</v>
      </c>
      <c r="L1296" t="s">
        <v>20</v>
      </c>
      <c r="M1296" t="s">
        <v>27</v>
      </c>
      <c r="N1296">
        <v>24</v>
      </c>
      <c r="O1296">
        <v>3</v>
      </c>
      <c r="P1296">
        <v>21</v>
      </c>
      <c r="Q1296">
        <v>23.809541340536398</v>
      </c>
      <c r="R1296">
        <v>10.199999999999999</v>
      </c>
      <c r="T1296" s="358" t="str">
        <f t="shared" si="87"/>
        <v>2002AllSexAllEth25Poisoning by gases and vapours</v>
      </c>
      <c r="U1296" s="360">
        <v>2002</v>
      </c>
      <c r="V1296" s="360" t="s">
        <v>17</v>
      </c>
      <c r="W1296" s="360" t="s">
        <v>27</v>
      </c>
      <c r="X1296" s="360">
        <v>25</v>
      </c>
      <c r="Y1296" s="360" t="s">
        <v>46</v>
      </c>
      <c r="Z1296" s="360">
        <v>9</v>
      </c>
      <c r="AA1296" s="360">
        <v>48</v>
      </c>
      <c r="AB1296" s="360">
        <v>18.8</v>
      </c>
    </row>
    <row r="1297" spans="10:28" x14ac:dyDescent="0.2">
      <c r="J1297" s="358" t="str">
        <f t="shared" si="86"/>
        <v>2003MaleAllEth244</v>
      </c>
      <c r="K1297" s="359">
        <v>2003</v>
      </c>
      <c r="L1297" t="s">
        <v>20</v>
      </c>
      <c r="M1297" t="s">
        <v>27</v>
      </c>
      <c r="N1297">
        <v>24</v>
      </c>
      <c r="O1297">
        <v>4</v>
      </c>
      <c r="P1297">
        <v>24</v>
      </c>
      <c r="Q1297">
        <v>29.901430243741</v>
      </c>
      <c r="R1297">
        <v>12</v>
      </c>
      <c r="T1297" s="358" t="str">
        <f t="shared" si="87"/>
        <v>2002AllSexAllEth22Poisoning by solids and liquids</v>
      </c>
      <c r="U1297" s="360">
        <v>2002</v>
      </c>
      <c r="V1297" s="360" t="s">
        <v>17</v>
      </c>
      <c r="W1297" s="360" t="s">
        <v>27</v>
      </c>
      <c r="X1297" s="360">
        <v>22</v>
      </c>
      <c r="Y1297" s="360" t="s">
        <v>47</v>
      </c>
      <c r="Z1297" s="360">
        <v>5</v>
      </c>
      <c r="AA1297" s="360">
        <v>96</v>
      </c>
      <c r="AB1297" s="360">
        <v>5.2</v>
      </c>
    </row>
    <row r="1298" spans="10:28" x14ac:dyDescent="0.2">
      <c r="J1298" s="358" t="str">
        <f t="shared" si="86"/>
        <v>2003MaleAllEth245</v>
      </c>
      <c r="K1298" s="359">
        <v>2003</v>
      </c>
      <c r="L1298" t="s">
        <v>20</v>
      </c>
      <c r="M1298" t="s">
        <v>27</v>
      </c>
      <c r="N1298">
        <v>24</v>
      </c>
      <c r="O1298">
        <v>5</v>
      </c>
      <c r="P1298">
        <v>20</v>
      </c>
      <c r="Q1298">
        <v>28.010447589059002</v>
      </c>
      <c r="R1298">
        <v>12.3</v>
      </c>
      <c r="T1298" s="358" t="str">
        <f t="shared" si="87"/>
        <v>2002AllSexAllEth23Poisoning by solids and liquids</v>
      </c>
      <c r="U1298" s="360">
        <v>2002</v>
      </c>
      <c r="V1298" s="360" t="s">
        <v>17</v>
      </c>
      <c r="W1298" s="360" t="s">
        <v>27</v>
      </c>
      <c r="X1298" s="360">
        <v>23</v>
      </c>
      <c r="Y1298" s="360" t="s">
        <v>47</v>
      </c>
      <c r="Z1298" s="360">
        <v>22</v>
      </c>
      <c r="AA1298" s="360">
        <v>213</v>
      </c>
      <c r="AB1298" s="360">
        <v>10.3</v>
      </c>
    </row>
    <row r="1299" spans="10:28" x14ac:dyDescent="0.2">
      <c r="J1299" s="358" t="str">
        <f t="shared" si="86"/>
        <v>2003MaleAllEth251</v>
      </c>
      <c r="K1299" s="359">
        <v>2003</v>
      </c>
      <c r="L1299" t="s">
        <v>20</v>
      </c>
      <c r="M1299" t="s">
        <v>27</v>
      </c>
      <c r="N1299">
        <v>25</v>
      </c>
      <c r="O1299">
        <v>1</v>
      </c>
      <c r="P1299">
        <v>5</v>
      </c>
      <c r="Q1299">
        <v>11.6451049297856</v>
      </c>
      <c r="R1299">
        <v>10.199999999999999</v>
      </c>
      <c r="T1299" s="358" t="str">
        <f t="shared" si="87"/>
        <v>2002AllSexAllEth24Poisoning by solids and liquids</v>
      </c>
      <c r="U1299" s="360">
        <v>2002</v>
      </c>
      <c r="V1299" s="360" t="s">
        <v>17</v>
      </c>
      <c r="W1299" s="360" t="s">
        <v>27</v>
      </c>
      <c r="X1299" s="360">
        <v>24</v>
      </c>
      <c r="Y1299" s="360" t="s">
        <v>47</v>
      </c>
      <c r="Z1299" s="360">
        <v>11</v>
      </c>
      <c r="AA1299" s="360">
        <v>113</v>
      </c>
      <c r="AB1299" s="360">
        <v>9.6999999999999993</v>
      </c>
    </row>
    <row r="1300" spans="10:28" x14ac:dyDescent="0.2">
      <c r="J1300" s="358" t="str">
        <f t="shared" si="86"/>
        <v>2003MaleAllEth252</v>
      </c>
      <c r="K1300" s="359">
        <v>2003</v>
      </c>
      <c r="L1300" t="s">
        <v>20</v>
      </c>
      <c r="M1300" t="s">
        <v>27</v>
      </c>
      <c r="N1300">
        <v>25</v>
      </c>
      <c r="O1300">
        <v>2</v>
      </c>
      <c r="P1300">
        <v>7</v>
      </c>
      <c r="Q1300">
        <v>15.9876401211278</v>
      </c>
      <c r="R1300">
        <v>11.8</v>
      </c>
      <c r="T1300" s="358" t="str">
        <f t="shared" si="87"/>
        <v>2002AllSexAllEth25Poisoning by solids and liquids</v>
      </c>
      <c r="U1300" s="360">
        <v>2002</v>
      </c>
      <c r="V1300" s="360" t="s">
        <v>17</v>
      </c>
      <c r="W1300" s="360" t="s">
        <v>27</v>
      </c>
      <c r="X1300" s="360">
        <v>25</v>
      </c>
      <c r="Y1300" s="360" t="s">
        <v>47</v>
      </c>
      <c r="Z1300" s="360">
        <v>9</v>
      </c>
      <c r="AA1300" s="360">
        <v>48</v>
      </c>
      <c r="AB1300" s="360">
        <v>18.8</v>
      </c>
    </row>
    <row r="1301" spans="10:28" x14ac:dyDescent="0.2">
      <c r="J1301" s="358" t="str">
        <f t="shared" si="86"/>
        <v>2003MaleAllEth253</v>
      </c>
      <c r="K1301" s="359">
        <v>2003</v>
      </c>
      <c r="L1301" t="s">
        <v>20</v>
      </c>
      <c r="M1301" t="s">
        <v>27</v>
      </c>
      <c r="N1301">
        <v>25</v>
      </c>
      <c r="O1301">
        <v>3</v>
      </c>
      <c r="P1301">
        <v>15</v>
      </c>
      <c r="Q1301">
        <v>33.570558682418699</v>
      </c>
      <c r="R1301">
        <v>17</v>
      </c>
      <c r="T1301" s="358" t="str">
        <f t="shared" si="87"/>
        <v>2002AllSexAllEth22Sharp object</v>
      </c>
      <c r="U1301" s="360">
        <v>2002</v>
      </c>
      <c r="V1301" s="360" t="s">
        <v>17</v>
      </c>
      <c r="W1301" s="360" t="s">
        <v>27</v>
      </c>
      <c r="X1301" s="360">
        <v>22</v>
      </c>
      <c r="Y1301" s="360" t="s">
        <v>48</v>
      </c>
      <c r="Z1301" s="360">
        <v>1</v>
      </c>
      <c r="AA1301" s="360">
        <v>96</v>
      </c>
      <c r="AB1301" s="360">
        <v>1</v>
      </c>
    </row>
    <row r="1302" spans="10:28" x14ac:dyDescent="0.2">
      <c r="J1302" s="358" t="str">
        <f t="shared" si="86"/>
        <v>2003MaleAllEth254</v>
      </c>
      <c r="K1302" s="359">
        <v>2003</v>
      </c>
      <c r="L1302" t="s">
        <v>20</v>
      </c>
      <c r="M1302" t="s">
        <v>27</v>
      </c>
      <c r="N1302">
        <v>25</v>
      </c>
      <c r="O1302">
        <v>4</v>
      </c>
      <c r="P1302">
        <v>10</v>
      </c>
      <c r="Q1302">
        <v>23.012393443493899</v>
      </c>
      <c r="R1302">
        <v>14.3</v>
      </c>
      <c r="T1302" s="358" t="str">
        <f t="shared" si="87"/>
        <v>2002AllSexAllEth23Sharp object</v>
      </c>
      <c r="U1302" s="360">
        <v>2002</v>
      </c>
      <c r="V1302" s="360" t="s">
        <v>17</v>
      </c>
      <c r="W1302" s="360" t="s">
        <v>27</v>
      </c>
      <c r="X1302" s="360">
        <v>23</v>
      </c>
      <c r="Y1302" s="360" t="s">
        <v>48</v>
      </c>
      <c r="Z1302" s="360">
        <v>4</v>
      </c>
      <c r="AA1302" s="360">
        <v>213</v>
      </c>
      <c r="AB1302" s="360">
        <v>1.9</v>
      </c>
    </row>
    <row r="1303" spans="10:28" x14ac:dyDescent="0.2">
      <c r="J1303" s="358" t="str">
        <f t="shared" si="86"/>
        <v>2003MaleAllEth255</v>
      </c>
      <c r="K1303" s="359">
        <v>2003</v>
      </c>
      <c r="L1303" t="s">
        <v>20</v>
      </c>
      <c r="M1303" t="s">
        <v>27</v>
      </c>
      <c r="N1303">
        <v>25</v>
      </c>
      <c r="O1303">
        <v>5</v>
      </c>
      <c r="P1303">
        <v>6</v>
      </c>
      <c r="Q1303">
        <v>17.161083605283601</v>
      </c>
      <c r="R1303">
        <v>13.7</v>
      </c>
      <c r="T1303" s="358" t="str">
        <f t="shared" si="87"/>
        <v>2002AllSexAllEth22Submersion (drowning)</v>
      </c>
      <c r="U1303" s="360">
        <v>2002</v>
      </c>
      <c r="V1303" s="360" t="s">
        <v>17</v>
      </c>
      <c r="W1303" s="360" t="s">
        <v>27</v>
      </c>
      <c r="X1303" s="360">
        <v>22</v>
      </c>
      <c r="Y1303" s="360" t="s">
        <v>49</v>
      </c>
      <c r="Z1303" s="360">
        <v>3</v>
      </c>
      <c r="AA1303" s="360">
        <v>96</v>
      </c>
      <c r="AB1303" s="360">
        <v>3.1</v>
      </c>
    </row>
    <row r="1304" spans="10:28" x14ac:dyDescent="0.2">
      <c r="J1304" s="358" t="str">
        <f t="shared" si="86"/>
        <v>2003MaleMaori211</v>
      </c>
      <c r="K1304" s="359">
        <v>2003</v>
      </c>
      <c r="L1304" t="s">
        <v>20</v>
      </c>
      <c r="M1304" t="s">
        <v>18</v>
      </c>
      <c r="N1304">
        <v>21</v>
      </c>
      <c r="O1304">
        <v>1</v>
      </c>
      <c r="P1304">
        <v>0</v>
      </c>
      <c r="T1304" s="358" t="str">
        <f t="shared" si="87"/>
        <v>2002AllSexAllEth23Submersion (drowning)</v>
      </c>
      <c r="U1304" s="360">
        <v>2002</v>
      </c>
      <c r="V1304" s="360" t="s">
        <v>17</v>
      </c>
      <c r="W1304" s="360" t="s">
        <v>27</v>
      </c>
      <c r="X1304" s="360">
        <v>23</v>
      </c>
      <c r="Y1304" s="360" t="s">
        <v>49</v>
      </c>
      <c r="Z1304" s="360">
        <v>5</v>
      </c>
      <c r="AA1304" s="360">
        <v>213</v>
      </c>
      <c r="AB1304" s="360">
        <v>2.2999999999999998</v>
      </c>
    </row>
    <row r="1305" spans="10:28" x14ac:dyDescent="0.2">
      <c r="J1305" s="358" t="str">
        <f t="shared" si="86"/>
        <v>2003MaleMaori212</v>
      </c>
      <c r="K1305" s="359">
        <v>2003</v>
      </c>
      <c r="L1305" t="s">
        <v>20</v>
      </c>
      <c r="M1305" t="s">
        <v>18</v>
      </c>
      <c r="N1305">
        <v>21</v>
      </c>
      <c r="O1305">
        <v>2</v>
      </c>
      <c r="P1305">
        <v>0</v>
      </c>
      <c r="T1305" s="358" t="str">
        <f t="shared" si="87"/>
        <v>2002AllSexAllEth24Submersion (drowning)</v>
      </c>
      <c r="U1305" s="360">
        <v>2002</v>
      </c>
      <c r="V1305" s="360" t="s">
        <v>17</v>
      </c>
      <c r="W1305" s="360" t="s">
        <v>27</v>
      </c>
      <c r="X1305" s="360">
        <v>24</v>
      </c>
      <c r="Y1305" s="360" t="s">
        <v>49</v>
      </c>
      <c r="Z1305" s="360">
        <v>1</v>
      </c>
      <c r="AA1305" s="360">
        <v>113</v>
      </c>
      <c r="AB1305" s="360">
        <v>0.9</v>
      </c>
    </row>
    <row r="1306" spans="10:28" x14ac:dyDescent="0.2">
      <c r="J1306" s="358" t="str">
        <f t="shared" si="86"/>
        <v>2003MaleMaori213</v>
      </c>
      <c r="K1306" s="359">
        <v>2003</v>
      </c>
      <c r="L1306" t="s">
        <v>20</v>
      </c>
      <c r="M1306" t="s">
        <v>18</v>
      </c>
      <c r="N1306">
        <v>21</v>
      </c>
      <c r="O1306">
        <v>3</v>
      </c>
      <c r="P1306">
        <v>0</v>
      </c>
      <c r="T1306" s="358" t="str">
        <f t="shared" si="87"/>
        <v>2002AllSexAllEth25Submersion (drowning)</v>
      </c>
      <c r="U1306" s="360">
        <v>2002</v>
      </c>
      <c r="V1306" s="360" t="s">
        <v>17</v>
      </c>
      <c r="W1306" s="360" t="s">
        <v>27</v>
      </c>
      <c r="X1306" s="360">
        <v>25</v>
      </c>
      <c r="Y1306" s="360" t="s">
        <v>49</v>
      </c>
      <c r="Z1306" s="360">
        <v>4</v>
      </c>
      <c r="AA1306" s="360">
        <v>48</v>
      </c>
      <c r="AB1306" s="360">
        <v>8.3000000000000007</v>
      </c>
    </row>
    <row r="1307" spans="10:28" x14ac:dyDescent="0.2">
      <c r="J1307" s="358" t="str">
        <f t="shared" si="86"/>
        <v>2003MaleMaori214</v>
      </c>
      <c r="K1307" s="359">
        <v>2003</v>
      </c>
      <c r="L1307" t="s">
        <v>20</v>
      </c>
      <c r="M1307" t="s">
        <v>18</v>
      </c>
      <c r="N1307">
        <v>21</v>
      </c>
      <c r="O1307">
        <v>4</v>
      </c>
      <c r="P1307">
        <v>1</v>
      </c>
      <c r="T1307" s="358" t="str">
        <f t="shared" si="87"/>
        <v>2002AllSexMaori22Firearms and explosives</v>
      </c>
      <c r="U1307" s="360">
        <v>2002</v>
      </c>
      <c r="V1307" s="360" t="s">
        <v>17</v>
      </c>
      <c r="W1307" s="360" t="s">
        <v>18</v>
      </c>
      <c r="X1307" s="360">
        <v>22</v>
      </c>
      <c r="Y1307" s="360" t="s">
        <v>42</v>
      </c>
      <c r="Z1307" s="360">
        <v>2</v>
      </c>
      <c r="AA1307" s="360">
        <v>33</v>
      </c>
      <c r="AB1307" s="360">
        <v>6.1</v>
      </c>
    </row>
    <row r="1308" spans="10:28" x14ac:dyDescent="0.2">
      <c r="J1308" s="358" t="str">
        <f t="shared" si="86"/>
        <v>2003MaleMaori215</v>
      </c>
      <c r="K1308" s="359">
        <v>2003</v>
      </c>
      <c r="L1308" t="s">
        <v>20</v>
      </c>
      <c r="M1308" t="s">
        <v>18</v>
      </c>
      <c r="N1308">
        <v>21</v>
      </c>
      <c r="O1308">
        <v>5</v>
      </c>
      <c r="P1308">
        <v>3</v>
      </c>
      <c r="T1308" s="358" t="str">
        <f t="shared" si="87"/>
        <v>2002AllSexMaori23Firearms and explosives</v>
      </c>
      <c r="U1308" s="360">
        <v>2002</v>
      </c>
      <c r="V1308" s="360" t="s">
        <v>17</v>
      </c>
      <c r="W1308" s="360" t="s">
        <v>18</v>
      </c>
      <c r="X1308" s="360">
        <v>23</v>
      </c>
      <c r="Y1308" s="360" t="s">
        <v>42</v>
      </c>
      <c r="Z1308" s="360">
        <v>1</v>
      </c>
      <c r="AA1308" s="360">
        <v>40</v>
      </c>
      <c r="AB1308" s="360">
        <v>2.5</v>
      </c>
    </row>
    <row r="1309" spans="10:28" x14ac:dyDescent="0.2">
      <c r="J1309" s="358" t="str">
        <f t="shared" si="86"/>
        <v>2003MaleMaori221</v>
      </c>
      <c r="K1309" s="359">
        <v>2003</v>
      </c>
      <c r="L1309" t="s">
        <v>20</v>
      </c>
      <c r="M1309" t="s">
        <v>18</v>
      </c>
      <c r="N1309">
        <v>22</v>
      </c>
      <c r="O1309">
        <v>1</v>
      </c>
      <c r="P1309">
        <v>1</v>
      </c>
      <c r="Q1309">
        <v>24.8029512673521</v>
      </c>
      <c r="R1309">
        <v>48.6</v>
      </c>
      <c r="T1309" s="358" t="str">
        <f t="shared" si="87"/>
        <v>2002AllSexMaori24Firearms and explosives</v>
      </c>
      <c r="U1309" s="360">
        <v>2002</v>
      </c>
      <c r="V1309" s="360" t="s">
        <v>17</v>
      </c>
      <c r="W1309" s="360" t="s">
        <v>18</v>
      </c>
      <c r="X1309" s="360">
        <v>24</v>
      </c>
      <c r="Y1309" s="360" t="s">
        <v>42</v>
      </c>
      <c r="Z1309" s="360">
        <v>1</v>
      </c>
      <c r="AA1309" s="360">
        <v>7</v>
      </c>
      <c r="AB1309" s="360">
        <v>14.3</v>
      </c>
    </row>
    <row r="1310" spans="10:28" x14ac:dyDescent="0.2">
      <c r="J1310" s="358" t="str">
        <f t="shared" si="86"/>
        <v>2003MaleMaori222</v>
      </c>
      <c r="K1310" s="359">
        <v>2003</v>
      </c>
      <c r="L1310" t="s">
        <v>20</v>
      </c>
      <c r="M1310" t="s">
        <v>18</v>
      </c>
      <c r="N1310">
        <v>22</v>
      </c>
      <c r="O1310">
        <v>2</v>
      </c>
      <c r="P1310">
        <v>2</v>
      </c>
      <c r="Q1310">
        <v>33.628358856186097</v>
      </c>
      <c r="R1310">
        <v>46.6</v>
      </c>
      <c r="T1310" s="358" t="str">
        <f t="shared" si="87"/>
        <v>2002AllSexMaori22Hanging, strangulation and suffocation</v>
      </c>
      <c r="U1310" s="360">
        <v>2002</v>
      </c>
      <c r="V1310" s="360" t="s">
        <v>17</v>
      </c>
      <c r="W1310" s="360" t="s">
        <v>18</v>
      </c>
      <c r="X1310" s="360">
        <v>22</v>
      </c>
      <c r="Y1310" s="360" t="s">
        <v>43</v>
      </c>
      <c r="Z1310" s="360">
        <v>27</v>
      </c>
      <c r="AA1310" s="360">
        <v>33</v>
      </c>
      <c r="AB1310" s="360">
        <v>81.8</v>
      </c>
    </row>
    <row r="1311" spans="10:28" x14ac:dyDescent="0.2">
      <c r="J1311" s="358" t="str">
        <f t="shared" si="86"/>
        <v>2003MaleMaori223</v>
      </c>
      <c r="K1311" s="359">
        <v>2003</v>
      </c>
      <c r="L1311" t="s">
        <v>20</v>
      </c>
      <c r="M1311" t="s">
        <v>18</v>
      </c>
      <c r="N1311">
        <v>22</v>
      </c>
      <c r="O1311">
        <v>3</v>
      </c>
      <c r="P1311">
        <v>4</v>
      </c>
      <c r="Q1311">
        <v>45.386410378450002</v>
      </c>
      <c r="R1311">
        <v>44.5</v>
      </c>
      <c r="T1311" s="358" t="str">
        <f t="shared" si="87"/>
        <v>2002AllSexMaori23Hanging, strangulation and suffocation</v>
      </c>
      <c r="U1311" s="360">
        <v>2002</v>
      </c>
      <c r="V1311" s="360" t="s">
        <v>17</v>
      </c>
      <c r="W1311" s="360" t="s">
        <v>18</v>
      </c>
      <c r="X1311" s="360">
        <v>23</v>
      </c>
      <c r="Y1311" s="360" t="s">
        <v>43</v>
      </c>
      <c r="Z1311" s="360">
        <v>29</v>
      </c>
      <c r="AA1311" s="360">
        <v>40</v>
      </c>
      <c r="AB1311" s="360">
        <v>72.5</v>
      </c>
    </row>
    <row r="1312" spans="10:28" x14ac:dyDescent="0.2">
      <c r="J1312" s="358" t="str">
        <f t="shared" si="86"/>
        <v>2003MaleMaori224</v>
      </c>
      <c r="K1312" s="359">
        <v>2003</v>
      </c>
      <c r="L1312" t="s">
        <v>20</v>
      </c>
      <c r="M1312" t="s">
        <v>18</v>
      </c>
      <c r="N1312">
        <v>22</v>
      </c>
      <c r="O1312">
        <v>4</v>
      </c>
      <c r="P1312">
        <v>4</v>
      </c>
      <c r="Q1312">
        <v>31.214506571327899</v>
      </c>
      <c r="R1312">
        <v>30.6</v>
      </c>
      <c r="T1312" s="358" t="str">
        <f t="shared" si="87"/>
        <v>2002AllSexMaori24Hanging, strangulation and suffocation</v>
      </c>
      <c r="U1312" s="360">
        <v>2002</v>
      </c>
      <c r="V1312" s="360" t="s">
        <v>17</v>
      </c>
      <c r="W1312" s="360" t="s">
        <v>18</v>
      </c>
      <c r="X1312" s="360">
        <v>24</v>
      </c>
      <c r="Y1312" s="360" t="s">
        <v>43</v>
      </c>
      <c r="Z1312" s="360">
        <v>5</v>
      </c>
      <c r="AA1312" s="360">
        <v>7</v>
      </c>
      <c r="AB1312" s="360">
        <v>71.400000000000006</v>
      </c>
    </row>
    <row r="1313" spans="10:28" x14ac:dyDescent="0.2">
      <c r="J1313" s="358" t="str">
        <f t="shared" si="86"/>
        <v>2003MaleMaori225</v>
      </c>
      <c r="K1313" s="359">
        <v>2003</v>
      </c>
      <c r="L1313" t="s">
        <v>20</v>
      </c>
      <c r="M1313" t="s">
        <v>18</v>
      </c>
      <c r="N1313">
        <v>22</v>
      </c>
      <c r="O1313">
        <v>5</v>
      </c>
      <c r="P1313">
        <v>9</v>
      </c>
      <c r="Q1313">
        <v>40.959182058679097</v>
      </c>
      <c r="R1313">
        <v>26.8</v>
      </c>
      <c r="T1313" s="358" t="str">
        <f t="shared" si="87"/>
        <v>2002AllSexMaori22Jumping from a high place</v>
      </c>
      <c r="U1313" s="360">
        <v>2002</v>
      </c>
      <c r="V1313" s="360" t="s">
        <v>17</v>
      </c>
      <c r="W1313" s="360" t="s">
        <v>18</v>
      </c>
      <c r="X1313" s="360">
        <v>22</v>
      </c>
      <c r="Y1313" s="360" t="s">
        <v>44</v>
      </c>
      <c r="Z1313" s="360">
        <v>1</v>
      </c>
      <c r="AA1313" s="360">
        <v>33</v>
      </c>
      <c r="AB1313" s="360">
        <v>3</v>
      </c>
    </row>
    <row r="1314" spans="10:28" x14ac:dyDescent="0.2">
      <c r="J1314" s="358" t="str">
        <f t="shared" si="86"/>
        <v>2003MaleMaori231</v>
      </c>
      <c r="K1314" s="359">
        <v>2003</v>
      </c>
      <c r="L1314" t="s">
        <v>20</v>
      </c>
      <c r="M1314" t="s">
        <v>18</v>
      </c>
      <c r="N1314">
        <v>23</v>
      </c>
      <c r="O1314">
        <v>1</v>
      </c>
      <c r="P1314">
        <v>1</v>
      </c>
      <c r="Q1314">
        <v>14.0764177553172</v>
      </c>
      <c r="R1314">
        <v>27.6</v>
      </c>
      <c r="T1314" s="358" t="str">
        <f t="shared" si="87"/>
        <v>2002AllSexMaori22Poisoning by gases and vapours</v>
      </c>
      <c r="U1314" s="360">
        <v>2002</v>
      </c>
      <c r="V1314" s="360" t="s">
        <v>17</v>
      </c>
      <c r="W1314" s="360" t="s">
        <v>18</v>
      </c>
      <c r="X1314" s="360">
        <v>22</v>
      </c>
      <c r="Y1314" s="360" t="s">
        <v>46</v>
      </c>
      <c r="Z1314" s="360">
        <v>2</v>
      </c>
      <c r="AA1314" s="360">
        <v>33</v>
      </c>
      <c r="AB1314" s="360">
        <v>6.1</v>
      </c>
    </row>
    <row r="1315" spans="10:28" x14ac:dyDescent="0.2">
      <c r="J1315" s="358" t="str">
        <f t="shared" si="86"/>
        <v>2003MaleMaori232</v>
      </c>
      <c r="K1315" s="359">
        <v>2003</v>
      </c>
      <c r="L1315" t="s">
        <v>20</v>
      </c>
      <c r="M1315" t="s">
        <v>18</v>
      </c>
      <c r="N1315">
        <v>23</v>
      </c>
      <c r="O1315">
        <v>2</v>
      </c>
      <c r="P1315">
        <v>2</v>
      </c>
      <c r="Q1315">
        <v>19.696416240395799</v>
      </c>
      <c r="R1315">
        <v>27.3</v>
      </c>
      <c r="T1315" s="358" t="str">
        <f t="shared" si="87"/>
        <v>2002AllSexMaori23Poisoning by gases and vapours</v>
      </c>
      <c r="U1315" s="360">
        <v>2002</v>
      </c>
      <c r="V1315" s="360" t="s">
        <v>17</v>
      </c>
      <c r="W1315" s="360" t="s">
        <v>18</v>
      </c>
      <c r="X1315" s="360">
        <v>23</v>
      </c>
      <c r="Y1315" s="360" t="s">
        <v>46</v>
      </c>
      <c r="Z1315" s="360">
        <v>5</v>
      </c>
      <c r="AA1315" s="360">
        <v>40</v>
      </c>
      <c r="AB1315" s="360">
        <v>12.5</v>
      </c>
    </row>
    <row r="1316" spans="10:28" x14ac:dyDescent="0.2">
      <c r="J1316" s="358" t="str">
        <f t="shared" si="86"/>
        <v>2003MaleMaori233</v>
      </c>
      <c r="K1316" s="359">
        <v>2003</v>
      </c>
      <c r="L1316" t="s">
        <v>20</v>
      </c>
      <c r="M1316" t="s">
        <v>18</v>
      </c>
      <c r="N1316">
        <v>23</v>
      </c>
      <c r="O1316">
        <v>3</v>
      </c>
      <c r="P1316">
        <v>9</v>
      </c>
      <c r="Q1316">
        <v>64.243261648849199</v>
      </c>
      <c r="R1316">
        <v>42</v>
      </c>
      <c r="T1316" s="358" t="str">
        <f t="shared" si="87"/>
        <v>2002AllSexMaori24Poisoning by gases and vapours</v>
      </c>
      <c r="U1316" s="360">
        <v>2002</v>
      </c>
      <c r="V1316" s="360" t="s">
        <v>17</v>
      </c>
      <c r="W1316" s="360" t="s">
        <v>18</v>
      </c>
      <c r="X1316" s="360">
        <v>24</v>
      </c>
      <c r="Y1316" s="360" t="s">
        <v>46</v>
      </c>
      <c r="Z1316" s="360">
        <v>1</v>
      </c>
      <c r="AA1316" s="360">
        <v>7</v>
      </c>
      <c r="AB1316" s="360">
        <v>14.3</v>
      </c>
    </row>
    <row r="1317" spans="10:28" x14ac:dyDescent="0.2">
      <c r="J1317" s="358" t="str">
        <f t="shared" si="86"/>
        <v>2003MaleMaori234</v>
      </c>
      <c r="K1317" s="359">
        <v>2003</v>
      </c>
      <c r="L1317" t="s">
        <v>20</v>
      </c>
      <c r="M1317" t="s">
        <v>18</v>
      </c>
      <c r="N1317">
        <v>23</v>
      </c>
      <c r="O1317">
        <v>4</v>
      </c>
      <c r="P1317">
        <v>8</v>
      </c>
      <c r="Q1317">
        <v>41.661178969329299</v>
      </c>
      <c r="R1317">
        <v>28.9</v>
      </c>
      <c r="T1317" s="358" t="str">
        <f t="shared" si="87"/>
        <v>2002AllSexMaori22Poisoning by solids and liquids</v>
      </c>
      <c r="U1317" s="360">
        <v>2002</v>
      </c>
      <c r="V1317" s="360" t="s">
        <v>17</v>
      </c>
      <c r="W1317" s="360" t="s">
        <v>18</v>
      </c>
      <c r="X1317" s="360">
        <v>22</v>
      </c>
      <c r="Y1317" s="360" t="s">
        <v>47</v>
      </c>
      <c r="Z1317" s="360">
        <v>1</v>
      </c>
      <c r="AA1317" s="360">
        <v>33</v>
      </c>
      <c r="AB1317" s="360">
        <v>3</v>
      </c>
    </row>
    <row r="1318" spans="10:28" x14ac:dyDescent="0.2">
      <c r="J1318" s="358" t="str">
        <f t="shared" si="86"/>
        <v>2003MaleMaori235</v>
      </c>
      <c r="K1318" s="359">
        <v>2003</v>
      </c>
      <c r="L1318" t="s">
        <v>20</v>
      </c>
      <c r="M1318" t="s">
        <v>18</v>
      </c>
      <c r="N1318">
        <v>23</v>
      </c>
      <c r="O1318">
        <v>5</v>
      </c>
      <c r="P1318">
        <v>17</v>
      </c>
      <c r="Q1318">
        <v>56.856172150106602</v>
      </c>
      <c r="R1318">
        <v>27</v>
      </c>
      <c r="T1318" s="358" t="str">
        <f t="shared" si="87"/>
        <v>2002AllSexMaori23Poisoning by solids and liquids</v>
      </c>
      <c r="U1318" s="360">
        <v>2002</v>
      </c>
      <c r="V1318" s="360" t="s">
        <v>17</v>
      </c>
      <c r="W1318" s="360" t="s">
        <v>18</v>
      </c>
      <c r="X1318" s="360">
        <v>23</v>
      </c>
      <c r="Y1318" s="360" t="s">
        <v>47</v>
      </c>
      <c r="Z1318" s="360">
        <v>4</v>
      </c>
      <c r="AA1318" s="360">
        <v>40</v>
      </c>
      <c r="AB1318" s="360">
        <v>10</v>
      </c>
    </row>
    <row r="1319" spans="10:28" x14ac:dyDescent="0.2">
      <c r="J1319" s="358" t="str">
        <f t="shared" si="86"/>
        <v>2003MaleMaori241</v>
      </c>
      <c r="K1319" s="359">
        <v>2003</v>
      </c>
      <c r="L1319" t="s">
        <v>20</v>
      </c>
      <c r="M1319" t="s">
        <v>18</v>
      </c>
      <c r="N1319">
        <v>24</v>
      </c>
      <c r="O1319">
        <v>1</v>
      </c>
      <c r="P1319">
        <v>1</v>
      </c>
      <c r="Q1319">
        <v>27.019910432317602</v>
      </c>
      <c r="R1319">
        <v>53</v>
      </c>
      <c r="T1319" s="358" t="str">
        <f t="shared" si="87"/>
        <v>2002AllSexMaori23Sharp object</v>
      </c>
      <c r="U1319" s="360">
        <v>2002</v>
      </c>
      <c r="V1319" s="360" t="s">
        <v>17</v>
      </c>
      <c r="W1319" s="360" t="s">
        <v>18</v>
      </c>
      <c r="X1319" s="360">
        <v>23</v>
      </c>
      <c r="Y1319" s="360" t="s">
        <v>48</v>
      </c>
      <c r="Z1319" s="360">
        <v>1</v>
      </c>
      <c r="AA1319" s="360">
        <v>40</v>
      </c>
      <c r="AB1319" s="360">
        <v>2.5</v>
      </c>
    </row>
    <row r="1320" spans="10:28" x14ac:dyDescent="0.2">
      <c r="J1320" s="358" t="str">
        <f t="shared" si="86"/>
        <v>2003MaleMaori242</v>
      </c>
      <c r="K1320" s="359">
        <v>2003</v>
      </c>
      <c r="L1320" t="s">
        <v>20</v>
      </c>
      <c r="M1320" t="s">
        <v>18</v>
      </c>
      <c r="N1320">
        <v>24</v>
      </c>
      <c r="O1320">
        <v>2</v>
      </c>
      <c r="P1320">
        <v>0</v>
      </c>
      <c r="Q1320">
        <v>0</v>
      </c>
      <c r="T1320" s="358" t="str">
        <f t="shared" si="87"/>
        <v>2002AllSexNon-Maori22Firearms and explosives</v>
      </c>
      <c r="U1320" s="360">
        <v>2002</v>
      </c>
      <c r="V1320" s="360" t="s">
        <v>17</v>
      </c>
      <c r="W1320" s="360" t="s">
        <v>19</v>
      </c>
      <c r="X1320" s="360">
        <v>22</v>
      </c>
      <c r="Y1320" s="360" t="s">
        <v>42</v>
      </c>
      <c r="Z1320" s="360">
        <v>4</v>
      </c>
      <c r="AA1320" s="360">
        <v>63</v>
      </c>
      <c r="AB1320" s="360">
        <v>6.3</v>
      </c>
    </row>
    <row r="1321" spans="10:28" x14ac:dyDescent="0.2">
      <c r="J1321" s="358" t="str">
        <f t="shared" si="86"/>
        <v>2003MaleMaori243</v>
      </c>
      <c r="K1321" s="359">
        <v>2003</v>
      </c>
      <c r="L1321" t="s">
        <v>20</v>
      </c>
      <c r="M1321" t="s">
        <v>18</v>
      </c>
      <c r="N1321">
        <v>24</v>
      </c>
      <c r="O1321">
        <v>3</v>
      </c>
      <c r="P1321">
        <v>1</v>
      </c>
      <c r="Q1321">
        <v>14.6558065743888</v>
      </c>
      <c r="R1321">
        <v>28.7</v>
      </c>
      <c r="T1321" s="358" t="str">
        <f t="shared" si="87"/>
        <v>2002AllSexNon-Maori23Firearms and explosives</v>
      </c>
      <c r="U1321" s="360">
        <v>2002</v>
      </c>
      <c r="V1321" s="360" t="s">
        <v>17</v>
      </c>
      <c r="W1321" s="360" t="s">
        <v>19</v>
      </c>
      <c r="X1321" s="360">
        <v>23</v>
      </c>
      <c r="Y1321" s="360" t="s">
        <v>42</v>
      </c>
      <c r="Z1321" s="360">
        <v>18</v>
      </c>
      <c r="AA1321" s="360">
        <v>173</v>
      </c>
      <c r="AB1321" s="360">
        <v>10.4</v>
      </c>
    </row>
    <row r="1322" spans="10:28" x14ac:dyDescent="0.2">
      <c r="J1322" s="358" t="str">
        <f t="shared" si="86"/>
        <v>2003MaleMaori244</v>
      </c>
      <c r="K1322" s="359">
        <v>2003</v>
      </c>
      <c r="L1322" t="s">
        <v>20</v>
      </c>
      <c r="M1322" t="s">
        <v>18</v>
      </c>
      <c r="N1322">
        <v>24</v>
      </c>
      <c r="O1322">
        <v>4</v>
      </c>
      <c r="P1322">
        <v>1</v>
      </c>
      <c r="Q1322">
        <v>10.5297124395235</v>
      </c>
      <c r="R1322">
        <v>20.6</v>
      </c>
      <c r="T1322" s="358" t="str">
        <f t="shared" si="87"/>
        <v>2002AllSexNon-Maori24Firearms and explosives</v>
      </c>
      <c r="U1322" s="360">
        <v>2002</v>
      </c>
      <c r="V1322" s="360" t="s">
        <v>17</v>
      </c>
      <c r="W1322" s="360" t="s">
        <v>19</v>
      </c>
      <c r="X1322" s="360">
        <v>24</v>
      </c>
      <c r="Y1322" s="360" t="s">
        <v>42</v>
      </c>
      <c r="Z1322" s="360">
        <v>16</v>
      </c>
      <c r="AA1322" s="360">
        <v>106</v>
      </c>
      <c r="AB1322" s="360">
        <v>15.1</v>
      </c>
    </row>
    <row r="1323" spans="10:28" x14ac:dyDescent="0.2">
      <c r="J1323" s="358" t="str">
        <f t="shared" si="86"/>
        <v>2003MaleMaori245</v>
      </c>
      <c r="K1323" s="359">
        <v>2003</v>
      </c>
      <c r="L1323" t="s">
        <v>20</v>
      </c>
      <c r="M1323" t="s">
        <v>18</v>
      </c>
      <c r="N1323">
        <v>24</v>
      </c>
      <c r="O1323">
        <v>5</v>
      </c>
      <c r="P1323">
        <v>1</v>
      </c>
      <c r="Q1323">
        <v>6.1240968965764502</v>
      </c>
      <c r="R1323">
        <v>12</v>
      </c>
      <c r="T1323" s="358" t="str">
        <f t="shared" si="87"/>
        <v>2002AllSexNon-Maori25Firearms and explosives</v>
      </c>
      <c r="U1323" s="360">
        <v>2002</v>
      </c>
      <c r="V1323" s="360" t="s">
        <v>17</v>
      </c>
      <c r="W1323" s="360" t="s">
        <v>19</v>
      </c>
      <c r="X1323" s="360">
        <v>25</v>
      </c>
      <c r="Y1323" s="360" t="s">
        <v>42</v>
      </c>
      <c r="Z1323" s="360">
        <v>7</v>
      </c>
      <c r="AA1323" s="360">
        <v>48</v>
      </c>
      <c r="AB1323" s="360">
        <v>14.6</v>
      </c>
    </row>
    <row r="1324" spans="10:28" x14ac:dyDescent="0.2">
      <c r="J1324" s="358" t="str">
        <f t="shared" si="86"/>
        <v>2003MaleMaori251</v>
      </c>
      <c r="K1324" s="359">
        <v>2003</v>
      </c>
      <c r="L1324" t="s">
        <v>20</v>
      </c>
      <c r="M1324" t="s">
        <v>18</v>
      </c>
      <c r="N1324">
        <v>25</v>
      </c>
      <c r="O1324">
        <v>1</v>
      </c>
      <c r="P1324">
        <v>0</v>
      </c>
      <c r="Q1324">
        <v>0</v>
      </c>
      <c r="T1324" s="358" t="str">
        <f t="shared" si="87"/>
        <v>2002AllSexNon-Maori22Hanging, strangulation and suffocation</v>
      </c>
      <c r="U1324" s="360">
        <v>2002</v>
      </c>
      <c r="V1324" s="360" t="s">
        <v>17</v>
      </c>
      <c r="W1324" s="360" t="s">
        <v>19</v>
      </c>
      <c r="X1324" s="360">
        <v>22</v>
      </c>
      <c r="Y1324" s="360" t="s">
        <v>43</v>
      </c>
      <c r="Z1324" s="360">
        <v>34</v>
      </c>
      <c r="AA1324" s="360">
        <v>63</v>
      </c>
      <c r="AB1324" s="360">
        <v>54</v>
      </c>
    </row>
    <row r="1325" spans="10:28" x14ac:dyDescent="0.2">
      <c r="J1325" s="358" t="str">
        <f t="shared" si="86"/>
        <v>2003MaleMaori252</v>
      </c>
      <c r="K1325" s="359">
        <v>2003</v>
      </c>
      <c r="L1325" t="s">
        <v>20</v>
      </c>
      <c r="M1325" t="s">
        <v>18</v>
      </c>
      <c r="N1325">
        <v>25</v>
      </c>
      <c r="O1325">
        <v>2</v>
      </c>
      <c r="P1325">
        <v>0</v>
      </c>
      <c r="Q1325">
        <v>0</v>
      </c>
      <c r="T1325" s="358" t="str">
        <f t="shared" si="87"/>
        <v>2002AllSexNon-Maori23Hanging, strangulation and suffocation</v>
      </c>
      <c r="U1325" s="360">
        <v>2002</v>
      </c>
      <c r="V1325" s="360" t="s">
        <v>17</v>
      </c>
      <c r="W1325" s="360" t="s">
        <v>19</v>
      </c>
      <c r="X1325" s="360">
        <v>23</v>
      </c>
      <c r="Y1325" s="360" t="s">
        <v>43</v>
      </c>
      <c r="Z1325" s="360">
        <v>69</v>
      </c>
      <c r="AA1325" s="360">
        <v>173</v>
      </c>
      <c r="AB1325" s="360">
        <v>39.9</v>
      </c>
    </row>
    <row r="1326" spans="10:28" x14ac:dyDescent="0.2">
      <c r="J1326" s="358" t="str">
        <f t="shared" si="86"/>
        <v>2003MaleMaori253</v>
      </c>
      <c r="K1326" s="359">
        <v>2003</v>
      </c>
      <c r="L1326" t="s">
        <v>20</v>
      </c>
      <c r="M1326" t="s">
        <v>18</v>
      </c>
      <c r="N1326">
        <v>25</v>
      </c>
      <c r="O1326">
        <v>3</v>
      </c>
      <c r="P1326">
        <v>0</v>
      </c>
      <c r="Q1326">
        <v>0</v>
      </c>
      <c r="T1326" s="358" t="str">
        <f t="shared" si="87"/>
        <v>2002AllSexNon-Maori24Hanging, strangulation and suffocation</v>
      </c>
      <c r="U1326" s="360">
        <v>2002</v>
      </c>
      <c r="V1326" s="360" t="s">
        <v>17</v>
      </c>
      <c r="W1326" s="360" t="s">
        <v>19</v>
      </c>
      <c r="X1326" s="360">
        <v>24</v>
      </c>
      <c r="Y1326" s="360" t="s">
        <v>43</v>
      </c>
      <c r="Z1326" s="360">
        <v>45</v>
      </c>
      <c r="AA1326" s="360">
        <v>106</v>
      </c>
      <c r="AB1326" s="360">
        <v>42.5</v>
      </c>
    </row>
    <row r="1327" spans="10:28" x14ac:dyDescent="0.2">
      <c r="J1327" s="358" t="str">
        <f t="shared" si="86"/>
        <v>2003MaleMaori254</v>
      </c>
      <c r="K1327" s="359">
        <v>2003</v>
      </c>
      <c r="L1327" t="s">
        <v>20</v>
      </c>
      <c r="M1327" t="s">
        <v>18</v>
      </c>
      <c r="N1327">
        <v>25</v>
      </c>
      <c r="O1327">
        <v>4</v>
      </c>
      <c r="P1327">
        <v>0</v>
      </c>
      <c r="Q1327">
        <v>0</v>
      </c>
      <c r="T1327" s="358" t="str">
        <f t="shared" si="87"/>
        <v>2002AllSexNon-Maori25Hanging, strangulation and suffocation</v>
      </c>
      <c r="U1327" s="360">
        <v>2002</v>
      </c>
      <c r="V1327" s="360" t="s">
        <v>17</v>
      </c>
      <c r="W1327" s="360" t="s">
        <v>19</v>
      </c>
      <c r="X1327" s="360">
        <v>25</v>
      </c>
      <c r="Y1327" s="360" t="s">
        <v>43</v>
      </c>
      <c r="Z1327" s="360">
        <v>13</v>
      </c>
      <c r="AA1327" s="360">
        <v>48</v>
      </c>
      <c r="AB1327" s="360">
        <v>27.1</v>
      </c>
    </row>
    <row r="1328" spans="10:28" x14ac:dyDescent="0.2">
      <c r="J1328" s="358" t="str">
        <f t="shared" si="86"/>
        <v>2003MaleMaori255</v>
      </c>
      <c r="K1328" s="359">
        <v>2003</v>
      </c>
      <c r="L1328" t="s">
        <v>20</v>
      </c>
      <c r="M1328" t="s">
        <v>18</v>
      </c>
      <c r="N1328">
        <v>25</v>
      </c>
      <c r="O1328">
        <v>5</v>
      </c>
      <c r="P1328">
        <v>0</v>
      </c>
      <c r="Q1328">
        <v>0</v>
      </c>
      <c r="T1328" s="358" t="str">
        <f t="shared" si="87"/>
        <v>2002AllSexNon-Maori22Jumping from a high place</v>
      </c>
      <c r="U1328" s="360">
        <v>2002</v>
      </c>
      <c r="V1328" s="360" t="s">
        <v>17</v>
      </c>
      <c r="W1328" s="360" t="s">
        <v>19</v>
      </c>
      <c r="X1328" s="360">
        <v>22</v>
      </c>
      <c r="Y1328" s="360" t="s">
        <v>44</v>
      </c>
      <c r="Z1328" s="360">
        <v>2</v>
      </c>
      <c r="AA1328" s="360">
        <v>63</v>
      </c>
      <c r="AB1328" s="360">
        <v>3.2</v>
      </c>
    </row>
    <row r="1329" spans="10:28" x14ac:dyDescent="0.2">
      <c r="J1329" s="358" t="str">
        <f t="shared" si="86"/>
        <v>2003MaleNon-Maori211</v>
      </c>
      <c r="K1329" s="359">
        <v>2003</v>
      </c>
      <c r="L1329" t="s">
        <v>20</v>
      </c>
      <c r="M1329" t="s">
        <v>19</v>
      </c>
      <c r="N1329">
        <v>21</v>
      </c>
      <c r="O1329">
        <v>1</v>
      </c>
      <c r="P1329">
        <v>0</v>
      </c>
      <c r="T1329" s="358" t="str">
        <f t="shared" si="87"/>
        <v>2002AllSexNon-Maori23Jumping from a high place</v>
      </c>
      <c r="U1329" s="360">
        <v>2002</v>
      </c>
      <c r="V1329" s="360" t="s">
        <v>17</v>
      </c>
      <c r="W1329" s="360" t="s">
        <v>19</v>
      </c>
      <c r="X1329" s="360">
        <v>23</v>
      </c>
      <c r="Y1329" s="360" t="s">
        <v>44</v>
      </c>
      <c r="Z1329" s="360">
        <v>10</v>
      </c>
      <c r="AA1329" s="360">
        <v>173</v>
      </c>
      <c r="AB1329" s="360">
        <v>5.8</v>
      </c>
    </row>
    <row r="1330" spans="10:28" x14ac:dyDescent="0.2">
      <c r="J1330" s="358" t="str">
        <f t="shared" si="86"/>
        <v>2003MaleNon-Maori212</v>
      </c>
      <c r="K1330" s="359">
        <v>2003</v>
      </c>
      <c r="L1330" t="s">
        <v>20</v>
      </c>
      <c r="M1330" t="s">
        <v>19</v>
      </c>
      <c r="N1330">
        <v>21</v>
      </c>
      <c r="O1330">
        <v>2</v>
      </c>
      <c r="P1330">
        <v>0</v>
      </c>
      <c r="T1330" s="358" t="str">
        <f t="shared" si="87"/>
        <v>2002AllSexNon-Maori24Jumping from a high place</v>
      </c>
      <c r="U1330" s="360">
        <v>2002</v>
      </c>
      <c r="V1330" s="360" t="s">
        <v>17</v>
      </c>
      <c r="W1330" s="360" t="s">
        <v>19</v>
      </c>
      <c r="X1330" s="360">
        <v>24</v>
      </c>
      <c r="Y1330" s="360" t="s">
        <v>44</v>
      </c>
      <c r="Z1330" s="360">
        <v>1</v>
      </c>
      <c r="AA1330" s="360">
        <v>106</v>
      </c>
      <c r="AB1330" s="360">
        <v>0.9</v>
      </c>
    </row>
    <row r="1331" spans="10:28" x14ac:dyDescent="0.2">
      <c r="J1331" s="358" t="str">
        <f t="shared" si="86"/>
        <v>2003MaleNon-Maori213</v>
      </c>
      <c r="K1331" s="359">
        <v>2003</v>
      </c>
      <c r="L1331" t="s">
        <v>20</v>
      </c>
      <c r="M1331" t="s">
        <v>19</v>
      </c>
      <c r="N1331">
        <v>21</v>
      </c>
      <c r="O1331">
        <v>3</v>
      </c>
      <c r="P1331">
        <v>0</v>
      </c>
      <c r="T1331" s="358" t="str">
        <f t="shared" si="87"/>
        <v>2002AllSexNon-Maori25Jumping from a high place</v>
      </c>
      <c r="U1331" s="360">
        <v>2002</v>
      </c>
      <c r="V1331" s="360" t="s">
        <v>17</v>
      </c>
      <c r="W1331" s="360" t="s">
        <v>19</v>
      </c>
      <c r="X1331" s="360">
        <v>25</v>
      </c>
      <c r="Y1331" s="360" t="s">
        <v>44</v>
      </c>
      <c r="Z1331" s="360">
        <v>5</v>
      </c>
      <c r="AA1331" s="360">
        <v>48</v>
      </c>
      <c r="AB1331" s="360">
        <v>10.4</v>
      </c>
    </row>
    <row r="1332" spans="10:28" x14ac:dyDescent="0.2">
      <c r="J1332" s="358" t="str">
        <f t="shared" si="86"/>
        <v>2003MaleNon-Maori214</v>
      </c>
      <c r="K1332" s="359">
        <v>2003</v>
      </c>
      <c r="L1332" t="s">
        <v>20</v>
      </c>
      <c r="M1332" t="s">
        <v>19</v>
      </c>
      <c r="N1332">
        <v>21</v>
      </c>
      <c r="O1332">
        <v>4</v>
      </c>
      <c r="P1332">
        <v>0</v>
      </c>
      <c r="T1332" s="358" t="str">
        <f t="shared" si="87"/>
        <v>2002AllSexNon-Maori22Other</v>
      </c>
      <c r="U1332" s="360">
        <v>2002</v>
      </c>
      <c r="V1332" s="360" t="s">
        <v>17</v>
      </c>
      <c r="W1332" s="360" t="s">
        <v>19</v>
      </c>
      <c r="X1332" s="360">
        <v>22</v>
      </c>
      <c r="Y1332" s="360" t="s">
        <v>45</v>
      </c>
      <c r="Z1332" s="360">
        <v>4</v>
      </c>
      <c r="AA1332" s="360">
        <v>63</v>
      </c>
      <c r="AB1332" s="360">
        <v>6.3</v>
      </c>
    </row>
    <row r="1333" spans="10:28" x14ac:dyDescent="0.2">
      <c r="J1333" s="358" t="str">
        <f t="shared" si="86"/>
        <v>2003MaleNon-Maori215</v>
      </c>
      <c r="K1333" s="359">
        <v>2003</v>
      </c>
      <c r="L1333" t="s">
        <v>20</v>
      </c>
      <c r="M1333" t="s">
        <v>19</v>
      </c>
      <c r="N1333">
        <v>21</v>
      </c>
      <c r="O1333">
        <v>5</v>
      </c>
      <c r="P1333">
        <v>0</v>
      </c>
      <c r="T1333" s="358" t="str">
        <f t="shared" si="87"/>
        <v>2002AllSexNon-Maori23Other</v>
      </c>
      <c r="U1333" s="360">
        <v>2002</v>
      </c>
      <c r="V1333" s="360" t="s">
        <v>17</v>
      </c>
      <c r="W1333" s="360" t="s">
        <v>19</v>
      </c>
      <c r="X1333" s="360">
        <v>23</v>
      </c>
      <c r="Y1333" s="360" t="s">
        <v>45</v>
      </c>
      <c r="Z1333" s="360">
        <v>2</v>
      </c>
      <c r="AA1333" s="360">
        <v>173</v>
      </c>
      <c r="AB1333" s="360">
        <v>1.2</v>
      </c>
    </row>
    <row r="1334" spans="10:28" x14ac:dyDescent="0.2">
      <c r="J1334" s="358" t="str">
        <f t="shared" si="86"/>
        <v>2003MaleNon-Maori221</v>
      </c>
      <c r="K1334" s="359">
        <v>2003</v>
      </c>
      <c r="L1334" t="s">
        <v>20</v>
      </c>
      <c r="M1334" t="s">
        <v>19</v>
      </c>
      <c r="N1334">
        <v>22</v>
      </c>
      <c r="O1334">
        <v>1</v>
      </c>
      <c r="P1334">
        <v>8</v>
      </c>
      <c r="Q1334">
        <v>16.8099520142625</v>
      </c>
      <c r="R1334">
        <v>11.6</v>
      </c>
      <c r="T1334" s="358" t="str">
        <f t="shared" si="87"/>
        <v>2002AllSexNon-Maori24Other</v>
      </c>
      <c r="U1334" s="360">
        <v>2002</v>
      </c>
      <c r="V1334" s="360" t="s">
        <v>17</v>
      </c>
      <c r="W1334" s="360" t="s">
        <v>19</v>
      </c>
      <c r="X1334" s="360">
        <v>24</v>
      </c>
      <c r="Y1334" s="360" t="s">
        <v>45</v>
      </c>
      <c r="Z1334" s="360">
        <v>9</v>
      </c>
      <c r="AA1334" s="360">
        <v>106</v>
      </c>
      <c r="AB1334" s="360">
        <v>8.5</v>
      </c>
    </row>
    <row r="1335" spans="10:28" x14ac:dyDescent="0.2">
      <c r="J1335" s="358" t="str">
        <f t="shared" si="86"/>
        <v>2003MaleNon-Maori222</v>
      </c>
      <c r="K1335" s="359">
        <v>2003</v>
      </c>
      <c r="L1335" t="s">
        <v>20</v>
      </c>
      <c r="M1335" t="s">
        <v>19</v>
      </c>
      <c r="N1335">
        <v>22</v>
      </c>
      <c r="O1335">
        <v>2</v>
      </c>
      <c r="P1335">
        <v>6</v>
      </c>
      <c r="Q1335">
        <v>12.447454922511699</v>
      </c>
      <c r="R1335">
        <v>10</v>
      </c>
      <c r="T1335" s="358" t="str">
        <f t="shared" si="87"/>
        <v>2002AllSexNon-Maori25Other</v>
      </c>
      <c r="U1335" s="360">
        <v>2002</v>
      </c>
      <c r="V1335" s="360" t="s">
        <v>17</v>
      </c>
      <c r="W1335" s="360" t="s">
        <v>19</v>
      </c>
      <c r="X1335" s="360">
        <v>25</v>
      </c>
      <c r="Y1335" s="360" t="s">
        <v>45</v>
      </c>
      <c r="Z1335" s="360">
        <v>1</v>
      </c>
      <c r="AA1335" s="360">
        <v>48</v>
      </c>
      <c r="AB1335" s="360">
        <v>2.1</v>
      </c>
    </row>
    <row r="1336" spans="10:28" x14ac:dyDescent="0.2">
      <c r="J1336" s="358" t="str">
        <f t="shared" si="86"/>
        <v>2003MaleNon-Maori223</v>
      </c>
      <c r="K1336" s="359">
        <v>2003</v>
      </c>
      <c r="L1336" t="s">
        <v>20</v>
      </c>
      <c r="M1336" t="s">
        <v>19</v>
      </c>
      <c r="N1336">
        <v>22</v>
      </c>
      <c r="O1336">
        <v>3</v>
      </c>
      <c r="P1336">
        <v>9</v>
      </c>
      <c r="Q1336">
        <v>18.635731886987401</v>
      </c>
      <c r="R1336">
        <v>12.2</v>
      </c>
      <c r="T1336" s="358" t="str">
        <f t="shared" si="87"/>
        <v>2002AllSexNon-Maori22Poisoning by gases and vapours</v>
      </c>
      <c r="U1336" s="360">
        <v>2002</v>
      </c>
      <c r="V1336" s="360" t="s">
        <v>17</v>
      </c>
      <c r="W1336" s="360" t="s">
        <v>19</v>
      </c>
      <c r="X1336" s="360">
        <v>22</v>
      </c>
      <c r="Y1336" s="360" t="s">
        <v>46</v>
      </c>
      <c r="Z1336" s="360">
        <v>11</v>
      </c>
      <c r="AA1336" s="360">
        <v>63</v>
      </c>
      <c r="AB1336" s="360">
        <v>17.5</v>
      </c>
    </row>
    <row r="1337" spans="10:28" x14ac:dyDescent="0.2">
      <c r="J1337" s="358" t="str">
        <f t="shared" si="86"/>
        <v>2003MaleNon-Maori224</v>
      </c>
      <c r="K1337" s="359">
        <v>2003</v>
      </c>
      <c r="L1337" t="s">
        <v>20</v>
      </c>
      <c r="M1337" t="s">
        <v>19</v>
      </c>
      <c r="N1337">
        <v>22</v>
      </c>
      <c r="O1337">
        <v>4</v>
      </c>
      <c r="P1337">
        <v>15</v>
      </c>
      <c r="Q1337">
        <v>31.371184591640301</v>
      </c>
      <c r="R1337">
        <v>15.9</v>
      </c>
      <c r="T1337" s="358" t="str">
        <f t="shared" si="87"/>
        <v>2002AllSexNon-Maori23Poisoning by gases and vapours</v>
      </c>
      <c r="U1337" s="360">
        <v>2002</v>
      </c>
      <c r="V1337" s="360" t="s">
        <v>17</v>
      </c>
      <c r="W1337" s="360" t="s">
        <v>19</v>
      </c>
      <c r="X1337" s="360">
        <v>23</v>
      </c>
      <c r="Y1337" s="360" t="s">
        <v>46</v>
      </c>
      <c r="Z1337" s="360">
        <v>48</v>
      </c>
      <c r="AA1337" s="360">
        <v>173</v>
      </c>
      <c r="AB1337" s="360">
        <v>27.7</v>
      </c>
    </row>
    <row r="1338" spans="10:28" x14ac:dyDescent="0.2">
      <c r="J1338" s="358" t="str">
        <f t="shared" si="86"/>
        <v>2003MaleNon-Maori225</v>
      </c>
      <c r="K1338" s="359">
        <v>2003</v>
      </c>
      <c r="L1338" t="s">
        <v>20</v>
      </c>
      <c r="M1338" t="s">
        <v>19</v>
      </c>
      <c r="N1338">
        <v>22</v>
      </c>
      <c r="O1338">
        <v>5</v>
      </c>
      <c r="P1338">
        <v>7</v>
      </c>
      <c r="Q1338">
        <v>15.5150028098797</v>
      </c>
      <c r="R1338">
        <v>11.5</v>
      </c>
      <c r="T1338" s="358" t="str">
        <f t="shared" si="87"/>
        <v>2002AllSexNon-Maori24Poisoning by gases and vapours</v>
      </c>
      <c r="U1338" s="360">
        <v>2002</v>
      </c>
      <c r="V1338" s="360" t="s">
        <v>17</v>
      </c>
      <c r="W1338" s="360" t="s">
        <v>19</v>
      </c>
      <c r="X1338" s="360">
        <v>24</v>
      </c>
      <c r="Y1338" s="360" t="s">
        <v>46</v>
      </c>
      <c r="Z1338" s="360">
        <v>23</v>
      </c>
      <c r="AA1338" s="360">
        <v>106</v>
      </c>
      <c r="AB1338" s="360">
        <v>21.7</v>
      </c>
    </row>
    <row r="1339" spans="10:28" x14ac:dyDescent="0.2">
      <c r="J1339" s="358" t="str">
        <f t="shared" si="86"/>
        <v>2003MaleNon-Maori231</v>
      </c>
      <c r="K1339" s="359">
        <v>2003</v>
      </c>
      <c r="L1339" t="s">
        <v>20</v>
      </c>
      <c r="M1339" t="s">
        <v>19</v>
      </c>
      <c r="N1339">
        <v>23</v>
      </c>
      <c r="O1339">
        <v>1</v>
      </c>
      <c r="P1339">
        <v>18</v>
      </c>
      <c r="Q1339">
        <v>17.2388736853339</v>
      </c>
      <c r="R1339">
        <v>8</v>
      </c>
      <c r="T1339" s="358" t="str">
        <f t="shared" si="87"/>
        <v>2002AllSexNon-Maori25Poisoning by gases and vapours</v>
      </c>
      <c r="U1339" s="360">
        <v>2002</v>
      </c>
      <c r="V1339" s="360" t="s">
        <v>17</v>
      </c>
      <c r="W1339" s="360" t="s">
        <v>19</v>
      </c>
      <c r="X1339" s="360">
        <v>25</v>
      </c>
      <c r="Y1339" s="360" t="s">
        <v>46</v>
      </c>
      <c r="Z1339" s="360">
        <v>9</v>
      </c>
      <c r="AA1339" s="360">
        <v>48</v>
      </c>
      <c r="AB1339" s="360">
        <v>18.8</v>
      </c>
    </row>
    <row r="1340" spans="10:28" x14ac:dyDescent="0.2">
      <c r="J1340" s="358" t="str">
        <f t="shared" si="86"/>
        <v>2003MaleNon-Maori232</v>
      </c>
      <c r="K1340" s="359">
        <v>2003</v>
      </c>
      <c r="L1340" t="s">
        <v>20</v>
      </c>
      <c r="M1340" t="s">
        <v>19</v>
      </c>
      <c r="N1340">
        <v>23</v>
      </c>
      <c r="O1340">
        <v>2</v>
      </c>
      <c r="P1340">
        <v>23</v>
      </c>
      <c r="Q1340">
        <v>21.283200850540801</v>
      </c>
      <c r="R1340">
        <v>8.6999999999999993</v>
      </c>
      <c r="T1340" s="358" t="str">
        <f t="shared" si="87"/>
        <v>2002AllSexNon-Maori22Poisoning by solids and liquids</v>
      </c>
      <c r="U1340" s="360">
        <v>2002</v>
      </c>
      <c r="V1340" s="360" t="s">
        <v>17</v>
      </c>
      <c r="W1340" s="360" t="s">
        <v>19</v>
      </c>
      <c r="X1340" s="360">
        <v>22</v>
      </c>
      <c r="Y1340" s="360" t="s">
        <v>47</v>
      </c>
      <c r="Z1340" s="360">
        <v>4</v>
      </c>
      <c r="AA1340" s="360">
        <v>63</v>
      </c>
      <c r="AB1340" s="360">
        <v>6.3</v>
      </c>
    </row>
    <row r="1341" spans="10:28" x14ac:dyDescent="0.2">
      <c r="J1341" s="358" t="str">
        <f t="shared" si="86"/>
        <v>2003MaleNon-Maori233</v>
      </c>
      <c r="K1341" s="359">
        <v>2003</v>
      </c>
      <c r="L1341" t="s">
        <v>20</v>
      </c>
      <c r="M1341" t="s">
        <v>19</v>
      </c>
      <c r="N1341">
        <v>23</v>
      </c>
      <c r="O1341">
        <v>3</v>
      </c>
      <c r="P1341">
        <v>28</v>
      </c>
      <c r="Q1341">
        <v>26.782668856865001</v>
      </c>
      <c r="R1341">
        <v>9.9</v>
      </c>
      <c r="T1341" s="358" t="str">
        <f t="shared" si="87"/>
        <v>2002AllSexNon-Maori23Poisoning by solids and liquids</v>
      </c>
      <c r="U1341" s="360">
        <v>2002</v>
      </c>
      <c r="V1341" s="360" t="s">
        <v>17</v>
      </c>
      <c r="W1341" s="360" t="s">
        <v>19</v>
      </c>
      <c r="X1341" s="360">
        <v>23</v>
      </c>
      <c r="Y1341" s="360" t="s">
        <v>47</v>
      </c>
      <c r="Z1341" s="360">
        <v>18</v>
      </c>
      <c r="AA1341" s="360">
        <v>173</v>
      </c>
      <c r="AB1341" s="360">
        <v>10.4</v>
      </c>
    </row>
    <row r="1342" spans="10:28" x14ac:dyDescent="0.2">
      <c r="J1342" s="358" t="str">
        <f t="shared" si="86"/>
        <v>2003MaleNon-Maori234</v>
      </c>
      <c r="K1342" s="359">
        <v>2003</v>
      </c>
      <c r="L1342" t="s">
        <v>20</v>
      </c>
      <c r="M1342" t="s">
        <v>19</v>
      </c>
      <c r="N1342">
        <v>23</v>
      </c>
      <c r="O1342">
        <v>4</v>
      </c>
      <c r="P1342">
        <v>33</v>
      </c>
      <c r="Q1342">
        <v>34.4651895550791</v>
      </c>
      <c r="R1342">
        <v>11.8</v>
      </c>
      <c r="T1342" s="358" t="str">
        <f t="shared" si="87"/>
        <v>2002AllSexNon-Maori24Poisoning by solids and liquids</v>
      </c>
      <c r="U1342" s="360">
        <v>2002</v>
      </c>
      <c r="V1342" s="360" t="s">
        <v>17</v>
      </c>
      <c r="W1342" s="360" t="s">
        <v>19</v>
      </c>
      <c r="X1342" s="360">
        <v>24</v>
      </c>
      <c r="Y1342" s="360" t="s">
        <v>47</v>
      </c>
      <c r="Z1342" s="360">
        <v>11</v>
      </c>
      <c r="AA1342" s="360">
        <v>106</v>
      </c>
      <c r="AB1342" s="360">
        <v>10.4</v>
      </c>
    </row>
    <row r="1343" spans="10:28" x14ac:dyDescent="0.2">
      <c r="J1343" s="358" t="str">
        <f t="shared" si="86"/>
        <v>2003MaleNon-Maori235</v>
      </c>
      <c r="K1343" s="359">
        <v>2003</v>
      </c>
      <c r="L1343" t="s">
        <v>20</v>
      </c>
      <c r="M1343" t="s">
        <v>19</v>
      </c>
      <c r="N1343">
        <v>23</v>
      </c>
      <c r="O1343">
        <v>5</v>
      </c>
      <c r="P1343">
        <v>19</v>
      </c>
      <c r="Q1343">
        <v>25.642973991548999</v>
      </c>
      <c r="R1343">
        <v>11.5</v>
      </c>
      <c r="T1343" s="358" t="str">
        <f t="shared" si="87"/>
        <v>2002AllSexNon-Maori25Poisoning by solids and liquids</v>
      </c>
      <c r="U1343" s="360">
        <v>2002</v>
      </c>
      <c r="V1343" s="360" t="s">
        <v>17</v>
      </c>
      <c r="W1343" s="360" t="s">
        <v>19</v>
      </c>
      <c r="X1343" s="360">
        <v>25</v>
      </c>
      <c r="Y1343" s="360" t="s">
        <v>47</v>
      </c>
      <c r="Z1343" s="360">
        <v>9</v>
      </c>
      <c r="AA1343" s="360">
        <v>48</v>
      </c>
      <c r="AB1343" s="360">
        <v>18.8</v>
      </c>
    </row>
    <row r="1344" spans="10:28" x14ac:dyDescent="0.2">
      <c r="J1344" s="358" t="str">
        <f t="shared" si="86"/>
        <v>2003MaleNon-Maori241</v>
      </c>
      <c r="K1344" s="359">
        <v>2003</v>
      </c>
      <c r="L1344" t="s">
        <v>20</v>
      </c>
      <c r="M1344" t="s">
        <v>19</v>
      </c>
      <c r="N1344">
        <v>24</v>
      </c>
      <c r="O1344">
        <v>1</v>
      </c>
      <c r="P1344">
        <v>14</v>
      </c>
      <c r="Q1344">
        <v>12.6015951682579</v>
      </c>
      <c r="R1344">
        <v>6.6</v>
      </c>
      <c r="T1344" s="358" t="str">
        <f t="shared" si="87"/>
        <v>2002AllSexNon-Maori22Sharp object</v>
      </c>
      <c r="U1344" s="360">
        <v>2002</v>
      </c>
      <c r="V1344" s="360" t="s">
        <v>17</v>
      </c>
      <c r="W1344" s="360" t="s">
        <v>19</v>
      </c>
      <c r="X1344" s="360">
        <v>22</v>
      </c>
      <c r="Y1344" s="360" t="s">
        <v>48</v>
      </c>
      <c r="Z1344" s="360">
        <v>1</v>
      </c>
      <c r="AA1344" s="360">
        <v>63</v>
      </c>
      <c r="AB1344" s="360">
        <v>1.6</v>
      </c>
    </row>
    <row r="1345" spans="10:28" x14ac:dyDescent="0.2">
      <c r="J1345" s="358" t="str">
        <f t="shared" si="86"/>
        <v>2003MaleNon-Maori242</v>
      </c>
      <c r="K1345" s="359">
        <v>2003</v>
      </c>
      <c r="L1345" t="s">
        <v>20</v>
      </c>
      <c r="M1345" t="s">
        <v>19</v>
      </c>
      <c r="N1345">
        <v>24</v>
      </c>
      <c r="O1345">
        <v>2</v>
      </c>
      <c r="P1345">
        <v>16</v>
      </c>
      <c r="Q1345">
        <v>16.863244480318698</v>
      </c>
      <c r="R1345">
        <v>8.3000000000000007</v>
      </c>
      <c r="T1345" s="358" t="str">
        <f t="shared" si="87"/>
        <v>2002AllSexNon-Maori23Sharp object</v>
      </c>
      <c r="U1345" s="360">
        <v>2002</v>
      </c>
      <c r="V1345" s="360" t="s">
        <v>17</v>
      </c>
      <c r="W1345" s="360" t="s">
        <v>19</v>
      </c>
      <c r="X1345" s="360">
        <v>23</v>
      </c>
      <c r="Y1345" s="360" t="s">
        <v>48</v>
      </c>
      <c r="Z1345" s="360">
        <v>3</v>
      </c>
      <c r="AA1345" s="360">
        <v>173</v>
      </c>
      <c r="AB1345" s="360">
        <v>1.7</v>
      </c>
    </row>
    <row r="1346" spans="10:28" x14ac:dyDescent="0.2">
      <c r="J1346" s="358" t="str">
        <f t="shared" si="86"/>
        <v>2003MaleNon-Maori243</v>
      </c>
      <c r="K1346" s="359">
        <v>2003</v>
      </c>
      <c r="L1346" t="s">
        <v>20</v>
      </c>
      <c r="M1346" t="s">
        <v>19</v>
      </c>
      <c r="N1346">
        <v>24</v>
      </c>
      <c r="O1346">
        <v>3</v>
      </c>
      <c r="P1346">
        <v>20</v>
      </c>
      <c r="Q1346">
        <v>24.523728282829101</v>
      </c>
      <c r="R1346">
        <v>10.7</v>
      </c>
      <c r="T1346" s="358" t="str">
        <f t="shared" si="87"/>
        <v>2002AllSexNon-Maori22Submersion (drowning)</v>
      </c>
      <c r="U1346" s="360">
        <v>2002</v>
      </c>
      <c r="V1346" s="360" t="s">
        <v>17</v>
      </c>
      <c r="W1346" s="360" t="s">
        <v>19</v>
      </c>
      <c r="X1346" s="360">
        <v>22</v>
      </c>
      <c r="Y1346" s="360" t="s">
        <v>49</v>
      </c>
      <c r="Z1346" s="360">
        <v>3</v>
      </c>
      <c r="AA1346" s="360">
        <v>63</v>
      </c>
      <c r="AB1346" s="360">
        <v>4.8</v>
      </c>
    </row>
    <row r="1347" spans="10:28" x14ac:dyDescent="0.2">
      <c r="J1347" s="358" t="str">
        <f t="shared" si="86"/>
        <v>2003MaleNon-Maori244</v>
      </c>
      <c r="K1347" s="359">
        <v>2003</v>
      </c>
      <c r="L1347" t="s">
        <v>20</v>
      </c>
      <c r="M1347" t="s">
        <v>19</v>
      </c>
      <c r="N1347">
        <v>24</v>
      </c>
      <c r="O1347">
        <v>4</v>
      </c>
      <c r="P1347">
        <v>23</v>
      </c>
      <c r="Q1347">
        <v>32.850745106865801</v>
      </c>
      <c r="R1347">
        <v>13.4</v>
      </c>
      <c r="T1347" s="358" t="str">
        <f t="shared" si="87"/>
        <v>2002AllSexNon-Maori23Submersion (drowning)</v>
      </c>
      <c r="U1347" s="360">
        <v>2002</v>
      </c>
      <c r="V1347" s="360" t="s">
        <v>17</v>
      </c>
      <c r="W1347" s="360" t="s">
        <v>19</v>
      </c>
      <c r="X1347" s="360">
        <v>23</v>
      </c>
      <c r="Y1347" s="360" t="s">
        <v>49</v>
      </c>
      <c r="Z1347" s="360">
        <v>5</v>
      </c>
      <c r="AA1347" s="360">
        <v>173</v>
      </c>
      <c r="AB1347" s="360">
        <v>2.9</v>
      </c>
    </row>
    <row r="1348" spans="10:28" x14ac:dyDescent="0.2">
      <c r="J1348" s="358" t="str">
        <f t="shared" ref="J1348:J1411" si="88">K1348&amp;L1348&amp;M1348&amp;N1348&amp;O1348</f>
        <v>2003MaleNon-Maori245</v>
      </c>
      <c r="K1348" s="359">
        <v>2003</v>
      </c>
      <c r="L1348" t="s">
        <v>20</v>
      </c>
      <c r="M1348" t="s">
        <v>19</v>
      </c>
      <c r="N1348">
        <v>24</v>
      </c>
      <c r="O1348">
        <v>5</v>
      </c>
      <c r="P1348">
        <v>19</v>
      </c>
      <c r="Q1348">
        <v>35.995250360469001</v>
      </c>
      <c r="R1348">
        <v>16.2</v>
      </c>
      <c r="T1348" s="358" t="str">
        <f t="shared" si="87"/>
        <v>2002AllSexNon-Maori24Submersion (drowning)</v>
      </c>
      <c r="U1348" s="360">
        <v>2002</v>
      </c>
      <c r="V1348" s="360" t="s">
        <v>17</v>
      </c>
      <c r="W1348" s="360" t="s">
        <v>19</v>
      </c>
      <c r="X1348" s="360">
        <v>24</v>
      </c>
      <c r="Y1348" s="360" t="s">
        <v>49</v>
      </c>
      <c r="Z1348" s="360">
        <v>1</v>
      </c>
      <c r="AA1348" s="360">
        <v>106</v>
      </c>
      <c r="AB1348" s="360">
        <v>0.9</v>
      </c>
    </row>
    <row r="1349" spans="10:28" x14ac:dyDescent="0.2">
      <c r="J1349" s="358" t="str">
        <f t="shared" si="88"/>
        <v>2003MaleNon-Maori251</v>
      </c>
      <c r="K1349" s="359">
        <v>2003</v>
      </c>
      <c r="L1349" t="s">
        <v>20</v>
      </c>
      <c r="M1349" t="s">
        <v>19</v>
      </c>
      <c r="N1349">
        <v>25</v>
      </c>
      <c r="O1349">
        <v>1</v>
      </c>
      <c r="P1349">
        <v>5</v>
      </c>
      <c r="Q1349">
        <v>11.605227396569999</v>
      </c>
      <c r="R1349">
        <v>10.199999999999999</v>
      </c>
      <c r="T1349" s="358" t="str">
        <f t="shared" ref="T1349:T1412" si="89">U1349&amp;V1349&amp;W1349&amp;X1349&amp;Y1349</f>
        <v>2002AllSexNon-Maori25Submersion (drowning)</v>
      </c>
      <c r="U1349" s="360">
        <v>2002</v>
      </c>
      <c r="V1349" s="360" t="s">
        <v>17</v>
      </c>
      <c r="W1349" s="360" t="s">
        <v>19</v>
      </c>
      <c r="X1349" s="360">
        <v>25</v>
      </c>
      <c r="Y1349" s="360" t="s">
        <v>49</v>
      </c>
      <c r="Z1349" s="360">
        <v>4</v>
      </c>
      <c r="AA1349" s="360">
        <v>48</v>
      </c>
      <c r="AB1349" s="360">
        <v>8.3000000000000007</v>
      </c>
    </row>
    <row r="1350" spans="10:28" x14ac:dyDescent="0.2">
      <c r="J1350" s="358" t="str">
        <f t="shared" si="88"/>
        <v>2003MaleNon-Maori252</v>
      </c>
      <c r="K1350" s="359">
        <v>2003</v>
      </c>
      <c r="L1350" t="s">
        <v>20</v>
      </c>
      <c r="M1350" t="s">
        <v>19</v>
      </c>
      <c r="N1350">
        <v>25</v>
      </c>
      <c r="O1350">
        <v>2</v>
      </c>
      <c r="P1350">
        <v>7</v>
      </c>
      <c r="Q1350">
        <v>16.161459163569699</v>
      </c>
      <c r="R1350">
        <v>12</v>
      </c>
      <c r="T1350" s="358" t="str">
        <f t="shared" si="89"/>
        <v>2002FemaleAllEth22Firearms and explosives</v>
      </c>
      <c r="U1350" s="360">
        <v>2002</v>
      </c>
      <c r="V1350" s="360" t="s">
        <v>8</v>
      </c>
      <c r="W1350" s="360" t="s">
        <v>27</v>
      </c>
      <c r="X1350" s="360">
        <v>22</v>
      </c>
      <c r="Y1350" s="360" t="s">
        <v>42</v>
      </c>
      <c r="Z1350" s="360">
        <v>1</v>
      </c>
      <c r="AA1350" s="360">
        <v>30</v>
      </c>
      <c r="AB1350" s="360">
        <v>3.3</v>
      </c>
    </row>
    <row r="1351" spans="10:28" x14ac:dyDescent="0.2">
      <c r="J1351" s="358" t="str">
        <f t="shared" si="88"/>
        <v>2003MaleNon-Maori253</v>
      </c>
      <c r="K1351" s="359">
        <v>2003</v>
      </c>
      <c r="L1351" t="s">
        <v>20</v>
      </c>
      <c r="M1351" t="s">
        <v>19</v>
      </c>
      <c r="N1351">
        <v>25</v>
      </c>
      <c r="O1351">
        <v>3</v>
      </c>
      <c r="P1351">
        <v>15</v>
      </c>
      <c r="Q1351">
        <v>34.651222726453703</v>
      </c>
      <c r="R1351">
        <v>17.5</v>
      </c>
      <c r="T1351" s="358" t="str">
        <f t="shared" si="89"/>
        <v>2002FemaleAllEth23Firearms and explosives</v>
      </c>
      <c r="U1351" s="360">
        <v>2002</v>
      </c>
      <c r="V1351" s="360" t="s">
        <v>8</v>
      </c>
      <c r="W1351" s="360" t="s">
        <v>27</v>
      </c>
      <c r="X1351" s="360">
        <v>23</v>
      </c>
      <c r="Y1351" s="360" t="s">
        <v>42</v>
      </c>
      <c r="Z1351" s="360">
        <v>2</v>
      </c>
      <c r="AA1351" s="360">
        <v>47</v>
      </c>
      <c r="AB1351" s="360">
        <v>4.3</v>
      </c>
    </row>
    <row r="1352" spans="10:28" x14ac:dyDescent="0.2">
      <c r="J1352" s="358" t="str">
        <f t="shared" si="88"/>
        <v>2003MaleNon-Maori254</v>
      </c>
      <c r="K1352" s="359">
        <v>2003</v>
      </c>
      <c r="L1352" t="s">
        <v>20</v>
      </c>
      <c r="M1352" t="s">
        <v>19</v>
      </c>
      <c r="N1352">
        <v>25</v>
      </c>
      <c r="O1352">
        <v>4</v>
      </c>
      <c r="P1352">
        <v>10</v>
      </c>
      <c r="Q1352">
        <v>24.500380520160601</v>
      </c>
      <c r="R1352">
        <v>15.2</v>
      </c>
      <c r="T1352" s="358" t="str">
        <f t="shared" si="89"/>
        <v>2002FemaleAllEth22Hanging, strangulation and suffocation</v>
      </c>
      <c r="U1352" s="360">
        <v>2002</v>
      </c>
      <c r="V1352" s="360" t="s">
        <v>8</v>
      </c>
      <c r="W1352" s="360" t="s">
        <v>27</v>
      </c>
      <c r="X1352" s="360">
        <v>22</v>
      </c>
      <c r="Y1352" s="360" t="s">
        <v>43</v>
      </c>
      <c r="Z1352" s="360">
        <v>19</v>
      </c>
      <c r="AA1352" s="360">
        <v>30</v>
      </c>
      <c r="AB1352" s="360">
        <v>63.3</v>
      </c>
    </row>
    <row r="1353" spans="10:28" x14ac:dyDescent="0.2">
      <c r="J1353" s="358" t="str">
        <f t="shared" si="88"/>
        <v>2003MaleNon-Maori255</v>
      </c>
      <c r="K1353" s="359">
        <v>2003</v>
      </c>
      <c r="L1353" t="s">
        <v>20</v>
      </c>
      <c r="M1353" t="s">
        <v>19</v>
      </c>
      <c r="N1353">
        <v>25</v>
      </c>
      <c r="O1353">
        <v>5</v>
      </c>
      <c r="P1353">
        <v>6</v>
      </c>
      <c r="Q1353">
        <v>20.388164885029902</v>
      </c>
      <c r="R1353">
        <v>16.3</v>
      </c>
      <c r="T1353" s="358" t="str">
        <f t="shared" si="89"/>
        <v>2002FemaleAllEth23Hanging, strangulation and suffocation</v>
      </c>
      <c r="U1353" s="360">
        <v>2002</v>
      </c>
      <c r="V1353" s="360" t="s">
        <v>8</v>
      </c>
      <c r="W1353" s="360" t="s">
        <v>27</v>
      </c>
      <c r="X1353" s="360">
        <v>23</v>
      </c>
      <c r="Y1353" s="360" t="s">
        <v>43</v>
      </c>
      <c r="Z1353" s="360">
        <v>16</v>
      </c>
      <c r="AA1353" s="360">
        <v>47</v>
      </c>
      <c r="AB1353" s="360">
        <v>34</v>
      </c>
    </row>
    <row r="1354" spans="10:28" x14ac:dyDescent="0.2">
      <c r="J1354" s="358" t="str">
        <f t="shared" si="88"/>
        <v>2004AllSexAllEth211</v>
      </c>
      <c r="K1354" s="359">
        <v>2004</v>
      </c>
      <c r="L1354" t="s">
        <v>17</v>
      </c>
      <c r="M1354" t="s">
        <v>27</v>
      </c>
      <c r="N1354">
        <v>21</v>
      </c>
      <c r="O1354">
        <v>1</v>
      </c>
      <c r="P1354">
        <v>0</v>
      </c>
      <c r="T1354" s="358" t="str">
        <f t="shared" si="89"/>
        <v>2002FemaleAllEth24Hanging, strangulation and suffocation</v>
      </c>
      <c r="U1354" s="360">
        <v>2002</v>
      </c>
      <c r="V1354" s="360" t="s">
        <v>8</v>
      </c>
      <c r="W1354" s="360" t="s">
        <v>27</v>
      </c>
      <c r="X1354" s="360">
        <v>24</v>
      </c>
      <c r="Y1354" s="360" t="s">
        <v>43</v>
      </c>
      <c r="Z1354" s="360">
        <v>13</v>
      </c>
      <c r="AA1354" s="360">
        <v>25</v>
      </c>
      <c r="AB1354" s="360">
        <v>52</v>
      </c>
    </row>
    <row r="1355" spans="10:28" x14ac:dyDescent="0.2">
      <c r="J1355" s="358" t="str">
        <f t="shared" si="88"/>
        <v>2004AllSexAllEth212</v>
      </c>
      <c r="K1355" s="359">
        <v>2004</v>
      </c>
      <c r="L1355" t="s">
        <v>17</v>
      </c>
      <c r="M1355" t="s">
        <v>27</v>
      </c>
      <c r="N1355">
        <v>21</v>
      </c>
      <c r="O1355">
        <v>2</v>
      </c>
      <c r="P1355">
        <v>1</v>
      </c>
      <c r="T1355" s="358" t="str">
        <f t="shared" si="89"/>
        <v>2002FemaleAllEth25Hanging, strangulation and suffocation</v>
      </c>
      <c r="U1355" s="360">
        <v>2002</v>
      </c>
      <c r="V1355" s="360" t="s">
        <v>8</v>
      </c>
      <c r="W1355" s="360" t="s">
        <v>27</v>
      </c>
      <c r="X1355" s="360">
        <v>25</v>
      </c>
      <c r="Y1355" s="360" t="s">
        <v>43</v>
      </c>
      <c r="Z1355" s="360">
        <v>3</v>
      </c>
      <c r="AA1355" s="360">
        <v>12</v>
      </c>
      <c r="AB1355" s="360">
        <v>25</v>
      </c>
    </row>
    <row r="1356" spans="10:28" x14ac:dyDescent="0.2">
      <c r="J1356" s="358" t="str">
        <f t="shared" si="88"/>
        <v>2004AllSexAllEth213</v>
      </c>
      <c r="K1356" s="359">
        <v>2004</v>
      </c>
      <c r="L1356" t="s">
        <v>17</v>
      </c>
      <c r="M1356" t="s">
        <v>27</v>
      </c>
      <c r="N1356">
        <v>21</v>
      </c>
      <c r="O1356">
        <v>3</v>
      </c>
      <c r="P1356">
        <v>0</v>
      </c>
      <c r="T1356" s="358" t="str">
        <f t="shared" si="89"/>
        <v>2002FemaleAllEth22Jumping from a high place</v>
      </c>
      <c r="U1356" s="360">
        <v>2002</v>
      </c>
      <c r="V1356" s="360" t="s">
        <v>8</v>
      </c>
      <c r="W1356" s="360" t="s">
        <v>27</v>
      </c>
      <c r="X1356" s="360">
        <v>22</v>
      </c>
      <c r="Y1356" s="360" t="s">
        <v>44</v>
      </c>
      <c r="Z1356" s="360">
        <v>1</v>
      </c>
      <c r="AA1356" s="360">
        <v>30</v>
      </c>
      <c r="AB1356" s="360">
        <v>3.3</v>
      </c>
    </row>
    <row r="1357" spans="10:28" x14ac:dyDescent="0.2">
      <c r="J1357" s="358" t="str">
        <f t="shared" si="88"/>
        <v>2004AllSexAllEth214</v>
      </c>
      <c r="K1357" s="359">
        <v>2004</v>
      </c>
      <c r="L1357" t="s">
        <v>17</v>
      </c>
      <c r="M1357" t="s">
        <v>27</v>
      </c>
      <c r="N1357">
        <v>21</v>
      </c>
      <c r="O1357">
        <v>4</v>
      </c>
      <c r="P1357">
        <v>2</v>
      </c>
      <c r="T1357" s="358" t="str">
        <f t="shared" si="89"/>
        <v>2002FemaleAllEth23Jumping from a high place</v>
      </c>
      <c r="U1357" s="360">
        <v>2002</v>
      </c>
      <c r="V1357" s="360" t="s">
        <v>8</v>
      </c>
      <c r="W1357" s="360" t="s">
        <v>27</v>
      </c>
      <c r="X1357" s="360">
        <v>23</v>
      </c>
      <c r="Y1357" s="360" t="s">
        <v>44</v>
      </c>
      <c r="Z1357" s="360">
        <v>5</v>
      </c>
      <c r="AA1357" s="360">
        <v>47</v>
      </c>
      <c r="AB1357" s="360">
        <v>10.6</v>
      </c>
    </row>
    <row r="1358" spans="10:28" x14ac:dyDescent="0.2">
      <c r="J1358" s="358" t="str">
        <f t="shared" si="88"/>
        <v>2004AllSexAllEth215</v>
      </c>
      <c r="K1358" s="359">
        <v>2004</v>
      </c>
      <c r="L1358" t="s">
        <v>17</v>
      </c>
      <c r="M1358" t="s">
        <v>27</v>
      </c>
      <c r="N1358">
        <v>21</v>
      </c>
      <c r="O1358">
        <v>5</v>
      </c>
      <c r="P1358">
        <v>3</v>
      </c>
      <c r="T1358" s="358" t="str">
        <f t="shared" si="89"/>
        <v>2002FemaleAllEth24Jumping from a high place</v>
      </c>
      <c r="U1358" s="360">
        <v>2002</v>
      </c>
      <c r="V1358" s="360" t="s">
        <v>8</v>
      </c>
      <c r="W1358" s="360" t="s">
        <v>27</v>
      </c>
      <c r="X1358" s="360">
        <v>24</v>
      </c>
      <c r="Y1358" s="360" t="s">
        <v>44</v>
      </c>
      <c r="Z1358" s="360">
        <v>1</v>
      </c>
      <c r="AA1358" s="360">
        <v>25</v>
      </c>
      <c r="AB1358" s="360">
        <v>4</v>
      </c>
    </row>
    <row r="1359" spans="10:28" x14ac:dyDescent="0.2">
      <c r="J1359" s="358" t="str">
        <f t="shared" si="88"/>
        <v>2004AllSexAllEth221</v>
      </c>
      <c r="K1359" s="359">
        <v>2004</v>
      </c>
      <c r="L1359" t="s">
        <v>17</v>
      </c>
      <c r="M1359" t="s">
        <v>27</v>
      </c>
      <c r="N1359">
        <v>22</v>
      </c>
      <c r="O1359">
        <v>1</v>
      </c>
      <c r="P1359">
        <v>11</v>
      </c>
      <c r="Q1359">
        <v>11.1983120034304</v>
      </c>
      <c r="R1359">
        <v>6.6</v>
      </c>
      <c r="T1359" s="358" t="str">
        <f t="shared" si="89"/>
        <v>2002FemaleAllEth23Other</v>
      </c>
      <c r="U1359" s="360">
        <v>2002</v>
      </c>
      <c r="V1359" s="360" t="s">
        <v>8</v>
      </c>
      <c r="W1359" s="360" t="s">
        <v>27</v>
      </c>
      <c r="X1359" s="360">
        <v>23</v>
      </c>
      <c r="Y1359" s="360" t="s">
        <v>45</v>
      </c>
      <c r="Z1359" s="360">
        <v>1</v>
      </c>
      <c r="AA1359" s="360">
        <v>47</v>
      </c>
      <c r="AB1359" s="360">
        <v>2.1</v>
      </c>
    </row>
    <row r="1360" spans="10:28" x14ac:dyDescent="0.2">
      <c r="J1360" s="358" t="str">
        <f t="shared" si="88"/>
        <v>2004AllSexAllEth222</v>
      </c>
      <c r="K1360" s="359">
        <v>2004</v>
      </c>
      <c r="L1360" t="s">
        <v>17</v>
      </c>
      <c r="M1360" t="s">
        <v>27</v>
      </c>
      <c r="N1360">
        <v>22</v>
      </c>
      <c r="O1360">
        <v>2</v>
      </c>
      <c r="P1360">
        <v>15</v>
      </c>
      <c r="Q1360">
        <v>14.330122103242999</v>
      </c>
      <c r="R1360">
        <v>7.3</v>
      </c>
      <c r="T1360" s="358" t="str">
        <f t="shared" si="89"/>
        <v>2002FemaleAllEth24Other</v>
      </c>
      <c r="U1360" s="360">
        <v>2002</v>
      </c>
      <c r="V1360" s="360" t="s">
        <v>8</v>
      </c>
      <c r="W1360" s="360" t="s">
        <v>27</v>
      </c>
      <c r="X1360" s="360">
        <v>24</v>
      </c>
      <c r="Y1360" s="360" t="s">
        <v>45</v>
      </c>
      <c r="Z1360" s="360">
        <v>2</v>
      </c>
      <c r="AA1360" s="360">
        <v>25</v>
      </c>
      <c r="AB1360" s="360">
        <v>8</v>
      </c>
    </row>
    <row r="1361" spans="10:28" x14ac:dyDescent="0.2">
      <c r="J1361" s="358" t="str">
        <f t="shared" si="88"/>
        <v>2004AllSexAllEth223</v>
      </c>
      <c r="K1361" s="359">
        <v>2004</v>
      </c>
      <c r="L1361" t="s">
        <v>17</v>
      </c>
      <c r="M1361" t="s">
        <v>27</v>
      </c>
      <c r="N1361">
        <v>22</v>
      </c>
      <c r="O1361">
        <v>3</v>
      </c>
      <c r="P1361">
        <v>22</v>
      </c>
      <c r="Q1361">
        <v>19.417661419135801</v>
      </c>
      <c r="R1361">
        <v>8.1</v>
      </c>
      <c r="T1361" s="358" t="str">
        <f t="shared" si="89"/>
        <v>2002FemaleAllEth25Other</v>
      </c>
      <c r="U1361" s="360">
        <v>2002</v>
      </c>
      <c r="V1361" s="360" t="s">
        <v>8</v>
      </c>
      <c r="W1361" s="360" t="s">
        <v>27</v>
      </c>
      <c r="X1361" s="360">
        <v>25</v>
      </c>
      <c r="Y1361" s="360" t="s">
        <v>45</v>
      </c>
      <c r="Z1361" s="360">
        <v>1</v>
      </c>
      <c r="AA1361" s="360">
        <v>12</v>
      </c>
      <c r="AB1361" s="360">
        <v>8.3000000000000007</v>
      </c>
    </row>
    <row r="1362" spans="10:28" x14ac:dyDescent="0.2">
      <c r="J1362" s="358" t="str">
        <f t="shared" si="88"/>
        <v>2004AllSexAllEth224</v>
      </c>
      <c r="K1362" s="359">
        <v>2004</v>
      </c>
      <c r="L1362" t="s">
        <v>17</v>
      </c>
      <c r="M1362" t="s">
        <v>27</v>
      </c>
      <c r="N1362">
        <v>22</v>
      </c>
      <c r="O1362">
        <v>4</v>
      </c>
      <c r="P1362">
        <v>23</v>
      </c>
      <c r="Q1362">
        <v>18.4828076617706</v>
      </c>
      <c r="R1362">
        <v>7.6</v>
      </c>
      <c r="T1362" s="358" t="str">
        <f t="shared" si="89"/>
        <v>2002FemaleAllEth22Poisoning by gases and vapours</v>
      </c>
      <c r="U1362" s="360">
        <v>2002</v>
      </c>
      <c r="V1362" s="360" t="s">
        <v>8</v>
      </c>
      <c r="W1362" s="360" t="s">
        <v>27</v>
      </c>
      <c r="X1362" s="360">
        <v>22</v>
      </c>
      <c r="Y1362" s="360" t="s">
        <v>46</v>
      </c>
      <c r="Z1362" s="360">
        <v>5</v>
      </c>
      <c r="AA1362" s="360">
        <v>30</v>
      </c>
      <c r="AB1362" s="360">
        <v>16.7</v>
      </c>
    </row>
    <row r="1363" spans="10:28" x14ac:dyDescent="0.2">
      <c r="J1363" s="358" t="str">
        <f t="shared" si="88"/>
        <v>2004AllSexAllEth225</v>
      </c>
      <c r="K1363" s="359">
        <v>2004</v>
      </c>
      <c r="L1363" t="s">
        <v>17</v>
      </c>
      <c r="M1363" t="s">
        <v>27</v>
      </c>
      <c r="N1363">
        <v>22</v>
      </c>
      <c r="O1363">
        <v>5</v>
      </c>
      <c r="P1363">
        <v>41</v>
      </c>
      <c r="Q1363">
        <v>28.291976606885498</v>
      </c>
      <c r="R1363">
        <v>8.6999999999999993</v>
      </c>
      <c r="T1363" s="358" t="str">
        <f t="shared" si="89"/>
        <v>2002FemaleAllEth23Poisoning by gases and vapours</v>
      </c>
      <c r="U1363" s="360">
        <v>2002</v>
      </c>
      <c r="V1363" s="360" t="s">
        <v>8</v>
      </c>
      <c r="W1363" s="360" t="s">
        <v>27</v>
      </c>
      <c r="X1363" s="360">
        <v>23</v>
      </c>
      <c r="Y1363" s="360" t="s">
        <v>46</v>
      </c>
      <c r="Z1363" s="360">
        <v>12</v>
      </c>
      <c r="AA1363" s="360">
        <v>47</v>
      </c>
      <c r="AB1363" s="360">
        <v>25.5</v>
      </c>
    </row>
    <row r="1364" spans="10:28" x14ac:dyDescent="0.2">
      <c r="J1364" s="358" t="str">
        <f t="shared" si="88"/>
        <v>2004AllSexAllEth231</v>
      </c>
      <c r="K1364" s="359">
        <v>2004</v>
      </c>
      <c r="L1364" t="s">
        <v>17</v>
      </c>
      <c r="M1364" t="s">
        <v>27</v>
      </c>
      <c r="N1364">
        <v>23</v>
      </c>
      <c r="O1364">
        <v>1</v>
      </c>
      <c r="P1364">
        <v>26</v>
      </c>
      <c r="Q1364">
        <v>11.2405737185027</v>
      </c>
      <c r="R1364">
        <v>4.3</v>
      </c>
      <c r="T1364" s="358" t="str">
        <f t="shared" si="89"/>
        <v>2002FemaleAllEth24Poisoning by gases and vapours</v>
      </c>
      <c r="U1364" s="360">
        <v>2002</v>
      </c>
      <c r="V1364" s="360" t="s">
        <v>8</v>
      </c>
      <c r="W1364" s="360" t="s">
        <v>27</v>
      </c>
      <c r="X1364" s="360">
        <v>24</v>
      </c>
      <c r="Y1364" s="360" t="s">
        <v>46</v>
      </c>
      <c r="Z1364" s="360">
        <v>2</v>
      </c>
      <c r="AA1364" s="360">
        <v>25</v>
      </c>
      <c r="AB1364" s="360">
        <v>8</v>
      </c>
    </row>
    <row r="1365" spans="10:28" x14ac:dyDescent="0.2">
      <c r="J1365" s="358" t="str">
        <f t="shared" si="88"/>
        <v>2004AllSexAllEth232</v>
      </c>
      <c r="K1365" s="359">
        <v>2004</v>
      </c>
      <c r="L1365" t="s">
        <v>17</v>
      </c>
      <c r="M1365" t="s">
        <v>27</v>
      </c>
      <c r="N1365">
        <v>23</v>
      </c>
      <c r="O1365">
        <v>2</v>
      </c>
      <c r="P1365">
        <v>29</v>
      </c>
      <c r="Q1365">
        <v>11.925127839203</v>
      </c>
      <c r="R1365">
        <v>4.3</v>
      </c>
      <c r="T1365" s="358" t="str">
        <f t="shared" si="89"/>
        <v>2002FemaleAllEth25Poisoning by gases and vapours</v>
      </c>
      <c r="U1365" s="360">
        <v>2002</v>
      </c>
      <c r="V1365" s="360" t="s">
        <v>8</v>
      </c>
      <c r="W1365" s="360" t="s">
        <v>27</v>
      </c>
      <c r="X1365" s="360">
        <v>25</v>
      </c>
      <c r="Y1365" s="360" t="s">
        <v>46</v>
      </c>
      <c r="Z1365" s="360">
        <v>2</v>
      </c>
      <c r="AA1365" s="360">
        <v>12</v>
      </c>
      <c r="AB1365" s="360">
        <v>16.7</v>
      </c>
    </row>
    <row r="1366" spans="10:28" x14ac:dyDescent="0.2">
      <c r="J1366" s="358" t="str">
        <f t="shared" si="88"/>
        <v>2004AllSexAllEth233</v>
      </c>
      <c r="K1366" s="359">
        <v>2004</v>
      </c>
      <c r="L1366" t="s">
        <v>17</v>
      </c>
      <c r="M1366" t="s">
        <v>27</v>
      </c>
      <c r="N1366">
        <v>23</v>
      </c>
      <c r="O1366">
        <v>3</v>
      </c>
      <c r="P1366">
        <v>36</v>
      </c>
      <c r="Q1366">
        <v>14.8056077675847</v>
      </c>
      <c r="R1366">
        <v>4.8</v>
      </c>
      <c r="T1366" s="358" t="str">
        <f t="shared" si="89"/>
        <v>2002FemaleAllEth22Poisoning by solids and liquids</v>
      </c>
      <c r="U1366" s="360">
        <v>2002</v>
      </c>
      <c r="V1366" s="360" t="s">
        <v>8</v>
      </c>
      <c r="W1366" s="360" t="s">
        <v>27</v>
      </c>
      <c r="X1366" s="360">
        <v>22</v>
      </c>
      <c r="Y1366" s="360" t="s">
        <v>47</v>
      </c>
      <c r="Z1366" s="360">
        <v>3</v>
      </c>
      <c r="AA1366" s="360">
        <v>30</v>
      </c>
      <c r="AB1366" s="360">
        <v>10</v>
      </c>
    </row>
    <row r="1367" spans="10:28" x14ac:dyDescent="0.2">
      <c r="J1367" s="358" t="str">
        <f t="shared" si="88"/>
        <v>2004AllSexAllEth234</v>
      </c>
      <c r="K1367" s="359">
        <v>2004</v>
      </c>
      <c r="L1367" t="s">
        <v>17</v>
      </c>
      <c r="M1367" t="s">
        <v>27</v>
      </c>
      <c r="N1367">
        <v>23</v>
      </c>
      <c r="O1367">
        <v>4</v>
      </c>
      <c r="P1367">
        <v>51</v>
      </c>
      <c r="Q1367">
        <v>21.374502596298601</v>
      </c>
      <c r="R1367">
        <v>5.9</v>
      </c>
      <c r="T1367" s="358" t="str">
        <f t="shared" si="89"/>
        <v>2002FemaleAllEth23Poisoning by solids and liquids</v>
      </c>
      <c r="U1367" s="360">
        <v>2002</v>
      </c>
      <c r="V1367" s="360" t="s">
        <v>8</v>
      </c>
      <c r="W1367" s="360" t="s">
        <v>27</v>
      </c>
      <c r="X1367" s="360">
        <v>23</v>
      </c>
      <c r="Y1367" s="360" t="s">
        <v>47</v>
      </c>
      <c r="Z1367" s="360">
        <v>10</v>
      </c>
      <c r="AA1367" s="360">
        <v>47</v>
      </c>
      <c r="AB1367" s="360">
        <v>21.3</v>
      </c>
    </row>
    <row r="1368" spans="10:28" x14ac:dyDescent="0.2">
      <c r="J1368" s="358" t="str">
        <f t="shared" si="88"/>
        <v>2004AllSexAllEth235</v>
      </c>
      <c r="K1368" s="359">
        <v>2004</v>
      </c>
      <c r="L1368" t="s">
        <v>17</v>
      </c>
      <c r="M1368" t="s">
        <v>27</v>
      </c>
      <c r="N1368">
        <v>23</v>
      </c>
      <c r="O1368">
        <v>5</v>
      </c>
      <c r="P1368">
        <v>48</v>
      </c>
      <c r="Q1368">
        <v>21.416038164142599</v>
      </c>
      <c r="R1368">
        <v>6.1</v>
      </c>
      <c r="T1368" s="358" t="str">
        <f t="shared" si="89"/>
        <v>2002FemaleAllEth24Poisoning by solids and liquids</v>
      </c>
      <c r="U1368" s="360">
        <v>2002</v>
      </c>
      <c r="V1368" s="360" t="s">
        <v>8</v>
      </c>
      <c r="W1368" s="360" t="s">
        <v>27</v>
      </c>
      <c r="X1368" s="360">
        <v>24</v>
      </c>
      <c r="Y1368" s="360" t="s">
        <v>47</v>
      </c>
      <c r="Z1368" s="360">
        <v>7</v>
      </c>
      <c r="AA1368" s="360">
        <v>25</v>
      </c>
      <c r="AB1368" s="360">
        <v>28</v>
      </c>
    </row>
    <row r="1369" spans="10:28" x14ac:dyDescent="0.2">
      <c r="J1369" s="358" t="str">
        <f t="shared" si="88"/>
        <v>2004AllSexAllEth241</v>
      </c>
      <c r="K1369" s="359">
        <v>2004</v>
      </c>
      <c r="L1369" t="s">
        <v>17</v>
      </c>
      <c r="M1369" t="s">
        <v>27</v>
      </c>
      <c r="N1369">
        <v>24</v>
      </c>
      <c r="O1369">
        <v>1</v>
      </c>
      <c r="P1369">
        <v>13</v>
      </c>
      <c r="Q1369">
        <v>5.5827906614336502</v>
      </c>
      <c r="R1369">
        <v>3</v>
      </c>
      <c r="T1369" s="358" t="str">
        <f t="shared" si="89"/>
        <v>2002FemaleAllEth25Poisoning by solids and liquids</v>
      </c>
      <c r="U1369" s="360">
        <v>2002</v>
      </c>
      <c r="V1369" s="360" t="s">
        <v>8</v>
      </c>
      <c r="W1369" s="360" t="s">
        <v>27</v>
      </c>
      <c r="X1369" s="360">
        <v>25</v>
      </c>
      <c r="Y1369" s="360" t="s">
        <v>47</v>
      </c>
      <c r="Z1369" s="360">
        <v>3</v>
      </c>
      <c r="AA1369" s="360">
        <v>12</v>
      </c>
      <c r="AB1369" s="360">
        <v>25</v>
      </c>
    </row>
    <row r="1370" spans="10:28" x14ac:dyDescent="0.2">
      <c r="J1370" s="358" t="str">
        <f t="shared" si="88"/>
        <v>2004AllSexAllEth242</v>
      </c>
      <c r="K1370" s="359">
        <v>2004</v>
      </c>
      <c r="L1370" t="s">
        <v>17</v>
      </c>
      <c r="M1370" t="s">
        <v>27</v>
      </c>
      <c r="N1370">
        <v>24</v>
      </c>
      <c r="O1370">
        <v>2</v>
      </c>
      <c r="P1370">
        <v>21</v>
      </c>
      <c r="Q1370">
        <v>10.215155196600801</v>
      </c>
      <c r="R1370">
        <v>4.4000000000000004</v>
      </c>
      <c r="T1370" s="358" t="str">
        <f t="shared" si="89"/>
        <v>2002FemaleAllEth22Submersion (drowning)</v>
      </c>
      <c r="U1370" s="360">
        <v>2002</v>
      </c>
      <c r="V1370" s="360" t="s">
        <v>8</v>
      </c>
      <c r="W1370" s="360" t="s">
        <v>27</v>
      </c>
      <c r="X1370" s="360">
        <v>22</v>
      </c>
      <c r="Y1370" s="360" t="s">
        <v>49</v>
      </c>
      <c r="Z1370" s="360">
        <v>1</v>
      </c>
      <c r="AA1370" s="360">
        <v>30</v>
      </c>
      <c r="AB1370" s="360">
        <v>3.3</v>
      </c>
    </row>
    <row r="1371" spans="10:28" x14ac:dyDescent="0.2">
      <c r="J1371" s="358" t="str">
        <f t="shared" si="88"/>
        <v>2004AllSexAllEth243</v>
      </c>
      <c r="K1371" s="359">
        <v>2004</v>
      </c>
      <c r="L1371" t="s">
        <v>17</v>
      </c>
      <c r="M1371" t="s">
        <v>27</v>
      </c>
      <c r="N1371">
        <v>24</v>
      </c>
      <c r="O1371">
        <v>3</v>
      </c>
      <c r="P1371">
        <v>25</v>
      </c>
      <c r="Q1371">
        <v>13.4896297989969</v>
      </c>
      <c r="R1371">
        <v>5.3</v>
      </c>
      <c r="T1371" s="358" t="str">
        <f t="shared" si="89"/>
        <v>2002FemaleAllEth23Submersion (drowning)</v>
      </c>
      <c r="U1371" s="360">
        <v>2002</v>
      </c>
      <c r="V1371" s="360" t="s">
        <v>8</v>
      </c>
      <c r="W1371" s="360" t="s">
        <v>27</v>
      </c>
      <c r="X1371" s="360">
        <v>23</v>
      </c>
      <c r="Y1371" s="360" t="s">
        <v>49</v>
      </c>
      <c r="Z1371" s="360">
        <v>1</v>
      </c>
      <c r="AA1371" s="360">
        <v>47</v>
      </c>
      <c r="AB1371" s="360">
        <v>2.1</v>
      </c>
    </row>
    <row r="1372" spans="10:28" x14ac:dyDescent="0.2">
      <c r="J1372" s="358" t="str">
        <f t="shared" si="88"/>
        <v>2004AllSexAllEth244</v>
      </c>
      <c r="K1372" s="359">
        <v>2004</v>
      </c>
      <c r="L1372" t="s">
        <v>17</v>
      </c>
      <c r="M1372" t="s">
        <v>27</v>
      </c>
      <c r="N1372">
        <v>24</v>
      </c>
      <c r="O1372">
        <v>4</v>
      </c>
      <c r="P1372">
        <v>28</v>
      </c>
      <c r="Q1372">
        <v>16.5300455646146</v>
      </c>
      <c r="R1372">
        <v>6.1</v>
      </c>
      <c r="T1372" s="358" t="str">
        <f t="shared" si="89"/>
        <v>2002FemaleAllEth25Submersion (drowning)</v>
      </c>
      <c r="U1372" s="360">
        <v>2002</v>
      </c>
      <c r="V1372" s="360" t="s">
        <v>8</v>
      </c>
      <c r="W1372" s="360" t="s">
        <v>27</v>
      </c>
      <c r="X1372" s="360">
        <v>25</v>
      </c>
      <c r="Y1372" s="360" t="s">
        <v>49</v>
      </c>
      <c r="Z1372" s="360">
        <v>3</v>
      </c>
      <c r="AA1372" s="360">
        <v>12</v>
      </c>
      <c r="AB1372" s="360">
        <v>25</v>
      </c>
    </row>
    <row r="1373" spans="10:28" x14ac:dyDescent="0.2">
      <c r="J1373" s="358" t="str">
        <f t="shared" si="88"/>
        <v>2004AllSexAllEth245</v>
      </c>
      <c r="K1373" s="359">
        <v>2004</v>
      </c>
      <c r="L1373" t="s">
        <v>17</v>
      </c>
      <c r="M1373" t="s">
        <v>27</v>
      </c>
      <c r="N1373">
        <v>24</v>
      </c>
      <c r="O1373">
        <v>5</v>
      </c>
      <c r="P1373">
        <v>24</v>
      </c>
      <c r="Q1373">
        <v>15.9216090674549</v>
      </c>
      <c r="R1373">
        <v>6.4</v>
      </c>
      <c r="T1373" s="358" t="str">
        <f t="shared" si="89"/>
        <v>2002FemaleMaori22Hanging, strangulation and suffocation</v>
      </c>
      <c r="U1373" s="360">
        <v>2002</v>
      </c>
      <c r="V1373" s="360" t="s">
        <v>8</v>
      </c>
      <c r="W1373" s="360" t="s">
        <v>18</v>
      </c>
      <c r="X1373" s="360">
        <v>22</v>
      </c>
      <c r="Y1373" s="360" t="s">
        <v>43</v>
      </c>
      <c r="Z1373" s="360">
        <v>7</v>
      </c>
      <c r="AA1373" s="360">
        <v>10</v>
      </c>
      <c r="AB1373" s="360">
        <v>70</v>
      </c>
    </row>
    <row r="1374" spans="10:28" x14ac:dyDescent="0.2">
      <c r="J1374" s="358" t="str">
        <f t="shared" si="88"/>
        <v>2004AllSexAllEth251</v>
      </c>
      <c r="K1374" s="359">
        <v>2004</v>
      </c>
      <c r="L1374" t="s">
        <v>17</v>
      </c>
      <c r="M1374" t="s">
        <v>27</v>
      </c>
      <c r="N1374">
        <v>25</v>
      </c>
      <c r="O1374">
        <v>1</v>
      </c>
      <c r="P1374">
        <v>8</v>
      </c>
      <c r="Q1374">
        <v>8.6047075630357206</v>
      </c>
      <c r="R1374">
        <v>6</v>
      </c>
      <c r="T1374" s="358" t="str">
        <f t="shared" si="89"/>
        <v>2002FemaleMaori23Hanging, strangulation and suffocation</v>
      </c>
      <c r="U1374" s="360">
        <v>2002</v>
      </c>
      <c r="V1374" s="360" t="s">
        <v>8</v>
      </c>
      <c r="W1374" s="360" t="s">
        <v>18</v>
      </c>
      <c r="X1374" s="360">
        <v>23</v>
      </c>
      <c r="Y1374" s="360" t="s">
        <v>43</v>
      </c>
      <c r="Z1374" s="360">
        <v>4</v>
      </c>
      <c r="AA1374" s="360">
        <v>9</v>
      </c>
      <c r="AB1374" s="360">
        <v>44.4</v>
      </c>
    </row>
    <row r="1375" spans="10:28" x14ac:dyDescent="0.2">
      <c r="J1375" s="358" t="str">
        <f t="shared" si="88"/>
        <v>2004AllSexAllEth252</v>
      </c>
      <c r="K1375" s="359">
        <v>2004</v>
      </c>
      <c r="L1375" t="s">
        <v>17</v>
      </c>
      <c r="M1375" t="s">
        <v>27</v>
      </c>
      <c r="N1375">
        <v>25</v>
      </c>
      <c r="O1375">
        <v>2</v>
      </c>
      <c r="P1375">
        <v>3</v>
      </c>
      <c r="Q1375">
        <v>3.0046845078039199</v>
      </c>
      <c r="R1375">
        <v>3.4</v>
      </c>
      <c r="T1375" s="358" t="str">
        <f t="shared" si="89"/>
        <v>2002FemaleMaori24Hanging, strangulation and suffocation</v>
      </c>
      <c r="U1375" s="360">
        <v>2002</v>
      </c>
      <c r="V1375" s="360" t="s">
        <v>8</v>
      </c>
      <c r="W1375" s="360" t="s">
        <v>18</v>
      </c>
      <c r="X1375" s="360">
        <v>24</v>
      </c>
      <c r="Y1375" s="360" t="s">
        <v>43</v>
      </c>
      <c r="Z1375" s="360">
        <v>1</v>
      </c>
      <c r="AA1375" s="360">
        <v>1</v>
      </c>
      <c r="AB1375" s="360">
        <v>100</v>
      </c>
    </row>
    <row r="1376" spans="10:28" x14ac:dyDescent="0.2">
      <c r="J1376" s="358" t="str">
        <f t="shared" si="88"/>
        <v>2004AllSexAllEth253</v>
      </c>
      <c r="K1376" s="359">
        <v>2004</v>
      </c>
      <c r="L1376" t="s">
        <v>17</v>
      </c>
      <c r="M1376" t="s">
        <v>27</v>
      </c>
      <c r="N1376">
        <v>25</v>
      </c>
      <c r="O1376">
        <v>3</v>
      </c>
      <c r="P1376">
        <v>13</v>
      </c>
      <c r="Q1376">
        <v>12.4569862390466</v>
      </c>
      <c r="R1376">
        <v>6.8</v>
      </c>
      <c r="T1376" s="358" t="str">
        <f t="shared" si="89"/>
        <v>2002FemaleMaori22Jumping from a high place</v>
      </c>
      <c r="U1376" s="360">
        <v>2002</v>
      </c>
      <c r="V1376" s="360" t="s">
        <v>8</v>
      </c>
      <c r="W1376" s="360" t="s">
        <v>18</v>
      </c>
      <c r="X1376" s="360">
        <v>22</v>
      </c>
      <c r="Y1376" s="360" t="s">
        <v>44</v>
      </c>
      <c r="Z1376" s="360">
        <v>1</v>
      </c>
      <c r="AA1376" s="360">
        <v>10</v>
      </c>
      <c r="AB1376" s="360">
        <v>10</v>
      </c>
    </row>
    <row r="1377" spans="10:28" x14ac:dyDescent="0.2">
      <c r="J1377" s="358" t="str">
        <f t="shared" si="88"/>
        <v>2004AllSexAllEth254</v>
      </c>
      <c r="K1377" s="359">
        <v>2004</v>
      </c>
      <c r="L1377" t="s">
        <v>17</v>
      </c>
      <c r="M1377" t="s">
        <v>27</v>
      </c>
      <c r="N1377">
        <v>25</v>
      </c>
      <c r="O1377">
        <v>4</v>
      </c>
      <c r="P1377">
        <v>14</v>
      </c>
      <c r="Q1377">
        <v>13.290504080470001</v>
      </c>
      <c r="R1377">
        <v>7</v>
      </c>
      <c r="T1377" s="358" t="str">
        <f t="shared" si="89"/>
        <v>2002FemaleMaori22Poisoning by gases and vapours</v>
      </c>
      <c r="U1377" s="360">
        <v>2002</v>
      </c>
      <c r="V1377" s="360" t="s">
        <v>8</v>
      </c>
      <c r="W1377" s="360" t="s">
        <v>18</v>
      </c>
      <c r="X1377" s="360">
        <v>22</v>
      </c>
      <c r="Y1377" s="360" t="s">
        <v>46</v>
      </c>
      <c r="Z1377" s="360">
        <v>1</v>
      </c>
      <c r="AA1377" s="360">
        <v>10</v>
      </c>
      <c r="AB1377" s="360">
        <v>10</v>
      </c>
    </row>
    <row r="1378" spans="10:28" x14ac:dyDescent="0.2">
      <c r="J1378" s="358" t="str">
        <f t="shared" si="88"/>
        <v>2004AllSexAllEth255</v>
      </c>
      <c r="K1378" s="359">
        <v>2004</v>
      </c>
      <c r="L1378" t="s">
        <v>17</v>
      </c>
      <c r="M1378" t="s">
        <v>27</v>
      </c>
      <c r="N1378">
        <v>25</v>
      </c>
      <c r="O1378">
        <v>5</v>
      </c>
      <c r="P1378">
        <v>15</v>
      </c>
      <c r="Q1378">
        <v>18.2691257784379</v>
      </c>
      <c r="R1378">
        <v>9.1999999999999993</v>
      </c>
      <c r="T1378" s="358" t="str">
        <f t="shared" si="89"/>
        <v>2002FemaleMaori23Poisoning by gases and vapours</v>
      </c>
      <c r="U1378" s="360">
        <v>2002</v>
      </c>
      <c r="V1378" s="360" t="s">
        <v>8</v>
      </c>
      <c r="W1378" s="360" t="s">
        <v>18</v>
      </c>
      <c r="X1378" s="360">
        <v>23</v>
      </c>
      <c r="Y1378" s="360" t="s">
        <v>46</v>
      </c>
      <c r="Z1378" s="360">
        <v>1</v>
      </c>
      <c r="AA1378" s="360">
        <v>9</v>
      </c>
      <c r="AB1378" s="360">
        <v>11.1</v>
      </c>
    </row>
    <row r="1379" spans="10:28" x14ac:dyDescent="0.2">
      <c r="J1379" s="358" t="str">
        <f t="shared" si="88"/>
        <v>2004AllSexMaori211</v>
      </c>
      <c r="K1379" s="359">
        <v>2004</v>
      </c>
      <c r="L1379" t="s">
        <v>17</v>
      </c>
      <c r="M1379" t="s">
        <v>18</v>
      </c>
      <c r="N1379">
        <v>21</v>
      </c>
      <c r="O1379">
        <v>1</v>
      </c>
      <c r="P1379">
        <v>0</v>
      </c>
      <c r="T1379" s="358" t="str">
        <f t="shared" si="89"/>
        <v>2002FemaleMaori22Poisoning by solids and liquids</v>
      </c>
      <c r="U1379" s="360">
        <v>2002</v>
      </c>
      <c r="V1379" s="360" t="s">
        <v>8</v>
      </c>
      <c r="W1379" s="360" t="s">
        <v>18</v>
      </c>
      <c r="X1379" s="360">
        <v>22</v>
      </c>
      <c r="Y1379" s="360" t="s">
        <v>47</v>
      </c>
      <c r="Z1379" s="360">
        <v>1</v>
      </c>
      <c r="AA1379" s="360">
        <v>10</v>
      </c>
      <c r="AB1379" s="360">
        <v>10</v>
      </c>
    </row>
    <row r="1380" spans="10:28" x14ac:dyDescent="0.2">
      <c r="J1380" s="358" t="str">
        <f t="shared" si="88"/>
        <v>2004AllSexMaori212</v>
      </c>
      <c r="K1380" s="359">
        <v>2004</v>
      </c>
      <c r="L1380" t="s">
        <v>17</v>
      </c>
      <c r="M1380" t="s">
        <v>18</v>
      </c>
      <c r="N1380">
        <v>21</v>
      </c>
      <c r="O1380">
        <v>2</v>
      </c>
      <c r="P1380">
        <v>0</v>
      </c>
      <c r="T1380" s="358" t="str">
        <f t="shared" si="89"/>
        <v>2002FemaleMaori23Poisoning by solids and liquids</v>
      </c>
      <c r="U1380" s="360">
        <v>2002</v>
      </c>
      <c r="V1380" s="360" t="s">
        <v>8</v>
      </c>
      <c r="W1380" s="360" t="s">
        <v>18</v>
      </c>
      <c r="X1380" s="360">
        <v>23</v>
      </c>
      <c r="Y1380" s="360" t="s">
        <v>47</v>
      </c>
      <c r="Z1380" s="360">
        <v>4</v>
      </c>
      <c r="AA1380" s="360">
        <v>9</v>
      </c>
      <c r="AB1380" s="360">
        <v>44.4</v>
      </c>
    </row>
    <row r="1381" spans="10:28" x14ac:dyDescent="0.2">
      <c r="J1381" s="358" t="str">
        <f t="shared" si="88"/>
        <v>2004AllSexMaori213</v>
      </c>
      <c r="K1381" s="359">
        <v>2004</v>
      </c>
      <c r="L1381" t="s">
        <v>17</v>
      </c>
      <c r="M1381" t="s">
        <v>18</v>
      </c>
      <c r="N1381">
        <v>21</v>
      </c>
      <c r="O1381">
        <v>3</v>
      </c>
      <c r="P1381">
        <v>0</v>
      </c>
      <c r="T1381" s="358" t="str">
        <f t="shared" si="89"/>
        <v>2002FemaleNon-Maori22Firearms and explosives</v>
      </c>
      <c r="U1381" s="360">
        <v>2002</v>
      </c>
      <c r="V1381" s="360" t="s">
        <v>8</v>
      </c>
      <c r="W1381" s="360" t="s">
        <v>19</v>
      </c>
      <c r="X1381" s="360">
        <v>22</v>
      </c>
      <c r="Y1381" s="360" t="s">
        <v>42</v>
      </c>
      <c r="Z1381" s="360">
        <v>1</v>
      </c>
      <c r="AA1381" s="360">
        <v>20</v>
      </c>
      <c r="AB1381" s="360">
        <v>5</v>
      </c>
    </row>
    <row r="1382" spans="10:28" x14ac:dyDescent="0.2">
      <c r="J1382" s="358" t="str">
        <f t="shared" si="88"/>
        <v>2004AllSexMaori214</v>
      </c>
      <c r="K1382" s="359">
        <v>2004</v>
      </c>
      <c r="L1382" t="s">
        <v>17</v>
      </c>
      <c r="M1382" t="s">
        <v>18</v>
      </c>
      <c r="N1382">
        <v>21</v>
      </c>
      <c r="O1382">
        <v>4</v>
      </c>
      <c r="P1382">
        <v>1</v>
      </c>
      <c r="T1382" s="358" t="str">
        <f t="shared" si="89"/>
        <v>2002FemaleNon-Maori23Firearms and explosives</v>
      </c>
      <c r="U1382" s="360">
        <v>2002</v>
      </c>
      <c r="V1382" s="360" t="s">
        <v>8</v>
      </c>
      <c r="W1382" s="360" t="s">
        <v>19</v>
      </c>
      <c r="X1382" s="360">
        <v>23</v>
      </c>
      <c r="Y1382" s="360" t="s">
        <v>42</v>
      </c>
      <c r="Z1382" s="360">
        <v>2</v>
      </c>
      <c r="AA1382" s="360">
        <v>38</v>
      </c>
      <c r="AB1382" s="360">
        <v>5.3</v>
      </c>
    </row>
    <row r="1383" spans="10:28" x14ac:dyDescent="0.2">
      <c r="J1383" s="358" t="str">
        <f t="shared" si="88"/>
        <v>2004AllSexMaori215</v>
      </c>
      <c r="K1383" s="359">
        <v>2004</v>
      </c>
      <c r="L1383" t="s">
        <v>17</v>
      </c>
      <c r="M1383" t="s">
        <v>18</v>
      </c>
      <c r="N1383">
        <v>21</v>
      </c>
      <c r="O1383">
        <v>5</v>
      </c>
      <c r="P1383">
        <v>2</v>
      </c>
      <c r="T1383" s="358" t="str">
        <f t="shared" si="89"/>
        <v>2002FemaleNon-Maori22Hanging, strangulation and suffocation</v>
      </c>
      <c r="U1383" s="360">
        <v>2002</v>
      </c>
      <c r="V1383" s="360" t="s">
        <v>8</v>
      </c>
      <c r="W1383" s="360" t="s">
        <v>19</v>
      </c>
      <c r="X1383" s="360">
        <v>22</v>
      </c>
      <c r="Y1383" s="360" t="s">
        <v>43</v>
      </c>
      <c r="Z1383" s="360">
        <v>12</v>
      </c>
      <c r="AA1383" s="360">
        <v>20</v>
      </c>
      <c r="AB1383" s="360">
        <v>60</v>
      </c>
    </row>
    <row r="1384" spans="10:28" x14ac:dyDescent="0.2">
      <c r="J1384" s="358" t="str">
        <f t="shared" si="88"/>
        <v>2004AllSexMaori221</v>
      </c>
      <c r="K1384" s="359">
        <v>2004</v>
      </c>
      <c r="L1384" t="s">
        <v>17</v>
      </c>
      <c r="M1384" t="s">
        <v>18</v>
      </c>
      <c r="N1384">
        <v>22</v>
      </c>
      <c r="O1384">
        <v>1</v>
      </c>
      <c r="P1384">
        <v>0</v>
      </c>
      <c r="Q1384">
        <v>0</v>
      </c>
      <c r="T1384" s="358" t="str">
        <f t="shared" si="89"/>
        <v>2002FemaleNon-Maori23Hanging, strangulation and suffocation</v>
      </c>
      <c r="U1384" s="360">
        <v>2002</v>
      </c>
      <c r="V1384" s="360" t="s">
        <v>8</v>
      </c>
      <c r="W1384" s="360" t="s">
        <v>19</v>
      </c>
      <c r="X1384" s="360">
        <v>23</v>
      </c>
      <c r="Y1384" s="360" t="s">
        <v>43</v>
      </c>
      <c r="Z1384" s="360">
        <v>12</v>
      </c>
      <c r="AA1384" s="360">
        <v>38</v>
      </c>
      <c r="AB1384" s="360">
        <v>31.6</v>
      </c>
    </row>
    <row r="1385" spans="10:28" x14ac:dyDescent="0.2">
      <c r="J1385" s="358" t="str">
        <f t="shared" si="88"/>
        <v>2004AllSexMaori222</v>
      </c>
      <c r="K1385" s="359">
        <v>2004</v>
      </c>
      <c r="L1385" t="s">
        <v>17</v>
      </c>
      <c r="M1385" t="s">
        <v>18</v>
      </c>
      <c r="N1385">
        <v>22</v>
      </c>
      <c r="O1385">
        <v>2</v>
      </c>
      <c r="P1385">
        <v>4</v>
      </c>
      <c r="Q1385">
        <v>33.799980995928799</v>
      </c>
      <c r="R1385">
        <v>33.1</v>
      </c>
      <c r="T1385" s="358" t="str">
        <f t="shared" si="89"/>
        <v>2002FemaleNon-Maori24Hanging, strangulation and suffocation</v>
      </c>
      <c r="U1385" s="360">
        <v>2002</v>
      </c>
      <c r="V1385" s="360" t="s">
        <v>8</v>
      </c>
      <c r="W1385" s="360" t="s">
        <v>19</v>
      </c>
      <c r="X1385" s="360">
        <v>24</v>
      </c>
      <c r="Y1385" s="360" t="s">
        <v>43</v>
      </c>
      <c r="Z1385" s="360">
        <v>12</v>
      </c>
      <c r="AA1385" s="360">
        <v>24</v>
      </c>
      <c r="AB1385" s="360">
        <v>50</v>
      </c>
    </row>
    <row r="1386" spans="10:28" x14ac:dyDescent="0.2">
      <c r="J1386" s="358" t="str">
        <f t="shared" si="88"/>
        <v>2004AllSexMaori223</v>
      </c>
      <c r="K1386" s="359">
        <v>2004</v>
      </c>
      <c r="L1386" t="s">
        <v>17</v>
      </c>
      <c r="M1386" t="s">
        <v>18</v>
      </c>
      <c r="N1386">
        <v>22</v>
      </c>
      <c r="O1386">
        <v>3</v>
      </c>
      <c r="P1386">
        <v>8</v>
      </c>
      <c r="Q1386">
        <v>44.5941253832858</v>
      </c>
      <c r="R1386">
        <v>30.9</v>
      </c>
      <c r="T1386" s="358" t="str">
        <f t="shared" si="89"/>
        <v>2002FemaleNon-Maori25Hanging, strangulation and suffocation</v>
      </c>
      <c r="U1386" s="360">
        <v>2002</v>
      </c>
      <c r="V1386" s="360" t="s">
        <v>8</v>
      </c>
      <c r="W1386" s="360" t="s">
        <v>19</v>
      </c>
      <c r="X1386" s="360">
        <v>25</v>
      </c>
      <c r="Y1386" s="360" t="s">
        <v>43</v>
      </c>
      <c r="Z1386" s="360">
        <v>3</v>
      </c>
      <c r="AA1386" s="360">
        <v>12</v>
      </c>
      <c r="AB1386" s="360">
        <v>25</v>
      </c>
    </row>
    <row r="1387" spans="10:28" x14ac:dyDescent="0.2">
      <c r="J1387" s="358" t="str">
        <f t="shared" si="88"/>
        <v>2004AllSexMaori224</v>
      </c>
      <c r="K1387" s="359">
        <v>2004</v>
      </c>
      <c r="L1387" t="s">
        <v>17</v>
      </c>
      <c r="M1387" t="s">
        <v>18</v>
      </c>
      <c r="N1387">
        <v>22</v>
      </c>
      <c r="O1387">
        <v>4</v>
      </c>
      <c r="P1387">
        <v>9</v>
      </c>
      <c r="Q1387">
        <v>33.8219051993769</v>
      </c>
      <c r="R1387">
        <v>22.1</v>
      </c>
      <c r="T1387" s="358" t="str">
        <f t="shared" si="89"/>
        <v>2002FemaleNon-Maori23Jumping from a high place</v>
      </c>
      <c r="U1387" s="360">
        <v>2002</v>
      </c>
      <c r="V1387" s="360" t="s">
        <v>8</v>
      </c>
      <c r="W1387" s="360" t="s">
        <v>19</v>
      </c>
      <c r="X1387" s="360">
        <v>23</v>
      </c>
      <c r="Y1387" s="360" t="s">
        <v>44</v>
      </c>
      <c r="Z1387" s="360">
        <v>5</v>
      </c>
      <c r="AA1387" s="360">
        <v>38</v>
      </c>
      <c r="AB1387" s="360">
        <v>13.2</v>
      </c>
    </row>
    <row r="1388" spans="10:28" x14ac:dyDescent="0.2">
      <c r="J1388" s="358" t="str">
        <f t="shared" si="88"/>
        <v>2004AllSexMaori225</v>
      </c>
      <c r="K1388" s="359">
        <v>2004</v>
      </c>
      <c r="L1388" t="s">
        <v>17</v>
      </c>
      <c r="M1388" t="s">
        <v>18</v>
      </c>
      <c r="N1388">
        <v>22</v>
      </c>
      <c r="O1388">
        <v>5</v>
      </c>
      <c r="P1388">
        <v>21</v>
      </c>
      <c r="Q1388">
        <v>44.766792855208301</v>
      </c>
      <c r="R1388">
        <v>19.100000000000001</v>
      </c>
      <c r="T1388" s="358" t="str">
        <f t="shared" si="89"/>
        <v>2002FemaleNon-Maori24Jumping from a high place</v>
      </c>
      <c r="U1388" s="360">
        <v>2002</v>
      </c>
      <c r="V1388" s="360" t="s">
        <v>8</v>
      </c>
      <c r="W1388" s="360" t="s">
        <v>19</v>
      </c>
      <c r="X1388" s="360">
        <v>24</v>
      </c>
      <c r="Y1388" s="360" t="s">
        <v>44</v>
      </c>
      <c r="Z1388" s="360">
        <v>1</v>
      </c>
      <c r="AA1388" s="360">
        <v>24</v>
      </c>
      <c r="AB1388" s="360">
        <v>4.2</v>
      </c>
    </row>
    <row r="1389" spans="10:28" x14ac:dyDescent="0.2">
      <c r="J1389" s="358" t="str">
        <f t="shared" si="88"/>
        <v>2004AllSexMaori231</v>
      </c>
      <c r="K1389" s="359">
        <v>2004</v>
      </c>
      <c r="L1389" t="s">
        <v>17</v>
      </c>
      <c r="M1389" t="s">
        <v>18</v>
      </c>
      <c r="N1389">
        <v>23</v>
      </c>
      <c r="O1389">
        <v>1</v>
      </c>
      <c r="P1389">
        <v>2</v>
      </c>
      <c r="Q1389">
        <v>14.3268190786702</v>
      </c>
      <c r="R1389">
        <v>19.899999999999999</v>
      </c>
      <c r="T1389" s="358" t="str">
        <f t="shared" si="89"/>
        <v>2002FemaleNon-Maori23Other</v>
      </c>
      <c r="U1389" s="360">
        <v>2002</v>
      </c>
      <c r="V1389" s="360" t="s">
        <v>8</v>
      </c>
      <c r="W1389" s="360" t="s">
        <v>19</v>
      </c>
      <c r="X1389" s="360">
        <v>23</v>
      </c>
      <c r="Y1389" s="360" t="s">
        <v>45</v>
      </c>
      <c r="Z1389" s="360">
        <v>1</v>
      </c>
      <c r="AA1389" s="360">
        <v>38</v>
      </c>
      <c r="AB1389" s="360">
        <v>2.6</v>
      </c>
    </row>
    <row r="1390" spans="10:28" x14ac:dyDescent="0.2">
      <c r="J1390" s="358" t="str">
        <f t="shared" si="88"/>
        <v>2004AllSexMaori232</v>
      </c>
      <c r="K1390" s="359">
        <v>2004</v>
      </c>
      <c r="L1390" t="s">
        <v>17</v>
      </c>
      <c r="M1390" t="s">
        <v>18</v>
      </c>
      <c r="N1390">
        <v>23</v>
      </c>
      <c r="O1390">
        <v>2</v>
      </c>
      <c r="P1390">
        <v>4</v>
      </c>
      <c r="Q1390">
        <v>19.751241379397701</v>
      </c>
      <c r="R1390">
        <v>19.399999999999999</v>
      </c>
      <c r="T1390" s="358" t="str">
        <f t="shared" si="89"/>
        <v>2002FemaleNon-Maori24Other</v>
      </c>
      <c r="U1390" s="360">
        <v>2002</v>
      </c>
      <c r="V1390" s="360" t="s">
        <v>8</v>
      </c>
      <c r="W1390" s="360" t="s">
        <v>19</v>
      </c>
      <c r="X1390" s="360">
        <v>24</v>
      </c>
      <c r="Y1390" s="360" t="s">
        <v>45</v>
      </c>
      <c r="Z1390" s="360">
        <v>2</v>
      </c>
      <c r="AA1390" s="360">
        <v>24</v>
      </c>
      <c r="AB1390" s="360">
        <v>8.3000000000000007</v>
      </c>
    </row>
    <row r="1391" spans="10:28" x14ac:dyDescent="0.2">
      <c r="J1391" s="358" t="str">
        <f t="shared" si="88"/>
        <v>2004AllSexMaori233</v>
      </c>
      <c r="K1391" s="359">
        <v>2004</v>
      </c>
      <c r="L1391" t="s">
        <v>17</v>
      </c>
      <c r="M1391" t="s">
        <v>18</v>
      </c>
      <c r="N1391">
        <v>23</v>
      </c>
      <c r="O1391">
        <v>3</v>
      </c>
      <c r="P1391">
        <v>2</v>
      </c>
      <c r="Q1391">
        <v>7.0709909385924599</v>
      </c>
      <c r="R1391">
        <v>9.8000000000000007</v>
      </c>
      <c r="T1391" s="358" t="str">
        <f t="shared" si="89"/>
        <v>2002FemaleNon-Maori25Other</v>
      </c>
      <c r="U1391" s="360">
        <v>2002</v>
      </c>
      <c r="V1391" s="360" t="s">
        <v>8</v>
      </c>
      <c r="W1391" s="360" t="s">
        <v>19</v>
      </c>
      <c r="X1391" s="360">
        <v>25</v>
      </c>
      <c r="Y1391" s="360" t="s">
        <v>45</v>
      </c>
      <c r="Z1391" s="360">
        <v>1</v>
      </c>
      <c r="AA1391" s="360">
        <v>12</v>
      </c>
      <c r="AB1391" s="360">
        <v>8.3000000000000007</v>
      </c>
    </row>
    <row r="1392" spans="10:28" x14ac:dyDescent="0.2">
      <c r="J1392" s="358" t="str">
        <f t="shared" si="88"/>
        <v>2004AllSexMaori234</v>
      </c>
      <c r="K1392" s="359">
        <v>2004</v>
      </c>
      <c r="L1392" t="s">
        <v>17</v>
      </c>
      <c r="M1392" t="s">
        <v>18</v>
      </c>
      <c r="N1392">
        <v>23</v>
      </c>
      <c r="O1392">
        <v>4</v>
      </c>
      <c r="P1392">
        <v>18</v>
      </c>
      <c r="Q1392">
        <v>44.497347264915803</v>
      </c>
      <c r="R1392">
        <v>20.6</v>
      </c>
      <c r="T1392" s="358" t="str">
        <f t="shared" si="89"/>
        <v>2002FemaleNon-Maori22Poisoning by gases and vapours</v>
      </c>
      <c r="U1392" s="360">
        <v>2002</v>
      </c>
      <c r="V1392" s="360" t="s">
        <v>8</v>
      </c>
      <c r="W1392" s="360" t="s">
        <v>19</v>
      </c>
      <c r="X1392" s="360">
        <v>22</v>
      </c>
      <c r="Y1392" s="360" t="s">
        <v>46</v>
      </c>
      <c r="Z1392" s="360">
        <v>4</v>
      </c>
      <c r="AA1392" s="360">
        <v>20</v>
      </c>
      <c r="AB1392" s="360">
        <v>20</v>
      </c>
    </row>
    <row r="1393" spans="10:28" x14ac:dyDescent="0.2">
      <c r="J1393" s="358" t="str">
        <f t="shared" si="88"/>
        <v>2004AllSexMaori235</v>
      </c>
      <c r="K1393" s="359">
        <v>2004</v>
      </c>
      <c r="L1393" t="s">
        <v>17</v>
      </c>
      <c r="M1393" t="s">
        <v>18</v>
      </c>
      <c r="N1393">
        <v>23</v>
      </c>
      <c r="O1393">
        <v>5</v>
      </c>
      <c r="P1393">
        <v>28</v>
      </c>
      <c r="Q1393">
        <v>42.034564731271303</v>
      </c>
      <c r="R1393">
        <v>15.6</v>
      </c>
      <c r="T1393" s="358" t="str">
        <f t="shared" si="89"/>
        <v>2002FemaleNon-Maori23Poisoning by gases and vapours</v>
      </c>
      <c r="U1393" s="360">
        <v>2002</v>
      </c>
      <c r="V1393" s="360" t="s">
        <v>8</v>
      </c>
      <c r="W1393" s="360" t="s">
        <v>19</v>
      </c>
      <c r="X1393" s="360">
        <v>23</v>
      </c>
      <c r="Y1393" s="360" t="s">
        <v>46</v>
      </c>
      <c r="Z1393" s="360">
        <v>11</v>
      </c>
      <c r="AA1393" s="360">
        <v>38</v>
      </c>
      <c r="AB1393" s="360">
        <v>28.9</v>
      </c>
    </row>
    <row r="1394" spans="10:28" x14ac:dyDescent="0.2">
      <c r="J1394" s="358" t="str">
        <f t="shared" si="88"/>
        <v>2004AllSexMaori241</v>
      </c>
      <c r="K1394" s="359">
        <v>2004</v>
      </c>
      <c r="L1394" t="s">
        <v>17</v>
      </c>
      <c r="M1394" t="s">
        <v>18</v>
      </c>
      <c r="N1394">
        <v>24</v>
      </c>
      <c r="O1394">
        <v>1</v>
      </c>
      <c r="P1394">
        <v>0</v>
      </c>
      <c r="Q1394">
        <v>0</v>
      </c>
      <c r="T1394" s="358" t="str">
        <f t="shared" si="89"/>
        <v>2002FemaleNon-Maori24Poisoning by gases and vapours</v>
      </c>
      <c r="U1394" s="360">
        <v>2002</v>
      </c>
      <c r="V1394" s="360" t="s">
        <v>8</v>
      </c>
      <c r="W1394" s="360" t="s">
        <v>19</v>
      </c>
      <c r="X1394" s="360">
        <v>24</v>
      </c>
      <c r="Y1394" s="360" t="s">
        <v>46</v>
      </c>
      <c r="Z1394" s="360">
        <v>2</v>
      </c>
      <c r="AA1394" s="360">
        <v>24</v>
      </c>
      <c r="AB1394" s="360">
        <v>8.3000000000000007</v>
      </c>
    </row>
    <row r="1395" spans="10:28" x14ac:dyDescent="0.2">
      <c r="J1395" s="358" t="str">
        <f t="shared" si="88"/>
        <v>2004AllSexMaori242</v>
      </c>
      <c r="K1395" s="359">
        <v>2004</v>
      </c>
      <c r="L1395" t="s">
        <v>17</v>
      </c>
      <c r="M1395" t="s">
        <v>18</v>
      </c>
      <c r="N1395">
        <v>24</v>
      </c>
      <c r="O1395">
        <v>2</v>
      </c>
      <c r="P1395">
        <v>2</v>
      </c>
      <c r="Q1395">
        <v>19.5464062756948</v>
      </c>
      <c r="R1395">
        <v>27.1</v>
      </c>
      <c r="T1395" s="358" t="str">
        <f t="shared" si="89"/>
        <v>2002FemaleNon-Maori25Poisoning by gases and vapours</v>
      </c>
      <c r="U1395" s="360">
        <v>2002</v>
      </c>
      <c r="V1395" s="360" t="s">
        <v>8</v>
      </c>
      <c r="W1395" s="360" t="s">
        <v>19</v>
      </c>
      <c r="X1395" s="360">
        <v>25</v>
      </c>
      <c r="Y1395" s="360" t="s">
        <v>46</v>
      </c>
      <c r="Z1395" s="360">
        <v>2</v>
      </c>
      <c r="AA1395" s="360">
        <v>12</v>
      </c>
      <c r="AB1395" s="360">
        <v>16.7</v>
      </c>
    </row>
    <row r="1396" spans="10:28" x14ac:dyDescent="0.2">
      <c r="J1396" s="358" t="str">
        <f t="shared" si="88"/>
        <v>2004AllSexMaori243</v>
      </c>
      <c r="K1396" s="359">
        <v>2004</v>
      </c>
      <c r="L1396" t="s">
        <v>17</v>
      </c>
      <c r="M1396" t="s">
        <v>18</v>
      </c>
      <c r="N1396">
        <v>24</v>
      </c>
      <c r="O1396">
        <v>3</v>
      </c>
      <c r="P1396">
        <v>0</v>
      </c>
      <c r="Q1396">
        <v>0</v>
      </c>
      <c r="T1396" s="358" t="str">
        <f t="shared" si="89"/>
        <v>2002FemaleNon-Maori22Poisoning by solids and liquids</v>
      </c>
      <c r="U1396" s="360">
        <v>2002</v>
      </c>
      <c r="V1396" s="360" t="s">
        <v>8</v>
      </c>
      <c r="W1396" s="360" t="s">
        <v>19</v>
      </c>
      <c r="X1396" s="360">
        <v>22</v>
      </c>
      <c r="Y1396" s="360" t="s">
        <v>47</v>
      </c>
      <c r="Z1396" s="360">
        <v>2</v>
      </c>
      <c r="AA1396" s="360">
        <v>20</v>
      </c>
      <c r="AB1396" s="360">
        <v>10</v>
      </c>
    </row>
    <row r="1397" spans="10:28" x14ac:dyDescent="0.2">
      <c r="J1397" s="358" t="str">
        <f t="shared" si="88"/>
        <v>2004AllSexMaori244</v>
      </c>
      <c r="K1397" s="359">
        <v>2004</v>
      </c>
      <c r="L1397" t="s">
        <v>17</v>
      </c>
      <c r="M1397" t="s">
        <v>18</v>
      </c>
      <c r="N1397">
        <v>24</v>
      </c>
      <c r="O1397">
        <v>4</v>
      </c>
      <c r="P1397">
        <v>1</v>
      </c>
      <c r="Q1397">
        <v>4.8296801942252703</v>
      </c>
      <c r="R1397">
        <v>9.5</v>
      </c>
      <c r="T1397" s="358" t="str">
        <f t="shared" si="89"/>
        <v>2002FemaleNon-Maori23Poisoning by solids and liquids</v>
      </c>
      <c r="U1397" s="360">
        <v>2002</v>
      </c>
      <c r="V1397" s="360" t="s">
        <v>8</v>
      </c>
      <c r="W1397" s="360" t="s">
        <v>19</v>
      </c>
      <c r="X1397" s="360">
        <v>23</v>
      </c>
      <c r="Y1397" s="360" t="s">
        <v>47</v>
      </c>
      <c r="Z1397" s="360">
        <v>6</v>
      </c>
      <c r="AA1397" s="360">
        <v>38</v>
      </c>
      <c r="AB1397" s="360">
        <v>15.8</v>
      </c>
    </row>
    <row r="1398" spans="10:28" x14ac:dyDescent="0.2">
      <c r="J1398" s="358" t="str">
        <f t="shared" si="88"/>
        <v>2004AllSexMaori245</v>
      </c>
      <c r="K1398" s="359">
        <v>2004</v>
      </c>
      <c r="L1398" t="s">
        <v>17</v>
      </c>
      <c r="M1398" t="s">
        <v>18</v>
      </c>
      <c r="N1398">
        <v>24</v>
      </c>
      <c r="O1398">
        <v>5</v>
      </c>
      <c r="P1398">
        <v>5</v>
      </c>
      <c r="Q1398">
        <v>13.624186736824599</v>
      </c>
      <c r="R1398">
        <v>11.9</v>
      </c>
      <c r="T1398" s="358" t="str">
        <f t="shared" si="89"/>
        <v>2002FemaleNon-Maori24Poisoning by solids and liquids</v>
      </c>
      <c r="U1398" s="360">
        <v>2002</v>
      </c>
      <c r="V1398" s="360" t="s">
        <v>8</v>
      </c>
      <c r="W1398" s="360" t="s">
        <v>19</v>
      </c>
      <c r="X1398" s="360">
        <v>24</v>
      </c>
      <c r="Y1398" s="360" t="s">
        <v>47</v>
      </c>
      <c r="Z1398" s="360">
        <v>7</v>
      </c>
      <c r="AA1398" s="360">
        <v>24</v>
      </c>
      <c r="AB1398" s="360">
        <v>29.2</v>
      </c>
    </row>
    <row r="1399" spans="10:28" x14ac:dyDescent="0.2">
      <c r="J1399" s="358" t="str">
        <f t="shared" si="88"/>
        <v>2004AllSexMaori251</v>
      </c>
      <c r="K1399" s="359">
        <v>2004</v>
      </c>
      <c r="L1399" t="s">
        <v>17</v>
      </c>
      <c r="M1399" t="s">
        <v>18</v>
      </c>
      <c r="N1399">
        <v>25</v>
      </c>
      <c r="O1399">
        <v>1</v>
      </c>
      <c r="P1399">
        <v>0</v>
      </c>
      <c r="Q1399">
        <v>0</v>
      </c>
      <c r="T1399" s="358" t="str">
        <f t="shared" si="89"/>
        <v>2002FemaleNon-Maori25Poisoning by solids and liquids</v>
      </c>
      <c r="U1399" s="360">
        <v>2002</v>
      </c>
      <c r="V1399" s="360" t="s">
        <v>8</v>
      </c>
      <c r="W1399" s="360" t="s">
        <v>19</v>
      </c>
      <c r="X1399" s="360">
        <v>25</v>
      </c>
      <c r="Y1399" s="360" t="s">
        <v>47</v>
      </c>
      <c r="Z1399" s="360">
        <v>3</v>
      </c>
      <c r="AA1399" s="360">
        <v>12</v>
      </c>
      <c r="AB1399" s="360">
        <v>25</v>
      </c>
    </row>
    <row r="1400" spans="10:28" x14ac:dyDescent="0.2">
      <c r="J1400" s="358" t="str">
        <f t="shared" si="88"/>
        <v>2004AllSexMaori252</v>
      </c>
      <c r="K1400" s="359">
        <v>2004</v>
      </c>
      <c r="L1400" t="s">
        <v>17</v>
      </c>
      <c r="M1400" t="s">
        <v>18</v>
      </c>
      <c r="N1400">
        <v>25</v>
      </c>
      <c r="O1400">
        <v>2</v>
      </c>
      <c r="P1400">
        <v>0</v>
      </c>
      <c r="Q1400">
        <v>0</v>
      </c>
      <c r="T1400" s="358" t="str">
        <f t="shared" si="89"/>
        <v>2002FemaleNon-Maori22Submersion (drowning)</v>
      </c>
      <c r="U1400" s="360">
        <v>2002</v>
      </c>
      <c r="V1400" s="360" t="s">
        <v>8</v>
      </c>
      <c r="W1400" s="360" t="s">
        <v>19</v>
      </c>
      <c r="X1400" s="360">
        <v>22</v>
      </c>
      <c r="Y1400" s="360" t="s">
        <v>49</v>
      </c>
      <c r="Z1400" s="360">
        <v>1</v>
      </c>
      <c r="AA1400" s="360">
        <v>20</v>
      </c>
      <c r="AB1400" s="360">
        <v>5</v>
      </c>
    </row>
    <row r="1401" spans="10:28" x14ac:dyDescent="0.2">
      <c r="J1401" s="358" t="str">
        <f t="shared" si="88"/>
        <v>2004AllSexMaori253</v>
      </c>
      <c r="K1401" s="359">
        <v>2004</v>
      </c>
      <c r="L1401" t="s">
        <v>17</v>
      </c>
      <c r="M1401" t="s">
        <v>18</v>
      </c>
      <c r="N1401">
        <v>25</v>
      </c>
      <c r="O1401">
        <v>3</v>
      </c>
      <c r="P1401">
        <v>0</v>
      </c>
      <c r="Q1401">
        <v>0</v>
      </c>
      <c r="T1401" s="358" t="str">
        <f t="shared" si="89"/>
        <v>2002FemaleNon-Maori23Submersion (drowning)</v>
      </c>
      <c r="U1401" s="360">
        <v>2002</v>
      </c>
      <c r="V1401" s="360" t="s">
        <v>8</v>
      </c>
      <c r="W1401" s="360" t="s">
        <v>19</v>
      </c>
      <c r="X1401" s="360">
        <v>23</v>
      </c>
      <c r="Y1401" s="360" t="s">
        <v>49</v>
      </c>
      <c r="Z1401" s="360">
        <v>1</v>
      </c>
      <c r="AA1401" s="360">
        <v>38</v>
      </c>
      <c r="AB1401" s="360">
        <v>2.6</v>
      </c>
    </row>
    <row r="1402" spans="10:28" x14ac:dyDescent="0.2">
      <c r="J1402" s="358" t="str">
        <f t="shared" si="88"/>
        <v>2004AllSexMaori254</v>
      </c>
      <c r="K1402" s="359">
        <v>2004</v>
      </c>
      <c r="L1402" t="s">
        <v>17</v>
      </c>
      <c r="M1402" t="s">
        <v>18</v>
      </c>
      <c r="N1402">
        <v>25</v>
      </c>
      <c r="O1402">
        <v>4</v>
      </c>
      <c r="P1402">
        <v>1</v>
      </c>
      <c r="Q1402">
        <v>18.0569553594726</v>
      </c>
      <c r="R1402">
        <v>35.4</v>
      </c>
      <c r="T1402" s="358" t="str">
        <f t="shared" si="89"/>
        <v>2002FemaleNon-Maori25Submersion (drowning)</v>
      </c>
      <c r="U1402" s="360">
        <v>2002</v>
      </c>
      <c r="V1402" s="360" t="s">
        <v>8</v>
      </c>
      <c r="W1402" s="360" t="s">
        <v>19</v>
      </c>
      <c r="X1402" s="360">
        <v>25</v>
      </c>
      <c r="Y1402" s="360" t="s">
        <v>49</v>
      </c>
      <c r="Z1402" s="360">
        <v>3</v>
      </c>
      <c r="AA1402" s="360">
        <v>12</v>
      </c>
      <c r="AB1402" s="360">
        <v>25</v>
      </c>
    </row>
    <row r="1403" spans="10:28" x14ac:dyDescent="0.2">
      <c r="J1403" s="358" t="str">
        <f t="shared" si="88"/>
        <v>2004AllSexMaori255</v>
      </c>
      <c r="K1403" s="359">
        <v>2004</v>
      </c>
      <c r="L1403" t="s">
        <v>17</v>
      </c>
      <c r="M1403" t="s">
        <v>18</v>
      </c>
      <c r="N1403">
        <v>25</v>
      </c>
      <c r="O1403">
        <v>5</v>
      </c>
      <c r="P1403">
        <v>1</v>
      </c>
      <c r="Q1403">
        <v>9.8099872411104094</v>
      </c>
      <c r="R1403">
        <v>19.2</v>
      </c>
      <c r="T1403" s="358" t="str">
        <f t="shared" si="89"/>
        <v>2002MaleAllEth22Firearms and explosives</v>
      </c>
      <c r="U1403" s="360">
        <v>2002</v>
      </c>
      <c r="V1403" s="360" t="s">
        <v>20</v>
      </c>
      <c r="W1403" s="360" t="s">
        <v>27</v>
      </c>
      <c r="X1403" s="360">
        <v>22</v>
      </c>
      <c r="Y1403" s="360" t="s">
        <v>42</v>
      </c>
      <c r="Z1403" s="360">
        <v>5</v>
      </c>
      <c r="AA1403" s="360">
        <v>66</v>
      </c>
      <c r="AB1403" s="360">
        <v>7.6</v>
      </c>
    </row>
    <row r="1404" spans="10:28" x14ac:dyDescent="0.2">
      <c r="J1404" s="358" t="str">
        <f t="shared" si="88"/>
        <v>2004AllSexNon-Maori211</v>
      </c>
      <c r="K1404" s="359">
        <v>2004</v>
      </c>
      <c r="L1404" t="s">
        <v>17</v>
      </c>
      <c r="M1404" t="s">
        <v>19</v>
      </c>
      <c r="N1404">
        <v>21</v>
      </c>
      <c r="O1404">
        <v>1</v>
      </c>
      <c r="P1404">
        <v>0</v>
      </c>
      <c r="T1404" s="358" t="str">
        <f t="shared" si="89"/>
        <v>2002MaleAllEth23Firearms and explosives</v>
      </c>
      <c r="U1404" s="360">
        <v>2002</v>
      </c>
      <c r="V1404" s="360" t="s">
        <v>20</v>
      </c>
      <c r="W1404" s="360" t="s">
        <v>27</v>
      </c>
      <c r="X1404" s="360">
        <v>23</v>
      </c>
      <c r="Y1404" s="360" t="s">
        <v>42</v>
      </c>
      <c r="Z1404" s="360">
        <v>17</v>
      </c>
      <c r="AA1404" s="360">
        <v>166</v>
      </c>
      <c r="AB1404" s="360">
        <v>10.199999999999999</v>
      </c>
    </row>
    <row r="1405" spans="10:28" x14ac:dyDescent="0.2">
      <c r="J1405" s="358" t="str">
        <f t="shared" si="88"/>
        <v>2004AllSexNon-Maori212</v>
      </c>
      <c r="K1405" s="359">
        <v>2004</v>
      </c>
      <c r="L1405" t="s">
        <v>17</v>
      </c>
      <c r="M1405" t="s">
        <v>19</v>
      </c>
      <c r="N1405">
        <v>21</v>
      </c>
      <c r="O1405">
        <v>2</v>
      </c>
      <c r="P1405">
        <v>1</v>
      </c>
      <c r="T1405" s="358" t="str">
        <f t="shared" si="89"/>
        <v>2002MaleAllEth24Firearms and explosives</v>
      </c>
      <c r="U1405" s="360">
        <v>2002</v>
      </c>
      <c r="V1405" s="360" t="s">
        <v>20</v>
      </c>
      <c r="W1405" s="360" t="s">
        <v>27</v>
      </c>
      <c r="X1405" s="360">
        <v>24</v>
      </c>
      <c r="Y1405" s="360" t="s">
        <v>42</v>
      </c>
      <c r="Z1405" s="360">
        <v>17</v>
      </c>
      <c r="AA1405" s="360">
        <v>88</v>
      </c>
      <c r="AB1405" s="360">
        <v>19.3</v>
      </c>
    </row>
    <row r="1406" spans="10:28" x14ac:dyDescent="0.2">
      <c r="J1406" s="358" t="str">
        <f t="shared" si="88"/>
        <v>2004AllSexNon-Maori213</v>
      </c>
      <c r="K1406" s="359">
        <v>2004</v>
      </c>
      <c r="L1406" t="s">
        <v>17</v>
      </c>
      <c r="M1406" t="s">
        <v>19</v>
      </c>
      <c r="N1406">
        <v>21</v>
      </c>
      <c r="O1406">
        <v>3</v>
      </c>
      <c r="P1406">
        <v>0</v>
      </c>
      <c r="T1406" s="358" t="str">
        <f t="shared" si="89"/>
        <v>2002MaleAllEth25Firearms and explosives</v>
      </c>
      <c r="U1406" s="360">
        <v>2002</v>
      </c>
      <c r="V1406" s="360" t="s">
        <v>20</v>
      </c>
      <c r="W1406" s="360" t="s">
        <v>27</v>
      </c>
      <c r="X1406" s="360">
        <v>25</v>
      </c>
      <c r="Y1406" s="360" t="s">
        <v>42</v>
      </c>
      <c r="Z1406" s="360">
        <v>7</v>
      </c>
      <c r="AA1406" s="360">
        <v>36</v>
      </c>
      <c r="AB1406" s="360">
        <v>19.399999999999999</v>
      </c>
    </row>
    <row r="1407" spans="10:28" x14ac:dyDescent="0.2">
      <c r="J1407" s="358" t="str">
        <f t="shared" si="88"/>
        <v>2004AllSexNon-Maori214</v>
      </c>
      <c r="K1407" s="359">
        <v>2004</v>
      </c>
      <c r="L1407" t="s">
        <v>17</v>
      </c>
      <c r="M1407" t="s">
        <v>19</v>
      </c>
      <c r="N1407">
        <v>21</v>
      </c>
      <c r="O1407">
        <v>4</v>
      </c>
      <c r="P1407">
        <v>1</v>
      </c>
      <c r="T1407" s="358" t="str">
        <f t="shared" si="89"/>
        <v>2002MaleAllEth22Hanging, strangulation and suffocation</v>
      </c>
      <c r="U1407" s="360">
        <v>2002</v>
      </c>
      <c r="V1407" s="360" t="s">
        <v>20</v>
      </c>
      <c r="W1407" s="360" t="s">
        <v>27</v>
      </c>
      <c r="X1407" s="360">
        <v>22</v>
      </c>
      <c r="Y1407" s="360" t="s">
        <v>43</v>
      </c>
      <c r="Z1407" s="360">
        <v>42</v>
      </c>
      <c r="AA1407" s="360">
        <v>66</v>
      </c>
      <c r="AB1407" s="360">
        <v>63.6</v>
      </c>
    </row>
    <row r="1408" spans="10:28" x14ac:dyDescent="0.2">
      <c r="J1408" s="358" t="str">
        <f t="shared" si="88"/>
        <v>2004AllSexNon-Maori215</v>
      </c>
      <c r="K1408" s="359">
        <v>2004</v>
      </c>
      <c r="L1408" t="s">
        <v>17</v>
      </c>
      <c r="M1408" t="s">
        <v>19</v>
      </c>
      <c r="N1408">
        <v>21</v>
      </c>
      <c r="O1408">
        <v>5</v>
      </c>
      <c r="P1408">
        <v>1</v>
      </c>
      <c r="T1408" s="358" t="str">
        <f t="shared" si="89"/>
        <v>2002MaleAllEth23Hanging, strangulation and suffocation</v>
      </c>
      <c r="U1408" s="360">
        <v>2002</v>
      </c>
      <c r="V1408" s="360" t="s">
        <v>20</v>
      </c>
      <c r="W1408" s="360" t="s">
        <v>27</v>
      </c>
      <c r="X1408" s="360">
        <v>23</v>
      </c>
      <c r="Y1408" s="360" t="s">
        <v>43</v>
      </c>
      <c r="Z1408" s="360">
        <v>82</v>
      </c>
      <c r="AA1408" s="360">
        <v>166</v>
      </c>
      <c r="AB1408" s="360">
        <v>49.4</v>
      </c>
    </row>
    <row r="1409" spans="10:28" x14ac:dyDescent="0.2">
      <c r="J1409" s="358" t="str">
        <f t="shared" si="88"/>
        <v>2004AllSexNon-Maori221</v>
      </c>
      <c r="K1409" s="359">
        <v>2004</v>
      </c>
      <c r="L1409" t="s">
        <v>17</v>
      </c>
      <c r="M1409" t="s">
        <v>19</v>
      </c>
      <c r="N1409">
        <v>22</v>
      </c>
      <c r="O1409">
        <v>1</v>
      </c>
      <c r="P1409">
        <v>11</v>
      </c>
      <c r="Q1409">
        <v>11.947022335903901</v>
      </c>
      <c r="R1409">
        <v>7.1</v>
      </c>
      <c r="T1409" s="358" t="str">
        <f t="shared" si="89"/>
        <v>2002MaleAllEth24Hanging, strangulation and suffocation</v>
      </c>
      <c r="U1409" s="360">
        <v>2002</v>
      </c>
      <c r="V1409" s="360" t="s">
        <v>20</v>
      </c>
      <c r="W1409" s="360" t="s">
        <v>27</v>
      </c>
      <c r="X1409" s="360">
        <v>24</v>
      </c>
      <c r="Y1409" s="360" t="s">
        <v>43</v>
      </c>
      <c r="Z1409" s="360">
        <v>37</v>
      </c>
      <c r="AA1409" s="360">
        <v>88</v>
      </c>
      <c r="AB1409" s="360">
        <v>42</v>
      </c>
    </row>
    <row r="1410" spans="10:28" x14ac:dyDescent="0.2">
      <c r="J1410" s="358" t="str">
        <f t="shared" si="88"/>
        <v>2004AllSexNon-Maori222</v>
      </c>
      <c r="K1410" s="359">
        <v>2004</v>
      </c>
      <c r="L1410" t="s">
        <v>17</v>
      </c>
      <c r="M1410" t="s">
        <v>19</v>
      </c>
      <c r="N1410">
        <v>22</v>
      </c>
      <c r="O1410">
        <v>2</v>
      </c>
      <c r="P1410">
        <v>11</v>
      </c>
      <c r="Q1410">
        <v>11.6763057668607</v>
      </c>
      <c r="R1410">
        <v>6.9</v>
      </c>
      <c r="T1410" s="358" t="str">
        <f t="shared" si="89"/>
        <v>2002MaleAllEth25Hanging, strangulation and suffocation</v>
      </c>
      <c r="U1410" s="360">
        <v>2002</v>
      </c>
      <c r="V1410" s="360" t="s">
        <v>20</v>
      </c>
      <c r="W1410" s="360" t="s">
        <v>27</v>
      </c>
      <c r="X1410" s="360">
        <v>25</v>
      </c>
      <c r="Y1410" s="360" t="s">
        <v>43</v>
      </c>
      <c r="Z1410" s="360">
        <v>10</v>
      </c>
      <c r="AA1410" s="360">
        <v>36</v>
      </c>
      <c r="AB1410" s="360">
        <v>27.8</v>
      </c>
    </row>
    <row r="1411" spans="10:28" x14ac:dyDescent="0.2">
      <c r="J1411" s="358" t="str">
        <f t="shared" si="88"/>
        <v>2004AllSexNon-Maori223</v>
      </c>
      <c r="K1411" s="359">
        <v>2004</v>
      </c>
      <c r="L1411" t="s">
        <v>17</v>
      </c>
      <c r="M1411" t="s">
        <v>19</v>
      </c>
      <c r="N1411">
        <v>22</v>
      </c>
      <c r="O1411">
        <v>3</v>
      </c>
      <c r="P1411">
        <v>14</v>
      </c>
      <c r="Q1411">
        <v>14.562782571953299</v>
      </c>
      <c r="R1411">
        <v>7.6</v>
      </c>
      <c r="T1411" s="358" t="str">
        <f t="shared" si="89"/>
        <v>2002MaleAllEth22Jumping from a high place</v>
      </c>
      <c r="U1411" s="360">
        <v>2002</v>
      </c>
      <c r="V1411" s="360" t="s">
        <v>20</v>
      </c>
      <c r="W1411" s="360" t="s">
        <v>27</v>
      </c>
      <c r="X1411" s="360">
        <v>22</v>
      </c>
      <c r="Y1411" s="360" t="s">
        <v>44</v>
      </c>
      <c r="Z1411" s="360">
        <v>2</v>
      </c>
      <c r="AA1411" s="360">
        <v>66</v>
      </c>
      <c r="AB1411" s="360">
        <v>3</v>
      </c>
    </row>
    <row r="1412" spans="10:28" x14ac:dyDescent="0.2">
      <c r="J1412" s="358" t="str">
        <f t="shared" ref="J1412:J1475" si="90">K1412&amp;L1412&amp;M1412&amp;N1412&amp;O1412</f>
        <v>2004AllSexNon-Maori224</v>
      </c>
      <c r="K1412" s="359">
        <v>2004</v>
      </c>
      <c r="L1412" t="s">
        <v>17</v>
      </c>
      <c r="M1412" t="s">
        <v>19</v>
      </c>
      <c r="N1412">
        <v>22</v>
      </c>
      <c r="O1412">
        <v>4</v>
      </c>
      <c r="P1412">
        <v>14</v>
      </c>
      <c r="Q1412">
        <v>14.4068575089284</v>
      </c>
      <c r="R1412">
        <v>7.5</v>
      </c>
      <c r="T1412" s="358" t="str">
        <f t="shared" si="89"/>
        <v>2002MaleAllEth23Jumping from a high place</v>
      </c>
      <c r="U1412" s="360">
        <v>2002</v>
      </c>
      <c r="V1412" s="360" t="s">
        <v>20</v>
      </c>
      <c r="W1412" s="360" t="s">
        <v>27</v>
      </c>
      <c r="X1412" s="360">
        <v>23</v>
      </c>
      <c r="Y1412" s="360" t="s">
        <v>44</v>
      </c>
      <c r="Z1412" s="360">
        <v>5</v>
      </c>
      <c r="AA1412" s="360">
        <v>166</v>
      </c>
      <c r="AB1412" s="360">
        <v>3</v>
      </c>
    </row>
    <row r="1413" spans="10:28" x14ac:dyDescent="0.2">
      <c r="J1413" s="358" t="str">
        <f t="shared" si="90"/>
        <v>2004AllSexNon-Maori225</v>
      </c>
      <c r="K1413" s="359">
        <v>2004</v>
      </c>
      <c r="L1413" t="s">
        <v>17</v>
      </c>
      <c r="M1413" t="s">
        <v>19</v>
      </c>
      <c r="N1413">
        <v>22</v>
      </c>
      <c r="O1413">
        <v>5</v>
      </c>
      <c r="P1413">
        <v>20</v>
      </c>
      <c r="Q1413">
        <v>21.1198705245586</v>
      </c>
      <c r="R1413">
        <v>9.3000000000000007</v>
      </c>
      <c r="T1413" s="358" t="str">
        <f t="shared" ref="T1413:T1476" si="91">U1413&amp;V1413&amp;W1413&amp;X1413&amp;Y1413</f>
        <v>2002MaleAllEth25Jumping from a high place</v>
      </c>
      <c r="U1413" s="360">
        <v>2002</v>
      </c>
      <c r="V1413" s="360" t="s">
        <v>20</v>
      </c>
      <c r="W1413" s="360" t="s">
        <v>27</v>
      </c>
      <c r="X1413" s="360">
        <v>25</v>
      </c>
      <c r="Y1413" s="360" t="s">
        <v>44</v>
      </c>
      <c r="Z1413" s="360">
        <v>5</v>
      </c>
      <c r="AA1413" s="360">
        <v>36</v>
      </c>
      <c r="AB1413" s="360">
        <v>13.9</v>
      </c>
    </row>
    <row r="1414" spans="10:28" x14ac:dyDescent="0.2">
      <c r="J1414" s="358" t="str">
        <f t="shared" si="90"/>
        <v>2004AllSexNon-Maori231</v>
      </c>
      <c r="K1414" s="359">
        <v>2004</v>
      </c>
      <c r="L1414" t="s">
        <v>17</v>
      </c>
      <c r="M1414" t="s">
        <v>19</v>
      </c>
      <c r="N1414">
        <v>23</v>
      </c>
      <c r="O1414">
        <v>1</v>
      </c>
      <c r="P1414">
        <v>24</v>
      </c>
      <c r="Q1414">
        <v>10.8561358612401</v>
      </c>
      <c r="R1414">
        <v>4.3</v>
      </c>
      <c r="T1414" s="358" t="str">
        <f t="shared" si="91"/>
        <v>2002MaleAllEth22Other</v>
      </c>
      <c r="U1414" s="360">
        <v>2002</v>
      </c>
      <c r="V1414" s="360" t="s">
        <v>20</v>
      </c>
      <c r="W1414" s="360" t="s">
        <v>27</v>
      </c>
      <c r="X1414" s="360">
        <v>22</v>
      </c>
      <c r="Y1414" s="360" t="s">
        <v>45</v>
      </c>
      <c r="Z1414" s="360">
        <v>4</v>
      </c>
      <c r="AA1414" s="360">
        <v>66</v>
      </c>
      <c r="AB1414" s="360">
        <v>6.1</v>
      </c>
    </row>
    <row r="1415" spans="10:28" x14ac:dyDescent="0.2">
      <c r="J1415" s="358" t="str">
        <f t="shared" si="90"/>
        <v>2004AllSexNon-Maori232</v>
      </c>
      <c r="K1415" s="359">
        <v>2004</v>
      </c>
      <c r="L1415" t="s">
        <v>17</v>
      </c>
      <c r="M1415" t="s">
        <v>19</v>
      </c>
      <c r="N1415">
        <v>23</v>
      </c>
      <c r="O1415">
        <v>2</v>
      </c>
      <c r="P1415">
        <v>25</v>
      </c>
      <c r="Q1415">
        <v>11.0840757722991</v>
      </c>
      <c r="R1415">
        <v>4.3</v>
      </c>
      <c r="T1415" s="358" t="str">
        <f t="shared" si="91"/>
        <v>2002MaleAllEth23Other</v>
      </c>
      <c r="U1415" s="360">
        <v>2002</v>
      </c>
      <c r="V1415" s="360" t="s">
        <v>20</v>
      </c>
      <c r="W1415" s="360" t="s">
        <v>27</v>
      </c>
      <c r="X1415" s="360">
        <v>23</v>
      </c>
      <c r="Y1415" s="360" t="s">
        <v>45</v>
      </c>
      <c r="Z1415" s="360">
        <v>1</v>
      </c>
      <c r="AA1415" s="360">
        <v>166</v>
      </c>
      <c r="AB1415" s="360">
        <v>0.6</v>
      </c>
    </row>
    <row r="1416" spans="10:28" x14ac:dyDescent="0.2">
      <c r="J1416" s="358" t="str">
        <f t="shared" si="90"/>
        <v>2004AllSexNon-Maori233</v>
      </c>
      <c r="K1416" s="359">
        <v>2004</v>
      </c>
      <c r="L1416" t="s">
        <v>17</v>
      </c>
      <c r="M1416" t="s">
        <v>19</v>
      </c>
      <c r="N1416">
        <v>23</v>
      </c>
      <c r="O1416">
        <v>3</v>
      </c>
      <c r="P1416">
        <v>34</v>
      </c>
      <c r="Q1416">
        <v>15.747062831515001</v>
      </c>
      <c r="R1416">
        <v>5.3</v>
      </c>
      <c r="T1416" s="358" t="str">
        <f t="shared" si="91"/>
        <v>2002MaleAllEth24Other</v>
      </c>
      <c r="U1416" s="360">
        <v>2002</v>
      </c>
      <c r="V1416" s="360" t="s">
        <v>20</v>
      </c>
      <c r="W1416" s="360" t="s">
        <v>27</v>
      </c>
      <c r="X1416" s="360">
        <v>24</v>
      </c>
      <c r="Y1416" s="360" t="s">
        <v>45</v>
      </c>
      <c r="Z1416" s="360">
        <v>7</v>
      </c>
      <c r="AA1416" s="360">
        <v>88</v>
      </c>
      <c r="AB1416" s="360">
        <v>8</v>
      </c>
    </row>
    <row r="1417" spans="10:28" x14ac:dyDescent="0.2">
      <c r="J1417" s="358" t="str">
        <f t="shared" si="90"/>
        <v>2004AllSexNon-Maori234</v>
      </c>
      <c r="K1417" s="359">
        <v>2004</v>
      </c>
      <c r="L1417" t="s">
        <v>17</v>
      </c>
      <c r="M1417" t="s">
        <v>19</v>
      </c>
      <c r="N1417">
        <v>23</v>
      </c>
      <c r="O1417">
        <v>4</v>
      </c>
      <c r="P1417">
        <v>33</v>
      </c>
      <c r="Q1417">
        <v>16.805044954819401</v>
      </c>
      <c r="R1417">
        <v>5.7</v>
      </c>
      <c r="T1417" s="358" t="str">
        <f t="shared" si="91"/>
        <v>2002MaleAllEth22Poisoning by gases and vapours</v>
      </c>
      <c r="U1417" s="360">
        <v>2002</v>
      </c>
      <c r="V1417" s="360" t="s">
        <v>20</v>
      </c>
      <c r="W1417" s="360" t="s">
        <v>27</v>
      </c>
      <c r="X1417" s="360">
        <v>22</v>
      </c>
      <c r="Y1417" s="360" t="s">
        <v>46</v>
      </c>
      <c r="Z1417" s="360">
        <v>8</v>
      </c>
      <c r="AA1417" s="360">
        <v>66</v>
      </c>
      <c r="AB1417" s="360">
        <v>12.1</v>
      </c>
    </row>
    <row r="1418" spans="10:28" x14ac:dyDescent="0.2">
      <c r="J1418" s="358" t="str">
        <f t="shared" si="90"/>
        <v>2004AllSexNon-Maori235</v>
      </c>
      <c r="K1418" s="359">
        <v>2004</v>
      </c>
      <c r="L1418" t="s">
        <v>17</v>
      </c>
      <c r="M1418" t="s">
        <v>19</v>
      </c>
      <c r="N1418">
        <v>23</v>
      </c>
      <c r="O1418">
        <v>5</v>
      </c>
      <c r="P1418">
        <v>20</v>
      </c>
      <c r="Q1418">
        <v>13.1661080038677</v>
      </c>
      <c r="R1418">
        <v>5.8</v>
      </c>
      <c r="T1418" s="358" t="str">
        <f t="shared" si="91"/>
        <v>2002MaleAllEth23Poisoning by gases and vapours</v>
      </c>
      <c r="U1418" s="360">
        <v>2002</v>
      </c>
      <c r="V1418" s="360" t="s">
        <v>20</v>
      </c>
      <c r="W1418" s="360" t="s">
        <v>27</v>
      </c>
      <c r="X1418" s="360">
        <v>23</v>
      </c>
      <c r="Y1418" s="360" t="s">
        <v>46</v>
      </c>
      <c r="Z1418" s="360">
        <v>41</v>
      </c>
      <c r="AA1418" s="360">
        <v>166</v>
      </c>
      <c r="AB1418" s="360">
        <v>24.7</v>
      </c>
    </row>
    <row r="1419" spans="10:28" x14ac:dyDescent="0.2">
      <c r="J1419" s="358" t="str">
        <f t="shared" si="90"/>
        <v>2004AllSexNon-Maori241</v>
      </c>
      <c r="K1419" s="359">
        <v>2004</v>
      </c>
      <c r="L1419" t="s">
        <v>17</v>
      </c>
      <c r="M1419" t="s">
        <v>19</v>
      </c>
      <c r="N1419">
        <v>24</v>
      </c>
      <c r="O1419">
        <v>1</v>
      </c>
      <c r="P1419">
        <v>13</v>
      </c>
      <c r="Q1419">
        <v>5.6870850711592897</v>
      </c>
      <c r="R1419">
        <v>3.1</v>
      </c>
      <c r="T1419" s="358" t="str">
        <f t="shared" si="91"/>
        <v>2002MaleAllEth24Poisoning by gases and vapours</v>
      </c>
      <c r="U1419" s="360">
        <v>2002</v>
      </c>
      <c r="V1419" s="360" t="s">
        <v>20</v>
      </c>
      <c r="W1419" s="360" t="s">
        <v>27</v>
      </c>
      <c r="X1419" s="360">
        <v>24</v>
      </c>
      <c r="Y1419" s="360" t="s">
        <v>46</v>
      </c>
      <c r="Z1419" s="360">
        <v>22</v>
      </c>
      <c r="AA1419" s="360">
        <v>88</v>
      </c>
      <c r="AB1419" s="360">
        <v>25</v>
      </c>
    </row>
    <row r="1420" spans="10:28" x14ac:dyDescent="0.2">
      <c r="J1420" s="358" t="str">
        <f t="shared" si="90"/>
        <v>2004AllSexNon-Maori242</v>
      </c>
      <c r="K1420" s="359">
        <v>2004</v>
      </c>
      <c r="L1420" t="s">
        <v>17</v>
      </c>
      <c r="M1420" t="s">
        <v>19</v>
      </c>
      <c r="N1420">
        <v>24</v>
      </c>
      <c r="O1420">
        <v>2</v>
      </c>
      <c r="P1420">
        <v>19</v>
      </c>
      <c r="Q1420">
        <v>9.6322488536973001</v>
      </c>
      <c r="R1420">
        <v>4.3</v>
      </c>
      <c r="T1420" s="358" t="str">
        <f t="shared" si="91"/>
        <v>2002MaleAllEth25Poisoning by gases and vapours</v>
      </c>
      <c r="U1420" s="360">
        <v>2002</v>
      </c>
      <c r="V1420" s="360" t="s">
        <v>20</v>
      </c>
      <c r="W1420" s="360" t="s">
        <v>27</v>
      </c>
      <c r="X1420" s="360">
        <v>25</v>
      </c>
      <c r="Y1420" s="360" t="s">
        <v>46</v>
      </c>
      <c r="Z1420" s="360">
        <v>7</v>
      </c>
      <c r="AA1420" s="360">
        <v>36</v>
      </c>
      <c r="AB1420" s="360">
        <v>19.399999999999999</v>
      </c>
    </row>
    <row r="1421" spans="10:28" x14ac:dyDescent="0.2">
      <c r="J1421" s="358" t="str">
        <f t="shared" si="90"/>
        <v>2004AllSexNon-Maori243</v>
      </c>
      <c r="K1421" s="359">
        <v>2004</v>
      </c>
      <c r="L1421" t="s">
        <v>17</v>
      </c>
      <c r="M1421" t="s">
        <v>19</v>
      </c>
      <c r="N1421">
        <v>24</v>
      </c>
      <c r="O1421">
        <v>3</v>
      </c>
      <c r="P1421">
        <v>25</v>
      </c>
      <c r="Q1421">
        <v>14.5803090647454</v>
      </c>
      <c r="R1421">
        <v>5.7</v>
      </c>
      <c r="T1421" s="358" t="str">
        <f t="shared" si="91"/>
        <v>2002MaleAllEth22Poisoning by solids and liquids</v>
      </c>
      <c r="U1421" s="360">
        <v>2002</v>
      </c>
      <c r="V1421" s="360" t="s">
        <v>20</v>
      </c>
      <c r="W1421" s="360" t="s">
        <v>27</v>
      </c>
      <c r="X1421" s="360">
        <v>22</v>
      </c>
      <c r="Y1421" s="360" t="s">
        <v>47</v>
      </c>
      <c r="Z1421" s="360">
        <v>2</v>
      </c>
      <c r="AA1421" s="360">
        <v>66</v>
      </c>
      <c r="AB1421" s="360">
        <v>3</v>
      </c>
    </row>
    <row r="1422" spans="10:28" x14ac:dyDescent="0.2">
      <c r="J1422" s="358" t="str">
        <f t="shared" si="90"/>
        <v>2004AllSexNon-Maori244</v>
      </c>
      <c r="K1422" s="359">
        <v>2004</v>
      </c>
      <c r="L1422" t="s">
        <v>17</v>
      </c>
      <c r="M1422" t="s">
        <v>19</v>
      </c>
      <c r="N1422">
        <v>24</v>
      </c>
      <c r="O1422">
        <v>4</v>
      </c>
      <c r="P1422">
        <v>27</v>
      </c>
      <c r="Q1422">
        <v>18.3081178594947</v>
      </c>
      <c r="R1422">
        <v>6.9</v>
      </c>
      <c r="T1422" s="358" t="str">
        <f t="shared" si="91"/>
        <v>2002MaleAllEth23Poisoning by solids and liquids</v>
      </c>
      <c r="U1422" s="360">
        <v>2002</v>
      </c>
      <c r="V1422" s="360" t="s">
        <v>20</v>
      </c>
      <c r="W1422" s="360" t="s">
        <v>27</v>
      </c>
      <c r="X1422" s="360">
        <v>23</v>
      </c>
      <c r="Y1422" s="360" t="s">
        <v>47</v>
      </c>
      <c r="Z1422" s="360">
        <v>12</v>
      </c>
      <c r="AA1422" s="360">
        <v>166</v>
      </c>
      <c r="AB1422" s="360">
        <v>7.2</v>
      </c>
    </row>
    <row r="1423" spans="10:28" x14ac:dyDescent="0.2">
      <c r="J1423" s="358" t="str">
        <f t="shared" si="90"/>
        <v>2004AllSexNon-Maori245</v>
      </c>
      <c r="K1423" s="359">
        <v>2004</v>
      </c>
      <c r="L1423" t="s">
        <v>17</v>
      </c>
      <c r="M1423" t="s">
        <v>19</v>
      </c>
      <c r="N1423">
        <v>24</v>
      </c>
      <c r="O1423">
        <v>5</v>
      </c>
      <c r="P1423">
        <v>19</v>
      </c>
      <c r="Q1423">
        <v>17.336057156170501</v>
      </c>
      <c r="R1423">
        <v>7.8</v>
      </c>
      <c r="T1423" s="358" t="str">
        <f t="shared" si="91"/>
        <v>2002MaleAllEth24Poisoning by solids and liquids</v>
      </c>
      <c r="U1423" s="360">
        <v>2002</v>
      </c>
      <c r="V1423" s="360" t="s">
        <v>20</v>
      </c>
      <c r="W1423" s="360" t="s">
        <v>27</v>
      </c>
      <c r="X1423" s="360">
        <v>24</v>
      </c>
      <c r="Y1423" s="360" t="s">
        <v>47</v>
      </c>
      <c r="Z1423" s="360">
        <v>4</v>
      </c>
      <c r="AA1423" s="360">
        <v>88</v>
      </c>
      <c r="AB1423" s="360">
        <v>4.5</v>
      </c>
    </row>
    <row r="1424" spans="10:28" x14ac:dyDescent="0.2">
      <c r="J1424" s="358" t="str">
        <f t="shared" si="90"/>
        <v>2004AllSexNon-Maori251</v>
      </c>
      <c r="K1424" s="359">
        <v>2004</v>
      </c>
      <c r="L1424" t="s">
        <v>17</v>
      </c>
      <c r="M1424" t="s">
        <v>19</v>
      </c>
      <c r="N1424">
        <v>25</v>
      </c>
      <c r="O1424">
        <v>1</v>
      </c>
      <c r="P1424">
        <v>8</v>
      </c>
      <c r="Q1424">
        <v>8.6129951979124009</v>
      </c>
      <c r="R1424">
        <v>6</v>
      </c>
      <c r="T1424" s="358" t="str">
        <f t="shared" si="91"/>
        <v>2002MaleAllEth25Poisoning by solids and liquids</v>
      </c>
      <c r="U1424" s="360">
        <v>2002</v>
      </c>
      <c r="V1424" s="360" t="s">
        <v>20</v>
      </c>
      <c r="W1424" s="360" t="s">
        <v>27</v>
      </c>
      <c r="X1424" s="360">
        <v>25</v>
      </c>
      <c r="Y1424" s="360" t="s">
        <v>47</v>
      </c>
      <c r="Z1424" s="360">
        <v>6</v>
      </c>
      <c r="AA1424" s="360">
        <v>36</v>
      </c>
      <c r="AB1424" s="360">
        <v>16.7</v>
      </c>
    </row>
    <row r="1425" spans="10:28" x14ac:dyDescent="0.2">
      <c r="J1425" s="358" t="str">
        <f t="shared" si="90"/>
        <v>2004AllSexNon-Maori252</v>
      </c>
      <c r="K1425" s="359">
        <v>2004</v>
      </c>
      <c r="L1425" t="s">
        <v>17</v>
      </c>
      <c r="M1425" t="s">
        <v>19</v>
      </c>
      <c r="N1425">
        <v>25</v>
      </c>
      <c r="O1425">
        <v>2</v>
      </c>
      <c r="P1425">
        <v>3</v>
      </c>
      <c r="Q1425">
        <v>3.0455786933093298</v>
      </c>
      <c r="R1425">
        <v>3.4</v>
      </c>
      <c r="T1425" s="358" t="str">
        <f t="shared" si="91"/>
        <v>2002MaleAllEth22Sharp object</v>
      </c>
      <c r="U1425" s="360">
        <v>2002</v>
      </c>
      <c r="V1425" s="360" t="s">
        <v>20</v>
      </c>
      <c r="W1425" s="360" t="s">
        <v>27</v>
      </c>
      <c r="X1425" s="360">
        <v>22</v>
      </c>
      <c r="Y1425" s="360" t="s">
        <v>48</v>
      </c>
      <c r="Z1425" s="360">
        <v>1</v>
      </c>
      <c r="AA1425" s="360">
        <v>66</v>
      </c>
      <c r="AB1425" s="360">
        <v>1.5</v>
      </c>
    </row>
    <row r="1426" spans="10:28" x14ac:dyDescent="0.2">
      <c r="J1426" s="358" t="str">
        <f t="shared" si="90"/>
        <v>2004AllSexNon-Maori253</v>
      </c>
      <c r="K1426" s="359">
        <v>2004</v>
      </c>
      <c r="L1426" t="s">
        <v>17</v>
      </c>
      <c r="M1426" t="s">
        <v>19</v>
      </c>
      <c r="N1426">
        <v>25</v>
      </c>
      <c r="O1426">
        <v>3</v>
      </c>
      <c r="P1426">
        <v>13</v>
      </c>
      <c r="Q1426">
        <v>12.847453784148399</v>
      </c>
      <c r="R1426">
        <v>7</v>
      </c>
      <c r="T1426" s="358" t="str">
        <f t="shared" si="91"/>
        <v>2002MaleAllEth23Sharp object</v>
      </c>
      <c r="U1426" s="360">
        <v>2002</v>
      </c>
      <c r="V1426" s="360" t="s">
        <v>20</v>
      </c>
      <c r="W1426" s="360" t="s">
        <v>27</v>
      </c>
      <c r="X1426" s="360">
        <v>23</v>
      </c>
      <c r="Y1426" s="360" t="s">
        <v>48</v>
      </c>
      <c r="Z1426" s="360">
        <v>4</v>
      </c>
      <c r="AA1426" s="360">
        <v>166</v>
      </c>
      <c r="AB1426" s="360">
        <v>2.4</v>
      </c>
    </row>
    <row r="1427" spans="10:28" x14ac:dyDescent="0.2">
      <c r="J1427" s="358" t="str">
        <f t="shared" si="90"/>
        <v>2004AllSexNon-Maori254</v>
      </c>
      <c r="K1427" s="359">
        <v>2004</v>
      </c>
      <c r="L1427" t="s">
        <v>17</v>
      </c>
      <c r="M1427" t="s">
        <v>19</v>
      </c>
      <c r="N1427">
        <v>25</v>
      </c>
      <c r="O1427">
        <v>4</v>
      </c>
      <c r="P1427">
        <v>13</v>
      </c>
      <c r="Q1427">
        <v>13.0962287612937</v>
      </c>
      <c r="R1427">
        <v>7.1</v>
      </c>
      <c r="T1427" s="358" t="str">
        <f t="shared" si="91"/>
        <v>2002MaleAllEth22Submersion (drowning)</v>
      </c>
      <c r="U1427" s="360">
        <v>2002</v>
      </c>
      <c r="V1427" s="360" t="s">
        <v>20</v>
      </c>
      <c r="W1427" s="360" t="s">
        <v>27</v>
      </c>
      <c r="X1427" s="360">
        <v>22</v>
      </c>
      <c r="Y1427" s="360" t="s">
        <v>49</v>
      </c>
      <c r="Z1427" s="360">
        <v>2</v>
      </c>
      <c r="AA1427" s="360">
        <v>66</v>
      </c>
      <c r="AB1427" s="360">
        <v>3</v>
      </c>
    </row>
    <row r="1428" spans="10:28" x14ac:dyDescent="0.2">
      <c r="J1428" s="358" t="str">
        <f t="shared" si="90"/>
        <v>2004AllSexNon-Maori255</v>
      </c>
      <c r="K1428" s="359">
        <v>2004</v>
      </c>
      <c r="L1428" t="s">
        <v>17</v>
      </c>
      <c r="M1428" t="s">
        <v>19</v>
      </c>
      <c r="N1428">
        <v>25</v>
      </c>
      <c r="O1428">
        <v>5</v>
      </c>
      <c r="P1428">
        <v>14</v>
      </c>
      <c r="Q1428">
        <v>20.059874029798699</v>
      </c>
      <c r="R1428">
        <v>10.5</v>
      </c>
      <c r="T1428" s="358" t="str">
        <f t="shared" si="91"/>
        <v>2002MaleAllEth23Submersion (drowning)</v>
      </c>
      <c r="U1428" s="360">
        <v>2002</v>
      </c>
      <c r="V1428" s="360" t="s">
        <v>20</v>
      </c>
      <c r="W1428" s="360" t="s">
        <v>27</v>
      </c>
      <c r="X1428" s="360">
        <v>23</v>
      </c>
      <c r="Y1428" s="360" t="s">
        <v>49</v>
      </c>
      <c r="Z1428" s="360">
        <v>4</v>
      </c>
      <c r="AA1428" s="360">
        <v>166</v>
      </c>
      <c r="AB1428" s="360">
        <v>2.4</v>
      </c>
    </row>
    <row r="1429" spans="10:28" x14ac:dyDescent="0.2">
      <c r="J1429" s="358" t="str">
        <f t="shared" si="90"/>
        <v>2004FemaleAllEth211</v>
      </c>
      <c r="K1429" s="359">
        <v>2004</v>
      </c>
      <c r="L1429" t="s">
        <v>8</v>
      </c>
      <c r="M1429" t="s">
        <v>27</v>
      </c>
      <c r="N1429">
        <v>21</v>
      </c>
      <c r="O1429">
        <v>1</v>
      </c>
      <c r="P1429">
        <v>0</v>
      </c>
      <c r="T1429" s="358" t="str">
        <f t="shared" si="91"/>
        <v>2002MaleAllEth24Submersion (drowning)</v>
      </c>
      <c r="U1429" s="360">
        <v>2002</v>
      </c>
      <c r="V1429" s="360" t="s">
        <v>20</v>
      </c>
      <c r="W1429" s="360" t="s">
        <v>27</v>
      </c>
      <c r="X1429" s="360">
        <v>24</v>
      </c>
      <c r="Y1429" s="360" t="s">
        <v>49</v>
      </c>
      <c r="Z1429" s="360">
        <v>1</v>
      </c>
      <c r="AA1429" s="360">
        <v>88</v>
      </c>
      <c r="AB1429" s="360">
        <v>1.1000000000000001</v>
      </c>
    </row>
    <row r="1430" spans="10:28" x14ac:dyDescent="0.2">
      <c r="J1430" s="358" t="str">
        <f t="shared" si="90"/>
        <v>2004FemaleAllEth212</v>
      </c>
      <c r="K1430" s="359">
        <v>2004</v>
      </c>
      <c r="L1430" t="s">
        <v>8</v>
      </c>
      <c r="M1430" t="s">
        <v>27</v>
      </c>
      <c r="N1430">
        <v>21</v>
      </c>
      <c r="O1430">
        <v>2</v>
      </c>
      <c r="P1430">
        <v>0</v>
      </c>
      <c r="T1430" s="358" t="str">
        <f t="shared" si="91"/>
        <v>2002MaleAllEth25Submersion (drowning)</v>
      </c>
      <c r="U1430" s="360">
        <v>2002</v>
      </c>
      <c r="V1430" s="360" t="s">
        <v>20</v>
      </c>
      <c r="W1430" s="360" t="s">
        <v>27</v>
      </c>
      <c r="X1430" s="360">
        <v>25</v>
      </c>
      <c r="Y1430" s="360" t="s">
        <v>49</v>
      </c>
      <c r="Z1430" s="360">
        <v>1</v>
      </c>
      <c r="AA1430" s="360">
        <v>36</v>
      </c>
      <c r="AB1430" s="360">
        <v>2.8</v>
      </c>
    </row>
    <row r="1431" spans="10:28" x14ac:dyDescent="0.2">
      <c r="J1431" s="358" t="str">
        <f t="shared" si="90"/>
        <v>2004FemaleAllEth213</v>
      </c>
      <c r="K1431" s="359">
        <v>2004</v>
      </c>
      <c r="L1431" t="s">
        <v>8</v>
      </c>
      <c r="M1431" t="s">
        <v>27</v>
      </c>
      <c r="N1431">
        <v>21</v>
      </c>
      <c r="O1431">
        <v>3</v>
      </c>
      <c r="P1431">
        <v>0</v>
      </c>
      <c r="T1431" s="358" t="str">
        <f t="shared" si="91"/>
        <v>2002MaleMaori22Firearms and explosives</v>
      </c>
      <c r="U1431" s="360">
        <v>2002</v>
      </c>
      <c r="V1431" s="360" t="s">
        <v>20</v>
      </c>
      <c r="W1431" s="360" t="s">
        <v>18</v>
      </c>
      <c r="X1431" s="360">
        <v>22</v>
      </c>
      <c r="Y1431" s="360" t="s">
        <v>42</v>
      </c>
      <c r="Z1431" s="360">
        <v>2</v>
      </c>
      <c r="AA1431" s="360">
        <v>23</v>
      </c>
      <c r="AB1431" s="360">
        <v>8.6999999999999993</v>
      </c>
    </row>
    <row r="1432" spans="10:28" x14ac:dyDescent="0.2">
      <c r="J1432" s="358" t="str">
        <f t="shared" si="90"/>
        <v>2004FemaleAllEth214</v>
      </c>
      <c r="K1432" s="359">
        <v>2004</v>
      </c>
      <c r="L1432" t="s">
        <v>8</v>
      </c>
      <c r="M1432" t="s">
        <v>27</v>
      </c>
      <c r="N1432">
        <v>21</v>
      </c>
      <c r="O1432">
        <v>4</v>
      </c>
      <c r="P1432">
        <v>1</v>
      </c>
      <c r="T1432" s="358" t="str">
        <f t="shared" si="91"/>
        <v>2002MaleMaori23Firearms and explosives</v>
      </c>
      <c r="U1432" s="360">
        <v>2002</v>
      </c>
      <c r="V1432" s="360" t="s">
        <v>20</v>
      </c>
      <c r="W1432" s="360" t="s">
        <v>18</v>
      </c>
      <c r="X1432" s="360">
        <v>23</v>
      </c>
      <c r="Y1432" s="360" t="s">
        <v>42</v>
      </c>
      <c r="Z1432" s="360">
        <v>1</v>
      </c>
      <c r="AA1432" s="360">
        <v>31</v>
      </c>
      <c r="AB1432" s="360">
        <v>3.2</v>
      </c>
    </row>
    <row r="1433" spans="10:28" x14ac:dyDescent="0.2">
      <c r="J1433" s="358" t="str">
        <f t="shared" si="90"/>
        <v>2004FemaleAllEth215</v>
      </c>
      <c r="K1433" s="359">
        <v>2004</v>
      </c>
      <c r="L1433" t="s">
        <v>8</v>
      </c>
      <c r="M1433" t="s">
        <v>27</v>
      </c>
      <c r="N1433">
        <v>21</v>
      </c>
      <c r="O1433">
        <v>5</v>
      </c>
      <c r="P1433">
        <v>1</v>
      </c>
      <c r="T1433" s="358" t="str">
        <f t="shared" si="91"/>
        <v>2002MaleMaori24Firearms and explosives</v>
      </c>
      <c r="U1433" s="360">
        <v>2002</v>
      </c>
      <c r="V1433" s="360" t="s">
        <v>20</v>
      </c>
      <c r="W1433" s="360" t="s">
        <v>18</v>
      </c>
      <c r="X1433" s="360">
        <v>24</v>
      </c>
      <c r="Y1433" s="360" t="s">
        <v>42</v>
      </c>
      <c r="Z1433" s="360">
        <v>1</v>
      </c>
      <c r="AA1433" s="360">
        <v>6</v>
      </c>
      <c r="AB1433" s="360">
        <v>16.7</v>
      </c>
    </row>
    <row r="1434" spans="10:28" x14ac:dyDescent="0.2">
      <c r="J1434" s="358" t="str">
        <f t="shared" si="90"/>
        <v>2004FemaleAllEth221</v>
      </c>
      <c r="K1434" s="359">
        <v>2004</v>
      </c>
      <c r="L1434" t="s">
        <v>8</v>
      </c>
      <c r="M1434" t="s">
        <v>27</v>
      </c>
      <c r="N1434">
        <v>22</v>
      </c>
      <c r="O1434">
        <v>1</v>
      </c>
      <c r="P1434">
        <v>2</v>
      </c>
      <c r="Q1434">
        <v>4.2633597730736303</v>
      </c>
      <c r="R1434">
        <v>5.9</v>
      </c>
      <c r="T1434" s="358" t="str">
        <f t="shared" si="91"/>
        <v>2002MaleMaori22Hanging, strangulation and suffocation</v>
      </c>
      <c r="U1434" s="360">
        <v>2002</v>
      </c>
      <c r="V1434" s="360" t="s">
        <v>20</v>
      </c>
      <c r="W1434" s="360" t="s">
        <v>18</v>
      </c>
      <c r="X1434" s="360">
        <v>22</v>
      </c>
      <c r="Y1434" s="360" t="s">
        <v>43</v>
      </c>
      <c r="Z1434" s="360">
        <v>20</v>
      </c>
      <c r="AA1434" s="360">
        <v>23</v>
      </c>
      <c r="AB1434" s="360">
        <v>87</v>
      </c>
    </row>
    <row r="1435" spans="10:28" x14ac:dyDescent="0.2">
      <c r="J1435" s="358" t="str">
        <f t="shared" si="90"/>
        <v>2004FemaleAllEth222</v>
      </c>
      <c r="K1435" s="359">
        <v>2004</v>
      </c>
      <c r="L1435" t="s">
        <v>8</v>
      </c>
      <c r="M1435" t="s">
        <v>27</v>
      </c>
      <c r="N1435">
        <v>22</v>
      </c>
      <c r="O1435">
        <v>2</v>
      </c>
      <c r="P1435">
        <v>4</v>
      </c>
      <c r="Q1435">
        <v>7.9418133085880598</v>
      </c>
      <c r="R1435">
        <v>7.8</v>
      </c>
      <c r="T1435" s="358" t="str">
        <f t="shared" si="91"/>
        <v>2002MaleMaori23Hanging, strangulation and suffocation</v>
      </c>
      <c r="U1435" s="360">
        <v>2002</v>
      </c>
      <c r="V1435" s="360" t="s">
        <v>20</v>
      </c>
      <c r="W1435" s="360" t="s">
        <v>18</v>
      </c>
      <c r="X1435" s="360">
        <v>23</v>
      </c>
      <c r="Y1435" s="360" t="s">
        <v>43</v>
      </c>
      <c r="Z1435" s="360">
        <v>25</v>
      </c>
      <c r="AA1435" s="360">
        <v>31</v>
      </c>
      <c r="AB1435" s="360">
        <v>80.599999999999994</v>
      </c>
    </row>
    <row r="1436" spans="10:28" x14ac:dyDescent="0.2">
      <c r="J1436" s="358" t="str">
        <f t="shared" si="90"/>
        <v>2004FemaleAllEth223</v>
      </c>
      <c r="K1436" s="359">
        <v>2004</v>
      </c>
      <c r="L1436" t="s">
        <v>8</v>
      </c>
      <c r="M1436" t="s">
        <v>27</v>
      </c>
      <c r="N1436">
        <v>22</v>
      </c>
      <c r="O1436">
        <v>3</v>
      </c>
      <c r="P1436">
        <v>7</v>
      </c>
      <c r="Q1436">
        <v>12.621463631507099</v>
      </c>
      <c r="R1436">
        <v>9.3000000000000007</v>
      </c>
      <c r="T1436" s="358" t="str">
        <f t="shared" si="91"/>
        <v>2002MaleMaori24Hanging, strangulation and suffocation</v>
      </c>
      <c r="U1436" s="360">
        <v>2002</v>
      </c>
      <c r="V1436" s="360" t="s">
        <v>20</v>
      </c>
      <c r="W1436" s="360" t="s">
        <v>18</v>
      </c>
      <c r="X1436" s="360">
        <v>24</v>
      </c>
      <c r="Y1436" s="360" t="s">
        <v>43</v>
      </c>
      <c r="Z1436" s="360">
        <v>4</v>
      </c>
      <c r="AA1436" s="360">
        <v>6</v>
      </c>
      <c r="AB1436" s="360">
        <v>66.7</v>
      </c>
    </row>
    <row r="1437" spans="10:28" x14ac:dyDescent="0.2">
      <c r="J1437" s="358" t="str">
        <f t="shared" si="90"/>
        <v>2004FemaleAllEth224</v>
      </c>
      <c r="K1437" s="359">
        <v>2004</v>
      </c>
      <c r="L1437" t="s">
        <v>8</v>
      </c>
      <c r="M1437" t="s">
        <v>27</v>
      </c>
      <c r="N1437">
        <v>22</v>
      </c>
      <c r="O1437">
        <v>4</v>
      </c>
      <c r="P1437">
        <v>5</v>
      </c>
      <c r="Q1437">
        <v>8.0570674206330501</v>
      </c>
      <c r="R1437">
        <v>7.1</v>
      </c>
      <c r="T1437" s="358" t="str">
        <f t="shared" si="91"/>
        <v>2002MaleMaori22Poisoning by gases and vapours</v>
      </c>
      <c r="U1437" s="360">
        <v>2002</v>
      </c>
      <c r="V1437" s="360" t="s">
        <v>20</v>
      </c>
      <c r="W1437" s="360" t="s">
        <v>18</v>
      </c>
      <c r="X1437" s="360">
        <v>22</v>
      </c>
      <c r="Y1437" s="360" t="s">
        <v>46</v>
      </c>
      <c r="Z1437" s="360">
        <v>1</v>
      </c>
      <c r="AA1437" s="360">
        <v>23</v>
      </c>
      <c r="AB1437" s="360">
        <v>4.3</v>
      </c>
    </row>
    <row r="1438" spans="10:28" x14ac:dyDescent="0.2">
      <c r="J1438" s="358" t="str">
        <f t="shared" si="90"/>
        <v>2004FemaleAllEth225</v>
      </c>
      <c r="K1438" s="359">
        <v>2004</v>
      </c>
      <c r="L1438" t="s">
        <v>8</v>
      </c>
      <c r="M1438" t="s">
        <v>27</v>
      </c>
      <c r="N1438">
        <v>22</v>
      </c>
      <c r="O1438">
        <v>5</v>
      </c>
      <c r="P1438">
        <v>12</v>
      </c>
      <c r="Q1438">
        <v>16.1607647777941</v>
      </c>
      <c r="R1438">
        <v>9.1</v>
      </c>
      <c r="T1438" s="358" t="str">
        <f t="shared" si="91"/>
        <v>2002MaleMaori23Poisoning by gases and vapours</v>
      </c>
      <c r="U1438" s="360">
        <v>2002</v>
      </c>
      <c r="V1438" s="360" t="s">
        <v>20</v>
      </c>
      <c r="W1438" s="360" t="s">
        <v>18</v>
      </c>
      <c r="X1438" s="360">
        <v>23</v>
      </c>
      <c r="Y1438" s="360" t="s">
        <v>46</v>
      </c>
      <c r="Z1438" s="360">
        <v>4</v>
      </c>
      <c r="AA1438" s="360">
        <v>31</v>
      </c>
      <c r="AB1438" s="360">
        <v>12.9</v>
      </c>
    </row>
    <row r="1439" spans="10:28" x14ac:dyDescent="0.2">
      <c r="J1439" s="358" t="str">
        <f t="shared" si="90"/>
        <v>2004FemaleAllEth231</v>
      </c>
      <c r="K1439" s="359">
        <v>2004</v>
      </c>
      <c r="L1439" t="s">
        <v>8</v>
      </c>
      <c r="M1439" t="s">
        <v>27</v>
      </c>
      <c r="N1439">
        <v>23</v>
      </c>
      <c r="O1439">
        <v>1</v>
      </c>
      <c r="P1439">
        <v>0</v>
      </c>
      <c r="Q1439">
        <v>0</v>
      </c>
      <c r="T1439" s="358" t="str">
        <f t="shared" si="91"/>
        <v>2002MaleMaori24Poisoning by gases and vapours</v>
      </c>
      <c r="U1439" s="360">
        <v>2002</v>
      </c>
      <c r="V1439" s="360" t="s">
        <v>20</v>
      </c>
      <c r="W1439" s="360" t="s">
        <v>18</v>
      </c>
      <c r="X1439" s="360">
        <v>24</v>
      </c>
      <c r="Y1439" s="360" t="s">
        <v>46</v>
      </c>
      <c r="Z1439" s="360">
        <v>1</v>
      </c>
      <c r="AA1439" s="360">
        <v>6</v>
      </c>
      <c r="AB1439" s="360">
        <v>16.7</v>
      </c>
    </row>
    <row r="1440" spans="10:28" x14ac:dyDescent="0.2">
      <c r="J1440" s="358" t="str">
        <f t="shared" si="90"/>
        <v>2004FemaleAllEth232</v>
      </c>
      <c r="K1440" s="359">
        <v>2004</v>
      </c>
      <c r="L1440" t="s">
        <v>8</v>
      </c>
      <c r="M1440" t="s">
        <v>27</v>
      </c>
      <c r="N1440">
        <v>23</v>
      </c>
      <c r="O1440">
        <v>2</v>
      </c>
      <c r="P1440">
        <v>8</v>
      </c>
      <c r="Q1440">
        <v>6.3465248502289304</v>
      </c>
      <c r="R1440">
        <v>4.4000000000000004</v>
      </c>
      <c r="T1440" s="358" t="str">
        <f t="shared" si="91"/>
        <v>2002MaleMaori23Sharp object</v>
      </c>
      <c r="U1440" s="360">
        <v>2002</v>
      </c>
      <c r="V1440" s="360" t="s">
        <v>20</v>
      </c>
      <c r="W1440" s="360" t="s">
        <v>18</v>
      </c>
      <c r="X1440" s="360">
        <v>23</v>
      </c>
      <c r="Y1440" s="360" t="s">
        <v>48</v>
      </c>
      <c r="Z1440" s="360">
        <v>1</v>
      </c>
      <c r="AA1440" s="360">
        <v>31</v>
      </c>
      <c r="AB1440" s="360">
        <v>3.2</v>
      </c>
    </row>
    <row r="1441" spans="10:28" x14ac:dyDescent="0.2">
      <c r="J1441" s="358" t="str">
        <f t="shared" si="90"/>
        <v>2004FemaleAllEth233</v>
      </c>
      <c r="K1441" s="359">
        <v>2004</v>
      </c>
      <c r="L1441" t="s">
        <v>8</v>
      </c>
      <c r="M1441" t="s">
        <v>27</v>
      </c>
      <c r="N1441">
        <v>23</v>
      </c>
      <c r="O1441">
        <v>3</v>
      </c>
      <c r="P1441">
        <v>8</v>
      </c>
      <c r="Q1441">
        <v>6.4088911396155597</v>
      </c>
      <c r="R1441">
        <v>4.4000000000000004</v>
      </c>
      <c r="T1441" s="358" t="str">
        <f t="shared" si="91"/>
        <v>2002MaleNon-Maori22Firearms and explosives</v>
      </c>
      <c r="U1441" s="360">
        <v>2002</v>
      </c>
      <c r="V1441" s="360" t="s">
        <v>20</v>
      </c>
      <c r="W1441" s="360" t="s">
        <v>19</v>
      </c>
      <c r="X1441" s="360">
        <v>22</v>
      </c>
      <c r="Y1441" s="360" t="s">
        <v>42</v>
      </c>
      <c r="Z1441" s="360">
        <v>3</v>
      </c>
      <c r="AA1441" s="360">
        <v>43</v>
      </c>
      <c r="AB1441" s="360">
        <v>7</v>
      </c>
    </row>
    <row r="1442" spans="10:28" x14ac:dyDescent="0.2">
      <c r="J1442" s="358" t="str">
        <f t="shared" si="90"/>
        <v>2004FemaleAllEth234</v>
      </c>
      <c r="K1442" s="359">
        <v>2004</v>
      </c>
      <c r="L1442" t="s">
        <v>8</v>
      </c>
      <c r="M1442" t="s">
        <v>27</v>
      </c>
      <c r="N1442">
        <v>23</v>
      </c>
      <c r="O1442">
        <v>4</v>
      </c>
      <c r="P1442">
        <v>12</v>
      </c>
      <c r="Q1442">
        <v>9.8169998160170504</v>
      </c>
      <c r="R1442">
        <v>5.6</v>
      </c>
      <c r="T1442" s="358" t="str">
        <f t="shared" si="91"/>
        <v>2002MaleNon-Maori23Firearms and explosives</v>
      </c>
      <c r="U1442" s="360">
        <v>2002</v>
      </c>
      <c r="V1442" s="360" t="s">
        <v>20</v>
      </c>
      <c r="W1442" s="360" t="s">
        <v>19</v>
      </c>
      <c r="X1442" s="360">
        <v>23</v>
      </c>
      <c r="Y1442" s="360" t="s">
        <v>42</v>
      </c>
      <c r="Z1442" s="360">
        <v>16</v>
      </c>
      <c r="AA1442" s="360">
        <v>135</v>
      </c>
      <c r="AB1442" s="360">
        <v>11.9</v>
      </c>
    </row>
    <row r="1443" spans="10:28" x14ac:dyDescent="0.2">
      <c r="J1443" s="358" t="str">
        <f t="shared" si="90"/>
        <v>2004FemaleAllEth235</v>
      </c>
      <c r="K1443" s="359">
        <v>2004</v>
      </c>
      <c r="L1443" t="s">
        <v>8</v>
      </c>
      <c r="M1443" t="s">
        <v>27</v>
      </c>
      <c r="N1443">
        <v>23</v>
      </c>
      <c r="O1443">
        <v>5</v>
      </c>
      <c r="P1443">
        <v>10</v>
      </c>
      <c r="Q1443">
        <v>8.5675580149477906</v>
      </c>
      <c r="R1443">
        <v>5.3</v>
      </c>
      <c r="T1443" s="358" t="str">
        <f t="shared" si="91"/>
        <v>2002MaleNon-Maori24Firearms and explosives</v>
      </c>
      <c r="U1443" s="360">
        <v>2002</v>
      </c>
      <c r="V1443" s="360" t="s">
        <v>20</v>
      </c>
      <c r="W1443" s="360" t="s">
        <v>19</v>
      </c>
      <c r="X1443" s="360">
        <v>24</v>
      </c>
      <c r="Y1443" s="360" t="s">
        <v>42</v>
      </c>
      <c r="Z1443" s="360">
        <v>16</v>
      </c>
      <c r="AA1443" s="360">
        <v>82</v>
      </c>
      <c r="AB1443" s="360">
        <v>19.5</v>
      </c>
    </row>
    <row r="1444" spans="10:28" x14ac:dyDescent="0.2">
      <c r="J1444" s="358" t="str">
        <f t="shared" si="90"/>
        <v>2004FemaleAllEth241</v>
      </c>
      <c r="K1444" s="359">
        <v>2004</v>
      </c>
      <c r="L1444" t="s">
        <v>8</v>
      </c>
      <c r="M1444" t="s">
        <v>27</v>
      </c>
      <c r="N1444">
        <v>24</v>
      </c>
      <c r="O1444">
        <v>1</v>
      </c>
      <c r="P1444">
        <v>2</v>
      </c>
      <c r="Q1444">
        <v>1.7196184858414101</v>
      </c>
      <c r="R1444">
        <v>2.4</v>
      </c>
      <c r="T1444" s="358" t="str">
        <f t="shared" si="91"/>
        <v>2002MaleNon-Maori25Firearms and explosives</v>
      </c>
      <c r="U1444" s="360">
        <v>2002</v>
      </c>
      <c r="V1444" s="360" t="s">
        <v>20</v>
      </c>
      <c r="W1444" s="360" t="s">
        <v>19</v>
      </c>
      <c r="X1444" s="360">
        <v>25</v>
      </c>
      <c r="Y1444" s="360" t="s">
        <v>42</v>
      </c>
      <c r="Z1444" s="360">
        <v>7</v>
      </c>
      <c r="AA1444" s="360">
        <v>36</v>
      </c>
      <c r="AB1444" s="360">
        <v>19.399999999999999</v>
      </c>
    </row>
    <row r="1445" spans="10:28" x14ac:dyDescent="0.2">
      <c r="J1445" s="358" t="str">
        <f t="shared" si="90"/>
        <v>2004FemaleAllEth242</v>
      </c>
      <c r="K1445" s="359">
        <v>2004</v>
      </c>
      <c r="L1445" t="s">
        <v>8</v>
      </c>
      <c r="M1445" t="s">
        <v>27</v>
      </c>
      <c r="N1445">
        <v>24</v>
      </c>
      <c r="O1445">
        <v>2</v>
      </c>
      <c r="P1445">
        <v>3</v>
      </c>
      <c r="Q1445">
        <v>2.89423595934587</v>
      </c>
      <c r="R1445">
        <v>3.3</v>
      </c>
      <c r="T1445" s="358" t="str">
        <f t="shared" si="91"/>
        <v>2002MaleNon-Maori22Hanging, strangulation and suffocation</v>
      </c>
      <c r="U1445" s="360">
        <v>2002</v>
      </c>
      <c r="V1445" s="360" t="s">
        <v>20</v>
      </c>
      <c r="W1445" s="360" t="s">
        <v>19</v>
      </c>
      <c r="X1445" s="360">
        <v>22</v>
      </c>
      <c r="Y1445" s="360" t="s">
        <v>43</v>
      </c>
      <c r="Z1445" s="360">
        <v>22</v>
      </c>
      <c r="AA1445" s="360">
        <v>43</v>
      </c>
      <c r="AB1445" s="360">
        <v>51.2</v>
      </c>
    </row>
    <row r="1446" spans="10:28" x14ac:dyDescent="0.2">
      <c r="J1446" s="358" t="str">
        <f t="shared" si="90"/>
        <v>2004FemaleAllEth243</v>
      </c>
      <c r="K1446" s="359">
        <v>2004</v>
      </c>
      <c r="L1446" t="s">
        <v>8</v>
      </c>
      <c r="M1446" t="s">
        <v>27</v>
      </c>
      <c r="N1446">
        <v>24</v>
      </c>
      <c r="O1446">
        <v>3</v>
      </c>
      <c r="P1446">
        <v>7</v>
      </c>
      <c r="Q1446">
        <v>7.4216973468215803</v>
      </c>
      <c r="R1446">
        <v>5.5</v>
      </c>
      <c r="T1446" s="358" t="str">
        <f t="shared" si="91"/>
        <v>2002MaleNon-Maori23Hanging, strangulation and suffocation</v>
      </c>
      <c r="U1446" s="360">
        <v>2002</v>
      </c>
      <c r="V1446" s="360" t="s">
        <v>20</v>
      </c>
      <c r="W1446" s="360" t="s">
        <v>19</v>
      </c>
      <c r="X1446" s="360">
        <v>23</v>
      </c>
      <c r="Y1446" s="360" t="s">
        <v>43</v>
      </c>
      <c r="Z1446" s="360">
        <v>57</v>
      </c>
      <c r="AA1446" s="360">
        <v>135</v>
      </c>
      <c r="AB1446" s="360">
        <v>42.2</v>
      </c>
    </row>
    <row r="1447" spans="10:28" x14ac:dyDescent="0.2">
      <c r="J1447" s="358" t="str">
        <f t="shared" si="90"/>
        <v>2004FemaleAllEth244</v>
      </c>
      <c r="K1447" s="359">
        <v>2004</v>
      </c>
      <c r="L1447" t="s">
        <v>8</v>
      </c>
      <c r="M1447" t="s">
        <v>27</v>
      </c>
      <c r="N1447">
        <v>24</v>
      </c>
      <c r="O1447">
        <v>4</v>
      </c>
      <c r="P1447">
        <v>7</v>
      </c>
      <c r="Q1447">
        <v>8.0854608220762803</v>
      </c>
      <c r="R1447">
        <v>6</v>
      </c>
      <c r="T1447" s="358" t="str">
        <f t="shared" si="91"/>
        <v>2002MaleNon-Maori24Hanging, strangulation and suffocation</v>
      </c>
      <c r="U1447" s="360">
        <v>2002</v>
      </c>
      <c r="V1447" s="360" t="s">
        <v>20</v>
      </c>
      <c r="W1447" s="360" t="s">
        <v>19</v>
      </c>
      <c r="X1447" s="360">
        <v>24</v>
      </c>
      <c r="Y1447" s="360" t="s">
        <v>43</v>
      </c>
      <c r="Z1447" s="360">
        <v>33</v>
      </c>
      <c r="AA1447" s="360">
        <v>82</v>
      </c>
      <c r="AB1447" s="360">
        <v>40.200000000000003</v>
      </c>
    </row>
    <row r="1448" spans="10:28" x14ac:dyDescent="0.2">
      <c r="J1448" s="358" t="str">
        <f t="shared" si="90"/>
        <v>2004FemaleAllEth245</v>
      </c>
      <c r="K1448" s="359">
        <v>2004</v>
      </c>
      <c r="L1448" t="s">
        <v>8</v>
      </c>
      <c r="M1448" t="s">
        <v>27</v>
      </c>
      <c r="N1448">
        <v>24</v>
      </c>
      <c r="O1448">
        <v>5</v>
      </c>
      <c r="P1448">
        <v>9</v>
      </c>
      <c r="Q1448">
        <v>11.678054070555801</v>
      </c>
      <c r="R1448">
        <v>7.6</v>
      </c>
      <c r="T1448" s="358" t="str">
        <f t="shared" si="91"/>
        <v>2002MaleNon-Maori25Hanging, strangulation and suffocation</v>
      </c>
      <c r="U1448" s="360">
        <v>2002</v>
      </c>
      <c r="V1448" s="360" t="s">
        <v>20</v>
      </c>
      <c r="W1448" s="360" t="s">
        <v>19</v>
      </c>
      <c r="X1448" s="360">
        <v>25</v>
      </c>
      <c r="Y1448" s="360" t="s">
        <v>43</v>
      </c>
      <c r="Z1448" s="360">
        <v>10</v>
      </c>
      <c r="AA1448" s="360">
        <v>36</v>
      </c>
      <c r="AB1448" s="360">
        <v>27.8</v>
      </c>
    </row>
    <row r="1449" spans="10:28" x14ac:dyDescent="0.2">
      <c r="J1449" s="358" t="str">
        <f t="shared" si="90"/>
        <v>2004FemaleAllEth251</v>
      </c>
      <c r="K1449" s="359">
        <v>2004</v>
      </c>
      <c r="L1449" t="s">
        <v>8</v>
      </c>
      <c r="M1449" t="s">
        <v>27</v>
      </c>
      <c r="N1449">
        <v>25</v>
      </c>
      <c r="O1449">
        <v>1</v>
      </c>
      <c r="P1449">
        <v>0</v>
      </c>
      <c r="Q1449">
        <v>0</v>
      </c>
      <c r="T1449" s="358" t="str">
        <f t="shared" si="91"/>
        <v>2002MaleNon-Maori22Jumping from a high place</v>
      </c>
      <c r="U1449" s="360">
        <v>2002</v>
      </c>
      <c r="V1449" s="360" t="s">
        <v>20</v>
      </c>
      <c r="W1449" s="360" t="s">
        <v>19</v>
      </c>
      <c r="X1449" s="360">
        <v>22</v>
      </c>
      <c r="Y1449" s="360" t="s">
        <v>44</v>
      </c>
      <c r="Z1449" s="360">
        <v>2</v>
      </c>
      <c r="AA1449" s="360">
        <v>43</v>
      </c>
      <c r="AB1449" s="360">
        <v>4.7</v>
      </c>
    </row>
    <row r="1450" spans="10:28" x14ac:dyDescent="0.2">
      <c r="J1450" s="358" t="str">
        <f t="shared" si="90"/>
        <v>2004FemaleAllEth252</v>
      </c>
      <c r="K1450" s="359">
        <v>2004</v>
      </c>
      <c r="L1450" t="s">
        <v>8</v>
      </c>
      <c r="M1450" t="s">
        <v>27</v>
      </c>
      <c r="N1450">
        <v>25</v>
      </c>
      <c r="O1450">
        <v>2</v>
      </c>
      <c r="P1450">
        <v>1</v>
      </c>
      <c r="Q1450">
        <v>1.8151426021731201</v>
      </c>
      <c r="R1450">
        <v>3.6</v>
      </c>
      <c r="T1450" s="358" t="str">
        <f t="shared" si="91"/>
        <v>2002MaleNon-Maori23Jumping from a high place</v>
      </c>
      <c r="U1450" s="360">
        <v>2002</v>
      </c>
      <c r="V1450" s="360" t="s">
        <v>20</v>
      </c>
      <c r="W1450" s="360" t="s">
        <v>19</v>
      </c>
      <c r="X1450" s="360">
        <v>23</v>
      </c>
      <c r="Y1450" s="360" t="s">
        <v>44</v>
      </c>
      <c r="Z1450" s="360">
        <v>5</v>
      </c>
      <c r="AA1450" s="360">
        <v>135</v>
      </c>
      <c r="AB1450" s="360">
        <v>3.7</v>
      </c>
    </row>
    <row r="1451" spans="10:28" x14ac:dyDescent="0.2">
      <c r="J1451" s="358" t="str">
        <f t="shared" si="90"/>
        <v>2004FemaleAllEth253</v>
      </c>
      <c r="K1451" s="359">
        <v>2004</v>
      </c>
      <c r="L1451" t="s">
        <v>8</v>
      </c>
      <c r="M1451" t="s">
        <v>27</v>
      </c>
      <c r="N1451">
        <v>25</v>
      </c>
      <c r="O1451">
        <v>3</v>
      </c>
      <c r="P1451">
        <v>4</v>
      </c>
      <c r="Q1451">
        <v>6.8135762394729404</v>
      </c>
      <c r="R1451">
        <v>6.7</v>
      </c>
      <c r="T1451" s="358" t="str">
        <f t="shared" si="91"/>
        <v>2002MaleNon-Maori25Jumping from a high place</v>
      </c>
      <c r="U1451" s="360">
        <v>2002</v>
      </c>
      <c r="V1451" s="360" t="s">
        <v>20</v>
      </c>
      <c r="W1451" s="360" t="s">
        <v>19</v>
      </c>
      <c r="X1451" s="360">
        <v>25</v>
      </c>
      <c r="Y1451" s="360" t="s">
        <v>44</v>
      </c>
      <c r="Z1451" s="360">
        <v>5</v>
      </c>
      <c r="AA1451" s="360">
        <v>36</v>
      </c>
      <c r="AB1451" s="360">
        <v>13.9</v>
      </c>
    </row>
    <row r="1452" spans="10:28" x14ac:dyDescent="0.2">
      <c r="J1452" s="358" t="str">
        <f t="shared" si="90"/>
        <v>2004FemaleAllEth254</v>
      </c>
      <c r="K1452" s="359">
        <v>2004</v>
      </c>
      <c r="L1452" t="s">
        <v>8</v>
      </c>
      <c r="M1452" t="s">
        <v>27</v>
      </c>
      <c r="N1452">
        <v>25</v>
      </c>
      <c r="O1452">
        <v>4</v>
      </c>
      <c r="P1452">
        <v>2</v>
      </c>
      <c r="Q1452">
        <v>3.2809988138456698</v>
      </c>
      <c r="R1452">
        <v>4.5</v>
      </c>
      <c r="T1452" s="358" t="str">
        <f t="shared" si="91"/>
        <v>2002MaleNon-Maori22Other</v>
      </c>
      <c r="U1452" s="360">
        <v>2002</v>
      </c>
      <c r="V1452" s="360" t="s">
        <v>20</v>
      </c>
      <c r="W1452" s="360" t="s">
        <v>19</v>
      </c>
      <c r="X1452" s="360">
        <v>22</v>
      </c>
      <c r="Y1452" s="360" t="s">
        <v>45</v>
      </c>
      <c r="Z1452" s="360">
        <v>4</v>
      </c>
      <c r="AA1452" s="360">
        <v>43</v>
      </c>
      <c r="AB1452" s="360">
        <v>9.3000000000000007</v>
      </c>
    </row>
    <row r="1453" spans="10:28" x14ac:dyDescent="0.2">
      <c r="J1453" s="358" t="str">
        <f t="shared" si="90"/>
        <v>2004FemaleAllEth255</v>
      </c>
      <c r="K1453" s="359">
        <v>2004</v>
      </c>
      <c r="L1453" t="s">
        <v>8</v>
      </c>
      <c r="M1453" t="s">
        <v>27</v>
      </c>
      <c r="N1453">
        <v>25</v>
      </c>
      <c r="O1453">
        <v>5</v>
      </c>
      <c r="P1453">
        <v>2</v>
      </c>
      <c r="Q1453">
        <v>4.3099733386404502</v>
      </c>
      <c r="R1453">
        <v>6</v>
      </c>
      <c r="T1453" s="358" t="str">
        <f t="shared" si="91"/>
        <v>2002MaleNon-Maori23Other</v>
      </c>
      <c r="U1453" s="360">
        <v>2002</v>
      </c>
      <c r="V1453" s="360" t="s">
        <v>20</v>
      </c>
      <c r="W1453" s="360" t="s">
        <v>19</v>
      </c>
      <c r="X1453" s="360">
        <v>23</v>
      </c>
      <c r="Y1453" s="360" t="s">
        <v>45</v>
      </c>
      <c r="Z1453" s="360">
        <v>1</v>
      </c>
      <c r="AA1453" s="360">
        <v>135</v>
      </c>
      <c r="AB1453" s="360">
        <v>0.7</v>
      </c>
    </row>
    <row r="1454" spans="10:28" x14ac:dyDescent="0.2">
      <c r="J1454" s="358" t="str">
        <f t="shared" si="90"/>
        <v>2004FemaleMaori211</v>
      </c>
      <c r="K1454" s="359">
        <v>2004</v>
      </c>
      <c r="L1454" t="s">
        <v>8</v>
      </c>
      <c r="M1454" t="s">
        <v>18</v>
      </c>
      <c r="N1454">
        <v>21</v>
      </c>
      <c r="O1454">
        <v>1</v>
      </c>
      <c r="P1454">
        <v>0</v>
      </c>
      <c r="T1454" s="358" t="str">
        <f t="shared" si="91"/>
        <v>2002MaleNon-Maori24Other</v>
      </c>
      <c r="U1454" s="360">
        <v>2002</v>
      </c>
      <c r="V1454" s="360" t="s">
        <v>20</v>
      </c>
      <c r="W1454" s="360" t="s">
        <v>19</v>
      </c>
      <c r="X1454" s="360">
        <v>24</v>
      </c>
      <c r="Y1454" s="360" t="s">
        <v>45</v>
      </c>
      <c r="Z1454" s="360">
        <v>7</v>
      </c>
      <c r="AA1454" s="360">
        <v>82</v>
      </c>
      <c r="AB1454" s="360">
        <v>8.5</v>
      </c>
    </row>
    <row r="1455" spans="10:28" x14ac:dyDescent="0.2">
      <c r="J1455" s="358" t="str">
        <f t="shared" si="90"/>
        <v>2004FemaleMaori212</v>
      </c>
      <c r="K1455" s="359">
        <v>2004</v>
      </c>
      <c r="L1455" t="s">
        <v>8</v>
      </c>
      <c r="M1455" t="s">
        <v>18</v>
      </c>
      <c r="N1455">
        <v>21</v>
      </c>
      <c r="O1455">
        <v>2</v>
      </c>
      <c r="P1455">
        <v>0</v>
      </c>
      <c r="T1455" s="358" t="str">
        <f t="shared" si="91"/>
        <v>2002MaleNon-Maori22Poisoning by gases and vapours</v>
      </c>
      <c r="U1455" s="360">
        <v>2002</v>
      </c>
      <c r="V1455" s="360" t="s">
        <v>20</v>
      </c>
      <c r="W1455" s="360" t="s">
        <v>19</v>
      </c>
      <c r="X1455" s="360">
        <v>22</v>
      </c>
      <c r="Y1455" s="360" t="s">
        <v>46</v>
      </c>
      <c r="Z1455" s="360">
        <v>7</v>
      </c>
      <c r="AA1455" s="360">
        <v>43</v>
      </c>
      <c r="AB1455" s="360">
        <v>16.3</v>
      </c>
    </row>
    <row r="1456" spans="10:28" x14ac:dyDescent="0.2">
      <c r="J1456" s="358" t="str">
        <f t="shared" si="90"/>
        <v>2004FemaleMaori213</v>
      </c>
      <c r="K1456" s="359">
        <v>2004</v>
      </c>
      <c r="L1456" t="s">
        <v>8</v>
      </c>
      <c r="M1456" t="s">
        <v>18</v>
      </c>
      <c r="N1456">
        <v>21</v>
      </c>
      <c r="O1456">
        <v>3</v>
      </c>
      <c r="P1456">
        <v>0</v>
      </c>
      <c r="T1456" s="358" t="str">
        <f t="shared" si="91"/>
        <v>2002MaleNon-Maori23Poisoning by gases and vapours</v>
      </c>
      <c r="U1456" s="360">
        <v>2002</v>
      </c>
      <c r="V1456" s="360" t="s">
        <v>20</v>
      </c>
      <c r="W1456" s="360" t="s">
        <v>19</v>
      </c>
      <c r="X1456" s="360">
        <v>23</v>
      </c>
      <c r="Y1456" s="360" t="s">
        <v>46</v>
      </c>
      <c r="Z1456" s="360">
        <v>37</v>
      </c>
      <c r="AA1456" s="360">
        <v>135</v>
      </c>
      <c r="AB1456" s="360">
        <v>27.4</v>
      </c>
    </row>
    <row r="1457" spans="10:28" x14ac:dyDescent="0.2">
      <c r="J1457" s="358" t="str">
        <f t="shared" si="90"/>
        <v>2004FemaleMaori214</v>
      </c>
      <c r="K1457" s="359">
        <v>2004</v>
      </c>
      <c r="L1457" t="s">
        <v>8</v>
      </c>
      <c r="M1457" t="s">
        <v>18</v>
      </c>
      <c r="N1457">
        <v>21</v>
      </c>
      <c r="O1457">
        <v>4</v>
      </c>
      <c r="P1457">
        <v>0</v>
      </c>
      <c r="T1457" s="358" t="str">
        <f t="shared" si="91"/>
        <v>2002MaleNon-Maori24Poisoning by gases and vapours</v>
      </c>
      <c r="U1457" s="360">
        <v>2002</v>
      </c>
      <c r="V1457" s="360" t="s">
        <v>20</v>
      </c>
      <c r="W1457" s="360" t="s">
        <v>19</v>
      </c>
      <c r="X1457" s="360">
        <v>24</v>
      </c>
      <c r="Y1457" s="360" t="s">
        <v>46</v>
      </c>
      <c r="Z1457" s="360">
        <v>21</v>
      </c>
      <c r="AA1457" s="360">
        <v>82</v>
      </c>
      <c r="AB1457" s="360">
        <v>25.6</v>
      </c>
    </row>
    <row r="1458" spans="10:28" x14ac:dyDescent="0.2">
      <c r="J1458" s="358" t="str">
        <f t="shared" si="90"/>
        <v>2004FemaleMaori215</v>
      </c>
      <c r="K1458" s="359">
        <v>2004</v>
      </c>
      <c r="L1458" t="s">
        <v>8</v>
      </c>
      <c r="M1458" t="s">
        <v>18</v>
      </c>
      <c r="N1458">
        <v>21</v>
      </c>
      <c r="O1458">
        <v>5</v>
      </c>
      <c r="P1458">
        <v>1</v>
      </c>
      <c r="T1458" s="358" t="str">
        <f t="shared" si="91"/>
        <v>2002MaleNon-Maori25Poisoning by gases and vapours</v>
      </c>
      <c r="U1458" s="360">
        <v>2002</v>
      </c>
      <c r="V1458" s="360" t="s">
        <v>20</v>
      </c>
      <c r="W1458" s="360" t="s">
        <v>19</v>
      </c>
      <c r="X1458" s="360">
        <v>25</v>
      </c>
      <c r="Y1458" s="360" t="s">
        <v>46</v>
      </c>
      <c r="Z1458" s="360">
        <v>7</v>
      </c>
      <c r="AA1458" s="360">
        <v>36</v>
      </c>
      <c r="AB1458" s="360">
        <v>19.399999999999999</v>
      </c>
    </row>
    <row r="1459" spans="10:28" x14ac:dyDescent="0.2">
      <c r="J1459" s="358" t="str">
        <f t="shared" si="90"/>
        <v>2004FemaleMaori221</v>
      </c>
      <c r="K1459" s="359">
        <v>2004</v>
      </c>
      <c r="L1459" t="s">
        <v>8</v>
      </c>
      <c r="M1459" t="s">
        <v>18</v>
      </c>
      <c r="N1459">
        <v>22</v>
      </c>
      <c r="O1459">
        <v>1</v>
      </c>
      <c r="P1459">
        <v>0</v>
      </c>
      <c r="Q1459">
        <v>0</v>
      </c>
      <c r="T1459" s="358" t="str">
        <f t="shared" si="91"/>
        <v>2002MaleNon-Maori22Poisoning by solids and liquids</v>
      </c>
      <c r="U1459" s="360">
        <v>2002</v>
      </c>
      <c r="V1459" s="360" t="s">
        <v>20</v>
      </c>
      <c r="W1459" s="360" t="s">
        <v>19</v>
      </c>
      <c r="X1459" s="360">
        <v>22</v>
      </c>
      <c r="Y1459" s="360" t="s">
        <v>47</v>
      </c>
      <c r="Z1459" s="360">
        <v>2</v>
      </c>
      <c r="AA1459" s="360">
        <v>43</v>
      </c>
      <c r="AB1459" s="360">
        <v>4.7</v>
      </c>
    </row>
    <row r="1460" spans="10:28" x14ac:dyDescent="0.2">
      <c r="J1460" s="358" t="str">
        <f t="shared" si="90"/>
        <v>2004FemaleMaori222</v>
      </c>
      <c r="K1460" s="359">
        <v>2004</v>
      </c>
      <c r="L1460" t="s">
        <v>8</v>
      </c>
      <c r="M1460" t="s">
        <v>18</v>
      </c>
      <c r="N1460">
        <v>22</v>
      </c>
      <c r="O1460">
        <v>2</v>
      </c>
      <c r="P1460">
        <v>2</v>
      </c>
      <c r="Q1460">
        <v>34.887689194164103</v>
      </c>
      <c r="R1460">
        <v>48.4</v>
      </c>
      <c r="T1460" s="358" t="str">
        <f t="shared" si="91"/>
        <v>2002MaleNon-Maori23Poisoning by solids and liquids</v>
      </c>
      <c r="U1460" s="360">
        <v>2002</v>
      </c>
      <c r="V1460" s="360" t="s">
        <v>20</v>
      </c>
      <c r="W1460" s="360" t="s">
        <v>19</v>
      </c>
      <c r="X1460" s="360">
        <v>23</v>
      </c>
      <c r="Y1460" s="360" t="s">
        <v>47</v>
      </c>
      <c r="Z1460" s="360">
        <v>12</v>
      </c>
      <c r="AA1460" s="360">
        <v>135</v>
      </c>
      <c r="AB1460" s="360">
        <v>8.9</v>
      </c>
    </row>
    <row r="1461" spans="10:28" x14ac:dyDescent="0.2">
      <c r="J1461" s="358" t="str">
        <f t="shared" si="90"/>
        <v>2004FemaleMaori223</v>
      </c>
      <c r="K1461" s="359">
        <v>2004</v>
      </c>
      <c r="L1461" t="s">
        <v>8</v>
      </c>
      <c r="M1461" t="s">
        <v>18</v>
      </c>
      <c r="N1461">
        <v>22</v>
      </c>
      <c r="O1461">
        <v>3</v>
      </c>
      <c r="P1461">
        <v>4</v>
      </c>
      <c r="Q1461">
        <v>44.927534008821901</v>
      </c>
      <c r="R1461">
        <v>44</v>
      </c>
      <c r="T1461" s="358" t="str">
        <f t="shared" si="91"/>
        <v>2002MaleNon-Maori24Poisoning by solids and liquids</v>
      </c>
      <c r="U1461" s="360">
        <v>2002</v>
      </c>
      <c r="V1461" s="360" t="s">
        <v>20</v>
      </c>
      <c r="W1461" s="360" t="s">
        <v>19</v>
      </c>
      <c r="X1461" s="360">
        <v>24</v>
      </c>
      <c r="Y1461" s="360" t="s">
        <v>47</v>
      </c>
      <c r="Z1461" s="360">
        <v>4</v>
      </c>
      <c r="AA1461" s="360">
        <v>82</v>
      </c>
      <c r="AB1461" s="360">
        <v>4.9000000000000004</v>
      </c>
    </row>
    <row r="1462" spans="10:28" x14ac:dyDescent="0.2">
      <c r="J1462" s="358" t="str">
        <f t="shared" si="90"/>
        <v>2004FemaleMaori224</v>
      </c>
      <c r="K1462" s="359">
        <v>2004</v>
      </c>
      <c r="L1462" t="s">
        <v>8</v>
      </c>
      <c r="M1462" t="s">
        <v>18</v>
      </c>
      <c r="N1462">
        <v>22</v>
      </c>
      <c r="O1462">
        <v>4</v>
      </c>
      <c r="P1462">
        <v>2</v>
      </c>
      <c r="Q1462">
        <v>14.8564772217265</v>
      </c>
      <c r="R1462">
        <v>20.6</v>
      </c>
      <c r="T1462" s="358" t="str">
        <f t="shared" si="91"/>
        <v>2002MaleNon-Maori25Poisoning by solids and liquids</v>
      </c>
      <c r="U1462" s="360">
        <v>2002</v>
      </c>
      <c r="V1462" s="360" t="s">
        <v>20</v>
      </c>
      <c r="W1462" s="360" t="s">
        <v>19</v>
      </c>
      <c r="X1462" s="360">
        <v>25</v>
      </c>
      <c r="Y1462" s="360" t="s">
        <v>47</v>
      </c>
      <c r="Z1462" s="360">
        <v>6</v>
      </c>
      <c r="AA1462" s="360">
        <v>36</v>
      </c>
      <c r="AB1462" s="360">
        <v>16.7</v>
      </c>
    </row>
    <row r="1463" spans="10:28" x14ac:dyDescent="0.2">
      <c r="J1463" s="358" t="str">
        <f t="shared" si="90"/>
        <v>2004FemaleMaori225</v>
      </c>
      <c r="K1463" s="359">
        <v>2004</v>
      </c>
      <c r="L1463" t="s">
        <v>8</v>
      </c>
      <c r="M1463" t="s">
        <v>18</v>
      </c>
      <c r="N1463">
        <v>22</v>
      </c>
      <c r="O1463">
        <v>5</v>
      </c>
      <c r="P1463">
        <v>6</v>
      </c>
      <c r="Q1463">
        <v>24.658686600523101</v>
      </c>
      <c r="R1463">
        <v>19.7</v>
      </c>
      <c r="T1463" s="358" t="str">
        <f t="shared" si="91"/>
        <v>2002MaleNon-Maori22Sharp object</v>
      </c>
      <c r="U1463" s="360">
        <v>2002</v>
      </c>
      <c r="V1463" s="360" t="s">
        <v>20</v>
      </c>
      <c r="W1463" s="360" t="s">
        <v>19</v>
      </c>
      <c r="X1463" s="360">
        <v>22</v>
      </c>
      <c r="Y1463" s="360" t="s">
        <v>48</v>
      </c>
      <c r="Z1463" s="360">
        <v>1</v>
      </c>
      <c r="AA1463" s="360">
        <v>43</v>
      </c>
      <c r="AB1463" s="360">
        <v>2.2999999999999998</v>
      </c>
    </row>
    <row r="1464" spans="10:28" x14ac:dyDescent="0.2">
      <c r="J1464" s="358" t="str">
        <f t="shared" si="90"/>
        <v>2004FemaleMaori231</v>
      </c>
      <c r="K1464" s="359">
        <v>2004</v>
      </c>
      <c r="L1464" t="s">
        <v>8</v>
      </c>
      <c r="M1464" t="s">
        <v>18</v>
      </c>
      <c r="N1464">
        <v>23</v>
      </c>
      <c r="O1464">
        <v>1</v>
      </c>
      <c r="P1464">
        <v>0</v>
      </c>
      <c r="Q1464">
        <v>0</v>
      </c>
      <c r="T1464" s="358" t="str">
        <f t="shared" si="91"/>
        <v>2002MaleNon-Maori23Sharp object</v>
      </c>
      <c r="U1464" s="360">
        <v>2002</v>
      </c>
      <c r="V1464" s="360" t="s">
        <v>20</v>
      </c>
      <c r="W1464" s="360" t="s">
        <v>19</v>
      </c>
      <c r="X1464" s="360">
        <v>23</v>
      </c>
      <c r="Y1464" s="360" t="s">
        <v>48</v>
      </c>
      <c r="Z1464" s="360">
        <v>3</v>
      </c>
      <c r="AA1464" s="360">
        <v>135</v>
      </c>
      <c r="AB1464" s="360">
        <v>2.2000000000000002</v>
      </c>
    </row>
    <row r="1465" spans="10:28" x14ac:dyDescent="0.2">
      <c r="J1465" s="358" t="str">
        <f t="shared" si="90"/>
        <v>2004FemaleMaori232</v>
      </c>
      <c r="K1465" s="359">
        <v>2004</v>
      </c>
      <c r="L1465" t="s">
        <v>8</v>
      </c>
      <c r="M1465" t="s">
        <v>18</v>
      </c>
      <c r="N1465">
        <v>23</v>
      </c>
      <c r="O1465">
        <v>2</v>
      </c>
      <c r="P1465">
        <v>0</v>
      </c>
      <c r="Q1465">
        <v>0</v>
      </c>
      <c r="T1465" s="358" t="str">
        <f t="shared" si="91"/>
        <v>2002MaleNon-Maori22Submersion (drowning)</v>
      </c>
      <c r="U1465" s="360">
        <v>2002</v>
      </c>
      <c r="V1465" s="360" t="s">
        <v>20</v>
      </c>
      <c r="W1465" s="360" t="s">
        <v>19</v>
      </c>
      <c r="X1465" s="360">
        <v>22</v>
      </c>
      <c r="Y1465" s="360" t="s">
        <v>49</v>
      </c>
      <c r="Z1465" s="360">
        <v>2</v>
      </c>
      <c r="AA1465" s="360">
        <v>43</v>
      </c>
      <c r="AB1465" s="360">
        <v>4.7</v>
      </c>
    </row>
    <row r="1466" spans="10:28" x14ac:dyDescent="0.2">
      <c r="J1466" s="358" t="str">
        <f t="shared" si="90"/>
        <v>2004FemaleMaori233</v>
      </c>
      <c r="K1466" s="359">
        <v>2004</v>
      </c>
      <c r="L1466" t="s">
        <v>8</v>
      </c>
      <c r="M1466" t="s">
        <v>18</v>
      </c>
      <c r="N1466">
        <v>23</v>
      </c>
      <c r="O1466">
        <v>3</v>
      </c>
      <c r="P1466">
        <v>0</v>
      </c>
      <c r="Q1466">
        <v>0</v>
      </c>
      <c r="T1466" s="358" t="str">
        <f t="shared" si="91"/>
        <v>2002MaleNon-Maori23Submersion (drowning)</v>
      </c>
      <c r="U1466" s="360">
        <v>2002</v>
      </c>
      <c r="V1466" s="360" t="s">
        <v>20</v>
      </c>
      <c r="W1466" s="360" t="s">
        <v>19</v>
      </c>
      <c r="X1466" s="360">
        <v>23</v>
      </c>
      <c r="Y1466" s="360" t="s">
        <v>49</v>
      </c>
      <c r="Z1466" s="360">
        <v>4</v>
      </c>
      <c r="AA1466" s="360">
        <v>135</v>
      </c>
      <c r="AB1466" s="360">
        <v>3</v>
      </c>
    </row>
    <row r="1467" spans="10:28" x14ac:dyDescent="0.2">
      <c r="J1467" s="358" t="str">
        <f t="shared" si="90"/>
        <v>2004FemaleMaori234</v>
      </c>
      <c r="K1467" s="359">
        <v>2004</v>
      </c>
      <c r="L1467" t="s">
        <v>8</v>
      </c>
      <c r="M1467" t="s">
        <v>18</v>
      </c>
      <c r="N1467">
        <v>23</v>
      </c>
      <c r="O1467">
        <v>4</v>
      </c>
      <c r="P1467">
        <v>5</v>
      </c>
      <c r="Q1467">
        <v>23.418951767529201</v>
      </c>
      <c r="R1467">
        <v>20.5</v>
      </c>
      <c r="T1467" s="358" t="str">
        <f t="shared" si="91"/>
        <v>2002MaleNon-Maori24Submersion (drowning)</v>
      </c>
      <c r="U1467" s="360">
        <v>2002</v>
      </c>
      <c r="V1467" s="360" t="s">
        <v>20</v>
      </c>
      <c r="W1467" s="360" t="s">
        <v>19</v>
      </c>
      <c r="X1467" s="360">
        <v>24</v>
      </c>
      <c r="Y1467" s="360" t="s">
        <v>49</v>
      </c>
      <c r="Z1467" s="360">
        <v>1</v>
      </c>
      <c r="AA1467" s="360">
        <v>82</v>
      </c>
      <c r="AB1467" s="360">
        <v>1.2</v>
      </c>
    </row>
    <row r="1468" spans="10:28" x14ac:dyDescent="0.2">
      <c r="J1468" s="358" t="str">
        <f t="shared" si="90"/>
        <v>2004FemaleMaori235</v>
      </c>
      <c r="K1468" s="359">
        <v>2004</v>
      </c>
      <c r="L1468" t="s">
        <v>8</v>
      </c>
      <c r="M1468" t="s">
        <v>18</v>
      </c>
      <c r="N1468">
        <v>23</v>
      </c>
      <c r="O1468">
        <v>5</v>
      </c>
      <c r="P1468">
        <v>6</v>
      </c>
      <c r="Q1468">
        <v>16.307866093623801</v>
      </c>
      <c r="R1468">
        <v>13</v>
      </c>
      <c r="T1468" s="358" t="str">
        <f t="shared" si="91"/>
        <v>2002MaleNon-Maori25Submersion (drowning)</v>
      </c>
      <c r="U1468" s="360">
        <v>2002</v>
      </c>
      <c r="V1468" s="360" t="s">
        <v>20</v>
      </c>
      <c r="W1468" s="360" t="s">
        <v>19</v>
      </c>
      <c r="X1468" s="360">
        <v>25</v>
      </c>
      <c r="Y1468" s="360" t="s">
        <v>49</v>
      </c>
      <c r="Z1468" s="360">
        <v>1</v>
      </c>
      <c r="AA1468" s="360">
        <v>36</v>
      </c>
      <c r="AB1468" s="360">
        <v>2.8</v>
      </c>
    </row>
    <row r="1469" spans="10:28" x14ac:dyDescent="0.2">
      <c r="J1469" s="358" t="str">
        <f t="shared" si="90"/>
        <v>2004FemaleMaori241</v>
      </c>
      <c r="K1469" s="359">
        <v>2004</v>
      </c>
      <c r="L1469" t="s">
        <v>8</v>
      </c>
      <c r="M1469" t="s">
        <v>18</v>
      </c>
      <c r="N1469">
        <v>24</v>
      </c>
      <c r="O1469">
        <v>1</v>
      </c>
      <c r="P1469">
        <v>0</v>
      </c>
      <c r="Q1469">
        <v>0</v>
      </c>
      <c r="T1469" s="358" t="str">
        <f t="shared" si="91"/>
        <v>2003AllSexAllEth22Firearms and explosives</v>
      </c>
      <c r="U1469" s="360">
        <v>2003</v>
      </c>
      <c r="V1469" s="360" t="s">
        <v>17</v>
      </c>
      <c r="W1469" s="360" t="s">
        <v>27</v>
      </c>
      <c r="X1469" s="360">
        <v>22</v>
      </c>
      <c r="Y1469" s="360" t="s">
        <v>42</v>
      </c>
      <c r="Z1469" s="360">
        <v>3</v>
      </c>
      <c r="AA1469" s="360">
        <v>98</v>
      </c>
      <c r="AB1469" s="360">
        <v>3.1</v>
      </c>
    </row>
    <row r="1470" spans="10:28" x14ac:dyDescent="0.2">
      <c r="J1470" s="358" t="str">
        <f t="shared" si="90"/>
        <v>2004FemaleMaori242</v>
      </c>
      <c r="K1470" s="359">
        <v>2004</v>
      </c>
      <c r="L1470" t="s">
        <v>8</v>
      </c>
      <c r="M1470" t="s">
        <v>18</v>
      </c>
      <c r="N1470">
        <v>24</v>
      </c>
      <c r="O1470">
        <v>2</v>
      </c>
      <c r="P1470">
        <v>0</v>
      </c>
      <c r="Q1470">
        <v>0</v>
      </c>
      <c r="T1470" s="358" t="str">
        <f t="shared" si="91"/>
        <v>2003AllSexAllEth23Firearms and explosives</v>
      </c>
      <c r="U1470" s="360">
        <v>2003</v>
      </c>
      <c r="V1470" s="360" t="s">
        <v>17</v>
      </c>
      <c r="W1470" s="360" t="s">
        <v>27</v>
      </c>
      <c r="X1470" s="360">
        <v>23</v>
      </c>
      <c r="Y1470" s="360" t="s">
        <v>42</v>
      </c>
      <c r="Z1470" s="360">
        <v>11</v>
      </c>
      <c r="AA1470" s="360">
        <v>217</v>
      </c>
      <c r="AB1470" s="360">
        <v>5.0999999999999996</v>
      </c>
    </row>
    <row r="1471" spans="10:28" x14ac:dyDescent="0.2">
      <c r="J1471" s="358" t="str">
        <f t="shared" si="90"/>
        <v>2004FemaleMaori243</v>
      </c>
      <c r="K1471" s="359">
        <v>2004</v>
      </c>
      <c r="L1471" t="s">
        <v>8</v>
      </c>
      <c r="M1471" t="s">
        <v>18</v>
      </c>
      <c r="N1471">
        <v>24</v>
      </c>
      <c r="O1471">
        <v>3</v>
      </c>
      <c r="P1471">
        <v>0</v>
      </c>
      <c r="Q1471">
        <v>0</v>
      </c>
      <c r="T1471" s="358" t="str">
        <f t="shared" si="91"/>
        <v>2003AllSexAllEth24Firearms and explosives</v>
      </c>
      <c r="U1471" s="360">
        <v>2003</v>
      </c>
      <c r="V1471" s="360" t="s">
        <v>17</v>
      </c>
      <c r="W1471" s="360" t="s">
        <v>27</v>
      </c>
      <c r="X1471" s="360">
        <v>24</v>
      </c>
      <c r="Y1471" s="360" t="s">
        <v>42</v>
      </c>
      <c r="Z1471" s="360">
        <v>16</v>
      </c>
      <c r="AA1471" s="360">
        <v>135</v>
      </c>
      <c r="AB1471" s="360">
        <v>11.9</v>
      </c>
    </row>
    <row r="1472" spans="10:28" x14ac:dyDescent="0.2">
      <c r="J1472" s="358" t="str">
        <f t="shared" si="90"/>
        <v>2004FemaleMaori244</v>
      </c>
      <c r="K1472" s="359">
        <v>2004</v>
      </c>
      <c r="L1472" t="s">
        <v>8</v>
      </c>
      <c r="M1472" t="s">
        <v>18</v>
      </c>
      <c r="N1472">
        <v>24</v>
      </c>
      <c r="O1472">
        <v>4</v>
      </c>
      <c r="P1472">
        <v>0</v>
      </c>
      <c r="Q1472">
        <v>0</v>
      </c>
      <c r="T1472" s="358" t="str">
        <f t="shared" si="91"/>
        <v>2003AllSexAllEth25Firearms and explosives</v>
      </c>
      <c r="U1472" s="360">
        <v>2003</v>
      </c>
      <c r="V1472" s="360" t="s">
        <v>17</v>
      </c>
      <c r="W1472" s="360" t="s">
        <v>27</v>
      </c>
      <c r="X1472" s="360">
        <v>25</v>
      </c>
      <c r="Y1472" s="360" t="s">
        <v>42</v>
      </c>
      <c r="Z1472" s="360">
        <v>12</v>
      </c>
      <c r="AA1472" s="360">
        <v>67</v>
      </c>
      <c r="AB1472" s="360">
        <v>17.899999999999999</v>
      </c>
    </row>
    <row r="1473" spans="10:28" x14ac:dyDescent="0.2">
      <c r="J1473" s="358" t="str">
        <f t="shared" si="90"/>
        <v>2004FemaleMaori245</v>
      </c>
      <c r="K1473" s="359">
        <v>2004</v>
      </c>
      <c r="L1473" t="s">
        <v>8</v>
      </c>
      <c r="M1473" t="s">
        <v>18</v>
      </c>
      <c r="N1473">
        <v>24</v>
      </c>
      <c r="O1473">
        <v>5</v>
      </c>
      <c r="P1473">
        <v>2</v>
      </c>
      <c r="Q1473">
        <v>10.212382171963499</v>
      </c>
      <c r="R1473">
        <v>14.2</v>
      </c>
      <c r="T1473" s="358" t="str">
        <f t="shared" si="91"/>
        <v>2003AllSexAllEth21Hanging, strangulation and suffocation</v>
      </c>
      <c r="U1473" s="360">
        <v>2003</v>
      </c>
      <c r="V1473" s="360" t="s">
        <v>17</v>
      </c>
      <c r="W1473" s="360" t="s">
        <v>27</v>
      </c>
      <c r="X1473" s="360">
        <v>21</v>
      </c>
      <c r="Y1473" s="360" t="s">
        <v>43</v>
      </c>
      <c r="Z1473" s="360">
        <v>5</v>
      </c>
      <c r="AA1473" s="360">
        <v>5</v>
      </c>
      <c r="AB1473" s="360">
        <v>100</v>
      </c>
    </row>
    <row r="1474" spans="10:28" x14ac:dyDescent="0.2">
      <c r="J1474" s="358" t="str">
        <f t="shared" si="90"/>
        <v>2004FemaleMaori251</v>
      </c>
      <c r="K1474" s="359">
        <v>2004</v>
      </c>
      <c r="L1474" t="s">
        <v>8</v>
      </c>
      <c r="M1474" t="s">
        <v>18</v>
      </c>
      <c r="N1474">
        <v>25</v>
      </c>
      <c r="O1474">
        <v>1</v>
      </c>
      <c r="P1474">
        <v>0</v>
      </c>
      <c r="Q1474">
        <v>0</v>
      </c>
      <c r="T1474" s="358" t="str">
        <f t="shared" si="91"/>
        <v>2003AllSexAllEth22Hanging, strangulation and suffocation</v>
      </c>
      <c r="U1474" s="360">
        <v>2003</v>
      </c>
      <c r="V1474" s="360" t="s">
        <v>17</v>
      </c>
      <c r="W1474" s="360" t="s">
        <v>27</v>
      </c>
      <c r="X1474" s="360">
        <v>22</v>
      </c>
      <c r="Y1474" s="360" t="s">
        <v>43</v>
      </c>
      <c r="Z1474" s="360">
        <v>69</v>
      </c>
      <c r="AA1474" s="360">
        <v>98</v>
      </c>
      <c r="AB1474" s="360">
        <v>70.400000000000006</v>
      </c>
    </row>
    <row r="1475" spans="10:28" x14ac:dyDescent="0.2">
      <c r="J1475" s="358" t="str">
        <f t="shared" si="90"/>
        <v>2004FemaleMaori252</v>
      </c>
      <c r="K1475" s="359">
        <v>2004</v>
      </c>
      <c r="L1475" t="s">
        <v>8</v>
      </c>
      <c r="M1475" t="s">
        <v>18</v>
      </c>
      <c r="N1475">
        <v>25</v>
      </c>
      <c r="O1475">
        <v>2</v>
      </c>
      <c r="P1475">
        <v>0</v>
      </c>
      <c r="Q1475">
        <v>0</v>
      </c>
      <c r="T1475" s="358" t="str">
        <f t="shared" si="91"/>
        <v>2003AllSexAllEth23Hanging, strangulation and suffocation</v>
      </c>
      <c r="U1475" s="360">
        <v>2003</v>
      </c>
      <c r="V1475" s="360" t="s">
        <v>17</v>
      </c>
      <c r="W1475" s="360" t="s">
        <v>27</v>
      </c>
      <c r="X1475" s="360">
        <v>23</v>
      </c>
      <c r="Y1475" s="360" t="s">
        <v>43</v>
      </c>
      <c r="Z1475" s="360">
        <v>107</v>
      </c>
      <c r="AA1475" s="360">
        <v>217</v>
      </c>
      <c r="AB1475" s="360">
        <v>49.3</v>
      </c>
    </row>
    <row r="1476" spans="10:28" x14ac:dyDescent="0.2">
      <c r="J1476" s="358" t="str">
        <f t="shared" ref="J1476:J1539" si="92">K1476&amp;L1476&amp;M1476&amp;N1476&amp;O1476</f>
        <v>2004FemaleMaori253</v>
      </c>
      <c r="K1476" s="359">
        <v>2004</v>
      </c>
      <c r="L1476" t="s">
        <v>8</v>
      </c>
      <c r="M1476" t="s">
        <v>18</v>
      </c>
      <c r="N1476">
        <v>25</v>
      </c>
      <c r="O1476">
        <v>3</v>
      </c>
      <c r="P1476">
        <v>0</v>
      </c>
      <c r="Q1476">
        <v>0</v>
      </c>
      <c r="T1476" s="358" t="str">
        <f t="shared" si="91"/>
        <v>2003AllSexAllEth24Hanging, strangulation and suffocation</v>
      </c>
      <c r="U1476" s="360">
        <v>2003</v>
      </c>
      <c r="V1476" s="360" t="s">
        <v>17</v>
      </c>
      <c r="W1476" s="360" t="s">
        <v>27</v>
      </c>
      <c r="X1476" s="360">
        <v>24</v>
      </c>
      <c r="Y1476" s="360" t="s">
        <v>43</v>
      </c>
      <c r="Z1476" s="360">
        <v>43</v>
      </c>
      <c r="AA1476" s="360">
        <v>135</v>
      </c>
      <c r="AB1476" s="360">
        <v>31.9</v>
      </c>
    </row>
    <row r="1477" spans="10:28" x14ac:dyDescent="0.2">
      <c r="J1477" s="358" t="str">
        <f t="shared" si="92"/>
        <v>2004FemaleMaori254</v>
      </c>
      <c r="K1477" s="359">
        <v>2004</v>
      </c>
      <c r="L1477" t="s">
        <v>8</v>
      </c>
      <c r="M1477" t="s">
        <v>18</v>
      </c>
      <c r="N1477">
        <v>25</v>
      </c>
      <c r="O1477">
        <v>4</v>
      </c>
      <c r="P1477">
        <v>0</v>
      </c>
      <c r="Q1477">
        <v>0</v>
      </c>
      <c r="T1477" s="358" t="str">
        <f t="shared" ref="T1477:T1540" si="93">U1477&amp;V1477&amp;W1477&amp;X1477&amp;Y1477</f>
        <v>2003AllSexAllEth25Hanging, strangulation and suffocation</v>
      </c>
      <c r="U1477" s="360">
        <v>2003</v>
      </c>
      <c r="V1477" s="360" t="s">
        <v>17</v>
      </c>
      <c r="W1477" s="360" t="s">
        <v>27</v>
      </c>
      <c r="X1477" s="360">
        <v>25</v>
      </c>
      <c r="Y1477" s="360" t="s">
        <v>43</v>
      </c>
      <c r="Z1477" s="360">
        <v>26</v>
      </c>
      <c r="AA1477" s="360">
        <v>67</v>
      </c>
      <c r="AB1477" s="360">
        <v>38.799999999999997</v>
      </c>
    </row>
    <row r="1478" spans="10:28" x14ac:dyDescent="0.2">
      <c r="J1478" s="358" t="str">
        <f t="shared" si="92"/>
        <v>2004FemaleMaori255</v>
      </c>
      <c r="K1478" s="359">
        <v>2004</v>
      </c>
      <c r="L1478" t="s">
        <v>8</v>
      </c>
      <c r="M1478" t="s">
        <v>18</v>
      </c>
      <c r="N1478">
        <v>25</v>
      </c>
      <c r="O1478">
        <v>5</v>
      </c>
      <c r="P1478">
        <v>0</v>
      </c>
      <c r="Q1478">
        <v>0</v>
      </c>
      <c r="T1478" s="358" t="str">
        <f t="shared" si="93"/>
        <v>2003AllSexAllEth22Jumping from a high place</v>
      </c>
      <c r="U1478" s="360">
        <v>2003</v>
      </c>
      <c r="V1478" s="360" t="s">
        <v>17</v>
      </c>
      <c r="W1478" s="360" t="s">
        <v>27</v>
      </c>
      <c r="X1478" s="360">
        <v>22</v>
      </c>
      <c r="Y1478" s="360" t="s">
        <v>44</v>
      </c>
      <c r="Z1478" s="360">
        <v>6</v>
      </c>
      <c r="AA1478" s="360">
        <v>98</v>
      </c>
      <c r="AB1478" s="360">
        <v>6.1</v>
      </c>
    </row>
    <row r="1479" spans="10:28" x14ac:dyDescent="0.2">
      <c r="J1479" s="358" t="str">
        <f t="shared" si="92"/>
        <v>2004FemaleNon-Maori211</v>
      </c>
      <c r="K1479" s="359">
        <v>2004</v>
      </c>
      <c r="L1479" t="s">
        <v>8</v>
      </c>
      <c r="M1479" t="s">
        <v>19</v>
      </c>
      <c r="N1479">
        <v>21</v>
      </c>
      <c r="O1479">
        <v>1</v>
      </c>
      <c r="P1479">
        <v>0</v>
      </c>
      <c r="T1479" s="358" t="str">
        <f t="shared" si="93"/>
        <v>2003AllSexAllEth23Jumping from a high place</v>
      </c>
      <c r="U1479" s="360">
        <v>2003</v>
      </c>
      <c r="V1479" s="360" t="s">
        <v>17</v>
      </c>
      <c r="W1479" s="360" t="s">
        <v>27</v>
      </c>
      <c r="X1479" s="360">
        <v>23</v>
      </c>
      <c r="Y1479" s="360" t="s">
        <v>44</v>
      </c>
      <c r="Z1479" s="360">
        <v>5</v>
      </c>
      <c r="AA1479" s="360">
        <v>217</v>
      </c>
      <c r="AB1479" s="360">
        <v>2.2999999999999998</v>
      </c>
    </row>
    <row r="1480" spans="10:28" x14ac:dyDescent="0.2">
      <c r="J1480" s="358" t="str">
        <f t="shared" si="92"/>
        <v>2004FemaleNon-Maori212</v>
      </c>
      <c r="K1480" s="359">
        <v>2004</v>
      </c>
      <c r="L1480" t="s">
        <v>8</v>
      </c>
      <c r="M1480" t="s">
        <v>19</v>
      </c>
      <c r="N1480">
        <v>21</v>
      </c>
      <c r="O1480">
        <v>2</v>
      </c>
      <c r="P1480">
        <v>0</v>
      </c>
      <c r="T1480" s="358" t="str">
        <f t="shared" si="93"/>
        <v>2003AllSexAllEth24Jumping from a high place</v>
      </c>
      <c r="U1480" s="360">
        <v>2003</v>
      </c>
      <c r="V1480" s="360" t="s">
        <v>17</v>
      </c>
      <c r="W1480" s="360" t="s">
        <v>27</v>
      </c>
      <c r="X1480" s="360">
        <v>24</v>
      </c>
      <c r="Y1480" s="360" t="s">
        <v>44</v>
      </c>
      <c r="Z1480" s="360">
        <v>4</v>
      </c>
      <c r="AA1480" s="360">
        <v>135</v>
      </c>
      <c r="AB1480" s="360">
        <v>3</v>
      </c>
    </row>
    <row r="1481" spans="10:28" x14ac:dyDescent="0.2">
      <c r="J1481" s="358" t="str">
        <f t="shared" si="92"/>
        <v>2004FemaleNon-Maori213</v>
      </c>
      <c r="K1481" s="359">
        <v>2004</v>
      </c>
      <c r="L1481" t="s">
        <v>8</v>
      </c>
      <c r="M1481" t="s">
        <v>19</v>
      </c>
      <c r="N1481">
        <v>21</v>
      </c>
      <c r="O1481">
        <v>3</v>
      </c>
      <c r="P1481">
        <v>0</v>
      </c>
      <c r="T1481" s="358" t="str">
        <f t="shared" si="93"/>
        <v>2003AllSexAllEth22Other</v>
      </c>
      <c r="U1481" s="360">
        <v>2003</v>
      </c>
      <c r="V1481" s="360" t="s">
        <v>17</v>
      </c>
      <c r="W1481" s="360" t="s">
        <v>27</v>
      </c>
      <c r="X1481" s="360">
        <v>22</v>
      </c>
      <c r="Y1481" s="360" t="s">
        <v>45</v>
      </c>
      <c r="Z1481" s="360">
        <v>3</v>
      </c>
      <c r="AA1481" s="360">
        <v>98</v>
      </c>
      <c r="AB1481" s="360">
        <v>3.1</v>
      </c>
    </row>
    <row r="1482" spans="10:28" x14ac:dyDescent="0.2">
      <c r="J1482" s="358" t="str">
        <f t="shared" si="92"/>
        <v>2004FemaleNon-Maori214</v>
      </c>
      <c r="K1482" s="359">
        <v>2004</v>
      </c>
      <c r="L1482" t="s">
        <v>8</v>
      </c>
      <c r="M1482" t="s">
        <v>19</v>
      </c>
      <c r="N1482">
        <v>21</v>
      </c>
      <c r="O1482">
        <v>4</v>
      </c>
      <c r="P1482">
        <v>1</v>
      </c>
      <c r="T1482" s="358" t="str">
        <f t="shared" si="93"/>
        <v>2003AllSexAllEth23Other</v>
      </c>
      <c r="U1482" s="360">
        <v>2003</v>
      </c>
      <c r="V1482" s="360" t="s">
        <v>17</v>
      </c>
      <c r="W1482" s="360" t="s">
        <v>27</v>
      </c>
      <c r="X1482" s="360">
        <v>23</v>
      </c>
      <c r="Y1482" s="360" t="s">
        <v>45</v>
      </c>
      <c r="Z1482" s="360">
        <v>9</v>
      </c>
      <c r="AA1482" s="360">
        <v>217</v>
      </c>
      <c r="AB1482" s="360">
        <v>4.0999999999999996</v>
      </c>
    </row>
    <row r="1483" spans="10:28" x14ac:dyDescent="0.2">
      <c r="J1483" s="358" t="str">
        <f t="shared" si="92"/>
        <v>2004FemaleNon-Maori215</v>
      </c>
      <c r="K1483" s="359">
        <v>2004</v>
      </c>
      <c r="L1483" t="s">
        <v>8</v>
      </c>
      <c r="M1483" t="s">
        <v>19</v>
      </c>
      <c r="N1483">
        <v>21</v>
      </c>
      <c r="O1483">
        <v>5</v>
      </c>
      <c r="P1483">
        <v>0</v>
      </c>
      <c r="T1483" s="358" t="str">
        <f t="shared" si="93"/>
        <v>2003AllSexAllEth24Other</v>
      </c>
      <c r="U1483" s="360">
        <v>2003</v>
      </c>
      <c r="V1483" s="360" t="s">
        <v>17</v>
      </c>
      <c r="W1483" s="360" t="s">
        <v>27</v>
      </c>
      <c r="X1483" s="360">
        <v>24</v>
      </c>
      <c r="Y1483" s="360" t="s">
        <v>45</v>
      </c>
      <c r="Z1483" s="360">
        <v>9</v>
      </c>
      <c r="AA1483" s="360">
        <v>135</v>
      </c>
      <c r="AB1483" s="360">
        <v>6.7</v>
      </c>
    </row>
    <row r="1484" spans="10:28" x14ac:dyDescent="0.2">
      <c r="J1484" s="358" t="str">
        <f t="shared" si="92"/>
        <v>2004FemaleNon-Maori221</v>
      </c>
      <c r="K1484" s="359">
        <v>2004</v>
      </c>
      <c r="L1484" t="s">
        <v>8</v>
      </c>
      <c r="M1484" t="s">
        <v>19</v>
      </c>
      <c r="N1484">
        <v>22</v>
      </c>
      <c r="O1484">
        <v>1</v>
      </c>
      <c r="P1484">
        <v>2</v>
      </c>
      <c r="Q1484">
        <v>4.5581983249023503</v>
      </c>
      <c r="R1484">
        <v>6.3</v>
      </c>
      <c r="T1484" s="358" t="str">
        <f t="shared" si="93"/>
        <v>2003AllSexAllEth25Other</v>
      </c>
      <c r="U1484" s="360">
        <v>2003</v>
      </c>
      <c r="V1484" s="360" t="s">
        <v>17</v>
      </c>
      <c r="W1484" s="360" t="s">
        <v>27</v>
      </c>
      <c r="X1484" s="360">
        <v>25</v>
      </c>
      <c r="Y1484" s="360" t="s">
        <v>45</v>
      </c>
      <c r="Z1484" s="360">
        <v>1</v>
      </c>
      <c r="AA1484" s="360">
        <v>67</v>
      </c>
      <c r="AB1484" s="360">
        <v>1.5</v>
      </c>
    </row>
    <row r="1485" spans="10:28" x14ac:dyDescent="0.2">
      <c r="J1485" s="358" t="str">
        <f t="shared" si="92"/>
        <v>2004FemaleNon-Maori222</v>
      </c>
      <c r="K1485" s="359">
        <v>2004</v>
      </c>
      <c r="L1485" t="s">
        <v>8</v>
      </c>
      <c r="M1485" t="s">
        <v>19</v>
      </c>
      <c r="N1485">
        <v>22</v>
      </c>
      <c r="O1485">
        <v>2</v>
      </c>
      <c r="P1485">
        <v>2</v>
      </c>
      <c r="Q1485">
        <v>4.4187406243493301</v>
      </c>
      <c r="R1485">
        <v>6.1</v>
      </c>
      <c r="T1485" s="358" t="str">
        <f t="shared" si="93"/>
        <v>2003AllSexAllEth22Poisoning by gases and vapours</v>
      </c>
      <c r="U1485" s="360">
        <v>2003</v>
      </c>
      <c r="V1485" s="360" t="s">
        <v>17</v>
      </c>
      <c r="W1485" s="360" t="s">
        <v>27</v>
      </c>
      <c r="X1485" s="360">
        <v>22</v>
      </c>
      <c r="Y1485" s="360" t="s">
        <v>46</v>
      </c>
      <c r="Z1485" s="360">
        <v>13</v>
      </c>
      <c r="AA1485" s="360">
        <v>98</v>
      </c>
      <c r="AB1485" s="360">
        <v>13.3</v>
      </c>
    </row>
    <row r="1486" spans="10:28" x14ac:dyDescent="0.2">
      <c r="J1486" s="358" t="str">
        <f t="shared" si="92"/>
        <v>2004FemaleNon-Maori223</v>
      </c>
      <c r="K1486" s="359">
        <v>2004</v>
      </c>
      <c r="L1486" t="s">
        <v>8</v>
      </c>
      <c r="M1486" t="s">
        <v>19</v>
      </c>
      <c r="N1486">
        <v>22</v>
      </c>
      <c r="O1486">
        <v>3</v>
      </c>
      <c r="P1486">
        <v>3</v>
      </c>
      <c r="Q1486">
        <v>6.3874090084406703</v>
      </c>
      <c r="R1486">
        <v>7.2</v>
      </c>
      <c r="T1486" s="358" t="str">
        <f t="shared" si="93"/>
        <v>2003AllSexAllEth23Poisoning by gases and vapours</v>
      </c>
      <c r="U1486" s="360">
        <v>2003</v>
      </c>
      <c r="V1486" s="360" t="s">
        <v>17</v>
      </c>
      <c r="W1486" s="360" t="s">
        <v>27</v>
      </c>
      <c r="X1486" s="360">
        <v>23</v>
      </c>
      <c r="Y1486" s="360" t="s">
        <v>46</v>
      </c>
      <c r="Z1486" s="360">
        <v>48</v>
      </c>
      <c r="AA1486" s="360">
        <v>217</v>
      </c>
      <c r="AB1486" s="360">
        <v>22.1</v>
      </c>
    </row>
    <row r="1487" spans="10:28" x14ac:dyDescent="0.2">
      <c r="J1487" s="358" t="str">
        <f t="shared" si="92"/>
        <v>2004FemaleNon-Maori224</v>
      </c>
      <c r="K1487" s="359">
        <v>2004</v>
      </c>
      <c r="L1487" t="s">
        <v>8</v>
      </c>
      <c r="M1487" t="s">
        <v>19</v>
      </c>
      <c r="N1487">
        <v>22</v>
      </c>
      <c r="O1487">
        <v>4</v>
      </c>
      <c r="P1487">
        <v>3</v>
      </c>
      <c r="Q1487">
        <v>6.2083145285290904</v>
      </c>
      <c r="R1487">
        <v>7</v>
      </c>
      <c r="T1487" s="358" t="str">
        <f t="shared" si="93"/>
        <v>2003AllSexAllEth24Poisoning by gases and vapours</v>
      </c>
      <c r="U1487" s="360">
        <v>2003</v>
      </c>
      <c r="V1487" s="360" t="s">
        <v>17</v>
      </c>
      <c r="W1487" s="360" t="s">
        <v>27</v>
      </c>
      <c r="X1487" s="360">
        <v>24</v>
      </c>
      <c r="Y1487" s="360" t="s">
        <v>46</v>
      </c>
      <c r="Z1487" s="360">
        <v>31</v>
      </c>
      <c r="AA1487" s="360">
        <v>135</v>
      </c>
      <c r="AB1487" s="360">
        <v>23</v>
      </c>
    </row>
    <row r="1488" spans="10:28" x14ac:dyDescent="0.2">
      <c r="J1488" s="358" t="str">
        <f t="shared" si="92"/>
        <v>2004FemaleNon-Maori225</v>
      </c>
      <c r="K1488" s="359">
        <v>2004</v>
      </c>
      <c r="L1488" t="s">
        <v>8</v>
      </c>
      <c r="M1488" t="s">
        <v>19</v>
      </c>
      <c r="N1488">
        <v>22</v>
      </c>
      <c r="O1488">
        <v>5</v>
      </c>
      <c r="P1488">
        <v>6</v>
      </c>
      <c r="Q1488">
        <v>12.411681869893</v>
      </c>
      <c r="R1488">
        <v>9.9</v>
      </c>
      <c r="T1488" s="358" t="str">
        <f t="shared" si="93"/>
        <v>2003AllSexAllEth25Poisoning by gases and vapours</v>
      </c>
      <c r="U1488" s="360">
        <v>2003</v>
      </c>
      <c r="V1488" s="360" t="s">
        <v>17</v>
      </c>
      <c r="W1488" s="360" t="s">
        <v>27</v>
      </c>
      <c r="X1488" s="360">
        <v>25</v>
      </c>
      <c r="Y1488" s="360" t="s">
        <v>46</v>
      </c>
      <c r="Z1488" s="360">
        <v>12</v>
      </c>
      <c r="AA1488" s="360">
        <v>67</v>
      </c>
      <c r="AB1488" s="360">
        <v>17.899999999999999</v>
      </c>
    </row>
    <row r="1489" spans="10:28" x14ac:dyDescent="0.2">
      <c r="J1489" s="358" t="str">
        <f t="shared" si="92"/>
        <v>2004FemaleNon-Maori231</v>
      </c>
      <c r="K1489" s="359">
        <v>2004</v>
      </c>
      <c r="L1489" t="s">
        <v>8</v>
      </c>
      <c r="M1489" t="s">
        <v>19</v>
      </c>
      <c r="N1489">
        <v>23</v>
      </c>
      <c r="O1489">
        <v>1</v>
      </c>
      <c r="P1489">
        <v>0</v>
      </c>
      <c r="Q1489">
        <v>0</v>
      </c>
      <c r="T1489" s="358" t="str">
        <f t="shared" si="93"/>
        <v>2003AllSexAllEth22Poisoning by solids and liquids</v>
      </c>
      <c r="U1489" s="360">
        <v>2003</v>
      </c>
      <c r="V1489" s="360" t="s">
        <v>17</v>
      </c>
      <c r="W1489" s="360" t="s">
        <v>27</v>
      </c>
      <c r="X1489" s="360">
        <v>22</v>
      </c>
      <c r="Y1489" s="360" t="s">
        <v>47</v>
      </c>
      <c r="Z1489" s="360">
        <v>3</v>
      </c>
      <c r="AA1489" s="360">
        <v>98</v>
      </c>
      <c r="AB1489" s="360">
        <v>3.1</v>
      </c>
    </row>
    <row r="1490" spans="10:28" x14ac:dyDescent="0.2">
      <c r="J1490" s="358" t="str">
        <f t="shared" si="92"/>
        <v>2004FemaleNon-Maori232</v>
      </c>
      <c r="K1490" s="359">
        <v>2004</v>
      </c>
      <c r="L1490" t="s">
        <v>8</v>
      </c>
      <c r="M1490" t="s">
        <v>19</v>
      </c>
      <c r="N1490">
        <v>23</v>
      </c>
      <c r="O1490">
        <v>2</v>
      </c>
      <c r="P1490">
        <v>8</v>
      </c>
      <c r="Q1490">
        <v>6.8275524870205402</v>
      </c>
      <c r="R1490">
        <v>4.7</v>
      </c>
      <c r="T1490" s="358" t="str">
        <f t="shared" si="93"/>
        <v>2003AllSexAllEth23Poisoning by solids and liquids</v>
      </c>
      <c r="U1490" s="360">
        <v>2003</v>
      </c>
      <c r="V1490" s="360" t="s">
        <v>17</v>
      </c>
      <c r="W1490" s="360" t="s">
        <v>27</v>
      </c>
      <c r="X1490" s="360">
        <v>23</v>
      </c>
      <c r="Y1490" s="360" t="s">
        <v>47</v>
      </c>
      <c r="Z1490" s="360">
        <v>25</v>
      </c>
      <c r="AA1490" s="360">
        <v>217</v>
      </c>
      <c r="AB1490" s="360">
        <v>11.5</v>
      </c>
    </row>
    <row r="1491" spans="10:28" x14ac:dyDescent="0.2">
      <c r="J1491" s="358" t="str">
        <f t="shared" si="92"/>
        <v>2004FemaleNon-Maori233</v>
      </c>
      <c r="K1491" s="359">
        <v>2004</v>
      </c>
      <c r="L1491" t="s">
        <v>8</v>
      </c>
      <c r="M1491" t="s">
        <v>19</v>
      </c>
      <c r="N1491">
        <v>23</v>
      </c>
      <c r="O1491">
        <v>3</v>
      </c>
      <c r="P1491">
        <v>8</v>
      </c>
      <c r="Q1491">
        <v>7.2110037457357397</v>
      </c>
      <c r="R1491">
        <v>5</v>
      </c>
      <c r="T1491" s="358" t="str">
        <f t="shared" si="93"/>
        <v>2003AllSexAllEth24Poisoning by solids and liquids</v>
      </c>
      <c r="U1491" s="360">
        <v>2003</v>
      </c>
      <c r="V1491" s="360" t="s">
        <v>17</v>
      </c>
      <c r="W1491" s="360" t="s">
        <v>27</v>
      </c>
      <c r="X1491" s="360">
        <v>24</v>
      </c>
      <c r="Y1491" s="360" t="s">
        <v>47</v>
      </c>
      <c r="Z1491" s="360">
        <v>22</v>
      </c>
      <c r="AA1491" s="360">
        <v>135</v>
      </c>
      <c r="AB1491" s="360">
        <v>16.3</v>
      </c>
    </row>
    <row r="1492" spans="10:28" x14ac:dyDescent="0.2">
      <c r="J1492" s="358" t="str">
        <f t="shared" si="92"/>
        <v>2004FemaleNon-Maori234</v>
      </c>
      <c r="K1492" s="359">
        <v>2004</v>
      </c>
      <c r="L1492" t="s">
        <v>8</v>
      </c>
      <c r="M1492" t="s">
        <v>19</v>
      </c>
      <c r="N1492">
        <v>23</v>
      </c>
      <c r="O1492">
        <v>4</v>
      </c>
      <c r="P1492">
        <v>7</v>
      </c>
      <c r="Q1492">
        <v>6.9991640003201701</v>
      </c>
      <c r="R1492">
        <v>5.2</v>
      </c>
      <c r="T1492" s="358" t="str">
        <f t="shared" si="93"/>
        <v>2003AllSexAllEth25Poisoning by solids and liquids</v>
      </c>
      <c r="U1492" s="360">
        <v>2003</v>
      </c>
      <c r="V1492" s="360" t="s">
        <v>17</v>
      </c>
      <c r="W1492" s="360" t="s">
        <v>27</v>
      </c>
      <c r="X1492" s="360">
        <v>25</v>
      </c>
      <c r="Y1492" s="360" t="s">
        <v>47</v>
      </c>
      <c r="Z1492" s="360">
        <v>8</v>
      </c>
      <c r="AA1492" s="360">
        <v>67</v>
      </c>
      <c r="AB1492" s="360">
        <v>11.9</v>
      </c>
    </row>
    <row r="1493" spans="10:28" x14ac:dyDescent="0.2">
      <c r="J1493" s="358" t="str">
        <f t="shared" si="92"/>
        <v>2004FemaleNon-Maori235</v>
      </c>
      <c r="K1493" s="359">
        <v>2004</v>
      </c>
      <c r="L1493" t="s">
        <v>8</v>
      </c>
      <c r="M1493" t="s">
        <v>19</v>
      </c>
      <c r="N1493">
        <v>23</v>
      </c>
      <c r="O1493">
        <v>5</v>
      </c>
      <c r="P1493">
        <v>4</v>
      </c>
      <c r="Q1493">
        <v>5.1876886968622102</v>
      </c>
      <c r="R1493">
        <v>5.0999999999999996</v>
      </c>
      <c r="T1493" s="358" t="str">
        <f t="shared" si="93"/>
        <v>2003AllSexAllEth22Sharp object</v>
      </c>
      <c r="U1493" s="360">
        <v>2003</v>
      </c>
      <c r="V1493" s="360" t="s">
        <v>17</v>
      </c>
      <c r="W1493" s="360" t="s">
        <v>27</v>
      </c>
      <c r="X1493" s="360">
        <v>22</v>
      </c>
      <c r="Y1493" s="360" t="s">
        <v>48</v>
      </c>
      <c r="Z1493" s="360">
        <v>1</v>
      </c>
      <c r="AA1493" s="360">
        <v>98</v>
      </c>
      <c r="AB1493" s="360">
        <v>1</v>
      </c>
    </row>
    <row r="1494" spans="10:28" x14ac:dyDescent="0.2">
      <c r="J1494" s="358" t="str">
        <f t="shared" si="92"/>
        <v>2004FemaleNon-Maori241</v>
      </c>
      <c r="K1494" s="359">
        <v>2004</v>
      </c>
      <c r="L1494" t="s">
        <v>8</v>
      </c>
      <c r="M1494" t="s">
        <v>19</v>
      </c>
      <c r="N1494">
        <v>24</v>
      </c>
      <c r="O1494">
        <v>1</v>
      </c>
      <c r="P1494">
        <v>2</v>
      </c>
      <c r="Q1494">
        <v>1.74965260150727</v>
      </c>
      <c r="R1494">
        <v>2.4</v>
      </c>
      <c r="T1494" s="358" t="str">
        <f t="shared" si="93"/>
        <v>2003AllSexAllEth23Sharp object</v>
      </c>
      <c r="U1494" s="360">
        <v>2003</v>
      </c>
      <c r="V1494" s="360" t="s">
        <v>17</v>
      </c>
      <c r="W1494" s="360" t="s">
        <v>27</v>
      </c>
      <c r="X1494" s="360">
        <v>23</v>
      </c>
      <c r="Y1494" s="360" t="s">
        <v>48</v>
      </c>
      <c r="Z1494" s="360">
        <v>6</v>
      </c>
      <c r="AA1494" s="360">
        <v>217</v>
      </c>
      <c r="AB1494" s="360">
        <v>2.8</v>
      </c>
    </row>
    <row r="1495" spans="10:28" x14ac:dyDescent="0.2">
      <c r="J1495" s="358" t="str">
        <f t="shared" si="92"/>
        <v>2004FemaleNon-Maori242</v>
      </c>
      <c r="K1495" s="359">
        <v>2004</v>
      </c>
      <c r="L1495" t="s">
        <v>8</v>
      </c>
      <c r="M1495" t="s">
        <v>19</v>
      </c>
      <c r="N1495">
        <v>24</v>
      </c>
      <c r="O1495">
        <v>2</v>
      </c>
      <c r="P1495">
        <v>3</v>
      </c>
      <c r="Q1495">
        <v>3.0129682394713702</v>
      </c>
      <c r="R1495">
        <v>3.4</v>
      </c>
      <c r="T1495" s="358" t="str">
        <f t="shared" si="93"/>
        <v>2003AllSexAllEth24Sharp object</v>
      </c>
      <c r="U1495" s="360">
        <v>2003</v>
      </c>
      <c r="V1495" s="360" t="s">
        <v>17</v>
      </c>
      <c r="W1495" s="360" t="s">
        <v>27</v>
      </c>
      <c r="X1495" s="360">
        <v>24</v>
      </c>
      <c r="Y1495" s="360" t="s">
        <v>48</v>
      </c>
      <c r="Z1495" s="360">
        <v>5</v>
      </c>
      <c r="AA1495" s="360">
        <v>135</v>
      </c>
      <c r="AB1495" s="360">
        <v>3.7</v>
      </c>
    </row>
    <row r="1496" spans="10:28" x14ac:dyDescent="0.2">
      <c r="J1496" s="358" t="str">
        <f t="shared" si="92"/>
        <v>2004FemaleNon-Maori243</v>
      </c>
      <c r="K1496" s="359">
        <v>2004</v>
      </c>
      <c r="L1496" t="s">
        <v>8</v>
      </c>
      <c r="M1496" t="s">
        <v>19</v>
      </c>
      <c r="N1496">
        <v>24</v>
      </c>
      <c r="O1496">
        <v>3</v>
      </c>
      <c r="P1496">
        <v>7</v>
      </c>
      <c r="Q1496">
        <v>8.0050149869393898</v>
      </c>
      <c r="R1496">
        <v>5.9</v>
      </c>
      <c r="T1496" s="358" t="str">
        <f t="shared" si="93"/>
        <v>2003AllSexAllEth25Sharp object</v>
      </c>
      <c r="U1496" s="360">
        <v>2003</v>
      </c>
      <c r="V1496" s="360" t="s">
        <v>17</v>
      </c>
      <c r="W1496" s="360" t="s">
        <v>27</v>
      </c>
      <c r="X1496" s="360">
        <v>25</v>
      </c>
      <c r="Y1496" s="360" t="s">
        <v>48</v>
      </c>
      <c r="Z1496" s="360">
        <v>6</v>
      </c>
      <c r="AA1496" s="360">
        <v>67</v>
      </c>
      <c r="AB1496" s="360">
        <v>9</v>
      </c>
    </row>
    <row r="1497" spans="10:28" x14ac:dyDescent="0.2">
      <c r="J1497" s="358" t="str">
        <f t="shared" si="92"/>
        <v>2004FemaleNon-Maori244</v>
      </c>
      <c r="K1497" s="359">
        <v>2004</v>
      </c>
      <c r="L1497" t="s">
        <v>8</v>
      </c>
      <c r="M1497" t="s">
        <v>19</v>
      </c>
      <c r="N1497">
        <v>24</v>
      </c>
      <c r="O1497">
        <v>4</v>
      </c>
      <c r="P1497">
        <v>7</v>
      </c>
      <c r="Q1497">
        <v>9.2984515080670196</v>
      </c>
      <c r="R1497">
        <v>6.9</v>
      </c>
      <c r="T1497" s="358" t="str">
        <f t="shared" si="93"/>
        <v>2003AllSexAllEth23Submersion (drowning)</v>
      </c>
      <c r="U1497" s="360">
        <v>2003</v>
      </c>
      <c r="V1497" s="360" t="s">
        <v>17</v>
      </c>
      <c r="W1497" s="360" t="s">
        <v>27</v>
      </c>
      <c r="X1497" s="360">
        <v>23</v>
      </c>
      <c r="Y1497" s="360" t="s">
        <v>49</v>
      </c>
      <c r="Z1497" s="360">
        <v>6</v>
      </c>
      <c r="AA1497" s="360">
        <v>217</v>
      </c>
      <c r="AB1497" s="360">
        <v>2.8</v>
      </c>
    </row>
    <row r="1498" spans="10:28" x14ac:dyDescent="0.2">
      <c r="J1498" s="358" t="str">
        <f t="shared" si="92"/>
        <v>2004FemaleNon-Maori245</v>
      </c>
      <c r="K1498" s="359">
        <v>2004</v>
      </c>
      <c r="L1498" t="s">
        <v>8</v>
      </c>
      <c r="M1498" t="s">
        <v>19</v>
      </c>
      <c r="N1498">
        <v>24</v>
      </c>
      <c r="O1498">
        <v>5</v>
      </c>
      <c r="P1498">
        <v>7</v>
      </c>
      <c r="Q1498">
        <v>12.7190693422506</v>
      </c>
      <c r="R1498">
        <v>9.4</v>
      </c>
      <c r="T1498" s="358" t="str">
        <f t="shared" si="93"/>
        <v>2003AllSexAllEth24Submersion (drowning)</v>
      </c>
      <c r="U1498" s="360">
        <v>2003</v>
      </c>
      <c r="V1498" s="360" t="s">
        <v>17</v>
      </c>
      <c r="W1498" s="360" t="s">
        <v>27</v>
      </c>
      <c r="X1498" s="360">
        <v>24</v>
      </c>
      <c r="Y1498" s="360" t="s">
        <v>49</v>
      </c>
      <c r="Z1498" s="360">
        <v>5</v>
      </c>
      <c r="AA1498" s="360">
        <v>135</v>
      </c>
      <c r="AB1498" s="360">
        <v>3.7</v>
      </c>
    </row>
    <row r="1499" spans="10:28" x14ac:dyDescent="0.2">
      <c r="J1499" s="358" t="str">
        <f t="shared" si="92"/>
        <v>2004FemaleNon-Maori251</v>
      </c>
      <c r="K1499" s="359">
        <v>2004</v>
      </c>
      <c r="L1499" t="s">
        <v>8</v>
      </c>
      <c r="M1499" t="s">
        <v>19</v>
      </c>
      <c r="N1499">
        <v>25</v>
      </c>
      <c r="O1499">
        <v>1</v>
      </c>
      <c r="P1499">
        <v>0</v>
      </c>
      <c r="Q1499">
        <v>0</v>
      </c>
      <c r="T1499" s="358" t="str">
        <f t="shared" si="93"/>
        <v>2003AllSexAllEth25Submersion (drowning)</v>
      </c>
      <c r="U1499" s="360">
        <v>2003</v>
      </c>
      <c r="V1499" s="360" t="s">
        <v>17</v>
      </c>
      <c r="W1499" s="360" t="s">
        <v>27</v>
      </c>
      <c r="X1499" s="360">
        <v>25</v>
      </c>
      <c r="Y1499" s="360" t="s">
        <v>49</v>
      </c>
      <c r="Z1499" s="360">
        <v>2</v>
      </c>
      <c r="AA1499" s="360">
        <v>67</v>
      </c>
      <c r="AB1499" s="360">
        <v>3</v>
      </c>
    </row>
    <row r="1500" spans="10:28" x14ac:dyDescent="0.2">
      <c r="J1500" s="358" t="str">
        <f t="shared" si="92"/>
        <v>2004FemaleNon-Maori252</v>
      </c>
      <c r="K1500" s="359">
        <v>2004</v>
      </c>
      <c r="L1500" t="s">
        <v>8</v>
      </c>
      <c r="M1500" t="s">
        <v>19</v>
      </c>
      <c r="N1500">
        <v>25</v>
      </c>
      <c r="O1500">
        <v>2</v>
      </c>
      <c r="P1500">
        <v>1</v>
      </c>
      <c r="Q1500">
        <v>1.84101197351986</v>
      </c>
      <c r="R1500">
        <v>3.6</v>
      </c>
      <c r="T1500" s="358" t="str">
        <f t="shared" si="93"/>
        <v>2003AllSexMaori23Firearms and explosives</v>
      </c>
      <c r="U1500" s="360">
        <v>2003</v>
      </c>
      <c r="V1500" s="360" t="s">
        <v>17</v>
      </c>
      <c r="W1500" s="360" t="s">
        <v>18</v>
      </c>
      <c r="X1500" s="360">
        <v>23</v>
      </c>
      <c r="Y1500" s="360" t="s">
        <v>42</v>
      </c>
      <c r="Z1500" s="360">
        <v>2</v>
      </c>
      <c r="AA1500" s="360">
        <v>46</v>
      </c>
      <c r="AB1500" s="360">
        <v>4.3</v>
      </c>
    </row>
    <row r="1501" spans="10:28" x14ac:dyDescent="0.2">
      <c r="J1501" s="358" t="str">
        <f t="shared" si="92"/>
        <v>2004FemaleNon-Maori253</v>
      </c>
      <c r="K1501" s="359">
        <v>2004</v>
      </c>
      <c r="L1501" t="s">
        <v>8</v>
      </c>
      <c r="M1501" t="s">
        <v>19</v>
      </c>
      <c r="N1501">
        <v>25</v>
      </c>
      <c r="O1501">
        <v>3</v>
      </c>
      <c r="P1501">
        <v>4</v>
      </c>
      <c r="Q1501">
        <v>7.0121717314376903</v>
      </c>
      <c r="R1501">
        <v>6.9</v>
      </c>
      <c r="T1501" s="358" t="str">
        <f t="shared" si="93"/>
        <v>2003AllSexMaori24Firearms and explosives</v>
      </c>
      <c r="U1501" s="360">
        <v>2003</v>
      </c>
      <c r="V1501" s="360" t="s">
        <v>17</v>
      </c>
      <c r="W1501" s="360" t="s">
        <v>18</v>
      </c>
      <c r="X1501" s="360">
        <v>24</v>
      </c>
      <c r="Y1501" s="360" t="s">
        <v>42</v>
      </c>
      <c r="Z1501" s="360">
        <v>2</v>
      </c>
      <c r="AA1501" s="360">
        <v>5</v>
      </c>
      <c r="AB1501" s="360">
        <v>40</v>
      </c>
    </row>
    <row r="1502" spans="10:28" x14ac:dyDescent="0.2">
      <c r="J1502" s="358" t="str">
        <f t="shared" si="92"/>
        <v>2004FemaleNon-Maori254</v>
      </c>
      <c r="K1502" s="359">
        <v>2004</v>
      </c>
      <c r="L1502" t="s">
        <v>8</v>
      </c>
      <c r="M1502" t="s">
        <v>19</v>
      </c>
      <c r="N1502">
        <v>25</v>
      </c>
      <c r="O1502">
        <v>4</v>
      </c>
      <c r="P1502">
        <v>2</v>
      </c>
      <c r="Q1502">
        <v>3.47137395534499</v>
      </c>
      <c r="R1502">
        <v>4.8</v>
      </c>
      <c r="T1502" s="358" t="str">
        <f t="shared" si="93"/>
        <v>2003AllSexMaori21Hanging, strangulation and suffocation</v>
      </c>
      <c r="U1502" s="360">
        <v>2003</v>
      </c>
      <c r="V1502" s="360" t="s">
        <v>17</v>
      </c>
      <c r="W1502" s="360" t="s">
        <v>18</v>
      </c>
      <c r="X1502" s="360">
        <v>21</v>
      </c>
      <c r="Y1502" s="360" t="s">
        <v>43</v>
      </c>
      <c r="Z1502" s="360">
        <v>5</v>
      </c>
      <c r="AA1502" s="360">
        <v>5</v>
      </c>
      <c r="AB1502" s="360">
        <v>100</v>
      </c>
    </row>
    <row r="1503" spans="10:28" x14ac:dyDescent="0.2">
      <c r="J1503" s="358" t="str">
        <f t="shared" si="92"/>
        <v>2004FemaleNon-Maori255</v>
      </c>
      <c r="K1503" s="359">
        <v>2004</v>
      </c>
      <c r="L1503" t="s">
        <v>8</v>
      </c>
      <c r="M1503" t="s">
        <v>19</v>
      </c>
      <c r="N1503">
        <v>25</v>
      </c>
      <c r="O1503">
        <v>5</v>
      </c>
      <c r="P1503">
        <v>2</v>
      </c>
      <c r="Q1503">
        <v>5.0406004169418903</v>
      </c>
      <c r="R1503">
        <v>7</v>
      </c>
      <c r="T1503" s="358" t="str">
        <f t="shared" si="93"/>
        <v>2003AllSexMaori22Hanging, strangulation and suffocation</v>
      </c>
      <c r="U1503" s="360">
        <v>2003</v>
      </c>
      <c r="V1503" s="360" t="s">
        <v>17</v>
      </c>
      <c r="W1503" s="360" t="s">
        <v>18</v>
      </c>
      <c r="X1503" s="360">
        <v>22</v>
      </c>
      <c r="Y1503" s="360" t="s">
        <v>43</v>
      </c>
      <c r="Z1503" s="360">
        <v>28</v>
      </c>
      <c r="AA1503" s="360">
        <v>31</v>
      </c>
      <c r="AB1503" s="360">
        <v>90.3</v>
      </c>
    </row>
    <row r="1504" spans="10:28" x14ac:dyDescent="0.2">
      <c r="J1504" s="358" t="str">
        <f t="shared" si="92"/>
        <v>2004MaleAllEth211</v>
      </c>
      <c r="K1504" s="359">
        <v>2004</v>
      </c>
      <c r="L1504" t="s">
        <v>20</v>
      </c>
      <c r="M1504" t="s">
        <v>27</v>
      </c>
      <c r="N1504">
        <v>21</v>
      </c>
      <c r="O1504">
        <v>1</v>
      </c>
      <c r="P1504">
        <v>0</v>
      </c>
      <c r="T1504" s="358" t="str">
        <f t="shared" si="93"/>
        <v>2003AllSexMaori23Hanging, strangulation and suffocation</v>
      </c>
      <c r="U1504" s="360">
        <v>2003</v>
      </c>
      <c r="V1504" s="360" t="s">
        <v>17</v>
      </c>
      <c r="W1504" s="360" t="s">
        <v>18</v>
      </c>
      <c r="X1504" s="360">
        <v>23</v>
      </c>
      <c r="Y1504" s="360" t="s">
        <v>43</v>
      </c>
      <c r="Z1504" s="360">
        <v>34</v>
      </c>
      <c r="AA1504" s="360">
        <v>46</v>
      </c>
      <c r="AB1504" s="360">
        <v>73.900000000000006</v>
      </c>
    </row>
    <row r="1505" spans="10:28" x14ac:dyDescent="0.2">
      <c r="J1505" s="358" t="str">
        <f t="shared" si="92"/>
        <v>2004MaleAllEth212</v>
      </c>
      <c r="K1505" s="359">
        <v>2004</v>
      </c>
      <c r="L1505" t="s">
        <v>20</v>
      </c>
      <c r="M1505" t="s">
        <v>27</v>
      </c>
      <c r="N1505">
        <v>21</v>
      </c>
      <c r="O1505">
        <v>2</v>
      </c>
      <c r="P1505">
        <v>1</v>
      </c>
      <c r="T1505" s="358" t="str">
        <f t="shared" si="93"/>
        <v>2003AllSexMaori24Hanging, strangulation and suffocation</v>
      </c>
      <c r="U1505" s="360">
        <v>2003</v>
      </c>
      <c r="V1505" s="360" t="s">
        <v>17</v>
      </c>
      <c r="W1505" s="360" t="s">
        <v>18</v>
      </c>
      <c r="X1505" s="360">
        <v>24</v>
      </c>
      <c r="Y1505" s="360" t="s">
        <v>43</v>
      </c>
      <c r="Z1505" s="360">
        <v>1</v>
      </c>
      <c r="AA1505" s="360">
        <v>5</v>
      </c>
      <c r="AB1505" s="360">
        <v>20</v>
      </c>
    </row>
    <row r="1506" spans="10:28" x14ac:dyDescent="0.2">
      <c r="J1506" s="358" t="str">
        <f t="shared" si="92"/>
        <v>2004MaleAllEth213</v>
      </c>
      <c r="K1506" s="359">
        <v>2004</v>
      </c>
      <c r="L1506" t="s">
        <v>20</v>
      </c>
      <c r="M1506" t="s">
        <v>27</v>
      </c>
      <c r="N1506">
        <v>21</v>
      </c>
      <c r="O1506">
        <v>3</v>
      </c>
      <c r="P1506">
        <v>0</v>
      </c>
      <c r="T1506" s="358" t="str">
        <f t="shared" si="93"/>
        <v>2003AllSexMaori22Jumping from a high place</v>
      </c>
      <c r="U1506" s="360">
        <v>2003</v>
      </c>
      <c r="V1506" s="360" t="s">
        <v>17</v>
      </c>
      <c r="W1506" s="360" t="s">
        <v>18</v>
      </c>
      <c r="X1506" s="360">
        <v>22</v>
      </c>
      <c r="Y1506" s="360" t="s">
        <v>44</v>
      </c>
      <c r="Z1506" s="360">
        <v>1</v>
      </c>
      <c r="AA1506" s="360">
        <v>31</v>
      </c>
      <c r="AB1506" s="360">
        <v>3.2</v>
      </c>
    </row>
    <row r="1507" spans="10:28" x14ac:dyDescent="0.2">
      <c r="J1507" s="358" t="str">
        <f t="shared" si="92"/>
        <v>2004MaleAllEth214</v>
      </c>
      <c r="K1507" s="359">
        <v>2004</v>
      </c>
      <c r="L1507" t="s">
        <v>20</v>
      </c>
      <c r="M1507" t="s">
        <v>27</v>
      </c>
      <c r="N1507">
        <v>21</v>
      </c>
      <c r="O1507">
        <v>4</v>
      </c>
      <c r="P1507">
        <v>1</v>
      </c>
      <c r="T1507" s="358" t="str">
        <f t="shared" si="93"/>
        <v>2003AllSexMaori23Jumping from a high place</v>
      </c>
      <c r="U1507" s="360">
        <v>2003</v>
      </c>
      <c r="V1507" s="360" t="s">
        <v>17</v>
      </c>
      <c r="W1507" s="360" t="s">
        <v>18</v>
      </c>
      <c r="X1507" s="360">
        <v>23</v>
      </c>
      <c r="Y1507" s="360" t="s">
        <v>44</v>
      </c>
      <c r="Z1507" s="360">
        <v>2</v>
      </c>
      <c r="AA1507" s="360">
        <v>46</v>
      </c>
      <c r="AB1507" s="360">
        <v>4.3</v>
      </c>
    </row>
    <row r="1508" spans="10:28" x14ac:dyDescent="0.2">
      <c r="J1508" s="358" t="str">
        <f t="shared" si="92"/>
        <v>2004MaleAllEth215</v>
      </c>
      <c r="K1508" s="359">
        <v>2004</v>
      </c>
      <c r="L1508" t="s">
        <v>20</v>
      </c>
      <c r="M1508" t="s">
        <v>27</v>
      </c>
      <c r="N1508">
        <v>21</v>
      </c>
      <c r="O1508">
        <v>5</v>
      </c>
      <c r="P1508">
        <v>2</v>
      </c>
      <c r="T1508" s="358" t="str">
        <f t="shared" si="93"/>
        <v>2003AllSexMaori24Jumping from a high place</v>
      </c>
      <c r="U1508" s="360">
        <v>2003</v>
      </c>
      <c r="V1508" s="360" t="s">
        <v>17</v>
      </c>
      <c r="W1508" s="360" t="s">
        <v>18</v>
      </c>
      <c r="X1508" s="360">
        <v>24</v>
      </c>
      <c r="Y1508" s="360" t="s">
        <v>44</v>
      </c>
      <c r="Z1508" s="360">
        <v>1</v>
      </c>
      <c r="AA1508" s="360">
        <v>5</v>
      </c>
      <c r="AB1508" s="360">
        <v>20</v>
      </c>
    </row>
    <row r="1509" spans="10:28" x14ac:dyDescent="0.2">
      <c r="J1509" s="358" t="str">
        <f t="shared" si="92"/>
        <v>2004MaleAllEth221</v>
      </c>
      <c r="K1509" s="359">
        <v>2004</v>
      </c>
      <c r="L1509" t="s">
        <v>20</v>
      </c>
      <c r="M1509" t="s">
        <v>27</v>
      </c>
      <c r="N1509">
        <v>22</v>
      </c>
      <c r="O1509">
        <v>1</v>
      </c>
      <c r="P1509">
        <v>9</v>
      </c>
      <c r="Q1509">
        <v>17.530080152812602</v>
      </c>
      <c r="R1509">
        <v>11.5</v>
      </c>
      <c r="T1509" s="358" t="str">
        <f t="shared" si="93"/>
        <v>2003AllSexMaori23Other</v>
      </c>
      <c r="U1509" s="360">
        <v>2003</v>
      </c>
      <c r="V1509" s="360" t="s">
        <v>17</v>
      </c>
      <c r="W1509" s="360" t="s">
        <v>18</v>
      </c>
      <c r="X1509" s="360">
        <v>23</v>
      </c>
      <c r="Y1509" s="360" t="s">
        <v>45</v>
      </c>
      <c r="Z1509" s="360">
        <v>1</v>
      </c>
      <c r="AA1509" s="360">
        <v>46</v>
      </c>
      <c r="AB1509" s="360">
        <v>2.2000000000000002</v>
      </c>
    </row>
    <row r="1510" spans="10:28" x14ac:dyDescent="0.2">
      <c r="J1510" s="358" t="str">
        <f t="shared" si="92"/>
        <v>2004MaleAllEth222</v>
      </c>
      <c r="K1510" s="359">
        <v>2004</v>
      </c>
      <c r="L1510" t="s">
        <v>20</v>
      </c>
      <c r="M1510" t="s">
        <v>27</v>
      </c>
      <c r="N1510">
        <v>22</v>
      </c>
      <c r="O1510">
        <v>2</v>
      </c>
      <c r="P1510">
        <v>11</v>
      </c>
      <c r="Q1510">
        <v>20.249413748980398</v>
      </c>
      <c r="R1510">
        <v>12</v>
      </c>
      <c r="T1510" s="358" t="str">
        <f t="shared" si="93"/>
        <v>2003AllSexMaori24Other</v>
      </c>
      <c r="U1510" s="360">
        <v>2003</v>
      </c>
      <c r="V1510" s="360" t="s">
        <v>17</v>
      </c>
      <c r="W1510" s="360" t="s">
        <v>18</v>
      </c>
      <c r="X1510" s="360">
        <v>24</v>
      </c>
      <c r="Y1510" s="360" t="s">
        <v>45</v>
      </c>
      <c r="Z1510" s="360">
        <v>1</v>
      </c>
      <c r="AA1510" s="360">
        <v>5</v>
      </c>
      <c r="AB1510" s="360">
        <v>20</v>
      </c>
    </row>
    <row r="1511" spans="10:28" x14ac:dyDescent="0.2">
      <c r="J1511" s="358" t="str">
        <f t="shared" si="92"/>
        <v>2004MaleAllEth223</v>
      </c>
      <c r="K1511" s="359">
        <v>2004</v>
      </c>
      <c r="L1511" t="s">
        <v>20</v>
      </c>
      <c r="M1511" t="s">
        <v>27</v>
      </c>
      <c r="N1511">
        <v>22</v>
      </c>
      <c r="O1511">
        <v>3</v>
      </c>
      <c r="P1511">
        <v>15</v>
      </c>
      <c r="Q1511">
        <v>25.932451237274499</v>
      </c>
      <c r="R1511">
        <v>13.1</v>
      </c>
      <c r="T1511" s="358" t="str">
        <f t="shared" si="93"/>
        <v>2003AllSexMaori22Poisoning by gases and vapours</v>
      </c>
      <c r="U1511" s="360">
        <v>2003</v>
      </c>
      <c r="V1511" s="360" t="s">
        <v>17</v>
      </c>
      <c r="W1511" s="360" t="s">
        <v>18</v>
      </c>
      <c r="X1511" s="360">
        <v>22</v>
      </c>
      <c r="Y1511" s="360" t="s">
        <v>46</v>
      </c>
      <c r="Z1511" s="360">
        <v>2</v>
      </c>
      <c r="AA1511" s="360">
        <v>31</v>
      </c>
      <c r="AB1511" s="360">
        <v>6.5</v>
      </c>
    </row>
    <row r="1512" spans="10:28" x14ac:dyDescent="0.2">
      <c r="J1512" s="358" t="str">
        <f t="shared" si="92"/>
        <v>2004MaleAllEth224</v>
      </c>
      <c r="K1512" s="359">
        <v>2004</v>
      </c>
      <c r="L1512" t="s">
        <v>20</v>
      </c>
      <c r="M1512" t="s">
        <v>27</v>
      </c>
      <c r="N1512">
        <v>22</v>
      </c>
      <c r="O1512">
        <v>4</v>
      </c>
      <c r="P1512">
        <v>18</v>
      </c>
      <c r="Q1512">
        <v>28.861388878821501</v>
      </c>
      <c r="R1512">
        <v>13.3</v>
      </c>
      <c r="T1512" s="358" t="str">
        <f t="shared" si="93"/>
        <v>2003AllSexMaori23Poisoning by gases and vapours</v>
      </c>
      <c r="U1512" s="360">
        <v>2003</v>
      </c>
      <c r="V1512" s="360" t="s">
        <v>17</v>
      </c>
      <c r="W1512" s="360" t="s">
        <v>18</v>
      </c>
      <c r="X1512" s="360">
        <v>23</v>
      </c>
      <c r="Y1512" s="360" t="s">
        <v>46</v>
      </c>
      <c r="Z1512" s="360">
        <v>5</v>
      </c>
      <c r="AA1512" s="360">
        <v>46</v>
      </c>
      <c r="AB1512" s="360">
        <v>10.9</v>
      </c>
    </row>
    <row r="1513" spans="10:28" x14ac:dyDescent="0.2">
      <c r="J1513" s="358" t="str">
        <f t="shared" si="92"/>
        <v>2004MaleAllEth225</v>
      </c>
      <c r="K1513" s="359">
        <v>2004</v>
      </c>
      <c r="L1513" t="s">
        <v>20</v>
      </c>
      <c r="M1513" t="s">
        <v>27</v>
      </c>
      <c r="N1513">
        <v>22</v>
      </c>
      <c r="O1513">
        <v>5</v>
      </c>
      <c r="P1513">
        <v>29</v>
      </c>
      <c r="Q1513">
        <v>41.060510888439403</v>
      </c>
      <c r="R1513">
        <v>14.9</v>
      </c>
      <c r="T1513" s="358" t="str">
        <f t="shared" si="93"/>
        <v>2003AllSexMaori23Poisoning by solids and liquids</v>
      </c>
      <c r="U1513" s="360">
        <v>2003</v>
      </c>
      <c r="V1513" s="360" t="s">
        <v>17</v>
      </c>
      <c r="W1513" s="360" t="s">
        <v>18</v>
      </c>
      <c r="X1513" s="360">
        <v>23</v>
      </c>
      <c r="Y1513" s="360" t="s">
        <v>47</v>
      </c>
      <c r="Z1513" s="360">
        <v>1</v>
      </c>
      <c r="AA1513" s="360">
        <v>46</v>
      </c>
      <c r="AB1513" s="360">
        <v>2.2000000000000002</v>
      </c>
    </row>
    <row r="1514" spans="10:28" x14ac:dyDescent="0.2">
      <c r="J1514" s="358" t="str">
        <f t="shared" si="92"/>
        <v>2004MaleAllEth231</v>
      </c>
      <c r="K1514" s="359">
        <v>2004</v>
      </c>
      <c r="L1514" t="s">
        <v>20</v>
      </c>
      <c r="M1514" t="s">
        <v>27</v>
      </c>
      <c r="N1514">
        <v>23</v>
      </c>
      <c r="O1514">
        <v>1</v>
      </c>
      <c r="P1514">
        <v>26</v>
      </c>
      <c r="Q1514">
        <v>23.653277081724202</v>
      </c>
      <c r="R1514">
        <v>9.1</v>
      </c>
      <c r="T1514" s="358" t="str">
        <f t="shared" si="93"/>
        <v>2003AllSexMaori23Sharp object</v>
      </c>
      <c r="U1514" s="360">
        <v>2003</v>
      </c>
      <c r="V1514" s="360" t="s">
        <v>17</v>
      </c>
      <c r="W1514" s="360" t="s">
        <v>18</v>
      </c>
      <c r="X1514" s="360">
        <v>23</v>
      </c>
      <c r="Y1514" s="360" t="s">
        <v>48</v>
      </c>
      <c r="Z1514" s="360">
        <v>1</v>
      </c>
      <c r="AA1514" s="360">
        <v>46</v>
      </c>
      <c r="AB1514" s="360">
        <v>2.2000000000000002</v>
      </c>
    </row>
    <row r="1515" spans="10:28" x14ac:dyDescent="0.2">
      <c r="J1515" s="358" t="str">
        <f t="shared" si="92"/>
        <v>2004MaleAllEth232</v>
      </c>
      <c r="K1515" s="359">
        <v>2004</v>
      </c>
      <c r="L1515" t="s">
        <v>20</v>
      </c>
      <c r="M1515" t="s">
        <v>27</v>
      </c>
      <c r="N1515">
        <v>23</v>
      </c>
      <c r="O1515">
        <v>2</v>
      </c>
      <c r="P1515">
        <v>21</v>
      </c>
      <c r="Q1515">
        <v>17.9279385283625</v>
      </c>
      <c r="R1515">
        <v>7.7</v>
      </c>
      <c r="T1515" s="358" t="str">
        <f t="shared" si="93"/>
        <v>2003AllSexNon-Maori22Firearms and explosives</v>
      </c>
      <c r="U1515" s="360">
        <v>2003</v>
      </c>
      <c r="V1515" s="360" t="s">
        <v>17</v>
      </c>
      <c r="W1515" s="360" t="s">
        <v>19</v>
      </c>
      <c r="X1515" s="360">
        <v>22</v>
      </c>
      <c r="Y1515" s="360" t="s">
        <v>42</v>
      </c>
      <c r="Z1515" s="360">
        <v>3</v>
      </c>
      <c r="AA1515" s="360">
        <v>67</v>
      </c>
      <c r="AB1515" s="360">
        <v>4.5</v>
      </c>
    </row>
    <row r="1516" spans="10:28" x14ac:dyDescent="0.2">
      <c r="J1516" s="358" t="str">
        <f t="shared" si="92"/>
        <v>2004MaleAllEth233</v>
      </c>
      <c r="K1516" s="359">
        <v>2004</v>
      </c>
      <c r="L1516" t="s">
        <v>20</v>
      </c>
      <c r="M1516" t="s">
        <v>27</v>
      </c>
      <c r="N1516">
        <v>23</v>
      </c>
      <c r="O1516">
        <v>3</v>
      </c>
      <c r="P1516">
        <v>28</v>
      </c>
      <c r="Q1516">
        <v>23.660259689111001</v>
      </c>
      <c r="R1516">
        <v>8.8000000000000007</v>
      </c>
      <c r="T1516" s="358" t="str">
        <f t="shared" si="93"/>
        <v>2003AllSexNon-Maori23Firearms and explosives</v>
      </c>
      <c r="U1516" s="360">
        <v>2003</v>
      </c>
      <c r="V1516" s="360" t="s">
        <v>17</v>
      </c>
      <c r="W1516" s="360" t="s">
        <v>19</v>
      </c>
      <c r="X1516" s="360">
        <v>23</v>
      </c>
      <c r="Y1516" s="360" t="s">
        <v>42</v>
      </c>
      <c r="Z1516" s="360">
        <v>9</v>
      </c>
      <c r="AA1516" s="360">
        <v>171</v>
      </c>
      <c r="AB1516" s="360">
        <v>5.3</v>
      </c>
    </row>
    <row r="1517" spans="10:28" x14ac:dyDescent="0.2">
      <c r="J1517" s="358" t="str">
        <f t="shared" si="92"/>
        <v>2004MaleAllEth234</v>
      </c>
      <c r="K1517" s="359">
        <v>2004</v>
      </c>
      <c r="L1517" t="s">
        <v>20</v>
      </c>
      <c r="M1517" t="s">
        <v>27</v>
      </c>
      <c r="N1517">
        <v>23</v>
      </c>
      <c r="O1517">
        <v>4</v>
      </c>
      <c r="P1517">
        <v>39</v>
      </c>
      <c r="Q1517">
        <v>33.508188078186997</v>
      </c>
      <c r="R1517">
        <v>10.5</v>
      </c>
      <c r="T1517" s="358" t="str">
        <f t="shared" si="93"/>
        <v>2003AllSexNon-Maori24Firearms and explosives</v>
      </c>
      <c r="U1517" s="360">
        <v>2003</v>
      </c>
      <c r="V1517" s="360" t="s">
        <v>17</v>
      </c>
      <c r="W1517" s="360" t="s">
        <v>19</v>
      </c>
      <c r="X1517" s="360">
        <v>24</v>
      </c>
      <c r="Y1517" s="360" t="s">
        <v>42</v>
      </c>
      <c r="Z1517" s="360">
        <v>14</v>
      </c>
      <c r="AA1517" s="360">
        <v>130</v>
      </c>
      <c r="AB1517" s="360">
        <v>10.8</v>
      </c>
    </row>
    <row r="1518" spans="10:28" x14ac:dyDescent="0.2">
      <c r="J1518" s="358" t="str">
        <f t="shared" si="92"/>
        <v>2004MaleAllEth235</v>
      </c>
      <c r="K1518" s="359">
        <v>2004</v>
      </c>
      <c r="L1518" t="s">
        <v>20</v>
      </c>
      <c r="M1518" t="s">
        <v>27</v>
      </c>
      <c r="N1518">
        <v>23</v>
      </c>
      <c r="O1518">
        <v>5</v>
      </c>
      <c r="P1518">
        <v>38</v>
      </c>
      <c r="Q1518">
        <v>35.381194286044298</v>
      </c>
      <c r="R1518">
        <v>11.2</v>
      </c>
      <c r="T1518" s="358" t="str">
        <f t="shared" si="93"/>
        <v>2003AllSexNon-Maori25Firearms and explosives</v>
      </c>
      <c r="U1518" s="360">
        <v>2003</v>
      </c>
      <c r="V1518" s="360" t="s">
        <v>17</v>
      </c>
      <c r="W1518" s="360" t="s">
        <v>19</v>
      </c>
      <c r="X1518" s="360">
        <v>25</v>
      </c>
      <c r="Y1518" s="360" t="s">
        <v>42</v>
      </c>
      <c r="Z1518" s="360">
        <v>12</v>
      </c>
      <c r="AA1518" s="360">
        <v>67</v>
      </c>
      <c r="AB1518" s="360">
        <v>17.899999999999999</v>
      </c>
    </row>
    <row r="1519" spans="10:28" x14ac:dyDescent="0.2">
      <c r="J1519" s="358" t="str">
        <f t="shared" si="92"/>
        <v>2004MaleAllEth241</v>
      </c>
      <c r="K1519" s="359">
        <v>2004</v>
      </c>
      <c r="L1519" t="s">
        <v>20</v>
      </c>
      <c r="M1519" t="s">
        <v>27</v>
      </c>
      <c r="N1519">
        <v>24</v>
      </c>
      <c r="O1519">
        <v>1</v>
      </c>
      <c r="P1519">
        <v>11</v>
      </c>
      <c r="Q1519">
        <v>9.4363389394529804</v>
      </c>
      <c r="R1519">
        <v>5.6</v>
      </c>
      <c r="T1519" s="358" t="str">
        <f t="shared" si="93"/>
        <v>2003AllSexNon-Maori22Hanging, strangulation and suffocation</v>
      </c>
      <c r="U1519" s="360">
        <v>2003</v>
      </c>
      <c r="V1519" s="360" t="s">
        <v>17</v>
      </c>
      <c r="W1519" s="360" t="s">
        <v>19</v>
      </c>
      <c r="X1519" s="360">
        <v>22</v>
      </c>
      <c r="Y1519" s="360" t="s">
        <v>43</v>
      </c>
      <c r="Z1519" s="360">
        <v>41</v>
      </c>
      <c r="AA1519" s="360">
        <v>67</v>
      </c>
      <c r="AB1519" s="360">
        <v>61.2</v>
      </c>
    </row>
    <row r="1520" spans="10:28" x14ac:dyDescent="0.2">
      <c r="J1520" s="358" t="str">
        <f t="shared" si="92"/>
        <v>2004MaleAllEth242</v>
      </c>
      <c r="K1520" s="359">
        <v>2004</v>
      </c>
      <c r="L1520" t="s">
        <v>20</v>
      </c>
      <c r="M1520" t="s">
        <v>27</v>
      </c>
      <c r="N1520">
        <v>24</v>
      </c>
      <c r="O1520">
        <v>2</v>
      </c>
      <c r="P1520">
        <v>18</v>
      </c>
      <c r="Q1520">
        <v>17.6592458870137</v>
      </c>
      <c r="R1520">
        <v>8.1999999999999993</v>
      </c>
      <c r="T1520" s="358" t="str">
        <f t="shared" si="93"/>
        <v>2003AllSexNon-Maori23Hanging, strangulation and suffocation</v>
      </c>
      <c r="U1520" s="360">
        <v>2003</v>
      </c>
      <c r="V1520" s="360" t="s">
        <v>17</v>
      </c>
      <c r="W1520" s="360" t="s">
        <v>19</v>
      </c>
      <c r="X1520" s="360">
        <v>23</v>
      </c>
      <c r="Y1520" s="360" t="s">
        <v>43</v>
      </c>
      <c r="Z1520" s="360">
        <v>73</v>
      </c>
      <c r="AA1520" s="360">
        <v>171</v>
      </c>
      <c r="AB1520" s="360">
        <v>42.7</v>
      </c>
    </row>
    <row r="1521" spans="10:28" x14ac:dyDescent="0.2">
      <c r="J1521" s="358" t="str">
        <f t="shared" si="92"/>
        <v>2004MaleAllEth243</v>
      </c>
      <c r="K1521" s="359">
        <v>2004</v>
      </c>
      <c r="L1521" t="s">
        <v>20</v>
      </c>
      <c r="M1521" t="s">
        <v>27</v>
      </c>
      <c r="N1521">
        <v>24</v>
      </c>
      <c r="O1521">
        <v>3</v>
      </c>
      <c r="P1521">
        <v>18</v>
      </c>
      <c r="Q1521">
        <v>19.7794040416595</v>
      </c>
      <c r="R1521">
        <v>9.1</v>
      </c>
      <c r="T1521" s="358" t="str">
        <f t="shared" si="93"/>
        <v>2003AllSexNon-Maori24Hanging, strangulation and suffocation</v>
      </c>
      <c r="U1521" s="360">
        <v>2003</v>
      </c>
      <c r="V1521" s="360" t="s">
        <v>17</v>
      </c>
      <c r="W1521" s="360" t="s">
        <v>19</v>
      </c>
      <c r="X1521" s="360">
        <v>24</v>
      </c>
      <c r="Y1521" s="360" t="s">
        <v>43</v>
      </c>
      <c r="Z1521" s="360">
        <v>42</v>
      </c>
      <c r="AA1521" s="360">
        <v>130</v>
      </c>
      <c r="AB1521" s="360">
        <v>32.299999999999997</v>
      </c>
    </row>
    <row r="1522" spans="10:28" x14ac:dyDescent="0.2">
      <c r="J1522" s="358" t="str">
        <f t="shared" si="92"/>
        <v>2004MaleAllEth244</v>
      </c>
      <c r="K1522" s="359">
        <v>2004</v>
      </c>
      <c r="L1522" t="s">
        <v>20</v>
      </c>
      <c r="M1522" t="s">
        <v>27</v>
      </c>
      <c r="N1522">
        <v>24</v>
      </c>
      <c r="O1522">
        <v>4</v>
      </c>
      <c r="P1522">
        <v>21</v>
      </c>
      <c r="Q1522">
        <v>25.359974050893499</v>
      </c>
      <c r="R1522">
        <v>10.8</v>
      </c>
      <c r="T1522" s="358" t="str">
        <f t="shared" si="93"/>
        <v>2003AllSexNon-Maori25Hanging, strangulation and suffocation</v>
      </c>
      <c r="U1522" s="360">
        <v>2003</v>
      </c>
      <c r="V1522" s="360" t="s">
        <v>17</v>
      </c>
      <c r="W1522" s="360" t="s">
        <v>19</v>
      </c>
      <c r="X1522" s="360">
        <v>25</v>
      </c>
      <c r="Y1522" s="360" t="s">
        <v>43</v>
      </c>
      <c r="Z1522" s="360">
        <v>26</v>
      </c>
      <c r="AA1522" s="360">
        <v>67</v>
      </c>
      <c r="AB1522" s="360">
        <v>38.799999999999997</v>
      </c>
    </row>
    <row r="1523" spans="10:28" x14ac:dyDescent="0.2">
      <c r="J1523" s="358" t="str">
        <f t="shared" si="92"/>
        <v>2004MaleAllEth245</v>
      </c>
      <c r="K1523" s="359">
        <v>2004</v>
      </c>
      <c r="L1523" t="s">
        <v>20</v>
      </c>
      <c r="M1523" t="s">
        <v>27</v>
      </c>
      <c r="N1523">
        <v>24</v>
      </c>
      <c r="O1523">
        <v>5</v>
      </c>
      <c r="P1523">
        <v>15</v>
      </c>
      <c r="Q1523">
        <v>20.364289648145501</v>
      </c>
      <c r="R1523">
        <v>10.3</v>
      </c>
      <c r="T1523" s="358" t="str">
        <f t="shared" si="93"/>
        <v>2003AllSexNon-Maori22Jumping from a high place</v>
      </c>
      <c r="U1523" s="360">
        <v>2003</v>
      </c>
      <c r="V1523" s="360" t="s">
        <v>17</v>
      </c>
      <c r="W1523" s="360" t="s">
        <v>19</v>
      </c>
      <c r="X1523" s="360">
        <v>22</v>
      </c>
      <c r="Y1523" s="360" t="s">
        <v>44</v>
      </c>
      <c r="Z1523" s="360">
        <v>5</v>
      </c>
      <c r="AA1523" s="360">
        <v>67</v>
      </c>
      <c r="AB1523" s="360">
        <v>7.5</v>
      </c>
    </row>
    <row r="1524" spans="10:28" x14ac:dyDescent="0.2">
      <c r="J1524" s="358" t="str">
        <f t="shared" si="92"/>
        <v>2004MaleAllEth251</v>
      </c>
      <c r="K1524" s="359">
        <v>2004</v>
      </c>
      <c r="L1524" t="s">
        <v>20</v>
      </c>
      <c r="M1524" t="s">
        <v>27</v>
      </c>
      <c r="N1524">
        <v>25</v>
      </c>
      <c r="O1524">
        <v>1</v>
      </c>
      <c r="P1524">
        <v>8</v>
      </c>
      <c r="Q1524">
        <v>18.241752701863799</v>
      </c>
      <c r="R1524">
        <v>12.6</v>
      </c>
      <c r="T1524" s="358" t="str">
        <f t="shared" si="93"/>
        <v>2003AllSexNon-Maori23Jumping from a high place</v>
      </c>
      <c r="U1524" s="360">
        <v>2003</v>
      </c>
      <c r="V1524" s="360" t="s">
        <v>17</v>
      </c>
      <c r="W1524" s="360" t="s">
        <v>19</v>
      </c>
      <c r="X1524" s="360">
        <v>23</v>
      </c>
      <c r="Y1524" s="360" t="s">
        <v>44</v>
      </c>
      <c r="Z1524" s="360">
        <v>3</v>
      </c>
      <c r="AA1524" s="360">
        <v>171</v>
      </c>
      <c r="AB1524" s="360">
        <v>1.8</v>
      </c>
    </row>
    <row r="1525" spans="10:28" x14ac:dyDescent="0.2">
      <c r="J1525" s="358" t="str">
        <f t="shared" si="92"/>
        <v>2004MaleAllEth252</v>
      </c>
      <c r="K1525" s="359">
        <v>2004</v>
      </c>
      <c r="L1525" t="s">
        <v>20</v>
      </c>
      <c r="M1525" t="s">
        <v>27</v>
      </c>
      <c r="N1525">
        <v>25</v>
      </c>
      <c r="O1525">
        <v>2</v>
      </c>
      <c r="P1525">
        <v>2</v>
      </c>
      <c r="Q1525">
        <v>4.47065992158758</v>
      </c>
      <c r="R1525">
        <v>6.2</v>
      </c>
      <c r="T1525" s="358" t="str">
        <f t="shared" si="93"/>
        <v>2003AllSexNon-Maori24Jumping from a high place</v>
      </c>
      <c r="U1525" s="360">
        <v>2003</v>
      </c>
      <c r="V1525" s="360" t="s">
        <v>17</v>
      </c>
      <c r="W1525" s="360" t="s">
        <v>19</v>
      </c>
      <c r="X1525" s="360">
        <v>24</v>
      </c>
      <c r="Y1525" s="360" t="s">
        <v>44</v>
      </c>
      <c r="Z1525" s="360">
        <v>3</v>
      </c>
      <c r="AA1525" s="360">
        <v>130</v>
      </c>
      <c r="AB1525" s="360">
        <v>2.2999999999999998</v>
      </c>
    </row>
    <row r="1526" spans="10:28" x14ac:dyDescent="0.2">
      <c r="J1526" s="358" t="str">
        <f t="shared" si="92"/>
        <v>2004MaleAllEth253</v>
      </c>
      <c r="K1526" s="359">
        <v>2004</v>
      </c>
      <c r="L1526" t="s">
        <v>20</v>
      </c>
      <c r="M1526" t="s">
        <v>27</v>
      </c>
      <c r="N1526">
        <v>25</v>
      </c>
      <c r="O1526">
        <v>3</v>
      </c>
      <c r="P1526">
        <v>9</v>
      </c>
      <c r="Q1526">
        <v>19.712048176570502</v>
      </c>
      <c r="R1526">
        <v>12.9</v>
      </c>
      <c r="T1526" s="358" t="str">
        <f t="shared" si="93"/>
        <v>2003AllSexNon-Maori22Other</v>
      </c>
      <c r="U1526" s="360">
        <v>2003</v>
      </c>
      <c r="V1526" s="360" t="s">
        <v>17</v>
      </c>
      <c r="W1526" s="360" t="s">
        <v>19</v>
      </c>
      <c r="X1526" s="360">
        <v>22</v>
      </c>
      <c r="Y1526" s="360" t="s">
        <v>45</v>
      </c>
      <c r="Z1526" s="360">
        <v>3</v>
      </c>
      <c r="AA1526" s="360">
        <v>67</v>
      </c>
      <c r="AB1526" s="360">
        <v>4.5</v>
      </c>
    </row>
    <row r="1527" spans="10:28" x14ac:dyDescent="0.2">
      <c r="J1527" s="358" t="str">
        <f t="shared" si="92"/>
        <v>2004MaleAllEth254</v>
      </c>
      <c r="K1527" s="359">
        <v>2004</v>
      </c>
      <c r="L1527" t="s">
        <v>20</v>
      </c>
      <c r="M1527" t="s">
        <v>27</v>
      </c>
      <c r="N1527">
        <v>25</v>
      </c>
      <c r="O1527">
        <v>4</v>
      </c>
      <c r="P1527">
        <v>12</v>
      </c>
      <c r="Q1527">
        <v>27.013793913558899</v>
      </c>
      <c r="R1527">
        <v>15.3</v>
      </c>
      <c r="T1527" s="358" t="str">
        <f t="shared" si="93"/>
        <v>2003AllSexNon-Maori23Other</v>
      </c>
      <c r="U1527" s="360">
        <v>2003</v>
      </c>
      <c r="V1527" s="360" t="s">
        <v>17</v>
      </c>
      <c r="W1527" s="360" t="s">
        <v>19</v>
      </c>
      <c r="X1527" s="360">
        <v>23</v>
      </c>
      <c r="Y1527" s="360" t="s">
        <v>45</v>
      </c>
      <c r="Z1527" s="360">
        <v>8</v>
      </c>
      <c r="AA1527" s="360">
        <v>171</v>
      </c>
      <c r="AB1527" s="360">
        <v>4.7</v>
      </c>
    </row>
    <row r="1528" spans="10:28" x14ac:dyDescent="0.2">
      <c r="J1528" s="358" t="str">
        <f t="shared" si="92"/>
        <v>2004MaleAllEth255</v>
      </c>
      <c r="K1528" s="359">
        <v>2004</v>
      </c>
      <c r="L1528" t="s">
        <v>20</v>
      </c>
      <c r="M1528" t="s">
        <v>27</v>
      </c>
      <c r="N1528">
        <v>25</v>
      </c>
      <c r="O1528">
        <v>5</v>
      </c>
      <c r="P1528">
        <v>13</v>
      </c>
      <c r="Q1528">
        <v>36.394855224754501</v>
      </c>
      <c r="R1528">
        <v>19.8</v>
      </c>
      <c r="T1528" s="358" t="str">
        <f t="shared" si="93"/>
        <v>2003AllSexNon-Maori24Other</v>
      </c>
      <c r="U1528" s="360">
        <v>2003</v>
      </c>
      <c r="V1528" s="360" t="s">
        <v>17</v>
      </c>
      <c r="W1528" s="360" t="s">
        <v>19</v>
      </c>
      <c r="X1528" s="360">
        <v>24</v>
      </c>
      <c r="Y1528" s="360" t="s">
        <v>45</v>
      </c>
      <c r="Z1528" s="360">
        <v>8</v>
      </c>
      <c r="AA1528" s="360">
        <v>130</v>
      </c>
      <c r="AB1528" s="360">
        <v>6.2</v>
      </c>
    </row>
    <row r="1529" spans="10:28" x14ac:dyDescent="0.2">
      <c r="J1529" s="358" t="str">
        <f t="shared" si="92"/>
        <v>2004MaleMaori211</v>
      </c>
      <c r="K1529" s="359">
        <v>2004</v>
      </c>
      <c r="L1529" t="s">
        <v>20</v>
      </c>
      <c r="M1529" t="s">
        <v>18</v>
      </c>
      <c r="N1529">
        <v>21</v>
      </c>
      <c r="O1529">
        <v>1</v>
      </c>
      <c r="P1529">
        <v>0</v>
      </c>
      <c r="T1529" s="358" t="str">
        <f t="shared" si="93"/>
        <v>2003AllSexNon-Maori25Other</v>
      </c>
      <c r="U1529" s="360">
        <v>2003</v>
      </c>
      <c r="V1529" s="360" t="s">
        <v>17</v>
      </c>
      <c r="W1529" s="360" t="s">
        <v>19</v>
      </c>
      <c r="X1529" s="360">
        <v>25</v>
      </c>
      <c r="Y1529" s="360" t="s">
        <v>45</v>
      </c>
      <c r="Z1529" s="360">
        <v>1</v>
      </c>
      <c r="AA1529" s="360">
        <v>67</v>
      </c>
      <c r="AB1529" s="360">
        <v>1.5</v>
      </c>
    </row>
    <row r="1530" spans="10:28" x14ac:dyDescent="0.2">
      <c r="J1530" s="358" t="str">
        <f t="shared" si="92"/>
        <v>2004MaleMaori212</v>
      </c>
      <c r="K1530" s="359">
        <v>2004</v>
      </c>
      <c r="L1530" t="s">
        <v>20</v>
      </c>
      <c r="M1530" t="s">
        <v>18</v>
      </c>
      <c r="N1530">
        <v>21</v>
      </c>
      <c r="O1530">
        <v>2</v>
      </c>
      <c r="P1530">
        <v>0</v>
      </c>
      <c r="T1530" s="358" t="str">
        <f t="shared" si="93"/>
        <v>2003AllSexNon-Maori22Poisoning by gases and vapours</v>
      </c>
      <c r="U1530" s="360">
        <v>2003</v>
      </c>
      <c r="V1530" s="360" t="s">
        <v>17</v>
      </c>
      <c r="W1530" s="360" t="s">
        <v>19</v>
      </c>
      <c r="X1530" s="360">
        <v>22</v>
      </c>
      <c r="Y1530" s="360" t="s">
        <v>46</v>
      </c>
      <c r="Z1530" s="360">
        <v>11</v>
      </c>
      <c r="AA1530" s="360">
        <v>67</v>
      </c>
      <c r="AB1530" s="360">
        <v>16.399999999999999</v>
      </c>
    </row>
    <row r="1531" spans="10:28" x14ac:dyDescent="0.2">
      <c r="J1531" s="358" t="str">
        <f t="shared" si="92"/>
        <v>2004MaleMaori213</v>
      </c>
      <c r="K1531" s="359">
        <v>2004</v>
      </c>
      <c r="L1531" t="s">
        <v>20</v>
      </c>
      <c r="M1531" t="s">
        <v>18</v>
      </c>
      <c r="N1531">
        <v>21</v>
      </c>
      <c r="O1531">
        <v>3</v>
      </c>
      <c r="P1531">
        <v>0</v>
      </c>
      <c r="T1531" s="358" t="str">
        <f t="shared" si="93"/>
        <v>2003AllSexNon-Maori23Poisoning by gases and vapours</v>
      </c>
      <c r="U1531" s="360">
        <v>2003</v>
      </c>
      <c r="V1531" s="360" t="s">
        <v>17</v>
      </c>
      <c r="W1531" s="360" t="s">
        <v>19</v>
      </c>
      <c r="X1531" s="360">
        <v>23</v>
      </c>
      <c r="Y1531" s="360" t="s">
        <v>46</v>
      </c>
      <c r="Z1531" s="360">
        <v>43</v>
      </c>
      <c r="AA1531" s="360">
        <v>171</v>
      </c>
      <c r="AB1531" s="360">
        <v>25.1</v>
      </c>
    </row>
    <row r="1532" spans="10:28" x14ac:dyDescent="0.2">
      <c r="J1532" s="358" t="str">
        <f t="shared" si="92"/>
        <v>2004MaleMaori214</v>
      </c>
      <c r="K1532" s="359">
        <v>2004</v>
      </c>
      <c r="L1532" t="s">
        <v>20</v>
      </c>
      <c r="M1532" t="s">
        <v>18</v>
      </c>
      <c r="N1532">
        <v>21</v>
      </c>
      <c r="O1532">
        <v>4</v>
      </c>
      <c r="P1532">
        <v>1</v>
      </c>
      <c r="T1532" s="358" t="str">
        <f t="shared" si="93"/>
        <v>2003AllSexNon-Maori24Poisoning by gases and vapours</v>
      </c>
      <c r="U1532" s="360">
        <v>2003</v>
      </c>
      <c r="V1532" s="360" t="s">
        <v>17</v>
      </c>
      <c r="W1532" s="360" t="s">
        <v>19</v>
      </c>
      <c r="X1532" s="360">
        <v>24</v>
      </c>
      <c r="Y1532" s="360" t="s">
        <v>46</v>
      </c>
      <c r="Z1532" s="360">
        <v>31</v>
      </c>
      <c r="AA1532" s="360">
        <v>130</v>
      </c>
      <c r="AB1532" s="360">
        <v>23.8</v>
      </c>
    </row>
    <row r="1533" spans="10:28" x14ac:dyDescent="0.2">
      <c r="J1533" s="358" t="str">
        <f t="shared" si="92"/>
        <v>2004MaleMaori215</v>
      </c>
      <c r="K1533" s="359">
        <v>2004</v>
      </c>
      <c r="L1533" t="s">
        <v>20</v>
      </c>
      <c r="M1533" t="s">
        <v>18</v>
      </c>
      <c r="N1533">
        <v>21</v>
      </c>
      <c r="O1533">
        <v>5</v>
      </c>
      <c r="P1533">
        <v>1</v>
      </c>
      <c r="T1533" s="358" t="str">
        <f t="shared" si="93"/>
        <v>2003AllSexNon-Maori25Poisoning by gases and vapours</v>
      </c>
      <c r="U1533" s="360">
        <v>2003</v>
      </c>
      <c r="V1533" s="360" t="s">
        <v>17</v>
      </c>
      <c r="W1533" s="360" t="s">
        <v>19</v>
      </c>
      <c r="X1533" s="360">
        <v>25</v>
      </c>
      <c r="Y1533" s="360" t="s">
        <v>46</v>
      </c>
      <c r="Z1533" s="360">
        <v>12</v>
      </c>
      <c r="AA1533" s="360">
        <v>67</v>
      </c>
      <c r="AB1533" s="360">
        <v>17.899999999999999</v>
      </c>
    </row>
    <row r="1534" spans="10:28" x14ac:dyDescent="0.2">
      <c r="J1534" s="358" t="str">
        <f t="shared" si="92"/>
        <v>2004MaleMaori221</v>
      </c>
      <c r="K1534" s="359">
        <v>2004</v>
      </c>
      <c r="L1534" t="s">
        <v>20</v>
      </c>
      <c r="M1534" t="s">
        <v>18</v>
      </c>
      <c r="N1534">
        <v>22</v>
      </c>
      <c r="O1534">
        <v>1</v>
      </c>
      <c r="P1534">
        <v>0</v>
      </c>
      <c r="Q1534">
        <v>0</v>
      </c>
      <c r="T1534" s="358" t="str">
        <f t="shared" si="93"/>
        <v>2003AllSexNon-Maori22Poisoning by solids and liquids</v>
      </c>
      <c r="U1534" s="360">
        <v>2003</v>
      </c>
      <c r="V1534" s="360" t="s">
        <v>17</v>
      </c>
      <c r="W1534" s="360" t="s">
        <v>19</v>
      </c>
      <c r="X1534" s="360">
        <v>22</v>
      </c>
      <c r="Y1534" s="360" t="s">
        <v>47</v>
      </c>
      <c r="Z1534" s="360">
        <v>3</v>
      </c>
      <c r="AA1534" s="360">
        <v>67</v>
      </c>
      <c r="AB1534" s="360">
        <v>4.5</v>
      </c>
    </row>
    <row r="1535" spans="10:28" x14ac:dyDescent="0.2">
      <c r="J1535" s="358" t="str">
        <f t="shared" si="92"/>
        <v>2004MaleMaori222</v>
      </c>
      <c r="K1535" s="359">
        <v>2004</v>
      </c>
      <c r="L1535" t="s">
        <v>20</v>
      </c>
      <c r="M1535" t="s">
        <v>18</v>
      </c>
      <c r="N1535">
        <v>22</v>
      </c>
      <c r="O1535">
        <v>2</v>
      </c>
      <c r="P1535">
        <v>2</v>
      </c>
      <c r="Q1535">
        <v>32.768417254710101</v>
      </c>
      <c r="R1535">
        <v>45.4</v>
      </c>
      <c r="T1535" s="358" t="str">
        <f t="shared" si="93"/>
        <v>2003AllSexNon-Maori23Poisoning by solids and liquids</v>
      </c>
      <c r="U1535" s="360">
        <v>2003</v>
      </c>
      <c r="V1535" s="360" t="s">
        <v>17</v>
      </c>
      <c r="W1535" s="360" t="s">
        <v>19</v>
      </c>
      <c r="X1535" s="360">
        <v>23</v>
      </c>
      <c r="Y1535" s="360" t="s">
        <v>47</v>
      </c>
      <c r="Z1535" s="360">
        <v>24</v>
      </c>
      <c r="AA1535" s="360">
        <v>171</v>
      </c>
      <c r="AB1535" s="360">
        <v>14</v>
      </c>
    </row>
    <row r="1536" spans="10:28" x14ac:dyDescent="0.2">
      <c r="J1536" s="358" t="str">
        <f t="shared" si="92"/>
        <v>2004MaleMaori223</v>
      </c>
      <c r="K1536" s="359">
        <v>2004</v>
      </c>
      <c r="L1536" t="s">
        <v>20</v>
      </c>
      <c r="M1536" t="s">
        <v>18</v>
      </c>
      <c r="N1536">
        <v>22</v>
      </c>
      <c r="O1536">
        <v>3</v>
      </c>
      <c r="P1536">
        <v>4</v>
      </c>
      <c r="Q1536">
        <v>44.241129710481701</v>
      </c>
      <c r="R1536">
        <v>43.4</v>
      </c>
      <c r="T1536" s="358" t="str">
        <f t="shared" si="93"/>
        <v>2003AllSexNon-Maori24Poisoning by solids and liquids</v>
      </c>
      <c r="U1536" s="360">
        <v>2003</v>
      </c>
      <c r="V1536" s="360" t="s">
        <v>17</v>
      </c>
      <c r="W1536" s="360" t="s">
        <v>19</v>
      </c>
      <c r="X1536" s="360">
        <v>24</v>
      </c>
      <c r="Y1536" s="360" t="s">
        <v>47</v>
      </c>
      <c r="Z1536" s="360">
        <v>22</v>
      </c>
      <c r="AA1536" s="360">
        <v>130</v>
      </c>
      <c r="AB1536" s="360">
        <v>16.899999999999999</v>
      </c>
    </row>
    <row r="1537" spans="10:28" x14ac:dyDescent="0.2">
      <c r="J1537" s="358" t="str">
        <f t="shared" si="92"/>
        <v>2004MaleMaori224</v>
      </c>
      <c r="K1537" s="359">
        <v>2004</v>
      </c>
      <c r="L1537" t="s">
        <v>20</v>
      </c>
      <c r="M1537" t="s">
        <v>18</v>
      </c>
      <c r="N1537">
        <v>22</v>
      </c>
      <c r="O1537">
        <v>4</v>
      </c>
      <c r="P1537">
        <v>7</v>
      </c>
      <c r="Q1537">
        <v>53.244667164693901</v>
      </c>
      <c r="R1537">
        <v>39.4</v>
      </c>
      <c r="T1537" s="358" t="str">
        <f t="shared" si="93"/>
        <v>2003AllSexNon-Maori25Poisoning by solids and liquids</v>
      </c>
      <c r="U1537" s="360">
        <v>2003</v>
      </c>
      <c r="V1537" s="360" t="s">
        <v>17</v>
      </c>
      <c r="W1537" s="360" t="s">
        <v>19</v>
      </c>
      <c r="X1537" s="360">
        <v>25</v>
      </c>
      <c r="Y1537" s="360" t="s">
        <v>47</v>
      </c>
      <c r="Z1537" s="360">
        <v>8</v>
      </c>
      <c r="AA1537" s="360">
        <v>67</v>
      </c>
      <c r="AB1537" s="360">
        <v>11.9</v>
      </c>
    </row>
    <row r="1538" spans="10:28" x14ac:dyDescent="0.2">
      <c r="J1538" s="358" t="str">
        <f t="shared" si="92"/>
        <v>2004MaleMaori225</v>
      </c>
      <c r="K1538" s="359">
        <v>2004</v>
      </c>
      <c r="L1538" t="s">
        <v>20</v>
      </c>
      <c r="M1538" t="s">
        <v>18</v>
      </c>
      <c r="N1538">
        <v>22</v>
      </c>
      <c r="O1538">
        <v>5</v>
      </c>
      <c r="P1538">
        <v>15</v>
      </c>
      <c r="Q1538">
        <v>66.519684165886105</v>
      </c>
      <c r="R1538">
        <v>33.700000000000003</v>
      </c>
      <c r="T1538" s="358" t="str">
        <f t="shared" si="93"/>
        <v>2003AllSexNon-Maori22Sharp object</v>
      </c>
      <c r="U1538" s="360">
        <v>2003</v>
      </c>
      <c r="V1538" s="360" t="s">
        <v>17</v>
      </c>
      <c r="W1538" s="360" t="s">
        <v>19</v>
      </c>
      <c r="X1538" s="360">
        <v>22</v>
      </c>
      <c r="Y1538" s="360" t="s">
        <v>48</v>
      </c>
      <c r="Z1538" s="360">
        <v>1</v>
      </c>
      <c r="AA1538" s="360">
        <v>67</v>
      </c>
      <c r="AB1538" s="360">
        <v>1.5</v>
      </c>
    </row>
    <row r="1539" spans="10:28" x14ac:dyDescent="0.2">
      <c r="J1539" s="358" t="str">
        <f t="shared" si="92"/>
        <v>2004MaleMaori231</v>
      </c>
      <c r="K1539" s="359">
        <v>2004</v>
      </c>
      <c r="L1539" t="s">
        <v>20</v>
      </c>
      <c r="M1539" t="s">
        <v>18</v>
      </c>
      <c r="N1539">
        <v>23</v>
      </c>
      <c r="O1539">
        <v>1</v>
      </c>
      <c r="P1539">
        <v>2</v>
      </c>
      <c r="Q1539">
        <v>28.255377585428299</v>
      </c>
      <c r="R1539">
        <v>39.200000000000003</v>
      </c>
      <c r="T1539" s="358" t="str">
        <f t="shared" si="93"/>
        <v>2003AllSexNon-Maori23Sharp object</v>
      </c>
      <c r="U1539" s="360">
        <v>2003</v>
      </c>
      <c r="V1539" s="360" t="s">
        <v>17</v>
      </c>
      <c r="W1539" s="360" t="s">
        <v>19</v>
      </c>
      <c r="X1539" s="360">
        <v>23</v>
      </c>
      <c r="Y1539" s="360" t="s">
        <v>48</v>
      </c>
      <c r="Z1539" s="360">
        <v>5</v>
      </c>
      <c r="AA1539" s="360">
        <v>171</v>
      </c>
      <c r="AB1539" s="360">
        <v>2.9</v>
      </c>
    </row>
    <row r="1540" spans="10:28" x14ac:dyDescent="0.2">
      <c r="J1540" s="358" t="str">
        <f t="shared" ref="J1540:J1603" si="94">K1540&amp;L1540&amp;M1540&amp;N1540&amp;O1540</f>
        <v>2004MaleMaori232</v>
      </c>
      <c r="K1540" s="359">
        <v>2004</v>
      </c>
      <c r="L1540" t="s">
        <v>20</v>
      </c>
      <c r="M1540" t="s">
        <v>18</v>
      </c>
      <c r="N1540">
        <v>23</v>
      </c>
      <c r="O1540">
        <v>2</v>
      </c>
      <c r="P1540">
        <v>4</v>
      </c>
      <c r="Q1540">
        <v>39.5828876460508</v>
      </c>
      <c r="R1540">
        <v>38.799999999999997</v>
      </c>
      <c r="T1540" s="358" t="str">
        <f t="shared" si="93"/>
        <v>2003AllSexNon-Maori24Sharp object</v>
      </c>
      <c r="U1540" s="360">
        <v>2003</v>
      </c>
      <c r="V1540" s="360" t="s">
        <v>17</v>
      </c>
      <c r="W1540" s="360" t="s">
        <v>19</v>
      </c>
      <c r="X1540" s="360">
        <v>24</v>
      </c>
      <c r="Y1540" s="360" t="s">
        <v>48</v>
      </c>
      <c r="Z1540" s="360">
        <v>5</v>
      </c>
      <c r="AA1540" s="360">
        <v>130</v>
      </c>
      <c r="AB1540" s="360">
        <v>3.8</v>
      </c>
    </row>
    <row r="1541" spans="10:28" x14ac:dyDescent="0.2">
      <c r="J1541" s="358" t="str">
        <f t="shared" si="94"/>
        <v>2004MaleMaori233</v>
      </c>
      <c r="K1541" s="359">
        <v>2004</v>
      </c>
      <c r="L1541" t="s">
        <v>20</v>
      </c>
      <c r="M1541" t="s">
        <v>18</v>
      </c>
      <c r="N1541">
        <v>23</v>
      </c>
      <c r="O1541">
        <v>3</v>
      </c>
      <c r="P1541">
        <v>2</v>
      </c>
      <c r="Q1541">
        <v>14.350697278378201</v>
      </c>
      <c r="R1541">
        <v>19.899999999999999</v>
      </c>
      <c r="T1541" s="358" t="str">
        <f t="shared" ref="T1541:T1604" si="95">U1541&amp;V1541&amp;W1541&amp;X1541&amp;Y1541</f>
        <v>2003AllSexNon-Maori25Sharp object</v>
      </c>
      <c r="U1541" s="360">
        <v>2003</v>
      </c>
      <c r="V1541" s="360" t="s">
        <v>17</v>
      </c>
      <c r="W1541" s="360" t="s">
        <v>19</v>
      </c>
      <c r="X1541" s="360">
        <v>25</v>
      </c>
      <c r="Y1541" s="360" t="s">
        <v>48</v>
      </c>
      <c r="Z1541" s="360">
        <v>6</v>
      </c>
      <c r="AA1541" s="360">
        <v>67</v>
      </c>
      <c r="AB1541" s="360">
        <v>9</v>
      </c>
    </row>
    <row r="1542" spans="10:28" x14ac:dyDescent="0.2">
      <c r="J1542" s="358" t="str">
        <f t="shared" si="94"/>
        <v>2004MaleMaori234</v>
      </c>
      <c r="K1542" s="359">
        <v>2004</v>
      </c>
      <c r="L1542" t="s">
        <v>20</v>
      </c>
      <c r="M1542" t="s">
        <v>18</v>
      </c>
      <c r="N1542">
        <v>23</v>
      </c>
      <c r="O1542">
        <v>4</v>
      </c>
      <c r="P1542">
        <v>13</v>
      </c>
      <c r="Q1542">
        <v>68.049458530608405</v>
      </c>
      <c r="R1542">
        <v>37</v>
      </c>
      <c r="T1542" s="358" t="str">
        <f t="shared" si="95"/>
        <v>2003AllSexNon-Maori23Submersion (drowning)</v>
      </c>
      <c r="U1542" s="360">
        <v>2003</v>
      </c>
      <c r="V1542" s="360" t="s">
        <v>17</v>
      </c>
      <c r="W1542" s="360" t="s">
        <v>19</v>
      </c>
      <c r="X1542" s="360">
        <v>23</v>
      </c>
      <c r="Y1542" s="360" t="s">
        <v>49</v>
      </c>
      <c r="Z1542" s="360">
        <v>6</v>
      </c>
      <c r="AA1542" s="360">
        <v>171</v>
      </c>
      <c r="AB1542" s="360">
        <v>3.5</v>
      </c>
    </row>
    <row r="1543" spans="10:28" x14ac:dyDescent="0.2">
      <c r="J1543" s="358" t="str">
        <f t="shared" si="94"/>
        <v>2004MaleMaori235</v>
      </c>
      <c r="K1543" s="359">
        <v>2004</v>
      </c>
      <c r="L1543" t="s">
        <v>20</v>
      </c>
      <c r="M1543" t="s">
        <v>18</v>
      </c>
      <c r="N1543">
        <v>23</v>
      </c>
      <c r="O1543">
        <v>5</v>
      </c>
      <c r="P1543">
        <v>22</v>
      </c>
      <c r="Q1543">
        <v>73.934750367582097</v>
      </c>
      <c r="R1543">
        <v>30.9</v>
      </c>
      <c r="T1543" s="358" t="str">
        <f t="shared" si="95"/>
        <v>2003AllSexNon-Maori24Submersion (drowning)</v>
      </c>
      <c r="U1543" s="360">
        <v>2003</v>
      </c>
      <c r="V1543" s="360" t="s">
        <v>17</v>
      </c>
      <c r="W1543" s="360" t="s">
        <v>19</v>
      </c>
      <c r="X1543" s="360">
        <v>24</v>
      </c>
      <c r="Y1543" s="360" t="s">
        <v>49</v>
      </c>
      <c r="Z1543" s="360">
        <v>5</v>
      </c>
      <c r="AA1543" s="360">
        <v>130</v>
      </c>
      <c r="AB1543" s="360">
        <v>3.8</v>
      </c>
    </row>
    <row r="1544" spans="10:28" x14ac:dyDescent="0.2">
      <c r="J1544" s="358" t="str">
        <f t="shared" si="94"/>
        <v>2004MaleMaori241</v>
      </c>
      <c r="K1544" s="359">
        <v>2004</v>
      </c>
      <c r="L1544" t="s">
        <v>20</v>
      </c>
      <c r="M1544" t="s">
        <v>18</v>
      </c>
      <c r="N1544">
        <v>24</v>
      </c>
      <c r="O1544">
        <v>1</v>
      </c>
      <c r="P1544">
        <v>0</v>
      </c>
      <c r="Q1544">
        <v>0</v>
      </c>
      <c r="T1544" s="358" t="str">
        <f t="shared" si="95"/>
        <v>2003AllSexNon-Maori25Submersion (drowning)</v>
      </c>
      <c r="U1544" s="360">
        <v>2003</v>
      </c>
      <c r="V1544" s="360" t="s">
        <v>17</v>
      </c>
      <c r="W1544" s="360" t="s">
        <v>19</v>
      </c>
      <c r="X1544" s="360">
        <v>25</v>
      </c>
      <c r="Y1544" s="360" t="s">
        <v>49</v>
      </c>
      <c r="Z1544" s="360">
        <v>2</v>
      </c>
      <c r="AA1544" s="360">
        <v>67</v>
      </c>
      <c r="AB1544" s="360">
        <v>3</v>
      </c>
    </row>
    <row r="1545" spans="10:28" x14ac:dyDescent="0.2">
      <c r="J1545" s="358" t="str">
        <f t="shared" si="94"/>
        <v>2004MaleMaori242</v>
      </c>
      <c r="K1545" s="359">
        <v>2004</v>
      </c>
      <c r="L1545" t="s">
        <v>20</v>
      </c>
      <c r="M1545" t="s">
        <v>18</v>
      </c>
      <c r="N1545">
        <v>24</v>
      </c>
      <c r="O1545">
        <v>2</v>
      </c>
      <c r="P1545">
        <v>2</v>
      </c>
      <c r="Q1545">
        <v>38.6526504586841</v>
      </c>
      <c r="R1545">
        <v>53.6</v>
      </c>
      <c r="T1545" s="358" t="str">
        <f t="shared" si="95"/>
        <v>2003FemaleAllEth22Firearms and explosives</v>
      </c>
      <c r="U1545" s="360">
        <v>2003</v>
      </c>
      <c r="V1545" s="360" t="s">
        <v>8</v>
      </c>
      <c r="W1545" s="360" t="s">
        <v>27</v>
      </c>
      <c r="X1545" s="360">
        <v>22</v>
      </c>
      <c r="Y1545" s="360" t="s">
        <v>42</v>
      </c>
      <c r="Z1545" s="360">
        <v>1</v>
      </c>
      <c r="AA1545" s="360">
        <v>31</v>
      </c>
      <c r="AB1545" s="360">
        <v>3.2</v>
      </c>
    </row>
    <row r="1546" spans="10:28" x14ac:dyDescent="0.2">
      <c r="J1546" s="358" t="str">
        <f t="shared" si="94"/>
        <v>2004MaleMaori243</v>
      </c>
      <c r="K1546" s="359">
        <v>2004</v>
      </c>
      <c r="L1546" t="s">
        <v>20</v>
      </c>
      <c r="M1546" t="s">
        <v>18</v>
      </c>
      <c r="N1546">
        <v>24</v>
      </c>
      <c r="O1546">
        <v>3</v>
      </c>
      <c r="P1546">
        <v>0</v>
      </c>
      <c r="Q1546">
        <v>0</v>
      </c>
      <c r="T1546" s="358" t="str">
        <f t="shared" si="95"/>
        <v>2003FemaleAllEth24Firearms and explosives</v>
      </c>
      <c r="U1546" s="360">
        <v>2003</v>
      </c>
      <c r="V1546" s="360" t="s">
        <v>8</v>
      </c>
      <c r="W1546" s="360" t="s">
        <v>27</v>
      </c>
      <c r="X1546" s="360">
        <v>24</v>
      </c>
      <c r="Y1546" s="360" t="s">
        <v>42</v>
      </c>
      <c r="Z1546" s="360">
        <v>1</v>
      </c>
      <c r="AA1546" s="360">
        <v>35</v>
      </c>
      <c r="AB1546" s="360">
        <v>2.9</v>
      </c>
    </row>
    <row r="1547" spans="10:28" x14ac:dyDescent="0.2">
      <c r="J1547" s="358" t="str">
        <f t="shared" si="94"/>
        <v>2004MaleMaori244</v>
      </c>
      <c r="K1547" s="359">
        <v>2004</v>
      </c>
      <c r="L1547" t="s">
        <v>20</v>
      </c>
      <c r="M1547" t="s">
        <v>18</v>
      </c>
      <c r="N1547">
        <v>24</v>
      </c>
      <c r="O1547">
        <v>4</v>
      </c>
      <c r="P1547">
        <v>1</v>
      </c>
      <c r="Q1547">
        <v>10.0543811680538</v>
      </c>
      <c r="R1547">
        <v>19.7</v>
      </c>
      <c r="T1547" s="358" t="str">
        <f t="shared" si="95"/>
        <v>2003FemaleAllEth25Firearms and explosives</v>
      </c>
      <c r="U1547" s="360">
        <v>2003</v>
      </c>
      <c r="V1547" s="360" t="s">
        <v>8</v>
      </c>
      <c r="W1547" s="360" t="s">
        <v>27</v>
      </c>
      <c r="X1547" s="360">
        <v>25</v>
      </c>
      <c r="Y1547" s="360" t="s">
        <v>42</v>
      </c>
      <c r="Z1547" s="360">
        <v>2</v>
      </c>
      <c r="AA1547" s="360">
        <v>21</v>
      </c>
      <c r="AB1547" s="360">
        <v>9.5</v>
      </c>
    </row>
    <row r="1548" spans="10:28" x14ac:dyDescent="0.2">
      <c r="J1548" s="358" t="str">
        <f t="shared" si="94"/>
        <v>2004MaleMaori245</v>
      </c>
      <c r="K1548" s="359">
        <v>2004</v>
      </c>
      <c r="L1548" t="s">
        <v>20</v>
      </c>
      <c r="M1548" t="s">
        <v>18</v>
      </c>
      <c r="N1548">
        <v>24</v>
      </c>
      <c r="O1548">
        <v>5</v>
      </c>
      <c r="P1548">
        <v>3</v>
      </c>
      <c r="Q1548">
        <v>17.546954530066401</v>
      </c>
      <c r="R1548">
        <v>19.899999999999999</v>
      </c>
      <c r="T1548" s="358" t="str">
        <f t="shared" si="95"/>
        <v>2003FemaleAllEth21Hanging, strangulation and suffocation</v>
      </c>
      <c r="U1548" s="360">
        <v>2003</v>
      </c>
      <c r="V1548" s="360" t="s">
        <v>8</v>
      </c>
      <c r="W1548" s="360" t="s">
        <v>27</v>
      </c>
      <c r="X1548" s="360">
        <v>21</v>
      </c>
      <c r="Y1548" s="360" t="s">
        <v>43</v>
      </c>
      <c r="Z1548" s="360">
        <v>1</v>
      </c>
      <c r="AA1548" s="360">
        <v>1</v>
      </c>
      <c r="AB1548" s="360">
        <v>100</v>
      </c>
    </row>
    <row r="1549" spans="10:28" x14ac:dyDescent="0.2">
      <c r="J1549" s="358" t="str">
        <f t="shared" si="94"/>
        <v>2004MaleMaori251</v>
      </c>
      <c r="K1549" s="359">
        <v>2004</v>
      </c>
      <c r="L1549" t="s">
        <v>20</v>
      </c>
      <c r="M1549" t="s">
        <v>18</v>
      </c>
      <c r="N1549">
        <v>25</v>
      </c>
      <c r="O1549">
        <v>1</v>
      </c>
      <c r="P1549">
        <v>0</v>
      </c>
      <c r="Q1549">
        <v>0</v>
      </c>
      <c r="T1549" s="358" t="str">
        <f t="shared" si="95"/>
        <v>2003FemaleAllEth22Hanging, strangulation and suffocation</v>
      </c>
      <c r="U1549" s="360">
        <v>2003</v>
      </c>
      <c r="V1549" s="360" t="s">
        <v>8</v>
      </c>
      <c r="W1549" s="360" t="s">
        <v>27</v>
      </c>
      <c r="X1549" s="360">
        <v>22</v>
      </c>
      <c r="Y1549" s="360" t="s">
        <v>43</v>
      </c>
      <c r="Z1549" s="360">
        <v>19</v>
      </c>
      <c r="AA1549" s="360">
        <v>31</v>
      </c>
      <c r="AB1549" s="360">
        <v>61.3</v>
      </c>
    </row>
    <row r="1550" spans="10:28" x14ac:dyDescent="0.2">
      <c r="J1550" s="358" t="str">
        <f t="shared" si="94"/>
        <v>2004MaleMaori252</v>
      </c>
      <c r="K1550" s="359">
        <v>2004</v>
      </c>
      <c r="L1550" t="s">
        <v>20</v>
      </c>
      <c r="M1550" t="s">
        <v>18</v>
      </c>
      <c r="N1550">
        <v>25</v>
      </c>
      <c r="O1550">
        <v>2</v>
      </c>
      <c r="P1550">
        <v>0</v>
      </c>
      <c r="Q1550">
        <v>0</v>
      </c>
      <c r="T1550" s="358" t="str">
        <f t="shared" si="95"/>
        <v>2003FemaleAllEth23Hanging, strangulation and suffocation</v>
      </c>
      <c r="U1550" s="360">
        <v>2003</v>
      </c>
      <c r="V1550" s="360" t="s">
        <v>8</v>
      </c>
      <c r="W1550" s="360" t="s">
        <v>27</v>
      </c>
      <c r="X1550" s="360">
        <v>23</v>
      </c>
      <c r="Y1550" s="360" t="s">
        <v>43</v>
      </c>
      <c r="Z1550" s="360">
        <v>23</v>
      </c>
      <c r="AA1550" s="360">
        <v>54</v>
      </c>
      <c r="AB1550" s="360">
        <v>42.6</v>
      </c>
    </row>
    <row r="1551" spans="10:28" x14ac:dyDescent="0.2">
      <c r="J1551" s="358" t="str">
        <f t="shared" si="94"/>
        <v>2004MaleMaori253</v>
      </c>
      <c r="K1551" s="359">
        <v>2004</v>
      </c>
      <c r="L1551" t="s">
        <v>20</v>
      </c>
      <c r="M1551" t="s">
        <v>18</v>
      </c>
      <c r="N1551">
        <v>25</v>
      </c>
      <c r="O1551">
        <v>3</v>
      </c>
      <c r="P1551">
        <v>0</v>
      </c>
      <c r="Q1551">
        <v>0</v>
      </c>
      <c r="T1551" s="358" t="str">
        <f t="shared" si="95"/>
        <v>2003FemaleAllEth24Hanging, strangulation and suffocation</v>
      </c>
      <c r="U1551" s="360">
        <v>2003</v>
      </c>
      <c r="V1551" s="360" t="s">
        <v>8</v>
      </c>
      <c r="W1551" s="360" t="s">
        <v>27</v>
      </c>
      <c r="X1551" s="360">
        <v>24</v>
      </c>
      <c r="Y1551" s="360" t="s">
        <v>43</v>
      </c>
      <c r="Z1551" s="360">
        <v>7</v>
      </c>
      <c r="AA1551" s="360">
        <v>35</v>
      </c>
      <c r="AB1551" s="360">
        <v>20</v>
      </c>
    </row>
    <row r="1552" spans="10:28" x14ac:dyDescent="0.2">
      <c r="J1552" s="358" t="str">
        <f t="shared" si="94"/>
        <v>2004MaleMaori254</v>
      </c>
      <c r="K1552" s="359">
        <v>2004</v>
      </c>
      <c r="L1552" t="s">
        <v>20</v>
      </c>
      <c r="M1552" t="s">
        <v>18</v>
      </c>
      <c r="N1552">
        <v>25</v>
      </c>
      <c r="O1552">
        <v>4</v>
      </c>
      <c r="P1552">
        <v>1</v>
      </c>
      <c r="Q1552">
        <v>40.948238571752803</v>
      </c>
      <c r="R1552">
        <v>80.3</v>
      </c>
      <c r="T1552" s="358" t="str">
        <f t="shared" si="95"/>
        <v>2003FemaleAllEth25Hanging, strangulation and suffocation</v>
      </c>
      <c r="U1552" s="360">
        <v>2003</v>
      </c>
      <c r="V1552" s="360" t="s">
        <v>8</v>
      </c>
      <c r="W1552" s="360" t="s">
        <v>27</v>
      </c>
      <c r="X1552" s="360">
        <v>25</v>
      </c>
      <c r="Y1552" s="360" t="s">
        <v>43</v>
      </c>
      <c r="Z1552" s="360">
        <v>12</v>
      </c>
      <c r="AA1552" s="360">
        <v>21</v>
      </c>
      <c r="AB1552" s="360">
        <v>57.1</v>
      </c>
    </row>
    <row r="1553" spans="10:28" x14ac:dyDescent="0.2">
      <c r="J1553" s="358" t="str">
        <f t="shared" si="94"/>
        <v>2004MaleMaori255</v>
      </c>
      <c r="K1553" s="359">
        <v>2004</v>
      </c>
      <c r="L1553" t="s">
        <v>20</v>
      </c>
      <c r="M1553" t="s">
        <v>18</v>
      </c>
      <c r="N1553">
        <v>25</v>
      </c>
      <c r="O1553">
        <v>5</v>
      </c>
      <c r="P1553">
        <v>1</v>
      </c>
      <c r="Q1553">
        <v>21.975464596869902</v>
      </c>
      <c r="R1553">
        <v>43.1</v>
      </c>
      <c r="T1553" s="358" t="str">
        <f t="shared" si="95"/>
        <v>2003FemaleAllEth22Jumping from a high place</v>
      </c>
      <c r="U1553" s="360">
        <v>2003</v>
      </c>
      <c r="V1553" s="360" t="s">
        <v>8</v>
      </c>
      <c r="W1553" s="360" t="s">
        <v>27</v>
      </c>
      <c r="X1553" s="360">
        <v>22</v>
      </c>
      <c r="Y1553" s="360" t="s">
        <v>44</v>
      </c>
      <c r="Z1553" s="360">
        <v>3</v>
      </c>
      <c r="AA1553" s="360">
        <v>31</v>
      </c>
      <c r="AB1553" s="360">
        <v>9.6999999999999993</v>
      </c>
    </row>
    <row r="1554" spans="10:28" x14ac:dyDescent="0.2">
      <c r="J1554" s="358" t="str">
        <f t="shared" si="94"/>
        <v>2004MaleNon-Maori211</v>
      </c>
      <c r="K1554" s="359">
        <v>2004</v>
      </c>
      <c r="L1554" t="s">
        <v>20</v>
      </c>
      <c r="M1554" t="s">
        <v>19</v>
      </c>
      <c r="N1554">
        <v>21</v>
      </c>
      <c r="O1554">
        <v>1</v>
      </c>
      <c r="P1554">
        <v>0</v>
      </c>
      <c r="T1554" s="358" t="str">
        <f t="shared" si="95"/>
        <v>2003FemaleAllEth23Jumping from a high place</v>
      </c>
      <c r="U1554" s="360">
        <v>2003</v>
      </c>
      <c r="V1554" s="360" t="s">
        <v>8</v>
      </c>
      <c r="W1554" s="360" t="s">
        <v>27</v>
      </c>
      <c r="X1554" s="360">
        <v>23</v>
      </c>
      <c r="Y1554" s="360" t="s">
        <v>44</v>
      </c>
      <c r="Z1554" s="360">
        <v>2</v>
      </c>
      <c r="AA1554" s="360">
        <v>54</v>
      </c>
      <c r="AB1554" s="360">
        <v>3.7</v>
      </c>
    </row>
    <row r="1555" spans="10:28" x14ac:dyDescent="0.2">
      <c r="J1555" s="358" t="str">
        <f t="shared" si="94"/>
        <v>2004MaleNon-Maori212</v>
      </c>
      <c r="K1555" s="359">
        <v>2004</v>
      </c>
      <c r="L1555" t="s">
        <v>20</v>
      </c>
      <c r="M1555" t="s">
        <v>19</v>
      </c>
      <c r="N1555">
        <v>21</v>
      </c>
      <c r="O1555">
        <v>2</v>
      </c>
      <c r="P1555">
        <v>1</v>
      </c>
      <c r="T1555" s="358" t="str">
        <f t="shared" si="95"/>
        <v>2003FemaleAllEth24Jumping from a high place</v>
      </c>
      <c r="U1555" s="360">
        <v>2003</v>
      </c>
      <c r="V1555" s="360" t="s">
        <v>8</v>
      </c>
      <c r="W1555" s="360" t="s">
        <v>27</v>
      </c>
      <c r="X1555" s="360">
        <v>24</v>
      </c>
      <c r="Y1555" s="360" t="s">
        <v>44</v>
      </c>
      <c r="Z1555" s="360">
        <v>3</v>
      </c>
      <c r="AA1555" s="360">
        <v>35</v>
      </c>
      <c r="AB1555" s="360">
        <v>8.6</v>
      </c>
    </row>
    <row r="1556" spans="10:28" x14ac:dyDescent="0.2">
      <c r="J1556" s="358" t="str">
        <f t="shared" si="94"/>
        <v>2004MaleNon-Maori213</v>
      </c>
      <c r="K1556" s="359">
        <v>2004</v>
      </c>
      <c r="L1556" t="s">
        <v>20</v>
      </c>
      <c r="M1556" t="s">
        <v>19</v>
      </c>
      <c r="N1556">
        <v>21</v>
      </c>
      <c r="O1556">
        <v>3</v>
      </c>
      <c r="P1556">
        <v>0</v>
      </c>
      <c r="T1556" s="358" t="str">
        <f t="shared" si="95"/>
        <v>2003FemaleAllEth24Other</v>
      </c>
      <c r="U1556" s="360">
        <v>2003</v>
      </c>
      <c r="V1556" s="360" t="s">
        <v>8</v>
      </c>
      <c r="W1556" s="360" t="s">
        <v>27</v>
      </c>
      <c r="X1556" s="360">
        <v>24</v>
      </c>
      <c r="Y1556" s="360" t="s">
        <v>45</v>
      </c>
      <c r="Z1556" s="360">
        <v>2</v>
      </c>
      <c r="AA1556" s="360">
        <v>35</v>
      </c>
      <c r="AB1556" s="360">
        <v>5.7</v>
      </c>
    </row>
    <row r="1557" spans="10:28" x14ac:dyDescent="0.2">
      <c r="J1557" s="358" t="str">
        <f t="shared" si="94"/>
        <v>2004MaleNon-Maori214</v>
      </c>
      <c r="K1557" s="359">
        <v>2004</v>
      </c>
      <c r="L1557" t="s">
        <v>20</v>
      </c>
      <c r="M1557" t="s">
        <v>19</v>
      </c>
      <c r="N1557">
        <v>21</v>
      </c>
      <c r="O1557">
        <v>4</v>
      </c>
      <c r="P1557">
        <v>0</v>
      </c>
      <c r="T1557" s="358" t="str">
        <f t="shared" si="95"/>
        <v>2003FemaleAllEth22Poisoning by gases and vapours</v>
      </c>
      <c r="U1557" s="360">
        <v>2003</v>
      </c>
      <c r="V1557" s="360" t="s">
        <v>8</v>
      </c>
      <c r="W1557" s="360" t="s">
        <v>27</v>
      </c>
      <c r="X1557" s="360">
        <v>22</v>
      </c>
      <c r="Y1557" s="360" t="s">
        <v>46</v>
      </c>
      <c r="Z1557" s="360">
        <v>5</v>
      </c>
      <c r="AA1557" s="360">
        <v>31</v>
      </c>
      <c r="AB1557" s="360">
        <v>16.100000000000001</v>
      </c>
    </row>
    <row r="1558" spans="10:28" x14ac:dyDescent="0.2">
      <c r="J1558" s="358" t="str">
        <f t="shared" si="94"/>
        <v>2004MaleNon-Maori215</v>
      </c>
      <c r="K1558" s="359">
        <v>2004</v>
      </c>
      <c r="L1558" t="s">
        <v>20</v>
      </c>
      <c r="M1558" t="s">
        <v>19</v>
      </c>
      <c r="N1558">
        <v>21</v>
      </c>
      <c r="O1558">
        <v>5</v>
      </c>
      <c r="P1558">
        <v>1</v>
      </c>
      <c r="T1558" s="358" t="str">
        <f t="shared" si="95"/>
        <v>2003FemaleAllEth23Poisoning by gases and vapours</v>
      </c>
      <c r="U1558" s="360">
        <v>2003</v>
      </c>
      <c r="V1558" s="360" t="s">
        <v>8</v>
      </c>
      <c r="W1558" s="360" t="s">
        <v>27</v>
      </c>
      <c r="X1558" s="360">
        <v>23</v>
      </c>
      <c r="Y1558" s="360" t="s">
        <v>46</v>
      </c>
      <c r="Z1558" s="360">
        <v>13</v>
      </c>
      <c r="AA1558" s="360">
        <v>54</v>
      </c>
      <c r="AB1558" s="360">
        <v>24.1</v>
      </c>
    </row>
    <row r="1559" spans="10:28" x14ac:dyDescent="0.2">
      <c r="J1559" s="358" t="str">
        <f t="shared" si="94"/>
        <v>2004MaleNon-Maori221</v>
      </c>
      <c r="K1559" s="359">
        <v>2004</v>
      </c>
      <c r="L1559" t="s">
        <v>20</v>
      </c>
      <c r="M1559" t="s">
        <v>19</v>
      </c>
      <c r="N1559">
        <v>22</v>
      </c>
      <c r="O1559">
        <v>1</v>
      </c>
      <c r="P1559">
        <v>9</v>
      </c>
      <c r="Q1559">
        <v>18.664586597312699</v>
      </c>
      <c r="R1559">
        <v>12.2</v>
      </c>
      <c r="T1559" s="358" t="str">
        <f t="shared" si="95"/>
        <v>2003FemaleAllEth24Poisoning by gases and vapours</v>
      </c>
      <c r="U1559" s="360">
        <v>2003</v>
      </c>
      <c r="V1559" s="360" t="s">
        <v>8</v>
      </c>
      <c r="W1559" s="360" t="s">
        <v>27</v>
      </c>
      <c r="X1559" s="360">
        <v>24</v>
      </c>
      <c r="Y1559" s="360" t="s">
        <v>46</v>
      </c>
      <c r="Z1559" s="360">
        <v>8</v>
      </c>
      <c r="AA1559" s="360">
        <v>35</v>
      </c>
      <c r="AB1559" s="360">
        <v>22.9</v>
      </c>
    </row>
    <row r="1560" spans="10:28" x14ac:dyDescent="0.2">
      <c r="J1560" s="358" t="str">
        <f t="shared" si="94"/>
        <v>2004MaleNon-Maori222</v>
      </c>
      <c r="K1560" s="359">
        <v>2004</v>
      </c>
      <c r="L1560" t="s">
        <v>20</v>
      </c>
      <c r="M1560" t="s">
        <v>19</v>
      </c>
      <c r="N1560">
        <v>22</v>
      </c>
      <c r="O1560">
        <v>2</v>
      </c>
      <c r="P1560">
        <v>9</v>
      </c>
      <c r="Q1560">
        <v>18.381847409924902</v>
      </c>
      <c r="R1560">
        <v>12</v>
      </c>
      <c r="T1560" s="358" t="str">
        <f t="shared" si="95"/>
        <v>2003FemaleAllEth25Poisoning by gases and vapours</v>
      </c>
      <c r="U1560" s="360">
        <v>2003</v>
      </c>
      <c r="V1560" s="360" t="s">
        <v>8</v>
      </c>
      <c r="W1560" s="360" t="s">
        <v>27</v>
      </c>
      <c r="X1560" s="360">
        <v>25</v>
      </c>
      <c r="Y1560" s="360" t="s">
        <v>46</v>
      </c>
      <c r="Z1560" s="360">
        <v>3</v>
      </c>
      <c r="AA1560" s="360">
        <v>21</v>
      </c>
      <c r="AB1560" s="360">
        <v>14.3</v>
      </c>
    </row>
    <row r="1561" spans="10:28" x14ac:dyDescent="0.2">
      <c r="J1561" s="358" t="str">
        <f t="shared" si="94"/>
        <v>2004MaleNon-Maori223</v>
      </c>
      <c r="K1561" s="359">
        <v>2004</v>
      </c>
      <c r="L1561" t="s">
        <v>20</v>
      </c>
      <c r="M1561" t="s">
        <v>19</v>
      </c>
      <c r="N1561">
        <v>22</v>
      </c>
      <c r="O1561">
        <v>3</v>
      </c>
      <c r="P1561">
        <v>11</v>
      </c>
      <c r="Q1561">
        <v>22.368504094439199</v>
      </c>
      <c r="R1561">
        <v>13.2</v>
      </c>
      <c r="T1561" s="358" t="str">
        <f t="shared" si="95"/>
        <v>2003FemaleAllEth22Poisoning by solids and liquids</v>
      </c>
      <c r="U1561" s="360">
        <v>2003</v>
      </c>
      <c r="V1561" s="360" t="s">
        <v>8</v>
      </c>
      <c r="W1561" s="360" t="s">
        <v>27</v>
      </c>
      <c r="X1561" s="360">
        <v>22</v>
      </c>
      <c r="Y1561" s="360" t="s">
        <v>47</v>
      </c>
      <c r="Z1561" s="360">
        <v>3</v>
      </c>
      <c r="AA1561" s="360">
        <v>31</v>
      </c>
      <c r="AB1561" s="360">
        <v>9.6999999999999993</v>
      </c>
    </row>
    <row r="1562" spans="10:28" x14ac:dyDescent="0.2">
      <c r="J1562" s="358" t="str">
        <f t="shared" si="94"/>
        <v>2004MaleNon-Maori224</v>
      </c>
      <c r="K1562" s="359">
        <v>2004</v>
      </c>
      <c r="L1562" t="s">
        <v>20</v>
      </c>
      <c r="M1562" t="s">
        <v>19</v>
      </c>
      <c r="N1562">
        <v>22</v>
      </c>
      <c r="O1562">
        <v>4</v>
      </c>
      <c r="P1562">
        <v>11</v>
      </c>
      <c r="Q1562">
        <v>22.527343055789601</v>
      </c>
      <c r="R1562">
        <v>13.3</v>
      </c>
      <c r="T1562" s="358" t="str">
        <f t="shared" si="95"/>
        <v>2003FemaleAllEth23Poisoning by solids and liquids</v>
      </c>
      <c r="U1562" s="360">
        <v>2003</v>
      </c>
      <c r="V1562" s="360" t="s">
        <v>8</v>
      </c>
      <c r="W1562" s="360" t="s">
        <v>27</v>
      </c>
      <c r="X1562" s="360">
        <v>23</v>
      </c>
      <c r="Y1562" s="360" t="s">
        <v>47</v>
      </c>
      <c r="Z1562" s="360">
        <v>11</v>
      </c>
      <c r="AA1562" s="360">
        <v>54</v>
      </c>
      <c r="AB1562" s="360">
        <v>20.399999999999999</v>
      </c>
    </row>
    <row r="1563" spans="10:28" x14ac:dyDescent="0.2">
      <c r="J1563" s="358" t="str">
        <f t="shared" si="94"/>
        <v>2004MaleNon-Maori225</v>
      </c>
      <c r="K1563" s="359">
        <v>2004</v>
      </c>
      <c r="L1563" t="s">
        <v>20</v>
      </c>
      <c r="M1563" t="s">
        <v>19</v>
      </c>
      <c r="N1563">
        <v>22</v>
      </c>
      <c r="O1563">
        <v>5</v>
      </c>
      <c r="P1563">
        <v>14</v>
      </c>
      <c r="Q1563">
        <v>30.215941925264499</v>
      </c>
      <c r="R1563">
        <v>15.8</v>
      </c>
      <c r="T1563" s="358" t="str">
        <f t="shared" si="95"/>
        <v>2003FemaleAllEth24Poisoning by solids and liquids</v>
      </c>
      <c r="U1563" s="360">
        <v>2003</v>
      </c>
      <c r="V1563" s="360" t="s">
        <v>8</v>
      </c>
      <c r="W1563" s="360" t="s">
        <v>27</v>
      </c>
      <c r="X1563" s="360">
        <v>24</v>
      </c>
      <c r="Y1563" s="360" t="s">
        <v>47</v>
      </c>
      <c r="Z1563" s="360">
        <v>9</v>
      </c>
      <c r="AA1563" s="360">
        <v>35</v>
      </c>
      <c r="AB1563" s="360">
        <v>25.7</v>
      </c>
    </row>
    <row r="1564" spans="10:28" x14ac:dyDescent="0.2">
      <c r="J1564" s="358" t="str">
        <f t="shared" si="94"/>
        <v>2004MaleNon-Maori231</v>
      </c>
      <c r="K1564" s="359">
        <v>2004</v>
      </c>
      <c r="L1564" t="s">
        <v>20</v>
      </c>
      <c r="M1564" t="s">
        <v>19</v>
      </c>
      <c r="N1564">
        <v>23</v>
      </c>
      <c r="O1564">
        <v>1</v>
      </c>
      <c r="P1564">
        <v>24</v>
      </c>
      <c r="Q1564">
        <v>22.941339824399499</v>
      </c>
      <c r="R1564">
        <v>9.1999999999999993</v>
      </c>
      <c r="T1564" s="358" t="str">
        <f t="shared" si="95"/>
        <v>2003FemaleAllEth25Poisoning by solids and liquids</v>
      </c>
      <c r="U1564" s="360">
        <v>2003</v>
      </c>
      <c r="V1564" s="360" t="s">
        <v>8</v>
      </c>
      <c r="W1564" s="360" t="s">
        <v>27</v>
      </c>
      <c r="X1564" s="360">
        <v>25</v>
      </c>
      <c r="Y1564" s="360" t="s">
        <v>47</v>
      </c>
      <c r="Z1564" s="360">
        <v>3</v>
      </c>
      <c r="AA1564" s="360">
        <v>21</v>
      </c>
      <c r="AB1564" s="360">
        <v>14.3</v>
      </c>
    </row>
    <row r="1565" spans="10:28" x14ac:dyDescent="0.2">
      <c r="J1565" s="358" t="str">
        <f t="shared" si="94"/>
        <v>2004MaleNon-Maori232</v>
      </c>
      <c r="K1565" s="359">
        <v>2004</v>
      </c>
      <c r="L1565" t="s">
        <v>20</v>
      </c>
      <c r="M1565" t="s">
        <v>19</v>
      </c>
      <c r="N1565">
        <v>23</v>
      </c>
      <c r="O1565">
        <v>2</v>
      </c>
      <c r="P1565">
        <v>17</v>
      </c>
      <c r="Q1565">
        <v>15.688242530474399</v>
      </c>
      <c r="R1565">
        <v>7.5</v>
      </c>
      <c r="T1565" s="358" t="str">
        <f t="shared" si="95"/>
        <v>2003FemaleAllEth23Sharp object</v>
      </c>
      <c r="U1565" s="360">
        <v>2003</v>
      </c>
      <c r="V1565" s="360" t="s">
        <v>8</v>
      </c>
      <c r="W1565" s="360" t="s">
        <v>27</v>
      </c>
      <c r="X1565" s="360">
        <v>23</v>
      </c>
      <c r="Y1565" s="360" t="s">
        <v>48</v>
      </c>
      <c r="Z1565" s="360">
        <v>2</v>
      </c>
      <c r="AA1565" s="360">
        <v>54</v>
      </c>
      <c r="AB1565" s="360">
        <v>3.7</v>
      </c>
    </row>
    <row r="1566" spans="10:28" x14ac:dyDescent="0.2">
      <c r="J1566" s="358" t="str">
        <f t="shared" si="94"/>
        <v>2004MaleNon-Maori233</v>
      </c>
      <c r="K1566" s="359">
        <v>2004</v>
      </c>
      <c r="L1566" t="s">
        <v>20</v>
      </c>
      <c r="M1566" t="s">
        <v>19</v>
      </c>
      <c r="N1566">
        <v>23</v>
      </c>
      <c r="O1566">
        <v>3</v>
      </c>
      <c r="P1566">
        <v>26</v>
      </c>
      <c r="Q1566">
        <v>24.765016088034699</v>
      </c>
      <c r="R1566">
        <v>9.5</v>
      </c>
      <c r="T1566" s="358" t="str">
        <f t="shared" si="95"/>
        <v>2003FemaleAllEth24Sharp object</v>
      </c>
      <c r="U1566" s="360">
        <v>2003</v>
      </c>
      <c r="V1566" s="360" t="s">
        <v>8</v>
      </c>
      <c r="W1566" s="360" t="s">
        <v>27</v>
      </c>
      <c r="X1566" s="360">
        <v>24</v>
      </c>
      <c r="Y1566" s="360" t="s">
        <v>48</v>
      </c>
      <c r="Z1566" s="360">
        <v>2</v>
      </c>
      <c r="AA1566" s="360">
        <v>35</v>
      </c>
      <c r="AB1566" s="360">
        <v>5.7</v>
      </c>
    </row>
    <row r="1567" spans="10:28" x14ac:dyDescent="0.2">
      <c r="J1567" s="358" t="str">
        <f t="shared" si="94"/>
        <v>2004MaleNon-Maori234</v>
      </c>
      <c r="K1567" s="359">
        <v>2004</v>
      </c>
      <c r="L1567" t="s">
        <v>20</v>
      </c>
      <c r="M1567" t="s">
        <v>19</v>
      </c>
      <c r="N1567">
        <v>23</v>
      </c>
      <c r="O1567">
        <v>4</v>
      </c>
      <c r="P1567">
        <v>26</v>
      </c>
      <c r="Q1567">
        <v>26.974465555729498</v>
      </c>
      <c r="R1567">
        <v>10.4</v>
      </c>
      <c r="T1567" s="358" t="str">
        <f t="shared" si="95"/>
        <v>2003FemaleAllEth23Submersion (drowning)</v>
      </c>
      <c r="U1567" s="360">
        <v>2003</v>
      </c>
      <c r="V1567" s="360" t="s">
        <v>8</v>
      </c>
      <c r="W1567" s="360" t="s">
        <v>27</v>
      </c>
      <c r="X1567" s="360">
        <v>23</v>
      </c>
      <c r="Y1567" s="360" t="s">
        <v>49</v>
      </c>
      <c r="Z1567" s="360">
        <v>3</v>
      </c>
      <c r="AA1567" s="360">
        <v>54</v>
      </c>
      <c r="AB1567" s="360">
        <v>5.6</v>
      </c>
    </row>
    <row r="1568" spans="10:28" x14ac:dyDescent="0.2">
      <c r="J1568" s="358" t="str">
        <f t="shared" si="94"/>
        <v>2004MaleNon-Maori235</v>
      </c>
      <c r="K1568" s="359">
        <v>2004</v>
      </c>
      <c r="L1568" t="s">
        <v>20</v>
      </c>
      <c r="M1568" t="s">
        <v>19</v>
      </c>
      <c r="N1568">
        <v>23</v>
      </c>
      <c r="O1568">
        <v>5</v>
      </c>
      <c r="P1568">
        <v>16</v>
      </c>
      <c r="Q1568">
        <v>21.376172559042999</v>
      </c>
      <c r="R1568">
        <v>10.5</v>
      </c>
      <c r="T1568" s="358" t="str">
        <f t="shared" si="95"/>
        <v>2003FemaleAllEth24Submersion (drowning)</v>
      </c>
      <c r="U1568" s="360">
        <v>2003</v>
      </c>
      <c r="V1568" s="360" t="s">
        <v>8</v>
      </c>
      <c r="W1568" s="360" t="s">
        <v>27</v>
      </c>
      <c r="X1568" s="360">
        <v>24</v>
      </c>
      <c r="Y1568" s="360" t="s">
        <v>49</v>
      </c>
      <c r="Z1568" s="360">
        <v>3</v>
      </c>
      <c r="AA1568" s="360">
        <v>35</v>
      </c>
      <c r="AB1568" s="360">
        <v>8.6</v>
      </c>
    </row>
    <row r="1569" spans="10:28" x14ac:dyDescent="0.2">
      <c r="J1569" s="358" t="str">
        <f t="shared" si="94"/>
        <v>2004MaleNon-Maori241</v>
      </c>
      <c r="K1569" s="359">
        <v>2004</v>
      </c>
      <c r="L1569" t="s">
        <v>20</v>
      </c>
      <c r="M1569" t="s">
        <v>19</v>
      </c>
      <c r="N1569">
        <v>24</v>
      </c>
      <c r="O1569">
        <v>1</v>
      </c>
      <c r="P1569">
        <v>11</v>
      </c>
      <c r="Q1569">
        <v>9.6244953019975998</v>
      </c>
      <c r="R1569">
        <v>5.7</v>
      </c>
      <c r="T1569" s="358" t="str">
        <f t="shared" si="95"/>
        <v>2003FemaleAllEth25Submersion (drowning)</v>
      </c>
      <c r="U1569" s="360">
        <v>2003</v>
      </c>
      <c r="V1569" s="360" t="s">
        <v>8</v>
      </c>
      <c r="W1569" s="360" t="s">
        <v>27</v>
      </c>
      <c r="X1569" s="360">
        <v>25</v>
      </c>
      <c r="Y1569" s="360" t="s">
        <v>49</v>
      </c>
      <c r="Z1569" s="360">
        <v>1</v>
      </c>
      <c r="AA1569" s="360">
        <v>21</v>
      </c>
      <c r="AB1569" s="360">
        <v>4.8</v>
      </c>
    </row>
    <row r="1570" spans="10:28" x14ac:dyDescent="0.2">
      <c r="J1570" s="358" t="str">
        <f t="shared" si="94"/>
        <v>2004MaleNon-Maori242</v>
      </c>
      <c r="K1570" s="359">
        <v>2004</v>
      </c>
      <c r="L1570" t="s">
        <v>20</v>
      </c>
      <c r="M1570" t="s">
        <v>19</v>
      </c>
      <c r="N1570">
        <v>24</v>
      </c>
      <c r="O1570">
        <v>2</v>
      </c>
      <c r="P1570">
        <v>16</v>
      </c>
      <c r="Q1570">
        <v>16.379668686334099</v>
      </c>
      <c r="R1570">
        <v>8</v>
      </c>
      <c r="T1570" s="358" t="str">
        <f t="shared" si="95"/>
        <v>2003FemaleMaori21Hanging, strangulation and suffocation</v>
      </c>
      <c r="U1570" s="360">
        <v>2003</v>
      </c>
      <c r="V1570" s="360" t="s">
        <v>8</v>
      </c>
      <c r="W1570" s="360" t="s">
        <v>18</v>
      </c>
      <c r="X1570" s="360">
        <v>21</v>
      </c>
      <c r="Y1570" s="360" t="s">
        <v>43</v>
      </c>
      <c r="Z1570" s="360">
        <v>1</v>
      </c>
      <c r="AA1570" s="360">
        <v>1</v>
      </c>
      <c r="AB1570" s="360">
        <v>100</v>
      </c>
    </row>
    <row r="1571" spans="10:28" x14ac:dyDescent="0.2">
      <c r="J1571" s="358" t="str">
        <f t="shared" si="94"/>
        <v>2004MaleNon-Maori243</v>
      </c>
      <c r="K1571" s="359">
        <v>2004</v>
      </c>
      <c r="L1571" t="s">
        <v>20</v>
      </c>
      <c r="M1571" t="s">
        <v>19</v>
      </c>
      <c r="N1571">
        <v>24</v>
      </c>
      <c r="O1571">
        <v>3</v>
      </c>
      <c r="P1571">
        <v>18</v>
      </c>
      <c r="Q1571">
        <v>21.426072940161699</v>
      </c>
      <c r="R1571">
        <v>9.9</v>
      </c>
      <c r="T1571" s="358" t="str">
        <f t="shared" si="95"/>
        <v>2003FemaleMaori22Hanging, strangulation and suffocation</v>
      </c>
      <c r="U1571" s="360">
        <v>2003</v>
      </c>
      <c r="V1571" s="360" t="s">
        <v>8</v>
      </c>
      <c r="W1571" s="360" t="s">
        <v>18</v>
      </c>
      <c r="X1571" s="360">
        <v>22</v>
      </c>
      <c r="Y1571" s="360" t="s">
        <v>43</v>
      </c>
      <c r="Z1571" s="360">
        <v>9</v>
      </c>
      <c r="AA1571" s="360">
        <v>11</v>
      </c>
      <c r="AB1571" s="360">
        <v>81.8</v>
      </c>
    </row>
    <row r="1572" spans="10:28" x14ac:dyDescent="0.2">
      <c r="J1572" s="358" t="str">
        <f t="shared" si="94"/>
        <v>2004MaleNon-Maori244</v>
      </c>
      <c r="K1572" s="359">
        <v>2004</v>
      </c>
      <c r="L1572" t="s">
        <v>20</v>
      </c>
      <c r="M1572" t="s">
        <v>19</v>
      </c>
      <c r="N1572">
        <v>24</v>
      </c>
      <c r="O1572">
        <v>4</v>
      </c>
      <c r="P1572">
        <v>20</v>
      </c>
      <c r="Q1572">
        <v>27.7066135653975</v>
      </c>
      <c r="R1572">
        <v>12.1</v>
      </c>
      <c r="T1572" s="358" t="str">
        <f t="shared" si="95"/>
        <v>2003FemaleMaori23Hanging, strangulation and suffocation</v>
      </c>
      <c r="U1572" s="360">
        <v>2003</v>
      </c>
      <c r="V1572" s="360" t="s">
        <v>8</v>
      </c>
      <c r="W1572" s="360" t="s">
        <v>18</v>
      </c>
      <c r="X1572" s="360">
        <v>23</v>
      </c>
      <c r="Y1572" s="360" t="s">
        <v>43</v>
      </c>
      <c r="Z1572" s="360">
        <v>5</v>
      </c>
      <c r="AA1572" s="360">
        <v>7</v>
      </c>
      <c r="AB1572" s="360">
        <v>71.400000000000006</v>
      </c>
    </row>
    <row r="1573" spans="10:28" x14ac:dyDescent="0.2">
      <c r="J1573" s="358" t="str">
        <f t="shared" si="94"/>
        <v>2004MaleNon-Maori245</v>
      </c>
      <c r="K1573" s="359">
        <v>2004</v>
      </c>
      <c r="L1573" t="s">
        <v>20</v>
      </c>
      <c r="M1573" t="s">
        <v>19</v>
      </c>
      <c r="N1573">
        <v>24</v>
      </c>
      <c r="O1573">
        <v>5</v>
      </c>
      <c r="P1573">
        <v>12</v>
      </c>
      <c r="Q1573">
        <v>21.9895029974194</v>
      </c>
      <c r="R1573">
        <v>12.4</v>
      </c>
      <c r="T1573" s="358" t="str">
        <f t="shared" si="95"/>
        <v>2003FemaleMaori22Jumping from a high place</v>
      </c>
      <c r="U1573" s="360">
        <v>2003</v>
      </c>
      <c r="V1573" s="360" t="s">
        <v>8</v>
      </c>
      <c r="W1573" s="360" t="s">
        <v>18</v>
      </c>
      <c r="X1573" s="360">
        <v>22</v>
      </c>
      <c r="Y1573" s="360" t="s">
        <v>44</v>
      </c>
      <c r="Z1573" s="360">
        <v>1</v>
      </c>
      <c r="AA1573" s="360">
        <v>11</v>
      </c>
      <c r="AB1573" s="360">
        <v>9.1</v>
      </c>
    </row>
    <row r="1574" spans="10:28" x14ac:dyDescent="0.2">
      <c r="J1574" s="358" t="str">
        <f t="shared" si="94"/>
        <v>2004MaleNon-Maori251</v>
      </c>
      <c r="K1574" s="359">
        <v>2004</v>
      </c>
      <c r="L1574" t="s">
        <v>20</v>
      </c>
      <c r="M1574" t="s">
        <v>19</v>
      </c>
      <c r="N1574">
        <v>25</v>
      </c>
      <c r="O1574">
        <v>1</v>
      </c>
      <c r="P1574">
        <v>8</v>
      </c>
      <c r="Q1574">
        <v>18.224464544340499</v>
      </c>
      <c r="R1574">
        <v>12.6</v>
      </c>
      <c r="T1574" s="358" t="str">
        <f t="shared" si="95"/>
        <v>2003FemaleMaori24Jumping from a high place</v>
      </c>
      <c r="U1574" s="360">
        <v>2003</v>
      </c>
      <c r="V1574" s="360" t="s">
        <v>8</v>
      </c>
      <c r="W1574" s="360" t="s">
        <v>18</v>
      </c>
      <c r="X1574" s="360">
        <v>24</v>
      </c>
      <c r="Y1574" s="360" t="s">
        <v>44</v>
      </c>
      <c r="Z1574" s="360">
        <v>1</v>
      </c>
      <c r="AA1574" s="360">
        <v>1</v>
      </c>
      <c r="AB1574" s="360">
        <v>100</v>
      </c>
    </row>
    <row r="1575" spans="10:28" x14ac:dyDescent="0.2">
      <c r="J1575" s="358" t="str">
        <f t="shared" si="94"/>
        <v>2004MaleNon-Maori252</v>
      </c>
      <c r="K1575" s="359">
        <v>2004</v>
      </c>
      <c r="L1575" t="s">
        <v>20</v>
      </c>
      <c r="M1575" t="s">
        <v>19</v>
      </c>
      <c r="N1575">
        <v>25</v>
      </c>
      <c r="O1575">
        <v>2</v>
      </c>
      <c r="P1575">
        <v>2</v>
      </c>
      <c r="Q1575">
        <v>4.5283987219319402</v>
      </c>
      <c r="R1575">
        <v>6.3</v>
      </c>
      <c r="T1575" s="358" t="str">
        <f t="shared" si="95"/>
        <v>2003FemaleMaori22Poisoning by gases and vapours</v>
      </c>
      <c r="U1575" s="360">
        <v>2003</v>
      </c>
      <c r="V1575" s="360" t="s">
        <v>8</v>
      </c>
      <c r="W1575" s="360" t="s">
        <v>18</v>
      </c>
      <c r="X1575" s="360">
        <v>22</v>
      </c>
      <c r="Y1575" s="360" t="s">
        <v>46</v>
      </c>
      <c r="Z1575" s="360">
        <v>1</v>
      </c>
      <c r="AA1575" s="360">
        <v>11</v>
      </c>
      <c r="AB1575" s="360">
        <v>9.1</v>
      </c>
    </row>
    <row r="1576" spans="10:28" x14ac:dyDescent="0.2">
      <c r="J1576" s="358" t="str">
        <f t="shared" si="94"/>
        <v>2004MaleNon-Maori253</v>
      </c>
      <c r="K1576" s="359">
        <v>2004</v>
      </c>
      <c r="L1576" t="s">
        <v>20</v>
      </c>
      <c r="M1576" t="s">
        <v>19</v>
      </c>
      <c r="N1576">
        <v>25</v>
      </c>
      <c r="O1576">
        <v>3</v>
      </c>
      <c r="P1576">
        <v>9</v>
      </c>
      <c r="Q1576">
        <v>20.380373367362601</v>
      </c>
      <c r="R1576">
        <v>13.3</v>
      </c>
      <c r="T1576" s="358" t="str">
        <f t="shared" si="95"/>
        <v>2003FemaleMaori23Poisoning by gases and vapours</v>
      </c>
      <c r="U1576" s="360">
        <v>2003</v>
      </c>
      <c r="V1576" s="360" t="s">
        <v>8</v>
      </c>
      <c r="W1576" s="360" t="s">
        <v>18</v>
      </c>
      <c r="X1576" s="360">
        <v>23</v>
      </c>
      <c r="Y1576" s="360" t="s">
        <v>46</v>
      </c>
      <c r="Z1576" s="360">
        <v>2</v>
      </c>
      <c r="AA1576" s="360">
        <v>7</v>
      </c>
      <c r="AB1576" s="360">
        <v>28.6</v>
      </c>
    </row>
    <row r="1577" spans="10:28" x14ac:dyDescent="0.2">
      <c r="J1577" s="358" t="str">
        <f t="shared" si="94"/>
        <v>2004MaleNon-Maori254</v>
      </c>
      <c r="K1577" s="359">
        <v>2004</v>
      </c>
      <c r="L1577" t="s">
        <v>20</v>
      </c>
      <c r="M1577" t="s">
        <v>19</v>
      </c>
      <c r="N1577">
        <v>25</v>
      </c>
      <c r="O1577">
        <v>4</v>
      </c>
      <c r="P1577">
        <v>11</v>
      </c>
      <c r="Q1577">
        <v>26.391128679626199</v>
      </c>
      <c r="R1577">
        <v>15.6</v>
      </c>
      <c r="T1577" s="358" t="str">
        <f t="shared" si="95"/>
        <v>2003FemaleNon-Maori22Firearms and explosives</v>
      </c>
      <c r="U1577" s="360">
        <v>2003</v>
      </c>
      <c r="V1577" s="360" t="s">
        <v>8</v>
      </c>
      <c r="W1577" s="360" t="s">
        <v>19</v>
      </c>
      <c r="X1577" s="360">
        <v>22</v>
      </c>
      <c r="Y1577" s="360" t="s">
        <v>42</v>
      </c>
      <c r="Z1577" s="360">
        <v>1</v>
      </c>
      <c r="AA1577" s="360">
        <v>20</v>
      </c>
      <c r="AB1577" s="360">
        <v>5</v>
      </c>
    </row>
    <row r="1578" spans="10:28" x14ac:dyDescent="0.2">
      <c r="J1578" s="358" t="str">
        <f t="shared" si="94"/>
        <v>2004MaleNon-Maori255</v>
      </c>
      <c r="K1578" s="359">
        <v>2004</v>
      </c>
      <c r="L1578" t="s">
        <v>20</v>
      </c>
      <c r="M1578" t="s">
        <v>19</v>
      </c>
      <c r="N1578">
        <v>25</v>
      </c>
      <c r="O1578">
        <v>5</v>
      </c>
      <c r="P1578">
        <v>12</v>
      </c>
      <c r="Q1578">
        <v>39.845354090628398</v>
      </c>
      <c r="R1578">
        <v>22.5</v>
      </c>
      <c r="T1578" s="358" t="str">
        <f t="shared" si="95"/>
        <v>2003FemaleNon-Maori24Firearms and explosives</v>
      </c>
      <c r="U1578" s="360">
        <v>2003</v>
      </c>
      <c r="V1578" s="360" t="s">
        <v>8</v>
      </c>
      <c r="W1578" s="360" t="s">
        <v>19</v>
      </c>
      <c r="X1578" s="360">
        <v>24</v>
      </c>
      <c r="Y1578" s="360" t="s">
        <v>42</v>
      </c>
      <c r="Z1578" s="360">
        <v>1</v>
      </c>
      <c r="AA1578" s="360">
        <v>34</v>
      </c>
      <c r="AB1578" s="360">
        <v>2.9</v>
      </c>
    </row>
    <row r="1579" spans="10:28" x14ac:dyDescent="0.2">
      <c r="J1579" s="358" t="str">
        <f t="shared" si="94"/>
        <v>2005AllSexAllEth211</v>
      </c>
      <c r="K1579" s="359">
        <v>2005</v>
      </c>
      <c r="L1579" t="s">
        <v>17</v>
      </c>
      <c r="M1579" t="s">
        <v>27</v>
      </c>
      <c r="N1579">
        <v>21</v>
      </c>
      <c r="O1579">
        <v>1</v>
      </c>
      <c r="P1579">
        <v>0</v>
      </c>
      <c r="T1579" s="358" t="str">
        <f t="shared" si="95"/>
        <v>2003FemaleNon-Maori25Firearms and explosives</v>
      </c>
      <c r="U1579" s="360">
        <v>2003</v>
      </c>
      <c r="V1579" s="360" t="s">
        <v>8</v>
      </c>
      <c r="W1579" s="360" t="s">
        <v>19</v>
      </c>
      <c r="X1579" s="360">
        <v>25</v>
      </c>
      <c r="Y1579" s="360" t="s">
        <v>42</v>
      </c>
      <c r="Z1579" s="360">
        <v>2</v>
      </c>
      <c r="AA1579" s="360">
        <v>21</v>
      </c>
      <c r="AB1579" s="360">
        <v>9.5</v>
      </c>
    </row>
    <row r="1580" spans="10:28" x14ac:dyDescent="0.2">
      <c r="J1580" s="358" t="str">
        <f t="shared" si="94"/>
        <v>2005AllSexAllEth212</v>
      </c>
      <c r="K1580" s="359">
        <v>2005</v>
      </c>
      <c r="L1580" t="s">
        <v>17</v>
      </c>
      <c r="M1580" t="s">
        <v>27</v>
      </c>
      <c r="N1580">
        <v>21</v>
      </c>
      <c r="O1580">
        <v>2</v>
      </c>
      <c r="P1580">
        <v>0</v>
      </c>
      <c r="T1580" s="358" t="str">
        <f t="shared" si="95"/>
        <v>2003FemaleNon-Maori22Hanging, strangulation and suffocation</v>
      </c>
      <c r="U1580" s="360">
        <v>2003</v>
      </c>
      <c r="V1580" s="360" t="s">
        <v>8</v>
      </c>
      <c r="W1580" s="360" t="s">
        <v>19</v>
      </c>
      <c r="X1580" s="360">
        <v>22</v>
      </c>
      <c r="Y1580" s="360" t="s">
        <v>43</v>
      </c>
      <c r="Z1580" s="360">
        <v>10</v>
      </c>
      <c r="AA1580" s="360">
        <v>20</v>
      </c>
      <c r="AB1580" s="360">
        <v>50</v>
      </c>
    </row>
    <row r="1581" spans="10:28" x14ac:dyDescent="0.2">
      <c r="J1581" s="358" t="str">
        <f t="shared" si="94"/>
        <v>2005AllSexAllEth213</v>
      </c>
      <c r="K1581" s="359">
        <v>2005</v>
      </c>
      <c r="L1581" t="s">
        <v>17</v>
      </c>
      <c r="M1581" t="s">
        <v>27</v>
      </c>
      <c r="N1581">
        <v>21</v>
      </c>
      <c r="O1581">
        <v>3</v>
      </c>
      <c r="P1581">
        <v>1</v>
      </c>
      <c r="T1581" s="358" t="str">
        <f t="shared" si="95"/>
        <v>2003FemaleNon-Maori23Hanging, strangulation and suffocation</v>
      </c>
      <c r="U1581" s="360">
        <v>2003</v>
      </c>
      <c r="V1581" s="360" t="s">
        <v>8</v>
      </c>
      <c r="W1581" s="360" t="s">
        <v>19</v>
      </c>
      <c r="X1581" s="360">
        <v>23</v>
      </c>
      <c r="Y1581" s="360" t="s">
        <v>43</v>
      </c>
      <c r="Z1581" s="360">
        <v>18</v>
      </c>
      <c r="AA1581" s="360">
        <v>47</v>
      </c>
      <c r="AB1581" s="360">
        <v>38.299999999999997</v>
      </c>
    </row>
    <row r="1582" spans="10:28" x14ac:dyDescent="0.2">
      <c r="J1582" s="358" t="str">
        <f t="shared" si="94"/>
        <v>2005AllSexAllEth214</v>
      </c>
      <c r="K1582" s="359">
        <v>2005</v>
      </c>
      <c r="L1582" t="s">
        <v>17</v>
      </c>
      <c r="M1582" t="s">
        <v>27</v>
      </c>
      <c r="N1582">
        <v>21</v>
      </c>
      <c r="O1582">
        <v>4</v>
      </c>
      <c r="P1582">
        <v>0</v>
      </c>
      <c r="T1582" s="358" t="str">
        <f t="shared" si="95"/>
        <v>2003FemaleNon-Maori24Hanging, strangulation and suffocation</v>
      </c>
      <c r="U1582" s="360">
        <v>2003</v>
      </c>
      <c r="V1582" s="360" t="s">
        <v>8</v>
      </c>
      <c r="W1582" s="360" t="s">
        <v>19</v>
      </c>
      <c r="X1582" s="360">
        <v>24</v>
      </c>
      <c r="Y1582" s="360" t="s">
        <v>43</v>
      </c>
      <c r="Z1582" s="360">
        <v>7</v>
      </c>
      <c r="AA1582" s="360">
        <v>34</v>
      </c>
      <c r="AB1582" s="360">
        <v>20.6</v>
      </c>
    </row>
    <row r="1583" spans="10:28" x14ac:dyDescent="0.2">
      <c r="J1583" s="358" t="str">
        <f t="shared" si="94"/>
        <v>2005AllSexAllEth215</v>
      </c>
      <c r="K1583" s="359">
        <v>2005</v>
      </c>
      <c r="L1583" t="s">
        <v>17</v>
      </c>
      <c r="M1583" t="s">
        <v>27</v>
      </c>
      <c r="N1583">
        <v>21</v>
      </c>
      <c r="O1583">
        <v>5</v>
      </c>
      <c r="P1583">
        <v>2</v>
      </c>
      <c r="T1583" s="358" t="str">
        <f t="shared" si="95"/>
        <v>2003FemaleNon-Maori25Hanging, strangulation and suffocation</v>
      </c>
      <c r="U1583" s="360">
        <v>2003</v>
      </c>
      <c r="V1583" s="360" t="s">
        <v>8</v>
      </c>
      <c r="W1583" s="360" t="s">
        <v>19</v>
      </c>
      <c r="X1583" s="360">
        <v>25</v>
      </c>
      <c r="Y1583" s="360" t="s">
        <v>43</v>
      </c>
      <c r="Z1583" s="360">
        <v>12</v>
      </c>
      <c r="AA1583" s="360">
        <v>21</v>
      </c>
      <c r="AB1583" s="360">
        <v>57.1</v>
      </c>
    </row>
    <row r="1584" spans="10:28" x14ac:dyDescent="0.2">
      <c r="J1584" s="358" t="str">
        <f t="shared" si="94"/>
        <v>2005AllSexAllEth221</v>
      </c>
      <c r="K1584" s="359">
        <v>2005</v>
      </c>
      <c r="L1584" t="s">
        <v>17</v>
      </c>
      <c r="M1584" t="s">
        <v>27</v>
      </c>
      <c r="N1584">
        <v>22</v>
      </c>
      <c r="O1584">
        <v>1</v>
      </c>
      <c r="P1584">
        <v>15</v>
      </c>
      <c r="Q1584">
        <v>15.0332204244999</v>
      </c>
      <c r="R1584">
        <v>7.6</v>
      </c>
      <c r="T1584" s="358" t="str">
        <f t="shared" si="95"/>
        <v>2003FemaleNon-Maori22Jumping from a high place</v>
      </c>
      <c r="U1584" s="360">
        <v>2003</v>
      </c>
      <c r="V1584" s="360" t="s">
        <v>8</v>
      </c>
      <c r="W1584" s="360" t="s">
        <v>19</v>
      </c>
      <c r="X1584" s="360">
        <v>22</v>
      </c>
      <c r="Y1584" s="360" t="s">
        <v>44</v>
      </c>
      <c r="Z1584" s="360">
        <v>2</v>
      </c>
      <c r="AA1584" s="360">
        <v>20</v>
      </c>
      <c r="AB1584" s="360">
        <v>10</v>
      </c>
    </row>
    <row r="1585" spans="10:28" x14ac:dyDescent="0.2">
      <c r="J1585" s="358" t="str">
        <f t="shared" si="94"/>
        <v>2005AllSexAllEth222</v>
      </c>
      <c r="K1585" s="359">
        <v>2005</v>
      </c>
      <c r="L1585" t="s">
        <v>17</v>
      </c>
      <c r="M1585" t="s">
        <v>27</v>
      </c>
      <c r="N1585">
        <v>22</v>
      </c>
      <c r="O1585">
        <v>2</v>
      </c>
      <c r="P1585">
        <v>17</v>
      </c>
      <c r="Q1585">
        <v>15.9951994407238</v>
      </c>
      <c r="R1585">
        <v>7.6</v>
      </c>
      <c r="T1585" s="358" t="str">
        <f t="shared" si="95"/>
        <v>2003FemaleNon-Maori23Jumping from a high place</v>
      </c>
      <c r="U1585" s="360">
        <v>2003</v>
      </c>
      <c r="V1585" s="360" t="s">
        <v>8</v>
      </c>
      <c r="W1585" s="360" t="s">
        <v>19</v>
      </c>
      <c r="X1585" s="360">
        <v>23</v>
      </c>
      <c r="Y1585" s="360" t="s">
        <v>44</v>
      </c>
      <c r="Z1585" s="360">
        <v>2</v>
      </c>
      <c r="AA1585" s="360">
        <v>47</v>
      </c>
      <c r="AB1585" s="360">
        <v>4.3</v>
      </c>
    </row>
    <row r="1586" spans="10:28" x14ac:dyDescent="0.2">
      <c r="J1586" s="358" t="str">
        <f t="shared" si="94"/>
        <v>2005AllSexAllEth223</v>
      </c>
      <c r="K1586" s="359">
        <v>2005</v>
      </c>
      <c r="L1586" t="s">
        <v>17</v>
      </c>
      <c r="M1586" t="s">
        <v>27</v>
      </c>
      <c r="N1586">
        <v>22</v>
      </c>
      <c r="O1586">
        <v>3</v>
      </c>
      <c r="P1586">
        <v>17</v>
      </c>
      <c r="Q1586">
        <v>14.781834091918</v>
      </c>
      <c r="R1586">
        <v>7</v>
      </c>
      <c r="T1586" s="358" t="str">
        <f t="shared" si="95"/>
        <v>2003FemaleNon-Maori24Jumping from a high place</v>
      </c>
      <c r="U1586" s="360">
        <v>2003</v>
      </c>
      <c r="V1586" s="360" t="s">
        <v>8</v>
      </c>
      <c r="W1586" s="360" t="s">
        <v>19</v>
      </c>
      <c r="X1586" s="360">
        <v>24</v>
      </c>
      <c r="Y1586" s="360" t="s">
        <v>44</v>
      </c>
      <c r="Z1586" s="360">
        <v>2</v>
      </c>
      <c r="AA1586" s="360">
        <v>34</v>
      </c>
      <c r="AB1586" s="360">
        <v>5.9</v>
      </c>
    </row>
    <row r="1587" spans="10:28" x14ac:dyDescent="0.2">
      <c r="J1587" s="358" t="str">
        <f t="shared" si="94"/>
        <v>2005AllSexAllEth224</v>
      </c>
      <c r="K1587" s="359">
        <v>2005</v>
      </c>
      <c r="L1587" t="s">
        <v>17</v>
      </c>
      <c r="M1587" t="s">
        <v>27</v>
      </c>
      <c r="N1587">
        <v>22</v>
      </c>
      <c r="O1587">
        <v>4</v>
      </c>
      <c r="P1587">
        <v>33</v>
      </c>
      <c r="Q1587">
        <v>26.129565385557601</v>
      </c>
      <c r="R1587">
        <v>8.9</v>
      </c>
      <c r="T1587" s="358" t="str">
        <f t="shared" si="95"/>
        <v>2003FemaleNon-Maori24Other</v>
      </c>
      <c r="U1587" s="360">
        <v>2003</v>
      </c>
      <c r="V1587" s="360" t="s">
        <v>8</v>
      </c>
      <c r="W1587" s="360" t="s">
        <v>19</v>
      </c>
      <c r="X1587" s="360">
        <v>24</v>
      </c>
      <c r="Y1587" s="360" t="s">
        <v>45</v>
      </c>
      <c r="Z1587" s="360">
        <v>2</v>
      </c>
      <c r="AA1587" s="360">
        <v>34</v>
      </c>
      <c r="AB1587" s="360">
        <v>5.9</v>
      </c>
    </row>
    <row r="1588" spans="10:28" x14ac:dyDescent="0.2">
      <c r="J1588" s="358" t="str">
        <f t="shared" si="94"/>
        <v>2005AllSexAllEth225</v>
      </c>
      <c r="K1588" s="359">
        <v>2005</v>
      </c>
      <c r="L1588" t="s">
        <v>17</v>
      </c>
      <c r="M1588" t="s">
        <v>27</v>
      </c>
      <c r="N1588">
        <v>22</v>
      </c>
      <c r="O1588">
        <v>5</v>
      </c>
      <c r="P1588">
        <v>24</v>
      </c>
      <c r="Q1588">
        <v>16.314395133849199</v>
      </c>
      <c r="R1588">
        <v>6.5</v>
      </c>
      <c r="T1588" s="358" t="str">
        <f t="shared" si="95"/>
        <v>2003FemaleNon-Maori22Poisoning by gases and vapours</v>
      </c>
      <c r="U1588" s="360">
        <v>2003</v>
      </c>
      <c r="V1588" s="360" t="s">
        <v>8</v>
      </c>
      <c r="W1588" s="360" t="s">
        <v>19</v>
      </c>
      <c r="X1588" s="360">
        <v>22</v>
      </c>
      <c r="Y1588" s="360" t="s">
        <v>46</v>
      </c>
      <c r="Z1588" s="360">
        <v>4</v>
      </c>
      <c r="AA1588" s="360">
        <v>20</v>
      </c>
      <c r="AB1588" s="360">
        <v>20</v>
      </c>
    </row>
    <row r="1589" spans="10:28" x14ac:dyDescent="0.2">
      <c r="J1589" s="358" t="str">
        <f t="shared" si="94"/>
        <v>2005AllSexAllEth231</v>
      </c>
      <c r="K1589" s="359">
        <v>2005</v>
      </c>
      <c r="L1589" t="s">
        <v>17</v>
      </c>
      <c r="M1589" t="s">
        <v>27</v>
      </c>
      <c r="N1589">
        <v>23</v>
      </c>
      <c r="O1589">
        <v>1</v>
      </c>
      <c r="P1589">
        <v>28</v>
      </c>
      <c r="Q1589">
        <v>12.091864930201099</v>
      </c>
      <c r="R1589">
        <v>4.5</v>
      </c>
      <c r="T1589" s="358" t="str">
        <f t="shared" si="95"/>
        <v>2003FemaleNon-Maori23Poisoning by gases and vapours</v>
      </c>
      <c r="U1589" s="360">
        <v>2003</v>
      </c>
      <c r="V1589" s="360" t="s">
        <v>8</v>
      </c>
      <c r="W1589" s="360" t="s">
        <v>19</v>
      </c>
      <c r="X1589" s="360">
        <v>23</v>
      </c>
      <c r="Y1589" s="360" t="s">
        <v>46</v>
      </c>
      <c r="Z1589" s="360">
        <v>11</v>
      </c>
      <c r="AA1589" s="360">
        <v>47</v>
      </c>
      <c r="AB1589" s="360">
        <v>23.4</v>
      </c>
    </row>
    <row r="1590" spans="10:28" x14ac:dyDescent="0.2">
      <c r="J1590" s="358" t="str">
        <f t="shared" si="94"/>
        <v>2005AllSexAllEth232</v>
      </c>
      <c r="K1590" s="359">
        <v>2005</v>
      </c>
      <c r="L1590" t="s">
        <v>17</v>
      </c>
      <c r="M1590" t="s">
        <v>27</v>
      </c>
      <c r="N1590">
        <v>23</v>
      </c>
      <c r="O1590">
        <v>2</v>
      </c>
      <c r="P1590">
        <v>23</v>
      </c>
      <c r="Q1590">
        <v>9.4494238303446405</v>
      </c>
      <c r="R1590">
        <v>3.9</v>
      </c>
      <c r="T1590" s="358" t="str">
        <f t="shared" si="95"/>
        <v>2003FemaleNon-Maori24Poisoning by gases and vapours</v>
      </c>
      <c r="U1590" s="360">
        <v>2003</v>
      </c>
      <c r="V1590" s="360" t="s">
        <v>8</v>
      </c>
      <c r="W1590" s="360" t="s">
        <v>19</v>
      </c>
      <c r="X1590" s="360">
        <v>24</v>
      </c>
      <c r="Y1590" s="360" t="s">
        <v>46</v>
      </c>
      <c r="Z1590" s="360">
        <v>8</v>
      </c>
      <c r="AA1590" s="360">
        <v>34</v>
      </c>
      <c r="AB1590" s="360">
        <v>23.5</v>
      </c>
    </row>
    <row r="1591" spans="10:28" x14ac:dyDescent="0.2">
      <c r="J1591" s="358" t="str">
        <f t="shared" si="94"/>
        <v>2005AllSexAllEth233</v>
      </c>
      <c r="K1591" s="359">
        <v>2005</v>
      </c>
      <c r="L1591" t="s">
        <v>17</v>
      </c>
      <c r="M1591" t="s">
        <v>27</v>
      </c>
      <c r="N1591">
        <v>23</v>
      </c>
      <c r="O1591">
        <v>3</v>
      </c>
      <c r="P1591">
        <v>41</v>
      </c>
      <c r="Q1591">
        <v>16.847821565173199</v>
      </c>
      <c r="R1591">
        <v>5.2</v>
      </c>
      <c r="T1591" s="358" t="str">
        <f t="shared" si="95"/>
        <v>2003FemaleNon-Maori25Poisoning by gases and vapours</v>
      </c>
      <c r="U1591" s="360">
        <v>2003</v>
      </c>
      <c r="V1591" s="360" t="s">
        <v>8</v>
      </c>
      <c r="W1591" s="360" t="s">
        <v>19</v>
      </c>
      <c r="X1591" s="360">
        <v>25</v>
      </c>
      <c r="Y1591" s="360" t="s">
        <v>46</v>
      </c>
      <c r="Z1591" s="360">
        <v>3</v>
      </c>
      <c r="AA1591" s="360">
        <v>21</v>
      </c>
      <c r="AB1591" s="360">
        <v>14.3</v>
      </c>
    </row>
    <row r="1592" spans="10:28" x14ac:dyDescent="0.2">
      <c r="J1592" s="358" t="str">
        <f t="shared" si="94"/>
        <v>2005AllSexAllEth234</v>
      </c>
      <c r="K1592" s="359">
        <v>2005</v>
      </c>
      <c r="L1592" t="s">
        <v>17</v>
      </c>
      <c r="M1592" t="s">
        <v>27</v>
      </c>
      <c r="N1592">
        <v>23</v>
      </c>
      <c r="O1592">
        <v>4</v>
      </c>
      <c r="P1592">
        <v>45</v>
      </c>
      <c r="Q1592">
        <v>18.843651042940099</v>
      </c>
      <c r="R1592">
        <v>5.5</v>
      </c>
      <c r="T1592" s="358" t="str">
        <f t="shared" si="95"/>
        <v>2003FemaleNon-Maori22Poisoning by solids and liquids</v>
      </c>
      <c r="U1592" s="360">
        <v>2003</v>
      </c>
      <c r="V1592" s="360" t="s">
        <v>8</v>
      </c>
      <c r="W1592" s="360" t="s">
        <v>19</v>
      </c>
      <c r="X1592" s="360">
        <v>22</v>
      </c>
      <c r="Y1592" s="360" t="s">
        <v>47</v>
      </c>
      <c r="Z1592" s="360">
        <v>3</v>
      </c>
      <c r="AA1592" s="360">
        <v>20</v>
      </c>
      <c r="AB1592" s="360">
        <v>15</v>
      </c>
    </row>
    <row r="1593" spans="10:28" x14ac:dyDescent="0.2">
      <c r="J1593" s="358" t="str">
        <f t="shared" si="94"/>
        <v>2005AllSexAllEth235</v>
      </c>
      <c r="K1593" s="359">
        <v>2005</v>
      </c>
      <c r="L1593" t="s">
        <v>17</v>
      </c>
      <c r="M1593" t="s">
        <v>27</v>
      </c>
      <c r="N1593">
        <v>23</v>
      </c>
      <c r="O1593">
        <v>5</v>
      </c>
      <c r="P1593">
        <v>70</v>
      </c>
      <c r="Q1593">
        <v>31.201343378752501</v>
      </c>
      <c r="R1593">
        <v>7.3</v>
      </c>
      <c r="T1593" s="358" t="str">
        <f t="shared" si="95"/>
        <v>2003FemaleNon-Maori23Poisoning by solids and liquids</v>
      </c>
      <c r="U1593" s="360">
        <v>2003</v>
      </c>
      <c r="V1593" s="360" t="s">
        <v>8</v>
      </c>
      <c r="W1593" s="360" t="s">
        <v>19</v>
      </c>
      <c r="X1593" s="360">
        <v>23</v>
      </c>
      <c r="Y1593" s="360" t="s">
        <v>47</v>
      </c>
      <c r="Z1593" s="360">
        <v>11</v>
      </c>
      <c r="AA1593" s="360">
        <v>47</v>
      </c>
      <c r="AB1593" s="360">
        <v>23.4</v>
      </c>
    </row>
    <row r="1594" spans="10:28" x14ac:dyDescent="0.2">
      <c r="J1594" s="358" t="str">
        <f t="shared" si="94"/>
        <v>2005AllSexAllEth241</v>
      </c>
      <c r="K1594" s="359">
        <v>2005</v>
      </c>
      <c r="L1594" t="s">
        <v>17</v>
      </c>
      <c r="M1594" t="s">
        <v>27</v>
      </c>
      <c r="N1594">
        <v>24</v>
      </c>
      <c r="O1594">
        <v>1</v>
      </c>
      <c r="P1594">
        <v>20</v>
      </c>
      <c r="Q1594">
        <v>8.3463677273078805</v>
      </c>
      <c r="R1594">
        <v>3.7</v>
      </c>
      <c r="T1594" s="358" t="str">
        <f t="shared" si="95"/>
        <v>2003FemaleNon-Maori24Poisoning by solids and liquids</v>
      </c>
      <c r="U1594" s="360">
        <v>2003</v>
      </c>
      <c r="V1594" s="360" t="s">
        <v>8</v>
      </c>
      <c r="W1594" s="360" t="s">
        <v>19</v>
      </c>
      <c r="X1594" s="360">
        <v>24</v>
      </c>
      <c r="Y1594" s="360" t="s">
        <v>47</v>
      </c>
      <c r="Z1594" s="360">
        <v>9</v>
      </c>
      <c r="AA1594" s="360">
        <v>34</v>
      </c>
      <c r="AB1594" s="360">
        <v>26.5</v>
      </c>
    </row>
    <row r="1595" spans="10:28" x14ac:dyDescent="0.2">
      <c r="J1595" s="358" t="str">
        <f t="shared" si="94"/>
        <v>2005AllSexAllEth242</v>
      </c>
      <c r="K1595" s="359">
        <v>2005</v>
      </c>
      <c r="L1595" t="s">
        <v>17</v>
      </c>
      <c r="M1595" t="s">
        <v>27</v>
      </c>
      <c r="N1595">
        <v>24</v>
      </c>
      <c r="O1595">
        <v>2</v>
      </c>
      <c r="P1595">
        <v>24</v>
      </c>
      <c r="Q1595">
        <v>11.344902938937199</v>
      </c>
      <c r="R1595">
        <v>4.5</v>
      </c>
      <c r="T1595" s="358" t="str">
        <f t="shared" si="95"/>
        <v>2003FemaleNon-Maori25Poisoning by solids and liquids</v>
      </c>
      <c r="U1595" s="360">
        <v>2003</v>
      </c>
      <c r="V1595" s="360" t="s">
        <v>8</v>
      </c>
      <c r="W1595" s="360" t="s">
        <v>19</v>
      </c>
      <c r="X1595" s="360">
        <v>25</v>
      </c>
      <c r="Y1595" s="360" t="s">
        <v>47</v>
      </c>
      <c r="Z1595" s="360">
        <v>3</v>
      </c>
      <c r="AA1595" s="360">
        <v>21</v>
      </c>
      <c r="AB1595" s="360">
        <v>14.3</v>
      </c>
    </row>
    <row r="1596" spans="10:28" x14ac:dyDescent="0.2">
      <c r="J1596" s="358" t="str">
        <f t="shared" si="94"/>
        <v>2005AllSexAllEth243</v>
      </c>
      <c r="K1596" s="359">
        <v>2005</v>
      </c>
      <c r="L1596" t="s">
        <v>17</v>
      </c>
      <c r="M1596" t="s">
        <v>27</v>
      </c>
      <c r="N1596">
        <v>24</v>
      </c>
      <c r="O1596">
        <v>3</v>
      </c>
      <c r="P1596">
        <v>15</v>
      </c>
      <c r="Q1596">
        <v>7.8653054844678598</v>
      </c>
      <c r="R1596">
        <v>4</v>
      </c>
      <c r="T1596" s="358" t="str">
        <f t="shared" si="95"/>
        <v>2003FemaleNon-Maori23Sharp object</v>
      </c>
      <c r="U1596" s="360">
        <v>2003</v>
      </c>
      <c r="V1596" s="360" t="s">
        <v>8</v>
      </c>
      <c r="W1596" s="360" t="s">
        <v>19</v>
      </c>
      <c r="X1596" s="360">
        <v>23</v>
      </c>
      <c r="Y1596" s="360" t="s">
        <v>48</v>
      </c>
      <c r="Z1596" s="360">
        <v>2</v>
      </c>
      <c r="AA1596" s="360">
        <v>47</v>
      </c>
      <c r="AB1596" s="360">
        <v>4.3</v>
      </c>
    </row>
    <row r="1597" spans="10:28" x14ac:dyDescent="0.2">
      <c r="J1597" s="358" t="str">
        <f t="shared" si="94"/>
        <v>2005AllSexAllEth244</v>
      </c>
      <c r="K1597" s="359">
        <v>2005</v>
      </c>
      <c r="L1597" t="s">
        <v>17</v>
      </c>
      <c r="M1597" t="s">
        <v>27</v>
      </c>
      <c r="N1597">
        <v>24</v>
      </c>
      <c r="O1597">
        <v>4</v>
      </c>
      <c r="P1597">
        <v>40</v>
      </c>
      <c r="Q1597">
        <v>22.948229505149499</v>
      </c>
      <c r="R1597">
        <v>7.1</v>
      </c>
      <c r="T1597" s="358" t="str">
        <f t="shared" si="95"/>
        <v>2003FemaleNon-Maori24Sharp object</v>
      </c>
      <c r="U1597" s="360">
        <v>2003</v>
      </c>
      <c r="V1597" s="360" t="s">
        <v>8</v>
      </c>
      <c r="W1597" s="360" t="s">
        <v>19</v>
      </c>
      <c r="X1597" s="360">
        <v>24</v>
      </c>
      <c r="Y1597" s="360" t="s">
        <v>48</v>
      </c>
      <c r="Z1597" s="360">
        <v>2</v>
      </c>
      <c r="AA1597" s="360">
        <v>34</v>
      </c>
      <c r="AB1597" s="360">
        <v>5.9</v>
      </c>
    </row>
    <row r="1598" spans="10:28" x14ac:dyDescent="0.2">
      <c r="J1598" s="358" t="str">
        <f t="shared" si="94"/>
        <v>2005AllSexAllEth245</v>
      </c>
      <c r="K1598" s="359">
        <v>2005</v>
      </c>
      <c r="L1598" t="s">
        <v>17</v>
      </c>
      <c r="M1598" t="s">
        <v>27</v>
      </c>
      <c r="N1598">
        <v>24</v>
      </c>
      <c r="O1598">
        <v>5</v>
      </c>
      <c r="P1598">
        <v>30</v>
      </c>
      <c r="Q1598">
        <v>19.342396298706699</v>
      </c>
      <c r="R1598">
        <v>6.9</v>
      </c>
      <c r="T1598" s="358" t="str">
        <f t="shared" si="95"/>
        <v>2003FemaleNon-Maori23Submersion (drowning)</v>
      </c>
      <c r="U1598" s="360">
        <v>2003</v>
      </c>
      <c r="V1598" s="360" t="s">
        <v>8</v>
      </c>
      <c r="W1598" s="360" t="s">
        <v>19</v>
      </c>
      <c r="X1598" s="360">
        <v>23</v>
      </c>
      <c r="Y1598" s="360" t="s">
        <v>49</v>
      </c>
      <c r="Z1598" s="360">
        <v>3</v>
      </c>
      <c r="AA1598" s="360">
        <v>47</v>
      </c>
      <c r="AB1598" s="360">
        <v>6.4</v>
      </c>
    </row>
    <row r="1599" spans="10:28" x14ac:dyDescent="0.2">
      <c r="J1599" s="358" t="str">
        <f t="shared" si="94"/>
        <v>2005AllSexAllEth251</v>
      </c>
      <c r="K1599" s="359">
        <v>2005</v>
      </c>
      <c r="L1599" t="s">
        <v>17</v>
      </c>
      <c r="M1599" t="s">
        <v>27</v>
      </c>
      <c r="N1599">
        <v>25</v>
      </c>
      <c r="O1599">
        <v>1</v>
      </c>
      <c r="P1599">
        <v>13</v>
      </c>
      <c r="Q1599">
        <v>13.646393205146801</v>
      </c>
      <c r="R1599">
        <v>7.4</v>
      </c>
      <c r="T1599" s="358" t="str">
        <f t="shared" si="95"/>
        <v>2003FemaleNon-Maori24Submersion (drowning)</v>
      </c>
      <c r="U1599" s="360">
        <v>2003</v>
      </c>
      <c r="V1599" s="360" t="s">
        <v>8</v>
      </c>
      <c r="W1599" s="360" t="s">
        <v>19</v>
      </c>
      <c r="X1599" s="360">
        <v>24</v>
      </c>
      <c r="Y1599" s="360" t="s">
        <v>49</v>
      </c>
      <c r="Z1599" s="360">
        <v>3</v>
      </c>
      <c r="AA1599" s="360">
        <v>34</v>
      </c>
      <c r="AB1599" s="360">
        <v>8.8000000000000007</v>
      </c>
    </row>
    <row r="1600" spans="10:28" x14ac:dyDescent="0.2">
      <c r="J1600" s="358" t="str">
        <f t="shared" si="94"/>
        <v>2005AllSexAllEth252</v>
      </c>
      <c r="K1600" s="359">
        <v>2005</v>
      </c>
      <c r="L1600" t="s">
        <v>17</v>
      </c>
      <c r="M1600" t="s">
        <v>27</v>
      </c>
      <c r="N1600">
        <v>25</v>
      </c>
      <c r="O1600">
        <v>2</v>
      </c>
      <c r="P1600">
        <v>8</v>
      </c>
      <c r="Q1600">
        <v>7.8213318938733298</v>
      </c>
      <c r="R1600">
        <v>5.4</v>
      </c>
      <c r="T1600" s="358" t="str">
        <f t="shared" si="95"/>
        <v>2003FemaleNon-Maori25Submersion (drowning)</v>
      </c>
      <c r="U1600" s="360">
        <v>2003</v>
      </c>
      <c r="V1600" s="360" t="s">
        <v>8</v>
      </c>
      <c r="W1600" s="360" t="s">
        <v>19</v>
      </c>
      <c r="X1600" s="360">
        <v>25</v>
      </c>
      <c r="Y1600" s="360" t="s">
        <v>49</v>
      </c>
      <c r="Z1600" s="360">
        <v>1</v>
      </c>
      <c r="AA1600" s="360">
        <v>21</v>
      </c>
      <c r="AB1600" s="360">
        <v>4.8</v>
      </c>
    </row>
    <row r="1601" spans="10:28" x14ac:dyDescent="0.2">
      <c r="J1601" s="358" t="str">
        <f t="shared" si="94"/>
        <v>2005AllSexAllEth253</v>
      </c>
      <c r="K1601" s="359">
        <v>2005</v>
      </c>
      <c r="L1601" t="s">
        <v>17</v>
      </c>
      <c r="M1601" t="s">
        <v>27</v>
      </c>
      <c r="N1601">
        <v>25</v>
      </c>
      <c r="O1601">
        <v>3</v>
      </c>
      <c r="P1601">
        <v>13</v>
      </c>
      <c r="Q1601">
        <v>12.163439083333699</v>
      </c>
      <c r="R1601">
        <v>6.6</v>
      </c>
      <c r="T1601" s="358" t="str">
        <f t="shared" si="95"/>
        <v>2003MaleAllEth22Firearms and explosives</v>
      </c>
      <c r="U1601" s="360">
        <v>2003</v>
      </c>
      <c r="V1601" s="360" t="s">
        <v>20</v>
      </c>
      <c r="W1601" s="360" t="s">
        <v>27</v>
      </c>
      <c r="X1601" s="360">
        <v>22</v>
      </c>
      <c r="Y1601" s="360" t="s">
        <v>42</v>
      </c>
      <c r="Z1601" s="360">
        <v>2</v>
      </c>
      <c r="AA1601" s="360">
        <v>67</v>
      </c>
      <c r="AB1601" s="360">
        <v>3</v>
      </c>
    </row>
    <row r="1602" spans="10:28" x14ac:dyDescent="0.2">
      <c r="J1602" s="358" t="str">
        <f t="shared" si="94"/>
        <v>2005AllSexAllEth254</v>
      </c>
      <c r="K1602" s="359">
        <v>2005</v>
      </c>
      <c r="L1602" t="s">
        <v>17</v>
      </c>
      <c r="M1602" t="s">
        <v>27</v>
      </c>
      <c r="N1602">
        <v>25</v>
      </c>
      <c r="O1602">
        <v>4</v>
      </c>
      <c r="P1602">
        <v>7</v>
      </c>
      <c r="Q1602">
        <v>6.4892329006125404</v>
      </c>
      <c r="R1602">
        <v>4.8</v>
      </c>
      <c r="T1602" s="358" t="str">
        <f t="shared" si="95"/>
        <v>2003MaleAllEth23Firearms and explosives</v>
      </c>
      <c r="U1602" s="360">
        <v>2003</v>
      </c>
      <c r="V1602" s="360" t="s">
        <v>20</v>
      </c>
      <c r="W1602" s="360" t="s">
        <v>27</v>
      </c>
      <c r="X1602" s="360">
        <v>23</v>
      </c>
      <c r="Y1602" s="360" t="s">
        <v>42</v>
      </c>
      <c r="Z1602" s="360">
        <v>11</v>
      </c>
      <c r="AA1602" s="360">
        <v>163</v>
      </c>
      <c r="AB1602" s="360">
        <v>6.7</v>
      </c>
    </row>
    <row r="1603" spans="10:28" x14ac:dyDescent="0.2">
      <c r="J1603" s="358" t="str">
        <f t="shared" si="94"/>
        <v>2005AllSexAllEth255</v>
      </c>
      <c r="K1603" s="359">
        <v>2005</v>
      </c>
      <c r="L1603" t="s">
        <v>17</v>
      </c>
      <c r="M1603" t="s">
        <v>27</v>
      </c>
      <c r="N1603">
        <v>25</v>
      </c>
      <c r="O1603">
        <v>5</v>
      </c>
      <c r="P1603">
        <v>5</v>
      </c>
      <c r="Q1603">
        <v>5.9464657940640597</v>
      </c>
      <c r="R1603">
        <v>5.2</v>
      </c>
      <c r="T1603" s="358" t="str">
        <f t="shared" si="95"/>
        <v>2003MaleAllEth24Firearms and explosives</v>
      </c>
      <c r="U1603" s="360">
        <v>2003</v>
      </c>
      <c r="V1603" s="360" t="s">
        <v>20</v>
      </c>
      <c r="W1603" s="360" t="s">
        <v>27</v>
      </c>
      <c r="X1603" s="360">
        <v>24</v>
      </c>
      <c r="Y1603" s="360" t="s">
        <v>42</v>
      </c>
      <c r="Z1603" s="360">
        <v>15</v>
      </c>
      <c r="AA1603" s="360">
        <v>100</v>
      </c>
      <c r="AB1603" s="360">
        <v>15</v>
      </c>
    </row>
    <row r="1604" spans="10:28" x14ac:dyDescent="0.2">
      <c r="J1604" s="358" t="str">
        <f t="shared" ref="J1604:J1667" si="96">K1604&amp;L1604&amp;M1604&amp;N1604&amp;O1604</f>
        <v>2005AllSexMaori211</v>
      </c>
      <c r="K1604" s="359">
        <v>2005</v>
      </c>
      <c r="L1604" t="s">
        <v>17</v>
      </c>
      <c r="M1604" t="s">
        <v>18</v>
      </c>
      <c r="N1604">
        <v>21</v>
      </c>
      <c r="O1604">
        <v>1</v>
      </c>
      <c r="P1604">
        <v>0</v>
      </c>
      <c r="T1604" s="358" t="str">
        <f t="shared" si="95"/>
        <v>2003MaleAllEth25Firearms and explosives</v>
      </c>
      <c r="U1604" s="360">
        <v>2003</v>
      </c>
      <c r="V1604" s="360" t="s">
        <v>20</v>
      </c>
      <c r="W1604" s="360" t="s">
        <v>27</v>
      </c>
      <c r="X1604" s="360">
        <v>25</v>
      </c>
      <c r="Y1604" s="360" t="s">
        <v>42</v>
      </c>
      <c r="Z1604" s="360">
        <v>10</v>
      </c>
      <c r="AA1604" s="360">
        <v>46</v>
      </c>
      <c r="AB1604" s="360">
        <v>21.7</v>
      </c>
    </row>
    <row r="1605" spans="10:28" x14ac:dyDescent="0.2">
      <c r="J1605" s="358" t="str">
        <f t="shared" si="96"/>
        <v>2005AllSexMaori212</v>
      </c>
      <c r="K1605" s="359">
        <v>2005</v>
      </c>
      <c r="L1605" t="s">
        <v>17</v>
      </c>
      <c r="M1605" t="s">
        <v>18</v>
      </c>
      <c r="N1605">
        <v>21</v>
      </c>
      <c r="O1605">
        <v>2</v>
      </c>
      <c r="P1605">
        <v>0</v>
      </c>
      <c r="T1605" s="358" t="str">
        <f t="shared" ref="T1605:T1668" si="97">U1605&amp;V1605&amp;W1605&amp;X1605&amp;Y1605</f>
        <v>2003MaleAllEth21Hanging, strangulation and suffocation</v>
      </c>
      <c r="U1605" s="360">
        <v>2003</v>
      </c>
      <c r="V1605" s="360" t="s">
        <v>20</v>
      </c>
      <c r="W1605" s="360" t="s">
        <v>27</v>
      </c>
      <c r="X1605" s="360">
        <v>21</v>
      </c>
      <c r="Y1605" s="360" t="s">
        <v>43</v>
      </c>
      <c r="Z1605" s="360">
        <v>4</v>
      </c>
      <c r="AA1605" s="360">
        <v>4</v>
      </c>
      <c r="AB1605" s="360">
        <v>100</v>
      </c>
    </row>
    <row r="1606" spans="10:28" x14ac:dyDescent="0.2">
      <c r="J1606" s="358" t="str">
        <f t="shared" si="96"/>
        <v>2005AllSexMaori213</v>
      </c>
      <c r="K1606" s="359">
        <v>2005</v>
      </c>
      <c r="L1606" t="s">
        <v>17</v>
      </c>
      <c r="M1606" t="s">
        <v>18</v>
      </c>
      <c r="N1606">
        <v>21</v>
      </c>
      <c r="O1606">
        <v>3</v>
      </c>
      <c r="P1606">
        <v>1</v>
      </c>
      <c r="T1606" s="358" t="str">
        <f t="shared" si="97"/>
        <v>2003MaleAllEth22Hanging, strangulation and suffocation</v>
      </c>
      <c r="U1606" s="360">
        <v>2003</v>
      </c>
      <c r="V1606" s="360" t="s">
        <v>20</v>
      </c>
      <c r="W1606" s="360" t="s">
        <v>27</v>
      </c>
      <c r="X1606" s="360">
        <v>22</v>
      </c>
      <c r="Y1606" s="360" t="s">
        <v>43</v>
      </c>
      <c r="Z1606" s="360">
        <v>50</v>
      </c>
      <c r="AA1606" s="360">
        <v>67</v>
      </c>
      <c r="AB1606" s="360">
        <v>74.599999999999994</v>
      </c>
    </row>
    <row r="1607" spans="10:28" x14ac:dyDescent="0.2">
      <c r="J1607" s="358" t="str">
        <f t="shared" si="96"/>
        <v>2005AllSexMaori214</v>
      </c>
      <c r="K1607" s="359">
        <v>2005</v>
      </c>
      <c r="L1607" t="s">
        <v>17</v>
      </c>
      <c r="M1607" t="s">
        <v>18</v>
      </c>
      <c r="N1607">
        <v>21</v>
      </c>
      <c r="O1607">
        <v>4</v>
      </c>
      <c r="P1607">
        <v>0</v>
      </c>
      <c r="T1607" s="358" t="str">
        <f t="shared" si="97"/>
        <v>2003MaleAllEth23Hanging, strangulation and suffocation</v>
      </c>
      <c r="U1607" s="360">
        <v>2003</v>
      </c>
      <c r="V1607" s="360" t="s">
        <v>20</v>
      </c>
      <c r="W1607" s="360" t="s">
        <v>27</v>
      </c>
      <c r="X1607" s="360">
        <v>23</v>
      </c>
      <c r="Y1607" s="360" t="s">
        <v>43</v>
      </c>
      <c r="Z1607" s="360">
        <v>84</v>
      </c>
      <c r="AA1607" s="360">
        <v>163</v>
      </c>
      <c r="AB1607" s="360">
        <v>51.5</v>
      </c>
    </row>
    <row r="1608" spans="10:28" x14ac:dyDescent="0.2">
      <c r="J1608" s="358" t="str">
        <f t="shared" si="96"/>
        <v>2005AllSexMaori215</v>
      </c>
      <c r="K1608" s="359">
        <v>2005</v>
      </c>
      <c r="L1608" t="s">
        <v>17</v>
      </c>
      <c r="M1608" t="s">
        <v>18</v>
      </c>
      <c r="N1608">
        <v>21</v>
      </c>
      <c r="O1608">
        <v>5</v>
      </c>
      <c r="P1608">
        <v>1</v>
      </c>
      <c r="T1608" s="358" t="str">
        <f t="shared" si="97"/>
        <v>2003MaleAllEth24Hanging, strangulation and suffocation</v>
      </c>
      <c r="U1608" s="360">
        <v>2003</v>
      </c>
      <c r="V1608" s="360" t="s">
        <v>20</v>
      </c>
      <c r="W1608" s="360" t="s">
        <v>27</v>
      </c>
      <c r="X1608" s="360">
        <v>24</v>
      </c>
      <c r="Y1608" s="360" t="s">
        <v>43</v>
      </c>
      <c r="Z1608" s="360">
        <v>36</v>
      </c>
      <c r="AA1608" s="360">
        <v>100</v>
      </c>
      <c r="AB1608" s="360">
        <v>36</v>
      </c>
    </row>
    <row r="1609" spans="10:28" x14ac:dyDescent="0.2">
      <c r="J1609" s="358" t="str">
        <f t="shared" si="96"/>
        <v>2005AllSexMaori221</v>
      </c>
      <c r="K1609" s="359">
        <v>2005</v>
      </c>
      <c r="L1609" t="s">
        <v>17</v>
      </c>
      <c r="M1609" t="s">
        <v>18</v>
      </c>
      <c r="N1609">
        <v>22</v>
      </c>
      <c r="O1609">
        <v>1</v>
      </c>
      <c r="P1609">
        <v>2</v>
      </c>
      <c r="Q1609">
        <v>24.4239613644556</v>
      </c>
      <c r="R1609">
        <v>33.799999999999997</v>
      </c>
      <c r="T1609" s="358" t="str">
        <f t="shared" si="97"/>
        <v>2003MaleAllEth25Hanging, strangulation and suffocation</v>
      </c>
      <c r="U1609" s="360">
        <v>2003</v>
      </c>
      <c r="V1609" s="360" t="s">
        <v>20</v>
      </c>
      <c r="W1609" s="360" t="s">
        <v>27</v>
      </c>
      <c r="X1609" s="360">
        <v>25</v>
      </c>
      <c r="Y1609" s="360" t="s">
        <v>43</v>
      </c>
      <c r="Z1609" s="360">
        <v>14</v>
      </c>
      <c r="AA1609" s="360">
        <v>46</v>
      </c>
      <c r="AB1609" s="360">
        <v>30.4</v>
      </c>
    </row>
    <row r="1610" spans="10:28" x14ac:dyDescent="0.2">
      <c r="J1610" s="358" t="str">
        <f t="shared" si="96"/>
        <v>2005AllSexMaori222</v>
      </c>
      <c r="K1610" s="359">
        <v>2005</v>
      </c>
      <c r="L1610" t="s">
        <v>17</v>
      </c>
      <c r="M1610" t="s">
        <v>18</v>
      </c>
      <c r="N1610">
        <v>22</v>
      </c>
      <c r="O1610">
        <v>2</v>
      </c>
      <c r="P1610">
        <v>2</v>
      </c>
      <c r="Q1610">
        <v>16.453631971995001</v>
      </c>
      <c r="R1610">
        <v>22.8</v>
      </c>
      <c r="T1610" s="358" t="str">
        <f t="shared" si="97"/>
        <v>2003MaleAllEth22Jumping from a high place</v>
      </c>
      <c r="U1610" s="360">
        <v>2003</v>
      </c>
      <c r="V1610" s="360" t="s">
        <v>20</v>
      </c>
      <c r="W1610" s="360" t="s">
        <v>27</v>
      </c>
      <c r="X1610" s="360">
        <v>22</v>
      </c>
      <c r="Y1610" s="360" t="s">
        <v>44</v>
      </c>
      <c r="Z1610" s="360">
        <v>3</v>
      </c>
      <c r="AA1610" s="360">
        <v>67</v>
      </c>
      <c r="AB1610" s="360">
        <v>4.5</v>
      </c>
    </row>
    <row r="1611" spans="10:28" x14ac:dyDescent="0.2">
      <c r="J1611" s="358" t="str">
        <f t="shared" si="96"/>
        <v>2005AllSexMaori223</v>
      </c>
      <c r="K1611" s="359">
        <v>2005</v>
      </c>
      <c r="L1611" t="s">
        <v>17</v>
      </c>
      <c r="M1611" t="s">
        <v>18</v>
      </c>
      <c r="N1611">
        <v>22</v>
      </c>
      <c r="O1611">
        <v>3</v>
      </c>
      <c r="P1611">
        <v>8</v>
      </c>
      <c r="Q1611">
        <v>43.401538001761701</v>
      </c>
      <c r="R1611">
        <v>30.1</v>
      </c>
      <c r="T1611" s="358" t="str">
        <f t="shared" si="97"/>
        <v>2003MaleAllEth23Jumping from a high place</v>
      </c>
      <c r="U1611" s="360">
        <v>2003</v>
      </c>
      <c r="V1611" s="360" t="s">
        <v>20</v>
      </c>
      <c r="W1611" s="360" t="s">
        <v>27</v>
      </c>
      <c r="X1611" s="360">
        <v>23</v>
      </c>
      <c r="Y1611" s="360" t="s">
        <v>44</v>
      </c>
      <c r="Z1611" s="360">
        <v>3</v>
      </c>
      <c r="AA1611" s="360">
        <v>163</v>
      </c>
      <c r="AB1611" s="360">
        <v>1.8</v>
      </c>
    </row>
    <row r="1612" spans="10:28" x14ac:dyDescent="0.2">
      <c r="J1612" s="358" t="str">
        <f t="shared" si="96"/>
        <v>2005AllSexMaori224</v>
      </c>
      <c r="K1612" s="359">
        <v>2005</v>
      </c>
      <c r="L1612" t="s">
        <v>17</v>
      </c>
      <c r="M1612" t="s">
        <v>18</v>
      </c>
      <c r="N1612">
        <v>22</v>
      </c>
      <c r="O1612">
        <v>4</v>
      </c>
      <c r="P1612">
        <v>13</v>
      </c>
      <c r="Q1612">
        <v>47.548657489063899</v>
      </c>
      <c r="R1612">
        <v>25.8</v>
      </c>
      <c r="T1612" s="358" t="str">
        <f t="shared" si="97"/>
        <v>2003MaleAllEth24Jumping from a high place</v>
      </c>
      <c r="U1612" s="360">
        <v>2003</v>
      </c>
      <c r="V1612" s="360" t="s">
        <v>20</v>
      </c>
      <c r="W1612" s="360" t="s">
        <v>27</v>
      </c>
      <c r="X1612" s="360">
        <v>24</v>
      </c>
      <c r="Y1612" s="360" t="s">
        <v>44</v>
      </c>
      <c r="Z1612" s="360">
        <v>1</v>
      </c>
      <c r="AA1612" s="360">
        <v>100</v>
      </c>
      <c r="AB1612" s="360">
        <v>1</v>
      </c>
    </row>
    <row r="1613" spans="10:28" x14ac:dyDescent="0.2">
      <c r="J1613" s="358" t="str">
        <f t="shared" si="96"/>
        <v>2005AllSexMaori225</v>
      </c>
      <c r="K1613" s="359">
        <v>2005</v>
      </c>
      <c r="L1613" t="s">
        <v>17</v>
      </c>
      <c r="M1613" t="s">
        <v>18</v>
      </c>
      <c r="N1613">
        <v>22</v>
      </c>
      <c r="O1613">
        <v>5</v>
      </c>
      <c r="P1613">
        <v>14</v>
      </c>
      <c r="Q1613">
        <v>29.055886076322299</v>
      </c>
      <c r="R1613">
        <v>15.2</v>
      </c>
      <c r="T1613" s="358" t="str">
        <f t="shared" si="97"/>
        <v>2003MaleAllEth22Other</v>
      </c>
      <c r="U1613" s="360">
        <v>2003</v>
      </c>
      <c r="V1613" s="360" t="s">
        <v>20</v>
      </c>
      <c r="W1613" s="360" t="s">
        <v>27</v>
      </c>
      <c r="X1613" s="360">
        <v>22</v>
      </c>
      <c r="Y1613" s="360" t="s">
        <v>45</v>
      </c>
      <c r="Z1613" s="360">
        <v>3</v>
      </c>
      <c r="AA1613" s="360">
        <v>67</v>
      </c>
      <c r="AB1613" s="360">
        <v>4.5</v>
      </c>
    </row>
    <row r="1614" spans="10:28" x14ac:dyDescent="0.2">
      <c r="J1614" s="358" t="str">
        <f t="shared" si="96"/>
        <v>2005AllSexMaori231</v>
      </c>
      <c r="K1614" s="359">
        <v>2005</v>
      </c>
      <c r="L1614" t="s">
        <v>17</v>
      </c>
      <c r="M1614" t="s">
        <v>18</v>
      </c>
      <c r="N1614">
        <v>23</v>
      </c>
      <c r="O1614">
        <v>1</v>
      </c>
      <c r="P1614">
        <v>2</v>
      </c>
      <c r="Q1614">
        <v>14.3392999055472</v>
      </c>
      <c r="R1614">
        <v>19.899999999999999</v>
      </c>
      <c r="T1614" s="358" t="str">
        <f t="shared" si="97"/>
        <v>2003MaleAllEth23Other</v>
      </c>
      <c r="U1614" s="360">
        <v>2003</v>
      </c>
      <c r="V1614" s="360" t="s">
        <v>20</v>
      </c>
      <c r="W1614" s="360" t="s">
        <v>27</v>
      </c>
      <c r="X1614" s="360">
        <v>23</v>
      </c>
      <c r="Y1614" s="360" t="s">
        <v>45</v>
      </c>
      <c r="Z1614" s="360">
        <v>9</v>
      </c>
      <c r="AA1614" s="360">
        <v>163</v>
      </c>
      <c r="AB1614" s="360">
        <v>5.5</v>
      </c>
    </row>
    <row r="1615" spans="10:28" x14ac:dyDescent="0.2">
      <c r="J1615" s="358" t="str">
        <f t="shared" si="96"/>
        <v>2005AllSexMaori232</v>
      </c>
      <c r="K1615" s="359">
        <v>2005</v>
      </c>
      <c r="L1615" t="s">
        <v>17</v>
      </c>
      <c r="M1615" t="s">
        <v>18</v>
      </c>
      <c r="N1615">
        <v>23</v>
      </c>
      <c r="O1615">
        <v>2</v>
      </c>
      <c r="P1615">
        <v>5</v>
      </c>
      <c r="Q1615">
        <v>24.715064195573198</v>
      </c>
      <c r="R1615">
        <v>21.7</v>
      </c>
      <c r="T1615" s="358" t="str">
        <f t="shared" si="97"/>
        <v>2003MaleAllEth24Other</v>
      </c>
      <c r="U1615" s="360">
        <v>2003</v>
      </c>
      <c r="V1615" s="360" t="s">
        <v>20</v>
      </c>
      <c r="W1615" s="360" t="s">
        <v>27</v>
      </c>
      <c r="X1615" s="360">
        <v>24</v>
      </c>
      <c r="Y1615" s="360" t="s">
        <v>45</v>
      </c>
      <c r="Z1615" s="360">
        <v>7</v>
      </c>
      <c r="AA1615" s="360">
        <v>100</v>
      </c>
      <c r="AB1615" s="360">
        <v>7</v>
      </c>
    </row>
    <row r="1616" spans="10:28" x14ac:dyDescent="0.2">
      <c r="J1616" s="358" t="str">
        <f t="shared" si="96"/>
        <v>2005AllSexMaori233</v>
      </c>
      <c r="K1616" s="359">
        <v>2005</v>
      </c>
      <c r="L1616" t="s">
        <v>17</v>
      </c>
      <c r="M1616" t="s">
        <v>18</v>
      </c>
      <c r="N1616">
        <v>23</v>
      </c>
      <c r="O1616">
        <v>3</v>
      </c>
      <c r="P1616">
        <v>6</v>
      </c>
      <c r="Q1616">
        <v>21.236671290706202</v>
      </c>
      <c r="R1616">
        <v>17</v>
      </c>
      <c r="T1616" s="358" t="str">
        <f t="shared" si="97"/>
        <v>2003MaleAllEth25Other</v>
      </c>
      <c r="U1616" s="360">
        <v>2003</v>
      </c>
      <c r="V1616" s="360" t="s">
        <v>20</v>
      </c>
      <c r="W1616" s="360" t="s">
        <v>27</v>
      </c>
      <c r="X1616" s="360">
        <v>25</v>
      </c>
      <c r="Y1616" s="360" t="s">
        <v>45</v>
      </c>
      <c r="Z1616" s="360">
        <v>1</v>
      </c>
      <c r="AA1616" s="360">
        <v>46</v>
      </c>
      <c r="AB1616" s="360">
        <v>2.2000000000000002</v>
      </c>
    </row>
    <row r="1617" spans="10:28" x14ac:dyDescent="0.2">
      <c r="J1617" s="358" t="str">
        <f t="shared" si="96"/>
        <v>2005AllSexMaori234</v>
      </c>
      <c r="K1617" s="359">
        <v>2005</v>
      </c>
      <c r="L1617" t="s">
        <v>17</v>
      </c>
      <c r="M1617" t="s">
        <v>18</v>
      </c>
      <c r="N1617">
        <v>23</v>
      </c>
      <c r="O1617">
        <v>4</v>
      </c>
      <c r="P1617">
        <v>12</v>
      </c>
      <c r="Q1617">
        <v>29.695737977908799</v>
      </c>
      <c r="R1617">
        <v>16.8</v>
      </c>
      <c r="T1617" s="358" t="str">
        <f t="shared" si="97"/>
        <v>2003MaleAllEth22Poisoning by gases and vapours</v>
      </c>
      <c r="U1617" s="360">
        <v>2003</v>
      </c>
      <c r="V1617" s="360" t="s">
        <v>20</v>
      </c>
      <c r="W1617" s="360" t="s">
        <v>27</v>
      </c>
      <c r="X1617" s="360">
        <v>22</v>
      </c>
      <c r="Y1617" s="360" t="s">
        <v>46</v>
      </c>
      <c r="Z1617" s="360">
        <v>8</v>
      </c>
      <c r="AA1617" s="360">
        <v>67</v>
      </c>
      <c r="AB1617" s="360">
        <v>11.9</v>
      </c>
    </row>
    <row r="1618" spans="10:28" x14ac:dyDescent="0.2">
      <c r="J1618" s="358" t="str">
        <f t="shared" si="96"/>
        <v>2005AllSexMaori235</v>
      </c>
      <c r="K1618" s="359">
        <v>2005</v>
      </c>
      <c r="L1618" t="s">
        <v>17</v>
      </c>
      <c r="M1618" t="s">
        <v>18</v>
      </c>
      <c r="N1618">
        <v>23</v>
      </c>
      <c r="O1618">
        <v>5</v>
      </c>
      <c r="P1618">
        <v>25</v>
      </c>
      <c r="Q1618">
        <v>37.566368668867298</v>
      </c>
      <c r="R1618">
        <v>14.7</v>
      </c>
      <c r="T1618" s="358" t="str">
        <f t="shared" si="97"/>
        <v>2003MaleAllEth23Poisoning by gases and vapours</v>
      </c>
      <c r="U1618" s="360">
        <v>2003</v>
      </c>
      <c r="V1618" s="360" t="s">
        <v>20</v>
      </c>
      <c r="W1618" s="360" t="s">
        <v>27</v>
      </c>
      <c r="X1618" s="360">
        <v>23</v>
      </c>
      <c r="Y1618" s="360" t="s">
        <v>46</v>
      </c>
      <c r="Z1618" s="360">
        <v>35</v>
      </c>
      <c r="AA1618" s="360">
        <v>163</v>
      </c>
      <c r="AB1618" s="360">
        <v>21.5</v>
      </c>
    </row>
    <row r="1619" spans="10:28" x14ac:dyDescent="0.2">
      <c r="J1619" s="358" t="str">
        <f t="shared" si="96"/>
        <v>2005AllSexMaori241</v>
      </c>
      <c r="K1619" s="359">
        <v>2005</v>
      </c>
      <c r="L1619" t="s">
        <v>17</v>
      </c>
      <c r="M1619" t="s">
        <v>18</v>
      </c>
      <c r="N1619">
        <v>24</v>
      </c>
      <c r="O1619">
        <v>1</v>
      </c>
      <c r="P1619">
        <v>0</v>
      </c>
      <c r="Q1619">
        <v>0</v>
      </c>
      <c r="T1619" s="358" t="str">
        <f t="shared" si="97"/>
        <v>2003MaleAllEth24Poisoning by gases and vapours</v>
      </c>
      <c r="U1619" s="360">
        <v>2003</v>
      </c>
      <c r="V1619" s="360" t="s">
        <v>20</v>
      </c>
      <c r="W1619" s="360" t="s">
        <v>27</v>
      </c>
      <c r="X1619" s="360">
        <v>24</v>
      </c>
      <c r="Y1619" s="360" t="s">
        <v>46</v>
      </c>
      <c r="Z1619" s="360">
        <v>23</v>
      </c>
      <c r="AA1619" s="360">
        <v>100</v>
      </c>
      <c r="AB1619" s="360">
        <v>23</v>
      </c>
    </row>
    <row r="1620" spans="10:28" x14ac:dyDescent="0.2">
      <c r="J1620" s="358" t="str">
        <f t="shared" si="96"/>
        <v>2005AllSexMaori242</v>
      </c>
      <c r="K1620" s="359">
        <v>2005</v>
      </c>
      <c r="L1620" t="s">
        <v>17</v>
      </c>
      <c r="M1620" t="s">
        <v>18</v>
      </c>
      <c r="N1620">
        <v>24</v>
      </c>
      <c r="O1620">
        <v>2</v>
      </c>
      <c r="P1620">
        <v>0</v>
      </c>
      <c r="Q1620">
        <v>0</v>
      </c>
      <c r="T1620" s="358" t="str">
        <f t="shared" si="97"/>
        <v>2003MaleAllEth25Poisoning by gases and vapours</v>
      </c>
      <c r="U1620" s="360">
        <v>2003</v>
      </c>
      <c r="V1620" s="360" t="s">
        <v>20</v>
      </c>
      <c r="W1620" s="360" t="s">
        <v>27</v>
      </c>
      <c r="X1620" s="360">
        <v>25</v>
      </c>
      <c r="Y1620" s="360" t="s">
        <v>46</v>
      </c>
      <c r="Z1620" s="360">
        <v>9</v>
      </c>
      <c r="AA1620" s="360">
        <v>46</v>
      </c>
      <c r="AB1620" s="360">
        <v>19.600000000000001</v>
      </c>
    </row>
    <row r="1621" spans="10:28" x14ac:dyDescent="0.2">
      <c r="J1621" s="358" t="str">
        <f t="shared" si="96"/>
        <v>2005AllSexMaori243</v>
      </c>
      <c r="K1621" s="359">
        <v>2005</v>
      </c>
      <c r="L1621" t="s">
        <v>17</v>
      </c>
      <c r="M1621" t="s">
        <v>18</v>
      </c>
      <c r="N1621">
        <v>24</v>
      </c>
      <c r="O1621">
        <v>3</v>
      </c>
      <c r="P1621">
        <v>0</v>
      </c>
      <c r="Q1621">
        <v>0</v>
      </c>
      <c r="T1621" s="358" t="str">
        <f t="shared" si="97"/>
        <v>2003MaleAllEth23Poisoning by solids and liquids</v>
      </c>
      <c r="U1621" s="360">
        <v>2003</v>
      </c>
      <c r="V1621" s="360" t="s">
        <v>20</v>
      </c>
      <c r="W1621" s="360" t="s">
        <v>27</v>
      </c>
      <c r="X1621" s="360">
        <v>23</v>
      </c>
      <c r="Y1621" s="360" t="s">
        <v>47</v>
      </c>
      <c r="Z1621" s="360">
        <v>14</v>
      </c>
      <c r="AA1621" s="360">
        <v>163</v>
      </c>
      <c r="AB1621" s="360">
        <v>8.6</v>
      </c>
    </row>
    <row r="1622" spans="10:28" x14ac:dyDescent="0.2">
      <c r="J1622" s="358" t="str">
        <f t="shared" si="96"/>
        <v>2005AllSexMaori244</v>
      </c>
      <c r="K1622" s="359">
        <v>2005</v>
      </c>
      <c r="L1622" t="s">
        <v>17</v>
      </c>
      <c r="M1622" t="s">
        <v>18</v>
      </c>
      <c r="N1622">
        <v>24</v>
      </c>
      <c r="O1622">
        <v>4</v>
      </c>
      <c r="P1622">
        <v>1</v>
      </c>
      <c r="Q1622">
        <v>4.63124718048629</v>
      </c>
      <c r="R1622">
        <v>9.1</v>
      </c>
      <c r="T1622" s="358" t="str">
        <f t="shared" si="97"/>
        <v>2003MaleAllEth24Poisoning by solids and liquids</v>
      </c>
      <c r="U1622" s="360">
        <v>2003</v>
      </c>
      <c r="V1622" s="360" t="s">
        <v>20</v>
      </c>
      <c r="W1622" s="360" t="s">
        <v>27</v>
      </c>
      <c r="X1622" s="360">
        <v>24</v>
      </c>
      <c r="Y1622" s="360" t="s">
        <v>47</v>
      </c>
      <c r="Z1622" s="360">
        <v>13</v>
      </c>
      <c r="AA1622" s="360">
        <v>100</v>
      </c>
      <c r="AB1622" s="360">
        <v>13</v>
      </c>
    </row>
    <row r="1623" spans="10:28" x14ac:dyDescent="0.2">
      <c r="J1623" s="358" t="str">
        <f t="shared" si="96"/>
        <v>2005AllSexMaori245</v>
      </c>
      <c r="K1623" s="359">
        <v>2005</v>
      </c>
      <c r="L1623" t="s">
        <v>17</v>
      </c>
      <c r="M1623" t="s">
        <v>18</v>
      </c>
      <c r="N1623">
        <v>24</v>
      </c>
      <c r="O1623">
        <v>5</v>
      </c>
      <c r="P1623">
        <v>6</v>
      </c>
      <c r="Q1623">
        <v>15.6806084817315</v>
      </c>
      <c r="R1623">
        <v>12.5</v>
      </c>
      <c r="T1623" s="358" t="str">
        <f t="shared" si="97"/>
        <v>2003MaleAllEth25Poisoning by solids and liquids</v>
      </c>
      <c r="U1623" s="360">
        <v>2003</v>
      </c>
      <c r="V1623" s="360" t="s">
        <v>20</v>
      </c>
      <c r="W1623" s="360" t="s">
        <v>27</v>
      </c>
      <c r="X1623" s="360">
        <v>25</v>
      </c>
      <c r="Y1623" s="360" t="s">
        <v>47</v>
      </c>
      <c r="Z1623" s="360">
        <v>5</v>
      </c>
      <c r="AA1623" s="360">
        <v>46</v>
      </c>
      <c r="AB1623" s="360">
        <v>10.9</v>
      </c>
    </row>
    <row r="1624" spans="10:28" x14ac:dyDescent="0.2">
      <c r="J1624" s="358" t="str">
        <f t="shared" si="96"/>
        <v>2005AllSexMaori251</v>
      </c>
      <c r="K1624" s="359">
        <v>2005</v>
      </c>
      <c r="L1624" t="s">
        <v>17</v>
      </c>
      <c r="M1624" t="s">
        <v>18</v>
      </c>
      <c r="N1624">
        <v>25</v>
      </c>
      <c r="O1624">
        <v>1</v>
      </c>
      <c r="P1624">
        <v>0</v>
      </c>
      <c r="Q1624">
        <v>0</v>
      </c>
      <c r="T1624" s="358" t="str">
        <f t="shared" si="97"/>
        <v>2003MaleAllEth22Sharp object</v>
      </c>
      <c r="U1624" s="360">
        <v>2003</v>
      </c>
      <c r="V1624" s="360" t="s">
        <v>20</v>
      </c>
      <c r="W1624" s="360" t="s">
        <v>27</v>
      </c>
      <c r="X1624" s="360">
        <v>22</v>
      </c>
      <c r="Y1624" s="360" t="s">
        <v>48</v>
      </c>
      <c r="Z1624" s="360">
        <v>1</v>
      </c>
      <c r="AA1624" s="360">
        <v>67</v>
      </c>
      <c r="AB1624" s="360">
        <v>1.5</v>
      </c>
    </row>
    <row r="1625" spans="10:28" x14ac:dyDescent="0.2">
      <c r="J1625" s="358" t="str">
        <f t="shared" si="96"/>
        <v>2005AllSexMaori252</v>
      </c>
      <c r="K1625" s="359">
        <v>2005</v>
      </c>
      <c r="L1625" t="s">
        <v>17</v>
      </c>
      <c r="M1625" t="s">
        <v>18</v>
      </c>
      <c r="N1625">
        <v>25</v>
      </c>
      <c r="O1625">
        <v>2</v>
      </c>
      <c r="P1625">
        <v>0</v>
      </c>
      <c r="Q1625">
        <v>0</v>
      </c>
      <c r="T1625" s="358" t="str">
        <f t="shared" si="97"/>
        <v>2003MaleAllEth23Sharp object</v>
      </c>
      <c r="U1625" s="360">
        <v>2003</v>
      </c>
      <c r="V1625" s="360" t="s">
        <v>20</v>
      </c>
      <c r="W1625" s="360" t="s">
        <v>27</v>
      </c>
      <c r="X1625" s="360">
        <v>23</v>
      </c>
      <c r="Y1625" s="360" t="s">
        <v>48</v>
      </c>
      <c r="Z1625" s="360">
        <v>4</v>
      </c>
      <c r="AA1625" s="360">
        <v>163</v>
      </c>
      <c r="AB1625" s="360">
        <v>2.5</v>
      </c>
    </row>
    <row r="1626" spans="10:28" x14ac:dyDescent="0.2">
      <c r="J1626" s="358" t="str">
        <f t="shared" si="96"/>
        <v>2005AllSexMaori253</v>
      </c>
      <c r="K1626" s="359">
        <v>2005</v>
      </c>
      <c r="L1626" t="s">
        <v>17</v>
      </c>
      <c r="M1626" t="s">
        <v>18</v>
      </c>
      <c r="N1626">
        <v>25</v>
      </c>
      <c r="O1626">
        <v>3</v>
      </c>
      <c r="P1626">
        <v>0</v>
      </c>
      <c r="Q1626">
        <v>0</v>
      </c>
      <c r="T1626" s="358" t="str">
        <f t="shared" si="97"/>
        <v>2003MaleAllEth24Sharp object</v>
      </c>
      <c r="U1626" s="360">
        <v>2003</v>
      </c>
      <c r="V1626" s="360" t="s">
        <v>20</v>
      </c>
      <c r="W1626" s="360" t="s">
        <v>27</v>
      </c>
      <c r="X1626" s="360">
        <v>24</v>
      </c>
      <c r="Y1626" s="360" t="s">
        <v>48</v>
      </c>
      <c r="Z1626" s="360">
        <v>3</v>
      </c>
      <c r="AA1626" s="360">
        <v>100</v>
      </c>
      <c r="AB1626" s="360">
        <v>3</v>
      </c>
    </row>
    <row r="1627" spans="10:28" x14ac:dyDescent="0.2">
      <c r="J1627" s="358" t="str">
        <f t="shared" si="96"/>
        <v>2005AllSexMaori254</v>
      </c>
      <c r="K1627" s="359">
        <v>2005</v>
      </c>
      <c r="L1627" t="s">
        <v>17</v>
      </c>
      <c r="M1627" t="s">
        <v>18</v>
      </c>
      <c r="N1627">
        <v>25</v>
      </c>
      <c r="O1627">
        <v>4</v>
      </c>
      <c r="P1627">
        <v>0</v>
      </c>
      <c r="Q1627">
        <v>0</v>
      </c>
      <c r="T1627" s="358" t="str">
        <f t="shared" si="97"/>
        <v>2003MaleAllEth25Sharp object</v>
      </c>
      <c r="U1627" s="360">
        <v>2003</v>
      </c>
      <c r="V1627" s="360" t="s">
        <v>20</v>
      </c>
      <c r="W1627" s="360" t="s">
        <v>27</v>
      </c>
      <c r="X1627" s="360">
        <v>25</v>
      </c>
      <c r="Y1627" s="360" t="s">
        <v>48</v>
      </c>
      <c r="Z1627" s="360">
        <v>6</v>
      </c>
      <c r="AA1627" s="360">
        <v>46</v>
      </c>
      <c r="AB1627" s="360">
        <v>13</v>
      </c>
    </row>
    <row r="1628" spans="10:28" x14ac:dyDescent="0.2">
      <c r="J1628" s="358" t="str">
        <f t="shared" si="96"/>
        <v>2005AllSexMaori255</v>
      </c>
      <c r="K1628" s="359">
        <v>2005</v>
      </c>
      <c r="L1628" t="s">
        <v>17</v>
      </c>
      <c r="M1628" t="s">
        <v>18</v>
      </c>
      <c r="N1628">
        <v>25</v>
      </c>
      <c r="O1628">
        <v>5</v>
      </c>
      <c r="P1628">
        <v>2</v>
      </c>
      <c r="Q1628">
        <v>18.567244949835199</v>
      </c>
      <c r="R1628">
        <v>25.7</v>
      </c>
      <c r="T1628" s="358" t="str">
        <f t="shared" si="97"/>
        <v>2003MaleAllEth23Submersion (drowning)</v>
      </c>
      <c r="U1628" s="360">
        <v>2003</v>
      </c>
      <c r="V1628" s="360" t="s">
        <v>20</v>
      </c>
      <c r="W1628" s="360" t="s">
        <v>27</v>
      </c>
      <c r="X1628" s="360">
        <v>23</v>
      </c>
      <c r="Y1628" s="360" t="s">
        <v>49</v>
      </c>
      <c r="Z1628" s="360">
        <v>3</v>
      </c>
      <c r="AA1628" s="360">
        <v>163</v>
      </c>
      <c r="AB1628" s="360">
        <v>1.8</v>
      </c>
    </row>
    <row r="1629" spans="10:28" x14ac:dyDescent="0.2">
      <c r="J1629" s="358" t="str">
        <f t="shared" si="96"/>
        <v>2005AllSexNon-Maori211</v>
      </c>
      <c r="K1629" s="359">
        <v>2005</v>
      </c>
      <c r="L1629" t="s">
        <v>17</v>
      </c>
      <c r="M1629" t="s">
        <v>19</v>
      </c>
      <c r="N1629">
        <v>21</v>
      </c>
      <c r="O1629">
        <v>1</v>
      </c>
      <c r="P1629">
        <v>0</v>
      </c>
      <c r="T1629" s="358" t="str">
        <f t="shared" si="97"/>
        <v>2003MaleAllEth24Submersion (drowning)</v>
      </c>
      <c r="U1629" s="360">
        <v>2003</v>
      </c>
      <c r="V1629" s="360" t="s">
        <v>20</v>
      </c>
      <c r="W1629" s="360" t="s">
        <v>27</v>
      </c>
      <c r="X1629" s="360">
        <v>24</v>
      </c>
      <c r="Y1629" s="360" t="s">
        <v>49</v>
      </c>
      <c r="Z1629" s="360">
        <v>2</v>
      </c>
      <c r="AA1629" s="360">
        <v>100</v>
      </c>
      <c r="AB1629" s="360">
        <v>2</v>
      </c>
    </row>
    <row r="1630" spans="10:28" x14ac:dyDescent="0.2">
      <c r="J1630" s="358" t="str">
        <f t="shared" si="96"/>
        <v>2005AllSexNon-Maori212</v>
      </c>
      <c r="K1630" s="359">
        <v>2005</v>
      </c>
      <c r="L1630" t="s">
        <v>17</v>
      </c>
      <c r="M1630" t="s">
        <v>19</v>
      </c>
      <c r="N1630">
        <v>21</v>
      </c>
      <c r="O1630">
        <v>2</v>
      </c>
      <c r="P1630">
        <v>0</v>
      </c>
      <c r="T1630" s="358" t="str">
        <f t="shared" si="97"/>
        <v>2003MaleAllEth25Submersion (drowning)</v>
      </c>
      <c r="U1630" s="360">
        <v>2003</v>
      </c>
      <c r="V1630" s="360" t="s">
        <v>20</v>
      </c>
      <c r="W1630" s="360" t="s">
        <v>27</v>
      </c>
      <c r="X1630" s="360">
        <v>25</v>
      </c>
      <c r="Y1630" s="360" t="s">
        <v>49</v>
      </c>
      <c r="Z1630" s="360">
        <v>1</v>
      </c>
      <c r="AA1630" s="360">
        <v>46</v>
      </c>
      <c r="AB1630" s="360">
        <v>2.2000000000000002</v>
      </c>
    </row>
    <row r="1631" spans="10:28" x14ac:dyDescent="0.2">
      <c r="J1631" s="358" t="str">
        <f t="shared" si="96"/>
        <v>2005AllSexNon-Maori213</v>
      </c>
      <c r="K1631" s="359">
        <v>2005</v>
      </c>
      <c r="L1631" t="s">
        <v>17</v>
      </c>
      <c r="M1631" t="s">
        <v>19</v>
      </c>
      <c r="N1631">
        <v>21</v>
      </c>
      <c r="O1631">
        <v>3</v>
      </c>
      <c r="P1631">
        <v>0</v>
      </c>
      <c r="T1631" s="358" t="str">
        <f t="shared" si="97"/>
        <v>2003MaleMaori23Firearms and explosives</v>
      </c>
      <c r="U1631" s="360">
        <v>2003</v>
      </c>
      <c r="V1631" s="360" t="s">
        <v>20</v>
      </c>
      <c r="W1631" s="360" t="s">
        <v>18</v>
      </c>
      <c r="X1631" s="360">
        <v>23</v>
      </c>
      <c r="Y1631" s="360" t="s">
        <v>42</v>
      </c>
      <c r="Z1631" s="360">
        <v>2</v>
      </c>
      <c r="AA1631" s="360">
        <v>39</v>
      </c>
      <c r="AB1631" s="360">
        <v>5.0999999999999996</v>
      </c>
    </row>
    <row r="1632" spans="10:28" x14ac:dyDescent="0.2">
      <c r="J1632" s="358" t="str">
        <f t="shared" si="96"/>
        <v>2005AllSexNon-Maori214</v>
      </c>
      <c r="K1632" s="359">
        <v>2005</v>
      </c>
      <c r="L1632" t="s">
        <v>17</v>
      </c>
      <c r="M1632" t="s">
        <v>19</v>
      </c>
      <c r="N1632">
        <v>21</v>
      </c>
      <c r="O1632">
        <v>4</v>
      </c>
      <c r="P1632">
        <v>0</v>
      </c>
      <c r="T1632" s="358" t="str">
        <f t="shared" si="97"/>
        <v>2003MaleMaori24Firearms and explosives</v>
      </c>
      <c r="U1632" s="360">
        <v>2003</v>
      </c>
      <c r="V1632" s="360" t="s">
        <v>20</v>
      </c>
      <c r="W1632" s="360" t="s">
        <v>18</v>
      </c>
      <c r="X1632" s="360">
        <v>24</v>
      </c>
      <c r="Y1632" s="360" t="s">
        <v>42</v>
      </c>
      <c r="Z1632" s="360">
        <v>2</v>
      </c>
      <c r="AA1632" s="360">
        <v>4</v>
      </c>
      <c r="AB1632" s="360">
        <v>50</v>
      </c>
    </row>
    <row r="1633" spans="10:28" x14ac:dyDescent="0.2">
      <c r="J1633" s="358" t="str">
        <f t="shared" si="96"/>
        <v>2005AllSexNon-Maori215</v>
      </c>
      <c r="K1633" s="359">
        <v>2005</v>
      </c>
      <c r="L1633" t="s">
        <v>17</v>
      </c>
      <c r="M1633" t="s">
        <v>19</v>
      </c>
      <c r="N1633">
        <v>21</v>
      </c>
      <c r="O1633">
        <v>5</v>
      </c>
      <c r="P1633">
        <v>1</v>
      </c>
      <c r="T1633" s="358" t="str">
        <f t="shared" si="97"/>
        <v>2003MaleMaori21Hanging, strangulation and suffocation</v>
      </c>
      <c r="U1633" s="360">
        <v>2003</v>
      </c>
      <c r="V1633" s="360" t="s">
        <v>20</v>
      </c>
      <c r="W1633" s="360" t="s">
        <v>18</v>
      </c>
      <c r="X1633" s="360">
        <v>21</v>
      </c>
      <c r="Y1633" s="360" t="s">
        <v>43</v>
      </c>
      <c r="Z1633" s="360">
        <v>4</v>
      </c>
      <c r="AA1633" s="360">
        <v>4</v>
      </c>
      <c r="AB1633" s="360">
        <v>100</v>
      </c>
    </row>
    <row r="1634" spans="10:28" x14ac:dyDescent="0.2">
      <c r="J1634" s="358" t="str">
        <f t="shared" si="96"/>
        <v>2005AllSexNon-Maori221</v>
      </c>
      <c r="K1634" s="359">
        <v>2005</v>
      </c>
      <c r="L1634" t="s">
        <v>17</v>
      </c>
      <c r="M1634" t="s">
        <v>19</v>
      </c>
      <c r="N1634">
        <v>22</v>
      </c>
      <c r="O1634">
        <v>1</v>
      </c>
      <c r="P1634">
        <v>13</v>
      </c>
      <c r="Q1634">
        <v>14.005507896029901</v>
      </c>
      <c r="R1634">
        <v>7.6</v>
      </c>
      <c r="T1634" s="358" t="str">
        <f t="shared" si="97"/>
        <v>2003MaleMaori22Hanging, strangulation and suffocation</v>
      </c>
      <c r="U1634" s="360">
        <v>2003</v>
      </c>
      <c r="V1634" s="360" t="s">
        <v>20</v>
      </c>
      <c r="W1634" s="360" t="s">
        <v>18</v>
      </c>
      <c r="X1634" s="360">
        <v>22</v>
      </c>
      <c r="Y1634" s="360" t="s">
        <v>43</v>
      </c>
      <c r="Z1634" s="360">
        <v>19</v>
      </c>
      <c r="AA1634" s="360">
        <v>20</v>
      </c>
      <c r="AB1634" s="360">
        <v>95</v>
      </c>
    </row>
    <row r="1635" spans="10:28" x14ac:dyDescent="0.2">
      <c r="J1635" s="358" t="str">
        <f t="shared" si="96"/>
        <v>2005AllSexNon-Maori222</v>
      </c>
      <c r="K1635" s="359">
        <v>2005</v>
      </c>
      <c r="L1635" t="s">
        <v>17</v>
      </c>
      <c r="M1635" t="s">
        <v>19</v>
      </c>
      <c r="N1635">
        <v>22</v>
      </c>
      <c r="O1635">
        <v>2</v>
      </c>
      <c r="P1635">
        <v>15</v>
      </c>
      <c r="Q1635">
        <v>15.781125921273301</v>
      </c>
      <c r="R1635">
        <v>8</v>
      </c>
      <c r="T1635" s="358" t="str">
        <f t="shared" si="97"/>
        <v>2003MaleMaori23Hanging, strangulation and suffocation</v>
      </c>
      <c r="U1635" s="360">
        <v>2003</v>
      </c>
      <c r="V1635" s="360" t="s">
        <v>20</v>
      </c>
      <c r="W1635" s="360" t="s">
        <v>18</v>
      </c>
      <c r="X1635" s="360">
        <v>23</v>
      </c>
      <c r="Y1635" s="360" t="s">
        <v>43</v>
      </c>
      <c r="Z1635" s="360">
        <v>29</v>
      </c>
      <c r="AA1635" s="360">
        <v>39</v>
      </c>
      <c r="AB1635" s="360">
        <v>74.400000000000006</v>
      </c>
    </row>
    <row r="1636" spans="10:28" x14ac:dyDescent="0.2">
      <c r="J1636" s="358" t="str">
        <f t="shared" si="96"/>
        <v>2005AllSexNon-Maori223</v>
      </c>
      <c r="K1636" s="359">
        <v>2005</v>
      </c>
      <c r="L1636" t="s">
        <v>17</v>
      </c>
      <c r="M1636" t="s">
        <v>19</v>
      </c>
      <c r="N1636">
        <v>22</v>
      </c>
      <c r="O1636">
        <v>3</v>
      </c>
      <c r="P1636">
        <v>9</v>
      </c>
      <c r="Q1636">
        <v>9.2664738490411001</v>
      </c>
      <c r="R1636">
        <v>6.1</v>
      </c>
      <c r="T1636" s="358" t="str">
        <f t="shared" si="97"/>
        <v>2003MaleMaori24Hanging, strangulation and suffocation</v>
      </c>
      <c r="U1636" s="360">
        <v>2003</v>
      </c>
      <c r="V1636" s="360" t="s">
        <v>20</v>
      </c>
      <c r="W1636" s="360" t="s">
        <v>18</v>
      </c>
      <c r="X1636" s="360">
        <v>24</v>
      </c>
      <c r="Y1636" s="360" t="s">
        <v>43</v>
      </c>
      <c r="Z1636" s="360">
        <v>1</v>
      </c>
      <c r="AA1636" s="360">
        <v>4</v>
      </c>
      <c r="AB1636" s="360">
        <v>25</v>
      </c>
    </row>
    <row r="1637" spans="10:28" x14ac:dyDescent="0.2">
      <c r="J1637" s="358" t="str">
        <f t="shared" si="96"/>
        <v>2005AllSexNon-Maori224</v>
      </c>
      <c r="K1637" s="359">
        <v>2005</v>
      </c>
      <c r="L1637" t="s">
        <v>17</v>
      </c>
      <c r="M1637" t="s">
        <v>19</v>
      </c>
      <c r="N1637">
        <v>22</v>
      </c>
      <c r="O1637">
        <v>4</v>
      </c>
      <c r="P1637">
        <v>20</v>
      </c>
      <c r="Q1637">
        <v>20.316247011748398</v>
      </c>
      <c r="R1637">
        <v>8.9</v>
      </c>
      <c r="T1637" s="358" t="str">
        <f t="shared" si="97"/>
        <v>2003MaleMaori23Jumping from a high place</v>
      </c>
      <c r="U1637" s="360">
        <v>2003</v>
      </c>
      <c r="V1637" s="360" t="s">
        <v>20</v>
      </c>
      <c r="W1637" s="360" t="s">
        <v>18</v>
      </c>
      <c r="X1637" s="360">
        <v>23</v>
      </c>
      <c r="Y1637" s="360" t="s">
        <v>44</v>
      </c>
      <c r="Z1637" s="360">
        <v>2</v>
      </c>
      <c r="AA1637" s="360">
        <v>39</v>
      </c>
      <c r="AB1637" s="360">
        <v>5.0999999999999996</v>
      </c>
    </row>
    <row r="1638" spans="10:28" x14ac:dyDescent="0.2">
      <c r="J1638" s="358" t="str">
        <f t="shared" si="96"/>
        <v>2005AllSexNon-Maori225</v>
      </c>
      <c r="K1638" s="359">
        <v>2005</v>
      </c>
      <c r="L1638" t="s">
        <v>17</v>
      </c>
      <c r="M1638" t="s">
        <v>19</v>
      </c>
      <c r="N1638">
        <v>22</v>
      </c>
      <c r="O1638">
        <v>5</v>
      </c>
      <c r="P1638">
        <v>10</v>
      </c>
      <c r="Q1638">
        <v>10.337902553787</v>
      </c>
      <c r="R1638">
        <v>6.4</v>
      </c>
      <c r="T1638" s="358" t="str">
        <f t="shared" si="97"/>
        <v>2003MaleMaori23Other</v>
      </c>
      <c r="U1638" s="360">
        <v>2003</v>
      </c>
      <c r="V1638" s="360" t="s">
        <v>20</v>
      </c>
      <c r="W1638" s="360" t="s">
        <v>18</v>
      </c>
      <c r="X1638" s="360">
        <v>23</v>
      </c>
      <c r="Y1638" s="360" t="s">
        <v>45</v>
      </c>
      <c r="Z1638" s="360">
        <v>1</v>
      </c>
      <c r="AA1638" s="360">
        <v>39</v>
      </c>
      <c r="AB1638" s="360">
        <v>2.6</v>
      </c>
    </row>
    <row r="1639" spans="10:28" x14ac:dyDescent="0.2">
      <c r="J1639" s="358" t="str">
        <f t="shared" si="96"/>
        <v>2005AllSexNon-Maori231</v>
      </c>
      <c r="K1639" s="359">
        <v>2005</v>
      </c>
      <c r="L1639" t="s">
        <v>17</v>
      </c>
      <c r="M1639" t="s">
        <v>19</v>
      </c>
      <c r="N1639">
        <v>23</v>
      </c>
      <c r="O1639">
        <v>1</v>
      </c>
      <c r="P1639">
        <v>26</v>
      </c>
      <c r="Q1639">
        <v>11.7827357854427</v>
      </c>
      <c r="R1639">
        <v>4.5</v>
      </c>
      <c r="T1639" s="358" t="str">
        <f t="shared" si="97"/>
        <v>2003MaleMaori24Other</v>
      </c>
      <c r="U1639" s="360">
        <v>2003</v>
      </c>
      <c r="V1639" s="360" t="s">
        <v>20</v>
      </c>
      <c r="W1639" s="360" t="s">
        <v>18</v>
      </c>
      <c r="X1639" s="360">
        <v>24</v>
      </c>
      <c r="Y1639" s="360" t="s">
        <v>45</v>
      </c>
      <c r="Z1639" s="360">
        <v>1</v>
      </c>
      <c r="AA1639" s="360">
        <v>4</v>
      </c>
      <c r="AB1639" s="360">
        <v>25</v>
      </c>
    </row>
    <row r="1640" spans="10:28" x14ac:dyDescent="0.2">
      <c r="J1640" s="358" t="str">
        <f t="shared" si="96"/>
        <v>2005AllSexNon-Maori232</v>
      </c>
      <c r="K1640" s="359">
        <v>2005</v>
      </c>
      <c r="L1640" t="s">
        <v>17</v>
      </c>
      <c r="M1640" t="s">
        <v>19</v>
      </c>
      <c r="N1640">
        <v>23</v>
      </c>
      <c r="O1640">
        <v>2</v>
      </c>
      <c r="P1640">
        <v>18</v>
      </c>
      <c r="Q1640">
        <v>7.9863671322583603</v>
      </c>
      <c r="R1640">
        <v>3.7</v>
      </c>
      <c r="T1640" s="358" t="str">
        <f t="shared" si="97"/>
        <v>2003MaleMaori22Poisoning by gases and vapours</v>
      </c>
      <c r="U1640" s="360">
        <v>2003</v>
      </c>
      <c r="V1640" s="360" t="s">
        <v>20</v>
      </c>
      <c r="W1640" s="360" t="s">
        <v>18</v>
      </c>
      <c r="X1640" s="360">
        <v>22</v>
      </c>
      <c r="Y1640" s="360" t="s">
        <v>46</v>
      </c>
      <c r="Z1640" s="360">
        <v>1</v>
      </c>
      <c r="AA1640" s="360">
        <v>20</v>
      </c>
      <c r="AB1640" s="360">
        <v>5</v>
      </c>
    </row>
    <row r="1641" spans="10:28" x14ac:dyDescent="0.2">
      <c r="J1641" s="358" t="str">
        <f t="shared" si="96"/>
        <v>2005AllSexNon-Maori233</v>
      </c>
      <c r="K1641" s="359">
        <v>2005</v>
      </c>
      <c r="L1641" t="s">
        <v>17</v>
      </c>
      <c r="M1641" t="s">
        <v>19</v>
      </c>
      <c r="N1641">
        <v>23</v>
      </c>
      <c r="O1641">
        <v>3</v>
      </c>
      <c r="P1641">
        <v>35</v>
      </c>
      <c r="Q1641">
        <v>16.199151121423998</v>
      </c>
      <c r="R1641">
        <v>5.4</v>
      </c>
      <c r="T1641" s="358" t="str">
        <f t="shared" si="97"/>
        <v>2003MaleMaori23Poisoning by gases and vapours</v>
      </c>
      <c r="U1641" s="360">
        <v>2003</v>
      </c>
      <c r="V1641" s="360" t="s">
        <v>20</v>
      </c>
      <c r="W1641" s="360" t="s">
        <v>18</v>
      </c>
      <c r="X1641" s="360">
        <v>23</v>
      </c>
      <c r="Y1641" s="360" t="s">
        <v>46</v>
      </c>
      <c r="Z1641" s="360">
        <v>3</v>
      </c>
      <c r="AA1641" s="360">
        <v>39</v>
      </c>
      <c r="AB1641" s="360">
        <v>7.7</v>
      </c>
    </row>
    <row r="1642" spans="10:28" x14ac:dyDescent="0.2">
      <c r="J1642" s="358" t="str">
        <f t="shared" si="96"/>
        <v>2005AllSexNon-Maori234</v>
      </c>
      <c r="K1642" s="359">
        <v>2005</v>
      </c>
      <c r="L1642" t="s">
        <v>17</v>
      </c>
      <c r="M1642" t="s">
        <v>19</v>
      </c>
      <c r="N1642">
        <v>23</v>
      </c>
      <c r="O1642">
        <v>4</v>
      </c>
      <c r="P1642">
        <v>33</v>
      </c>
      <c r="Q1642">
        <v>16.752833556115</v>
      </c>
      <c r="R1642">
        <v>5.7</v>
      </c>
      <c r="T1642" s="358" t="str">
        <f t="shared" si="97"/>
        <v>2003MaleMaori23Poisoning by solids and liquids</v>
      </c>
      <c r="U1642" s="360">
        <v>2003</v>
      </c>
      <c r="V1642" s="360" t="s">
        <v>20</v>
      </c>
      <c r="W1642" s="360" t="s">
        <v>18</v>
      </c>
      <c r="X1642" s="360">
        <v>23</v>
      </c>
      <c r="Y1642" s="360" t="s">
        <v>47</v>
      </c>
      <c r="Z1642" s="360">
        <v>1</v>
      </c>
      <c r="AA1642" s="360">
        <v>39</v>
      </c>
      <c r="AB1642" s="360">
        <v>2.6</v>
      </c>
    </row>
    <row r="1643" spans="10:28" x14ac:dyDescent="0.2">
      <c r="J1643" s="358" t="str">
        <f t="shared" si="96"/>
        <v>2005AllSexNon-Maori235</v>
      </c>
      <c r="K1643" s="359">
        <v>2005</v>
      </c>
      <c r="L1643" t="s">
        <v>17</v>
      </c>
      <c r="M1643" t="s">
        <v>19</v>
      </c>
      <c r="N1643">
        <v>23</v>
      </c>
      <c r="O1643">
        <v>5</v>
      </c>
      <c r="P1643">
        <v>45</v>
      </c>
      <c r="Q1643">
        <v>29.409498869856701</v>
      </c>
      <c r="R1643">
        <v>8.6</v>
      </c>
      <c r="T1643" s="358" t="str">
        <f t="shared" si="97"/>
        <v>2003MaleMaori23Sharp object</v>
      </c>
      <c r="U1643" s="360">
        <v>2003</v>
      </c>
      <c r="V1643" s="360" t="s">
        <v>20</v>
      </c>
      <c r="W1643" s="360" t="s">
        <v>18</v>
      </c>
      <c r="X1643" s="360">
        <v>23</v>
      </c>
      <c r="Y1643" s="360" t="s">
        <v>48</v>
      </c>
      <c r="Z1643" s="360">
        <v>1</v>
      </c>
      <c r="AA1643" s="360">
        <v>39</v>
      </c>
      <c r="AB1643" s="360">
        <v>2.6</v>
      </c>
    </row>
    <row r="1644" spans="10:28" x14ac:dyDescent="0.2">
      <c r="J1644" s="358" t="str">
        <f t="shared" si="96"/>
        <v>2005AllSexNon-Maori241</v>
      </c>
      <c r="K1644" s="359">
        <v>2005</v>
      </c>
      <c r="L1644" t="s">
        <v>17</v>
      </c>
      <c r="M1644" t="s">
        <v>19</v>
      </c>
      <c r="N1644">
        <v>24</v>
      </c>
      <c r="O1644">
        <v>1</v>
      </c>
      <c r="P1644">
        <v>20</v>
      </c>
      <c r="Q1644">
        <v>8.5268005392649702</v>
      </c>
      <c r="R1644">
        <v>3.7</v>
      </c>
      <c r="T1644" s="358" t="str">
        <f t="shared" si="97"/>
        <v>2003MaleNon-Maori22Firearms and explosives</v>
      </c>
      <c r="U1644" s="360">
        <v>2003</v>
      </c>
      <c r="V1644" s="360" t="s">
        <v>20</v>
      </c>
      <c r="W1644" s="360" t="s">
        <v>19</v>
      </c>
      <c r="X1644" s="360">
        <v>22</v>
      </c>
      <c r="Y1644" s="360" t="s">
        <v>42</v>
      </c>
      <c r="Z1644" s="360">
        <v>2</v>
      </c>
      <c r="AA1644" s="360">
        <v>47</v>
      </c>
      <c r="AB1644" s="360">
        <v>4.3</v>
      </c>
    </row>
    <row r="1645" spans="10:28" x14ac:dyDescent="0.2">
      <c r="J1645" s="358" t="str">
        <f t="shared" si="96"/>
        <v>2005AllSexNon-Maori242</v>
      </c>
      <c r="K1645" s="359">
        <v>2005</v>
      </c>
      <c r="L1645" t="s">
        <v>17</v>
      </c>
      <c r="M1645" t="s">
        <v>19</v>
      </c>
      <c r="N1645">
        <v>24</v>
      </c>
      <c r="O1645">
        <v>2</v>
      </c>
      <c r="P1645">
        <v>24</v>
      </c>
      <c r="Q1645">
        <v>11.8499411407493</v>
      </c>
      <c r="R1645">
        <v>4.7</v>
      </c>
      <c r="T1645" s="358" t="str">
        <f t="shared" si="97"/>
        <v>2003MaleNon-Maori23Firearms and explosives</v>
      </c>
      <c r="U1645" s="360">
        <v>2003</v>
      </c>
      <c r="V1645" s="360" t="s">
        <v>20</v>
      </c>
      <c r="W1645" s="360" t="s">
        <v>19</v>
      </c>
      <c r="X1645" s="360">
        <v>23</v>
      </c>
      <c r="Y1645" s="360" t="s">
        <v>42</v>
      </c>
      <c r="Z1645" s="360">
        <v>9</v>
      </c>
      <c r="AA1645" s="360">
        <v>124</v>
      </c>
      <c r="AB1645" s="360">
        <v>7.3</v>
      </c>
    </row>
    <row r="1646" spans="10:28" x14ac:dyDescent="0.2">
      <c r="J1646" s="358" t="str">
        <f t="shared" si="96"/>
        <v>2005AllSexNon-Maori243</v>
      </c>
      <c r="K1646" s="359">
        <v>2005</v>
      </c>
      <c r="L1646" t="s">
        <v>17</v>
      </c>
      <c r="M1646" t="s">
        <v>19</v>
      </c>
      <c r="N1646">
        <v>24</v>
      </c>
      <c r="O1646">
        <v>3</v>
      </c>
      <c r="P1646">
        <v>15</v>
      </c>
      <c r="Q1646">
        <v>8.5158265368384498</v>
      </c>
      <c r="R1646">
        <v>4.3</v>
      </c>
      <c r="T1646" s="358" t="str">
        <f t="shared" si="97"/>
        <v>2003MaleNon-Maori24Firearms and explosives</v>
      </c>
      <c r="U1646" s="360">
        <v>2003</v>
      </c>
      <c r="V1646" s="360" t="s">
        <v>20</v>
      </c>
      <c r="W1646" s="360" t="s">
        <v>19</v>
      </c>
      <c r="X1646" s="360">
        <v>24</v>
      </c>
      <c r="Y1646" s="360" t="s">
        <v>42</v>
      </c>
      <c r="Z1646" s="360">
        <v>13</v>
      </c>
      <c r="AA1646" s="360">
        <v>96</v>
      </c>
      <c r="AB1646" s="360">
        <v>13.5</v>
      </c>
    </row>
    <row r="1647" spans="10:28" x14ac:dyDescent="0.2">
      <c r="J1647" s="358" t="str">
        <f t="shared" si="96"/>
        <v>2005AllSexNon-Maori244</v>
      </c>
      <c r="K1647" s="359">
        <v>2005</v>
      </c>
      <c r="L1647" t="s">
        <v>17</v>
      </c>
      <c r="M1647" t="s">
        <v>19</v>
      </c>
      <c r="N1647">
        <v>24</v>
      </c>
      <c r="O1647">
        <v>4</v>
      </c>
      <c r="P1647">
        <v>39</v>
      </c>
      <c r="Q1647">
        <v>25.7168479421093</v>
      </c>
      <c r="R1647">
        <v>8.1</v>
      </c>
      <c r="T1647" s="358" t="str">
        <f t="shared" si="97"/>
        <v>2003MaleNon-Maori25Firearms and explosives</v>
      </c>
      <c r="U1647" s="360">
        <v>2003</v>
      </c>
      <c r="V1647" s="360" t="s">
        <v>20</v>
      </c>
      <c r="W1647" s="360" t="s">
        <v>19</v>
      </c>
      <c r="X1647" s="360">
        <v>25</v>
      </c>
      <c r="Y1647" s="360" t="s">
        <v>42</v>
      </c>
      <c r="Z1647" s="360">
        <v>10</v>
      </c>
      <c r="AA1647" s="360">
        <v>46</v>
      </c>
      <c r="AB1647" s="360">
        <v>21.7</v>
      </c>
    </row>
    <row r="1648" spans="10:28" x14ac:dyDescent="0.2">
      <c r="J1648" s="358" t="str">
        <f t="shared" si="96"/>
        <v>2005AllSexNon-Maori245</v>
      </c>
      <c r="K1648" s="359">
        <v>2005</v>
      </c>
      <c r="L1648" t="s">
        <v>17</v>
      </c>
      <c r="M1648" t="s">
        <v>19</v>
      </c>
      <c r="N1648">
        <v>24</v>
      </c>
      <c r="O1648">
        <v>5</v>
      </c>
      <c r="P1648">
        <v>24</v>
      </c>
      <c r="Q1648">
        <v>21.229806158819098</v>
      </c>
      <c r="R1648">
        <v>8.5</v>
      </c>
      <c r="T1648" s="358" t="str">
        <f t="shared" si="97"/>
        <v>2003MaleNon-Maori22Hanging, strangulation and suffocation</v>
      </c>
      <c r="U1648" s="360">
        <v>2003</v>
      </c>
      <c r="V1648" s="360" t="s">
        <v>20</v>
      </c>
      <c r="W1648" s="360" t="s">
        <v>19</v>
      </c>
      <c r="X1648" s="360">
        <v>22</v>
      </c>
      <c r="Y1648" s="360" t="s">
        <v>43</v>
      </c>
      <c r="Z1648" s="360">
        <v>31</v>
      </c>
      <c r="AA1648" s="360">
        <v>47</v>
      </c>
      <c r="AB1648" s="360">
        <v>66</v>
      </c>
    </row>
    <row r="1649" spans="10:28" x14ac:dyDescent="0.2">
      <c r="J1649" s="358" t="str">
        <f t="shared" si="96"/>
        <v>2005AllSexNon-Maori251</v>
      </c>
      <c r="K1649" s="359">
        <v>2005</v>
      </c>
      <c r="L1649" t="s">
        <v>17</v>
      </c>
      <c r="M1649" t="s">
        <v>19</v>
      </c>
      <c r="N1649">
        <v>25</v>
      </c>
      <c r="O1649">
        <v>1</v>
      </c>
      <c r="P1649">
        <v>13</v>
      </c>
      <c r="Q1649">
        <v>13.692682481786401</v>
      </c>
      <c r="R1649">
        <v>7.4</v>
      </c>
      <c r="T1649" s="358" t="str">
        <f t="shared" si="97"/>
        <v>2003MaleNon-Maori23Hanging, strangulation and suffocation</v>
      </c>
      <c r="U1649" s="360">
        <v>2003</v>
      </c>
      <c r="V1649" s="360" t="s">
        <v>20</v>
      </c>
      <c r="W1649" s="360" t="s">
        <v>19</v>
      </c>
      <c r="X1649" s="360">
        <v>23</v>
      </c>
      <c r="Y1649" s="360" t="s">
        <v>43</v>
      </c>
      <c r="Z1649" s="360">
        <v>55</v>
      </c>
      <c r="AA1649" s="360">
        <v>124</v>
      </c>
      <c r="AB1649" s="360">
        <v>44.4</v>
      </c>
    </row>
    <row r="1650" spans="10:28" x14ac:dyDescent="0.2">
      <c r="J1650" s="358" t="str">
        <f t="shared" si="96"/>
        <v>2005AllSexNon-Maori252</v>
      </c>
      <c r="K1650" s="359">
        <v>2005</v>
      </c>
      <c r="L1650" t="s">
        <v>17</v>
      </c>
      <c r="M1650" t="s">
        <v>19</v>
      </c>
      <c r="N1650">
        <v>25</v>
      </c>
      <c r="O1650">
        <v>2</v>
      </c>
      <c r="P1650">
        <v>8</v>
      </c>
      <c r="Q1650">
        <v>7.94435268496622</v>
      </c>
      <c r="R1650">
        <v>5.5</v>
      </c>
      <c r="T1650" s="358" t="str">
        <f t="shared" si="97"/>
        <v>2003MaleNon-Maori24Hanging, strangulation and suffocation</v>
      </c>
      <c r="U1650" s="360">
        <v>2003</v>
      </c>
      <c r="V1650" s="360" t="s">
        <v>20</v>
      </c>
      <c r="W1650" s="360" t="s">
        <v>19</v>
      </c>
      <c r="X1650" s="360">
        <v>24</v>
      </c>
      <c r="Y1650" s="360" t="s">
        <v>43</v>
      </c>
      <c r="Z1650" s="360">
        <v>35</v>
      </c>
      <c r="AA1650" s="360">
        <v>96</v>
      </c>
      <c r="AB1650" s="360">
        <v>36.5</v>
      </c>
    </row>
    <row r="1651" spans="10:28" x14ac:dyDescent="0.2">
      <c r="J1651" s="358" t="str">
        <f t="shared" si="96"/>
        <v>2005AllSexNon-Maori253</v>
      </c>
      <c r="K1651" s="359">
        <v>2005</v>
      </c>
      <c r="L1651" t="s">
        <v>17</v>
      </c>
      <c r="M1651" t="s">
        <v>19</v>
      </c>
      <c r="N1651">
        <v>25</v>
      </c>
      <c r="O1651">
        <v>3</v>
      </c>
      <c r="P1651">
        <v>13</v>
      </c>
      <c r="Q1651">
        <v>12.5690146359838</v>
      </c>
      <c r="R1651">
        <v>6.8</v>
      </c>
      <c r="T1651" s="358" t="str">
        <f t="shared" si="97"/>
        <v>2003MaleNon-Maori25Hanging, strangulation and suffocation</v>
      </c>
      <c r="U1651" s="360">
        <v>2003</v>
      </c>
      <c r="V1651" s="360" t="s">
        <v>20</v>
      </c>
      <c r="W1651" s="360" t="s">
        <v>19</v>
      </c>
      <c r="X1651" s="360">
        <v>25</v>
      </c>
      <c r="Y1651" s="360" t="s">
        <v>43</v>
      </c>
      <c r="Z1651" s="360">
        <v>14</v>
      </c>
      <c r="AA1651" s="360">
        <v>46</v>
      </c>
      <c r="AB1651" s="360">
        <v>30.4</v>
      </c>
    </row>
    <row r="1652" spans="10:28" x14ac:dyDescent="0.2">
      <c r="J1652" s="358" t="str">
        <f t="shared" si="96"/>
        <v>2005AllSexNon-Maori254</v>
      </c>
      <c r="K1652" s="359">
        <v>2005</v>
      </c>
      <c r="L1652" t="s">
        <v>17</v>
      </c>
      <c r="M1652" t="s">
        <v>19</v>
      </c>
      <c r="N1652">
        <v>25</v>
      </c>
      <c r="O1652">
        <v>4</v>
      </c>
      <c r="P1652">
        <v>7</v>
      </c>
      <c r="Q1652">
        <v>6.8967234954933003</v>
      </c>
      <c r="R1652">
        <v>5.0999999999999996</v>
      </c>
      <c r="T1652" s="358" t="str">
        <f t="shared" si="97"/>
        <v>2003MaleNon-Maori22Jumping from a high place</v>
      </c>
      <c r="U1652" s="360">
        <v>2003</v>
      </c>
      <c r="V1652" s="360" t="s">
        <v>20</v>
      </c>
      <c r="W1652" s="360" t="s">
        <v>19</v>
      </c>
      <c r="X1652" s="360">
        <v>22</v>
      </c>
      <c r="Y1652" s="360" t="s">
        <v>44</v>
      </c>
      <c r="Z1652" s="360">
        <v>3</v>
      </c>
      <c r="AA1652" s="360">
        <v>47</v>
      </c>
      <c r="AB1652" s="360">
        <v>6.4</v>
      </c>
    </row>
    <row r="1653" spans="10:28" x14ac:dyDescent="0.2">
      <c r="J1653" s="358" t="str">
        <f t="shared" si="96"/>
        <v>2005AllSexNon-Maori255</v>
      </c>
      <c r="K1653" s="359">
        <v>2005</v>
      </c>
      <c r="L1653" t="s">
        <v>17</v>
      </c>
      <c r="M1653" t="s">
        <v>19</v>
      </c>
      <c r="N1653">
        <v>25</v>
      </c>
      <c r="O1653">
        <v>5</v>
      </c>
      <c r="P1653">
        <v>3</v>
      </c>
      <c r="Q1653">
        <v>4.1945199322325601</v>
      </c>
      <c r="R1653">
        <v>4.7</v>
      </c>
      <c r="T1653" s="358" t="str">
        <f t="shared" si="97"/>
        <v>2003MaleNon-Maori23Jumping from a high place</v>
      </c>
      <c r="U1653" s="360">
        <v>2003</v>
      </c>
      <c r="V1653" s="360" t="s">
        <v>20</v>
      </c>
      <c r="W1653" s="360" t="s">
        <v>19</v>
      </c>
      <c r="X1653" s="360">
        <v>23</v>
      </c>
      <c r="Y1653" s="360" t="s">
        <v>44</v>
      </c>
      <c r="Z1653" s="360">
        <v>1</v>
      </c>
      <c r="AA1653" s="360">
        <v>124</v>
      </c>
      <c r="AB1653" s="360">
        <v>0.8</v>
      </c>
    </row>
    <row r="1654" spans="10:28" x14ac:dyDescent="0.2">
      <c r="J1654" s="358" t="str">
        <f t="shared" si="96"/>
        <v>2005FemaleAllEth211</v>
      </c>
      <c r="K1654" s="359">
        <v>2005</v>
      </c>
      <c r="L1654" t="s">
        <v>8</v>
      </c>
      <c r="M1654" t="s">
        <v>27</v>
      </c>
      <c r="N1654">
        <v>21</v>
      </c>
      <c r="O1654">
        <v>1</v>
      </c>
      <c r="P1654">
        <v>0</v>
      </c>
      <c r="T1654" s="358" t="str">
        <f t="shared" si="97"/>
        <v>2003MaleNon-Maori24Jumping from a high place</v>
      </c>
      <c r="U1654" s="360">
        <v>2003</v>
      </c>
      <c r="V1654" s="360" t="s">
        <v>20</v>
      </c>
      <c r="W1654" s="360" t="s">
        <v>19</v>
      </c>
      <c r="X1654" s="360">
        <v>24</v>
      </c>
      <c r="Y1654" s="360" t="s">
        <v>44</v>
      </c>
      <c r="Z1654" s="360">
        <v>1</v>
      </c>
      <c r="AA1654" s="360">
        <v>96</v>
      </c>
      <c r="AB1654" s="360">
        <v>1</v>
      </c>
    </row>
    <row r="1655" spans="10:28" x14ac:dyDescent="0.2">
      <c r="J1655" s="358" t="str">
        <f t="shared" si="96"/>
        <v>2005FemaleAllEth212</v>
      </c>
      <c r="K1655" s="359">
        <v>2005</v>
      </c>
      <c r="L1655" t="s">
        <v>8</v>
      </c>
      <c r="M1655" t="s">
        <v>27</v>
      </c>
      <c r="N1655">
        <v>21</v>
      </c>
      <c r="O1655">
        <v>2</v>
      </c>
      <c r="P1655">
        <v>0</v>
      </c>
      <c r="T1655" s="358" t="str">
        <f t="shared" si="97"/>
        <v>2003MaleNon-Maori22Other</v>
      </c>
      <c r="U1655" s="360">
        <v>2003</v>
      </c>
      <c r="V1655" s="360" t="s">
        <v>20</v>
      </c>
      <c r="W1655" s="360" t="s">
        <v>19</v>
      </c>
      <c r="X1655" s="360">
        <v>22</v>
      </c>
      <c r="Y1655" s="360" t="s">
        <v>45</v>
      </c>
      <c r="Z1655" s="360">
        <v>3</v>
      </c>
      <c r="AA1655" s="360">
        <v>47</v>
      </c>
      <c r="AB1655" s="360">
        <v>6.4</v>
      </c>
    </row>
    <row r="1656" spans="10:28" x14ac:dyDescent="0.2">
      <c r="J1656" s="358" t="str">
        <f t="shared" si="96"/>
        <v>2005FemaleAllEth213</v>
      </c>
      <c r="K1656" s="359">
        <v>2005</v>
      </c>
      <c r="L1656" t="s">
        <v>8</v>
      </c>
      <c r="M1656" t="s">
        <v>27</v>
      </c>
      <c r="N1656">
        <v>21</v>
      </c>
      <c r="O1656">
        <v>3</v>
      </c>
      <c r="P1656">
        <v>1</v>
      </c>
      <c r="T1656" s="358" t="str">
        <f t="shared" si="97"/>
        <v>2003MaleNon-Maori23Other</v>
      </c>
      <c r="U1656" s="360">
        <v>2003</v>
      </c>
      <c r="V1656" s="360" t="s">
        <v>20</v>
      </c>
      <c r="W1656" s="360" t="s">
        <v>19</v>
      </c>
      <c r="X1656" s="360">
        <v>23</v>
      </c>
      <c r="Y1656" s="360" t="s">
        <v>45</v>
      </c>
      <c r="Z1656" s="360">
        <v>8</v>
      </c>
      <c r="AA1656" s="360">
        <v>124</v>
      </c>
      <c r="AB1656" s="360">
        <v>6.5</v>
      </c>
    </row>
    <row r="1657" spans="10:28" x14ac:dyDescent="0.2">
      <c r="J1657" s="358" t="str">
        <f t="shared" si="96"/>
        <v>2005FemaleAllEth214</v>
      </c>
      <c r="K1657" s="359">
        <v>2005</v>
      </c>
      <c r="L1657" t="s">
        <v>8</v>
      </c>
      <c r="M1657" t="s">
        <v>27</v>
      </c>
      <c r="N1657">
        <v>21</v>
      </c>
      <c r="O1657">
        <v>4</v>
      </c>
      <c r="P1657">
        <v>0</v>
      </c>
      <c r="T1657" s="358" t="str">
        <f t="shared" si="97"/>
        <v>2003MaleNon-Maori24Other</v>
      </c>
      <c r="U1657" s="360">
        <v>2003</v>
      </c>
      <c r="V1657" s="360" t="s">
        <v>20</v>
      </c>
      <c r="W1657" s="360" t="s">
        <v>19</v>
      </c>
      <c r="X1657" s="360">
        <v>24</v>
      </c>
      <c r="Y1657" s="360" t="s">
        <v>45</v>
      </c>
      <c r="Z1657" s="360">
        <v>6</v>
      </c>
      <c r="AA1657" s="360">
        <v>96</v>
      </c>
      <c r="AB1657" s="360">
        <v>6.2</v>
      </c>
    </row>
    <row r="1658" spans="10:28" x14ac:dyDescent="0.2">
      <c r="J1658" s="358" t="str">
        <f t="shared" si="96"/>
        <v>2005FemaleAllEth215</v>
      </c>
      <c r="K1658" s="359">
        <v>2005</v>
      </c>
      <c r="L1658" t="s">
        <v>8</v>
      </c>
      <c r="M1658" t="s">
        <v>27</v>
      </c>
      <c r="N1658">
        <v>21</v>
      </c>
      <c r="O1658">
        <v>5</v>
      </c>
      <c r="P1658">
        <v>1</v>
      </c>
      <c r="T1658" s="358" t="str">
        <f t="shared" si="97"/>
        <v>2003MaleNon-Maori25Other</v>
      </c>
      <c r="U1658" s="360">
        <v>2003</v>
      </c>
      <c r="V1658" s="360" t="s">
        <v>20</v>
      </c>
      <c r="W1658" s="360" t="s">
        <v>19</v>
      </c>
      <c r="X1658" s="360">
        <v>25</v>
      </c>
      <c r="Y1658" s="360" t="s">
        <v>45</v>
      </c>
      <c r="Z1658" s="360">
        <v>1</v>
      </c>
      <c r="AA1658" s="360">
        <v>46</v>
      </c>
      <c r="AB1658" s="360">
        <v>2.2000000000000002</v>
      </c>
    </row>
    <row r="1659" spans="10:28" x14ac:dyDescent="0.2">
      <c r="J1659" s="358" t="str">
        <f t="shared" si="96"/>
        <v>2005FemaleAllEth221</v>
      </c>
      <c r="K1659" s="359">
        <v>2005</v>
      </c>
      <c r="L1659" t="s">
        <v>8</v>
      </c>
      <c r="M1659" t="s">
        <v>27</v>
      </c>
      <c r="N1659">
        <v>22</v>
      </c>
      <c r="O1659">
        <v>1</v>
      </c>
      <c r="P1659">
        <v>3</v>
      </c>
      <c r="Q1659">
        <v>6.28186579700112</v>
      </c>
      <c r="R1659">
        <v>7.1</v>
      </c>
      <c r="T1659" s="358" t="str">
        <f t="shared" si="97"/>
        <v>2003MaleNon-Maori22Poisoning by gases and vapours</v>
      </c>
      <c r="U1659" s="360">
        <v>2003</v>
      </c>
      <c r="V1659" s="360" t="s">
        <v>20</v>
      </c>
      <c r="W1659" s="360" t="s">
        <v>19</v>
      </c>
      <c r="X1659" s="360">
        <v>22</v>
      </c>
      <c r="Y1659" s="360" t="s">
        <v>46</v>
      </c>
      <c r="Z1659" s="360">
        <v>7</v>
      </c>
      <c r="AA1659" s="360">
        <v>47</v>
      </c>
      <c r="AB1659" s="360">
        <v>14.9</v>
      </c>
    </row>
    <row r="1660" spans="10:28" x14ac:dyDescent="0.2">
      <c r="J1660" s="358" t="str">
        <f t="shared" si="96"/>
        <v>2005FemaleAllEth222</v>
      </c>
      <c r="K1660" s="359">
        <v>2005</v>
      </c>
      <c r="L1660" t="s">
        <v>8</v>
      </c>
      <c r="M1660" t="s">
        <v>27</v>
      </c>
      <c r="N1660">
        <v>22</v>
      </c>
      <c r="O1660">
        <v>2</v>
      </c>
      <c r="P1660">
        <v>3</v>
      </c>
      <c r="Q1660">
        <v>5.8529117201469596</v>
      </c>
      <c r="R1660">
        <v>6.6</v>
      </c>
      <c r="T1660" s="358" t="str">
        <f t="shared" si="97"/>
        <v>2003MaleNon-Maori23Poisoning by gases and vapours</v>
      </c>
      <c r="U1660" s="360">
        <v>2003</v>
      </c>
      <c r="V1660" s="360" t="s">
        <v>20</v>
      </c>
      <c r="W1660" s="360" t="s">
        <v>19</v>
      </c>
      <c r="X1660" s="360">
        <v>23</v>
      </c>
      <c r="Y1660" s="360" t="s">
        <v>46</v>
      </c>
      <c r="Z1660" s="360">
        <v>32</v>
      </c>
      <c r="AA1660" s="360">
        <v>124</v>
      </c>
      <c r="AB1660" s="360">
        <v>25.8</v>
      </c>
    </row>
    <row r="1661" spans="10:28" x14ac:dyDescent="0.2">
      <c r="J1661" s="358" t="str">
        <f t="shared" si="96"/>
        <v>2005FemaleAllEth223</v>
      </c>
      <c r="K1661" s="359">
        <v>2005</v>
      </c>
      <c r="L1661" t="s">
        <v>8</v>
      </c>
      <c r="M1661" t="s">
        <v>27</v>
      </c>
      <c r="N1661">
        <v>22</v>
      </c>
      <c r="O1661">
        <v>3</v>
      </c>
      <c r="P1661">
        <v>5</v>
      </c>
      <c r="Q1661">
        <v>8.8605709603265908</v>
      </c>
      <c r="R1661">
        <v>7.8</v>
      </c>
      <c r="T1661" s="358" t="str">
        <f t="shared" si="97"/>
        <v>2003MaleNon-Maori24Poisoning by gases and vapours</v>
      </c>
      <c r="U1661" s="360">
        <v>2003</v>
      </c>
      <c r="V1661" s="360" t="s">
        <v>20</v>
      </c>
      <c r="W1661" s="360" t="s">
        <v>19</v>
      </c>
      <c r="X1661" s="360">
        <v>24</v>
      </c>
      <c r="Y1661" s="360" t="s">
        <v>46</v>
      </c>
      <c r="Z1661" s="360">
        <v>23</v>
      </c>
      <c r="AA1661" s="360">
        <v>96</v>
      </c>
      <c r="AB1661" s="360">
        <v>24</v>
      </c>
    </row>
    <row r="1662" spans="10:28" x14ac:dyDescent="0.2">
      <c r="J1662" s="358" t="str">
        <f t="shared" si="96"/>
        <v>2005FemaleAllEth224</v>
      </c>
      <c r="K1662" s="359">
        <v>2005</v>
      </c>
      <c r="L1662" t="s">
        <v>8</v>
      </c>
      <c r="M1662" t="s">
        <v>27</v>
      </c>
      <c r="N1662">
        <v>22</v>
      </c>
      <c r="O1662">
        <v>4</v>
      </c>
      <c r="P1662">
        <v>9</v>
      </c>
      <c r="Q1662">
        <v>14.2556125871363</v>
      </c>
      <c r="R1662">
        <v>9.3000000000000007</v>
      </c>
      <c r="T1662" s="358" t="str">
        <f t="shared" si="97"/>
        <v>2003MaleNon-Maori25Poisoning by gases and vapours</v>
      </c>
      <c r="U1662" s="360">
        <v>2003</v>
      </c>
      <c r="V1662" s="360" t="s">
        <v>20</v>
      </c>
      <c r="W1662" s="360" t="s">
        <v>19</v>
      </c>
      <c r="X1662" s="360">
        <v>25</v>
      </c>
      <c r="Y1662" s="360" t="s">
        <v>46</v>
      </c>
      <c r="Z1662" s="360">
        <v>9</v>
      </c>
      <c r="AA1662" s="360">
        <v>46</v>
      </c>
      <c r="AB1662" s="360">
        <v>19.600000000000001</v>
      </c>
    </row>
    <row r="1663" spans="10:28" x14ac:dyDescent="0.2">
      <c r="J1663" s="358" t="str">
        <f t="shared" si="96"/>
        <v>2005FemaleAllEth225</v>
      </c>
      <c r="K1663" s="359">
        <v>2005</v>
      </c>
      <c r="L1663" t="s">
        <v>8</v>
      </c>
      <c r="M1663" t="s">
        <v>27</v>
      </c>
      <c r="N1663">
        <v>22</v>
      </c>
      <c r="O1663">
        <v>5</v>
      </c>
      <c r="P1663">
        <v>3</v>
      </c>
      <c r="Q1663">
        <v>3.9706622262862998</v>
      </c>
      <c r="R1663">
        <v>4.5</v>
      </c>
      <c r="T1663" s="358" t="str">
        <f t="shared" si="97"/>
        <v>2003MaleNon-Maori23Poisoning by solids and liquids</v>
      </c>
      <c r="U1663" s="360">
        <v>2003</v>
      </c>
      <c r="V1663" s="360" t="s">
        <v>20</v>
      </c>
      <c r="W1663" s="360" t="s">
        <v>19</v>
      </c>
      <c r="X1663" s="360">
        <v>23</v>
      </c>
      <c r="Y1663" s="360" t="s">
        <v>47</v>
      </c>
      <c r="Z1663" s="360">
        <v>13</v>
      </c>
      <c r="AA1663" s="360">
        <v>124</v>
      </c>
      <c r="AB1663" s="360">
        <v>10.5</v>
      </c>
    </row>
    <row r="1664" spans="10:28" x14ac:dyDescent="0.2">
      <c r="J1664" s="358" t="str">
        <f t="shared" si="96"/>
        <v>2005FemaleAllEth231</v>
      </c>
      <c r="K1664" s="359">
        <v>2005</v>
      </c>
      <c r="L1664" t="s">
        <v>8</v>
      </c>
      <c r="M1664" t="s">
        <v>27</v>
      </c>
      <c r="N1664">
        <v>23</v>
      </c>
      <c r="O1664">
        <v>1</v>
      </c>
      <c r="P1664">
        <v>10</v>
      </c>
      <c r="Q1664">
        <v>8.2197641303364009</v>
      </c>
      <c r="R1664">
        <v>5.0999999999999996</v>
      </c>
      <c r="T1664" s="358" t="str">
        <f t="shared" si="97"/>
        <v>2003MaleNon-Maori24Poisoning by solids and liquids</v>
      </c>
      <c r="U1664" s="360">
        <v>2003</v>
      </c>
      <c r="V1664" s="360" t="s">
        <v>20</v>
      </c>
      <c r="W1664" s="360" t="s">
        <v>19</v>
      </c>
      <c r="X1664" s="360">
        <v>24</v>
      </c>
      <c r="Y1664" s="360" t="s">
        <v>47</v>
      </c>
      <c r="Z1664" s="360">
        <v>13</v>
      </c>
      <c r="AA1664" s="360">
        <v>96</v>
      </c>
      <c r="AB1664" s="360">
        <v>13.5</v>
      </c>
    </row>
    <row r="1665" spans="10:28" x14ac:dyDescent="0.2">
      <c r="J1665" s="358" t="str">
        <f t="shared" si="96"/>
        <v>2005FemaleAllEth232</v>
      </c>
      <c r="K1665" s="359">
        <v>2005</v>
      </c>
      <c r="L1665" t="s">
        <v>8</v>
      </c>
      <c r="M1665" t="s">
        <v>27</v>
      </c>
      <c r="N1665">
        <v>23</v>
      </c>
      <c r="O1665">
        <v>2</v>
      </c>
      <c r="P1665">
        <v>5</v>
      </c>
      <c r="Q1665">
        <v>3.9576520723111699</v>
      </c>
      <c r="R1665">
        <v>3.5</v>
      </c>
      <c r="T1665" s="358" t="str">
        <f t="shared" si="97"/>
        <v>2003MaleNon-Maori25Poisoning by solids and liquids</v>
      </c>
      <c r="U1665" s="360">
        <v>2003</v>
      </c>
      <c r="V1665" s="360" t="s">
        <v>20</v>
      </c>
      <c r="W1665" s="360" t="s">
        <v>19</v>
      </c>
      <c r="X1665" s="360">
        <v>25</v>
      </c>
      <c r="Y1665" s="360" t="s">
        <v>47</v>
      </c>
      <c r="Z1665" s="360">
        <v>5</v>
      </c>
      <c r="AA1665" s="360">
        <v>46</v>
      </c>
      <c r="AB1665" s="360">
        <v>10.9</v>
      </c>
    </row>
    <row r="1666" spans="10:28" x14ac:dyDescent="0.2">
      <c r="J1666" s="358" t="str">
        <f t="shared" si="96"/>
        <v>2005FemaleAllEth233</v>
      </c>
      <c r="K1666" s="359">
        <v>2005</v>
      </c>
      <c r="L1666" t="s">
        <v>8</v>
      </c>
      <c r="M1666" t="s">
        <v>27</v>
      </c>
      <c r="N1666">
        <v>23</v>
      </c>
      <c r="O1666">
        <v>3</v>
      </c>
      <c r="P1666">
        <v>10</v>
      </c>
      <c r="Q1666">
        <v>7.9942024425753804</v>
      </c>
      <c r="R1666">
        <v>5</v>
      </c>
      <c r="T1666" s="358" t="str">
        <f t="shared" si="97"/>
        <v>2003MaleNon-Maori22Sharp object</v>
      </c>
      <c r="U1666" s="360">
        <v>2003</v>
      </c>
      <c r="V1666" s="360" t="s">
        <v>20</v>
      </c>
      <c r="W1666" s="360" t="s">
        <v>19</v>
      </c>
      <c r="X1666" s="360">
        <v>22</v>
      </c>
      <c r="Y1666" s="360" t="s">
        <v>48</v>
      </c>
      <c r="Z1666" s="360">
        <v>1</v>
      </c>
      <c r="AA1666" s="360">
        <v>47</v>
      </c>
      <c r="AB1666" s="360">
        <v>2.1</v>
      </c>
    </row>
    <row r="1667" spans="10:28" x14ac:dyDescent="0.2">
      <c r="J1667" s="358" t="str">
        <f t="shared" si="96"/>
        <v>2005FemaleAllEth234</v>
      </c>
      <c r="K1667" s="359">
        <v>2005</v>
      </c>
      <c r="L1667" t="s">
        <v>8</v>
      </c>
      <c r="M1667" t="s">
        <v>27</v>
      </c>
      <c r="N1667">
        <v>23</v>
      </c>
      <c r="O1667">
        <v>4</v>
      </c>
      <c r="P1667">
        <v>17</v>
      </c>
      <c r="Q1667">
        <v>13.8779894320413</v>
      </c>
      <c r="R1667">
        <v>6.6</v>
      </c>
      <c r="T1667" s="358" t="str">
        <f t="shared" si="97"/>
        <v>2003MaleNon-Maori23Sharp object</v>
      </c>
      <c r="U1667" s="360">
        <v>2003</v>
      </c>
      <c r="V1667" s="360" t="s">
        <v>20</v>
      </c>
      <c r="W1667" s="360" t="s">
        <v>19</v>
      </c>
      <c r="X1667" s="360">
        <v>23</v>
      </c>
      <c r="Y1667" s="360" t="s">
        <v>48</v>
      </c>
      <c r="Z1667" s="360">
        <v>3</v>
      </c>
      <c r="AA1667" s="360">
        <v>124</v>
      </c>
      <c r="AB1667" s="360">
        <v>2.4</v>
      </c>
    </row>
    <row r="1668" spans="10:28" x14ac:dyDescent="0.2">
      <c r="J1668" s="358" t="str">
        <f t="shared" ref="J1668:J1731" si="98">K1668&amp;L1668&amp;M1668&amp;N1668&amp;O1668</f>
        <v>2005FemaleAllEth235</v>
      </c>
      <c r="K1668" s="359">
        <v>2005</v>
      </c>
      <c r="L1668" t="s">
        <v>8</v>
      </c>
      <c r="M1668" t="s">
        <v>27</v>
      </c>
      <c r="N1668">
        <v>23</v>
      </c>
      <c r="O1668">
        <v>5</v>
      </c>
      <c r="P1668">
        <v>12</v>
      </c>
      <c r="Q1668">
        <v>10.258366187288001</v>
      </c>
      <c r="R1668">
        <v>5.8</v>
      </c>
      <c r="T1668" s="358" t="str">
        <f t="shared" si="97"/>
        <v>2003MaleNon-Maori24Sharp object</v>
      </c>
      <c r="U1668" s="360">
        <v>2003</v>
      </c>
      <c r="V1668" s="360" t="s">
        <v>20</v>
      </c>
      <c r="W1668" s="360" t="s">
        <v>19</v>
      </c>
      <c r="X1668" s="360">
        <v>24</v>
      </c>
      <c r="Y1668" s="360" t="s">
        <v>48</v>
      </c>
      <c r="Z1668" s="360">
        <v>3</v>
      </c>
      <c r="AA1668" s="360">
        <v>96</v>
      </c>
      <c r="AB1668" s="360">
        <v>3.1</v>
      </c>
    </row>
    <row r="1669" spans="10:28" x14ac:dyDescent="0.2">
      <c r="J1669" s="358" t="str">
        <f t="shared" si="98"/>
        <v>2005FemaleAllEth241</v>
      </c>
      <c r="K1669" s="359">
        <v>2005</v>
      </c>
      <c r="L1669" t="s">
        <v>8</v>
      </c>
      <c r="M1669" t="s">
        <v>27</v>
      </c>
      <c r="N1669">
        <v>24</v>
      </c>
      <c r="O1669">
        <v>1</v>
      </c>
      <c r="P1669">
        <v>4</v>
      </c>
      <c r="Q1669">
        <v>3.3370047468958299</v>
      </c>
      <c r="R1669">
        <v>3.3</v>
      </c>
      <c r="T1669" s="358" t="str">
        <f t="shared" ref="T1669:T1732" si="99">U1669&amp;V1669&amp;W1669&amp;X1669&amp;Y1669</f>
        <v>2003MaleNon-Maori25Sharp object</v>
      </c>
      <c r="U1669" s="360">
        <v>2003</v>
      </c>
      <c r="V1669" s="360" t="s">
        <v>20</v>
      </c>
      <c r="W1669" s="360" t="s">
        <v>19</v>
      </c>
      <c r="X1669" s="360">
        <v>25</v>
      </c>
      <c r="Y1669" s="360" t="s">
        <v>48</v>
      </c>
      <c r="Z1669" s="360">
        <v>6</v>
      </c>
      <c r="AA1669" s="360">
        <v>46</v>
      </c>
      <c r="AB1669" s="360">
        <v>13</v>
      </c>
    </row>
    <row r="1670" spans="10:28" x14ac:dyDescent="0.2">
      <c r="J1670" s="358" t="str">
        <f t="shared" si="98"/>
        <v>2005FemaleAllEth242</v>
      </c>
      <c r="K1670" s="359">
        <v>2005</v>
      </c>
      <c r="L1670" t="s">
        <v>8</v>
      </c>
      <c r="M1670" t="s">
        <v>27</v>
      </c>
      <c r="N1670">
        <v>24</v>
      </c>
      <c r="O1670">
        <v>2</v>
      </c>
      <c r="P1670">
        <v>4</v>
      </c>
      <c r="Q1670">
        <v>3.7443503446388098</v>
      </c>
      <c r="R1670">
        <v>3.7</v>
      </c>
      <c r="T1670" s="358" t="str">
        <f t="shared" si="99"/>
        <v>2003MaleNon-Maori23Submersion (drowning)</v>
      </c>
      <c r="U1670" s="360">
        <v>2003</v>
      </c>
      <c r="V1670" s="360" t="s">
        <v>20</v>
      </c>
      <c r="W1670" s="360" t="s">
        <v>19</v>
      </c>
      <c r="X1670" s="360">
        <v>23</v>
      </c>
      <c r="Y1670" s="360" t="s">
        <v>49</v>
      </c>
      <c r="Z1670" s="360">
        <v>3</v>
      </c>
      <c r="AA1670" s="360">
        <v>124</v>
      </c>
      <c r="AB1670" s="360">
        <v>2.4</v>
      </c>
    </row>
    <row r="1671" spans="10:28" x14ac:dyDescent="0.2">
      <c r="J1671" s="358" t="str">
        <f t="shared" si="98"/>
        <v>2005FemaleAllEth243</v>
      </c>
      <c r="K1671" s="359">
        <v>2005</v>
      </c>
      <c r="L1671" t="s">
        <v>8</v>
      </c>
      <c r="M1671" t="s">
        <v>27</v>
      </c>
      <c r="N1671">
        <v>24</v>
      </c>
      <c r="O1671">
        <v>3</v>
      </c>
      <c r="P1671">
        <v>4</v>
      </c>
      <c r="Q1671">
        <v>4.1149218075046896</v>
      </c>
      <c r="R1671">
        <v>4</v>
      </c>
      <c r="T1671" s="358" t="str">
        <f t="shared" si="99"/>
        <v>2003MaleNon-Maori24Submersion (drowning)</v>
      </c>
      <c r="U1671" s="360">
        <v>2003</v>
      </c>
      <c r="V1671" s="360" t="s">
        <v>20</v>
      </c>
      <c r="W1671" s="360" t="s">
        <v>19</v>
      </c>
      <c r="X1671" s="360">
        <v>24</v>
      </c>
      <c r="Y1671" s="360" t="s">
        <v>49</v>
      </c>
      <c r="Z1671" s="360">
        <v>2</v>
      </c>
      <c r="AA1671" s="360">
        <v>96</v>
      </c>
      <c r="AB1671" s="360">
        <v>2.1</v>
      </c>
    </row>
    <row r="1672" spans="10:28" x14ac:dyDescent="0.2">
      <c r="J1672" s="358" t="str">
        <f t="shared" si="98"/>
        <v>2005FemaleAllEth244</v>
      </c>
      <c r="K1672" s="359">
        <v>2005</v>
      </c>
      <c r="L1672" t="s">
        <v>8</v>
      </c>
      <c r="M1672" t="s">
        <v>27</v>
      </c>
      <c r="N1672">
        <v>24</v>
      </c>
      <c r="O1672">
        <v>4</v>
      </c>
      <c r="P1672">
        <v>10</v>
      </c>
      <c r="Q1672">
        <v>11.207176379889299</v>
      </c>
      <c r="R1672">
        <v>6.9</v>
      </c>
      <c r="T1672" s="358" t="str">
        <f t="shared" si="99"/>
        <v>2003MaleNon-Maori25Submersion (drowning)</v>
      </c>
      <c r="U1672" s="360">
        <v>2003</v>
      </c>
      <c r="V1672" s="360" t="s">
        <v>20</v>
      </c>
      <c r="W1672" s="360" t="s">
        <v>19</v>
      </c>
      <c r="X1672" s="360">
        <v>25</v>
      </c>
      <c r="Y1672" s="360" t="s">
        <v>49</v>
      </c>
      <c r="Z1672" s="360">
        <v>1</v>
      </c>
      <c r="AA1672" s="360">
        <v>46</v>
      </c>
      <c r="AB1672" s="360">
        <v>2.2000000000000002</v>
      </c>
    </row>
    <row r="1673" spans="10:28" x14ac:dyDescent="0.2">
      <c r="J1673" s="358" t="str">
        <f t="shared" si="98"/>
        <v>2005FemaleAllEth245</v>
      </c>
      <c r="K1673" s="359">
        <v>2005</v>
      </c>
      <c r="L1673" t="s">
        <v>8</v>
      </c>
      <c r="M1673" t="s">
        <v>27</v>
      </c>
      <c r="N1673">
        <v>24</v>
      </c>
      <c r="O1673">
        <v>5</v>
      </c>
      <c r="P1673">
        <v>9</v>
      </c>
      <c r="Q1673">
        <v>11.332346444762999</v>
      </c>
      <c r="R1673">
        <v>7.4</v>
      </c>
      <c r="T1673" s="358" t="str">
        <f t="shared" si="99"/>
        <v>2004AllSexAllEth21Firearms and explosives</v>
      </c>
      <c r="U1673" s="360">
        <v>2004</v>
      </c>
      <c r="V1673" s="360" t="s">
        <v>17</v>
      </c>
      <c r="W1673" s="360" t="s">
        <v>27</v>
      </c>
      <c r="X1673" s="360">
        <v>21</v>
      </c>
      <c r="Y1673" s="360" t="s">
        <v>42</v>
      </c>
      <c r="Z1673" s="360">
        <v>2</v>
      </c>
      <c r="AA1673" s="360">
        <v>6</v>
      </c>
      <c r="AB1673" s="360">
        <v>33.299999999999997</v>
      </c>
    </row>
    <row r="1674" spans="10:28" x14ac:dyDescent="0.2">
      <c r="J1674" s="358" t="str">
        <f t="shared" si="98"/>
        <v>2005FemaleAllEth251</v>
      </c>
      <c r="K1674" s="359">
        <v>2005</v>
      </c>
      <c r="L1674" t="s">
        <v>8</v>
      </c>
      <c r="M1674" t="s">
        <v>27</v>
      </c>
      <c r="N1674">
        <v>25</v>
      </c>
      <c r="O1674">
        <v>1</v>
      </c>
      <c r="P1674">
        <v>6</v>
      </c>
      <c r="Q1674">
        <v>11.9847562323568</v>
      </c>
      <c r="R1674">
        <v>9.6</v>
      </c>
      <c r="T1674" s="358" t="str">
        <f t="shared" si="99"/>
        <v>2004AllSexAllEth22Firearms and explosives</v>
      </c>
      <c r="U1674" s="360">
        <v>2004</v>
      </c>
      <c r="V1674" s="360" t="s">
        <v>17</v>
      </c>
      <c r="W1674" s="360" t="s">
        <v>27</v>
      </c>
      <c r="X1674" s="360">
        <v>22</v>
      </c>
      <c r="Y1674" s="360" t="s">
        <v>42</v>
      </c>
      <c r="Z1674" s="360">
        <v>2</v>
      </c>
      <c r="AA1674" s="360">
        <v>114</v>
      </c>
      <c r="AB1674" s="360">
        <v>1.8</v>
      </c>
    </row>
    <row r="1675" spans="10:28" x14ac:dyDescent="0.2">
      <c r="J1675" s="358" t="str">
        <f t="shared" si="98"/>
        <v>2005FemaleAllEth252</v>
      </c>
      <c r="K1675" s="359">
        <v>2005</v>
      </c>
      <c r="L1675" t="s">
        <v>8</v>
      </c>
      <c r="M1675" t="s">
        <v>27</v>
      </c>
      <c r="N1675">
        <v>25</v>
      </c>
      <c r="O1675">
        <v>2</v>
      </c>
      <c r="P1675">
        <v>1</v>
      </c>
      <c r="Q1675">
        <v>1.7794920488938599</v>
      </c>
      <c r="R1675">
        <v>3.5</v>
      </c>
      <c r="T1675" s="358" t="str">
        <f t="shared" si="99"/>
        <v>2004AllSexAllEth23Firearms and explosives</v>
      </c>
      <c r="U1675" s="360">
        <v>2004</v>
      </c>
      <c r="V1675" s="360" t="s">
        <v>17</v>
      </c>
      <c r="W1675" s="360" t="s">
        <v>27</v>
      </c>
      <c r="X1675" s="360">
        <v>23</v>
      </c>
      <c r="Y1675" s="360" t="s">
        <v>42</v>
      </c>
      <c r="Z1675" s="360">
        <v>10</v>
      </c>
      <c r="AA1675" s="360">
        <v>201</v>
      </c>
      <c r="AB1675" s="360">
        <v>5</v>
      </c>
    </row>
    <row r="1676" spans="10:28" x14ac:dyDescent="0.2">
      <c r="J1676" s="358" t="str">
        <f t="shared" si="98"/>
        <v>2005FemaleAllEth253</v>
      </c>
      <c r="K1676" s="359">
        <v>2005</v>
      </c>
      <c r="L1676" t="s">
        <v>8</v>
      </c>
      <c r="M1676" t="s">
        <v>27</v>
      </c>
      <c r="N1676">
        <v>25</v>
      </c>
      <c r="O1676">
        <v>3</v>
      </c>
      <c r="P1676">
        <v>6</v>
      </c>
      <c r="Q1676">
        <v>10.0250847336474</v>
      </c>
      <c r="R1676">
        <v>8</v>
      </c>
      <c r="T1676" s="358" t="str">
        <f t="shared" si="99"/>
        <v>2004AllSexAllEth24Firearms and explosives</v>
      </c>
      <c r="U1676" s="360">
        <v>2004</v>
      </c>
      <c r="V1676" s="360" t="s">
        <v>17</v>
      </c>
      <c r="W1676" s="360" t="s">
        <v>27</v>
      </c>
      <c r="X1676" s="360">
        <v>24</v>
      </c>
      <c r="Y1676" s="360" t="s">
        <v>42</v>
      </c>
      <c r="Z1676" s="360">
        <v>17</v>
      </c>
      <c r="AA1676" s="360">
        <v>118</v>
      </c>
      <c r="AB1676" s="360">
        <v>14.4</v>
      </c>
    </row>
    <row r="1677" spans="10:28" x14ac:dyDescent="0.2">
      <c r="J1677" s="358" t="str">
        <f t="shared" si="98"/>
        <v>2005FemaleAllEth254</v>
      </c>
      <c r="K1677" s="359">
        <v>2005</v>
      </c>
      <c r="L1677" t="s">
        <v>8</v>
      </c>
      <c r="M1677" t="s">
        <v>27</v>
      </c>
      <c r="N1677">
        <v>25</v>
      </c>
      <c r="O1677">
        <v>4</v>
      </c>
      <c r="P1677">
        <v>2</v>
      </c>
      <c r="Q1677">
        <v>3.21919738530026</v>
      </c>
      <c r="R1677">
        <v>4.5</v>
      </c>
      <c r="T1677" s="358" t="str">
        <f t="shared" si="99"/>
        <v>2004AllSexAllEth25Firearms and explosives</v>
      </c>
      <c r="U1677" s="360">
        <v>2004</v>
      </c>
      <c r="V1677" s="360" t="s">
        <v>17</v>
      </c>
      <c r="W1677" s="360" t="s">
        <v>27</v>
      </c>
      <c r="X1677" s="360">
        <v>25</v>
      </c>
      <c r="Y1677" s="360" t="s">
        <v>42</v>
      </c>
      <c r="Z1677" s="360">
        <v>8</v>
      </c>
      <c r="AA1677" s="360">
        <v>55</v>
      </c>
      <c r="AB1677" s="360">
        <v>14.5</v>
      </c>
    </row>
    <row r="1678" spans="10:28" x14ac:dyDescent="0.2">
      <c r="J1678" s="358" t="str">
        <f t="shared" si="98"/>
        <v>2005FemaleAllEth255</v>
      </c>
      <c r="K1678" s="359">
        <v>2005</v>
      </c>
      <c r="L1678" t="s">
        <v>8</v>
      </c>
      <c r="M1678" t="s">
        <v>27</v>
      </c>
      <c r="N1678">
        <v>25</v>
      </c>
      <c r="O1678">
        <v>5</v>
      </c>
      <c r="P1678">
        <v>1</v>
      </c>
      <c r="Q1678">
        <v>2.1140113092211399</v>
      </c>
      <c r="R1678">
        <v>4.0999999999999996</v>
      </c>
      <c r="T1678" s="358" t="str">
        <f t="shared" si="99"/>
        <v>2004AllSexAllEth21Hanging, strangulation and suffocation</v>
      </c>
      <c r="U1678" s="360">
        <v>2004</v>
      </c>
      <c r="V1678" s="360" t="s">
        <v>17</v>
      </c>
      <c r="W1678" s="360" t="s">
        <v>27</v>
      </c>
      <c r="X1678" s="360">
        <v>21</v>
      </c>
      <c r="Y1678" s="360" t="s">
        <v>43</v>
      </c>
      <c r="Z1678" s="360">
        <v>4</v>
      </c>
      <c r="AA1678" s="360">
        <v>6</v>
      </c>
      <c r="AB1678" s="360">
        <v>66.7</v>
      </c>
    </row>
    <row r="1679" spans="10:28" x14ac:dyDescent="0.2">
      <c r="J1679" s="358" t="str">
        <f t="shared" si="98"/>
        <v>2005FemaleMaori211</v>
      </c>
      <c r="K1679" s="359">
        <v>2005</v>
      </c>
      <c r="L1679" t="s">
        <v>8</v>
      </c>
      <c r="M1679" t="s">
        <v>18</v>
      </c>
      <c r="N1679">
        <v>21</v>
      </c>
      <c r="O1679">
        <v>1</v>
      </c>
      <c r="P1679">
        <v>0</v>
      </c>
      <c r="T1679" s="358" t="str">
        <f t="shared" si="99"/>
        <v>2004AllSexAllEth22Hanging, strangulation and suffocation</v>
      </c>
      <c r="U1679" s="360">
        <v>2004</v>
      </c>
      <c r="V1679" s="360" t="s">
        <v>17</v>
      </c>
      <c r="W1679" s="360" t="s">
        <v>27</v>
      </c>
      <c r="X1679" s="360">
        <v>22</v>
      </c>
      <c r="Y1679" s="360" t="s">
        <v>43</v>
      </c>
      <c r="Z1679" s="360">
        <v>87</v>
      </c>
      <c r="AA1679" s="360">
        <v>114</v>
      </c>
      <c r="AB1679" s="360">
        <v>76.3</v>
      </c>
    </row>
    <row r="1680" spans="10:28" x14ac:dyDescent="0.2">
      <c r="J1680" s="358" t="str">
        <f t="shared" si="98"/>
        <v>2005FemaleMaori212</v>
      </c>
      <c r="K1680" s="359">
        <v>2005</v>
      </c>
      <c r="L1680" t="s">
        <v>8</v>
      </c>
      <c r="M1680" t="s">
        <v>18</v>
      </c>
      <c r="N1680">
        <v>21</v>
      </c>
      <c r="O1680">
        <v>2</v>
      </c>
      <c r="P1680">
        <v>0</v>
      </c>
      <c r="T1680" s="358" t="str">
        <f t="shared" si="99"/>
        <v>2004AllSexAllEth23Hanging, strangulation and suffocation</v>
      </c>
      <c r="U1680" s="360">
        <v>2004</v>
      </c>
      <c r="V1680" s="360" t="s">
        <v>17</v>
      </c>
      <c r="W1680" s="360" t="s">
        <v>27</v>
      </c>
      <c r="X1680" s="360">
        <v>23</v>
      </c>
      <c r="Y1680" s="360" t="s">
        <v>43</v>
      </c>
      <c r="Z1680" s="360">
        <v>116</v>
      </c>
      <c r="AA1680" s="360">
        <v>201</v>
      </c>
      <c r="AB1680" s="360">
        <v>57.7</v>
      </c>
    </row>
    <row r="1681" spans="10:28" x14ac:dyDescent="0.2">
      <c r="J1681" s="358" t="str">
        <f t="shared" si="98"/>
        <v>2005FemaleMaori213</v>
      </c>
      <c r="K1681" s="359">
        <v>2005</v>
      </c>
      <c r="L1681" t="s">
        <v>8</v>
      </c>
      <c r="M1681" t="s">
        <v>18</v>
      </c>
      <c r="N1681">
        <v>21</v>
      </c>
      <c r="O1681">
        <v>3</v>
      </c>
      <c r="P1681">
        <v>1</v>
      </c>
      <c r="T1681" s="358" t="str">
        <f t="shared" si="99"/>
        <v>2004AllSexAllEth24Hanging, strangulation and suffocation</v>
      </c>
      <c r="U1681" s="360">
        <v>2004</v>
      </c>
      <c r="V1681" s="360" t="s">
        <v>17</v>
      </c>
      <c r="W1681" s="360" t="s">
        <v>27</v>
      </c>
      <c r="X1681" s="360">
        <v>24</v>
      </c>
      <c r="Y1681" s="360" t="s">
        <v>43</v>
      </c>
      <c r="Z1681" s="360">
        <v>45</v>
      </c>
      <c r="AA1681" s="360">
        <v>118</v>
      </c>
      <c r="AB1681" s="360">
        <v>38.1</v>
      </c>
    </row>
    <row r="1682" spans="10:28" x14ac:dyDescent="0.2">
      <c r="J1682" s="358" t="str">
        <f t="shared" si="98"/>
        <v>2005FemaleMaori214</v>
      </c>
      <c r="K1682" s="359">
        <v>2005</v>
      </c>
      <c r="L1682" t="s">
        <v>8</v>
      </c>
      <c r="M1682" t="s">
        <v>18</v>
      </c>
      <c r="N1682">
        <v>21</v>
      </c>
      <c r="O1682">
        <v>4</v>
      </c>
      <c r="P1682">
        <v>0</v>
      </c>
      <c r="T1682" s="358" t="str">
        <f t="shared" si="99"/>
        <v>2004AllSexAllEth25Hanging, strangulation and suffocation</v>
      </c>
      <c r="U1682" s="360">
        <v>2004</v>
      </c>
      <c r="V1682" s="360" t="s">
        <v>17</v>
      </c>
      <c r="W1682" s="360" t="s">
        <v>27</v>
      </c>
      <c r="X1682" s="360">
        <v>25</v>
      </c>
      <c r="Y1682" s="360" t="s">
        <v>43</v>
      </c>
      <c r="Z1682" s="360">
        <v>18</v>
      </c>
      <c r="AA1682" s="360">
        <v>55</v>
      </c>
      <c r="AB1682" s="360">
        <v>32.700000000000003</v>
      </c>
    </row>
    <row r="1683" spans="10:28" x14ac:dyDescent="0.2">
      <c r="J1683" s="358" t="str">
        <f t="shared" si="98"/>
        <v>2005FemaleMaori215</v>
      </c>
      <c r="K1683" s="359">
        <v>2005</v>
      </c>
      <c r="L1683" t="s">
        <v>8</v>
      </c>
      <c r="M1683" t="s">
        <v>18</v>
      </c>
      <c r="N1683">
        <v>21</v>
      </c>
      <c r="O1683">
        <v>5</v>
      </c>
      <c r="P1683">
        <v>1</v>
      </c>
      <c r="T1683" s="358" t="str">
        <f t="shared" si="99"/>
        <v>2004AllSexAllEth22Jumping from a high place</v>
      </c>
      <c r="U1683" s="360">
        <v>2004</v>
      </c>
      <c r="V1683" s="360" t="s">
        <v>17</v>
      </c>
      <c r="W1683" s="360" t="s">
        <v>27</v>
      </c>
      <c r="X1683" s="360">
        <v>22</v>
      </c>
      <c r="Y1683" s="360" t="s">
        <v>44</v>
      </c>
      <c r="Z1683" s="360">
        <v>1</v>
      </c>
      <c r="AA1683" s="360">
        <v>114</v>
      </c>
      <c r="AB1683" s="360">
        <v>0.9</v>
      </c>
    </row>
    <row r="1684" spans="10:28" x14ac:dyDescent="0.2">
      <c r="J1684" s="358" t="str">
        <f t="shared" si="98"/>
        <v>2005FemaleMaori221</v>
      </c>
      <c r="K1684" s="359">
        <v>2005</v>
      </c>
      <c r="L1684" t="s">
        <v>8</v>
      </c>
      <c r="M1684" t="s">
        <v>18</v>
      </c>
      <c r="N1684">
        <v>22</v>
      </c>
      <c r="O1684">
        <v>1</v>
      </c>
      <c r="P1684">
        <v>1</v>
      </c>
      <c r="Q1684">
        <v>25.227053893124999</v>
      </c>
      <c r="R1684">
        <v>49.4</v>
      </c>
      <c r="T1684" s="358" t="str">
        <f t="shared" si="99"/>
        <v>2004AllSexAllEth23Jumping from a high place</v>
      </c>
      <c r="U1684" s="360">
        <v>2004</v>
      </c>
      <c r="V1684" s="360" t="s">
        <v>17</v>
      </c>
      <c r="W1684" s="360" t="s">
        <v>27</v>
      </c>
      <c r="X1684" s="360">
        <v>23</v>
      </c>
      <c r="Y1684" s="360" t="s">
        <v>44</v>
      </c>
      <c r="Z1684" s="360">
        <v>2</v>
      </c>
      <c r="AA1684" s="360">
        <v>201</v>
      </c>
      <c r="AB1684" s="360">
        <v>1</v>
      </c>
    </row>
    <row r="1685" spans="10:28" x14ac:dyDescent="0.2">
      <c r="J1685" s="358" t="str">
        <f t="shared" si="98"/>
        <v>2005FemaleMaori222</v>
      </c>
      <c r="K1685" s="359">
        <v>2005</v>
      </c>
      <c r="L1685" t="s">
        <v>8</v>
      </c>
      <c r="M1685" t="s">
        <v>18</v>
      </c>
      <c r="N1685">
        <v>22</v>
      </c>
      <c r="O1685">
        <v>2</v>
      </c>
      <c r="P1685">
        <v>0</v>
      </c>
      <c r="Q1685">
        <v>0</v>
      </c>
      <c r="T1685" s="358" t="str">
        <f t="shared" si="99"/>
        <v>2004AllSexAllEth24Jumping from a high place</v>
      </c>
      <c r="U1685" s="360">
        <v>2004</v>
      </c>
      <c r="V1685" s="360" t="s">
        <v>17</v>
      </c>
      <c r="W1685" s="360" t="s">
        <v>27</v>
      </c>
      <c r="X1685" s="360">
        <v>24</v>
      </c>
      <c r="Y1685" s="360" t="s">
        <v>44</v>
      </c>
      <c r="Z1685" s="360">
        <v>4</v>
      </c>
      <c r="AA1685" s="360">
        <v>118</v>
      </c>
      <c r="AB1685" s="360">
        <v>3.4</v>
      </c>
    </row>
    <row r="1686" spans="10:28" x14ac:dyDescent="0.2">
      <c r="J1686" s="358" t="str">
        <f t="shared" si="98"/>
        <v>2005FemaleMaori223</v>
      </c>
      <c r="K1686" s="359">
        <v>2005</v>
      </c>
      <c r="L1686" t="s">
        <v>8</v>
      </c>
      <c r="M1686" t="s">
        <v>18</v>
      </c>
      <c r="N1686">
        <v>22</v>
      </c>
      <c r="O1686">
        <v>3</v>
      </c>
      <c r="P1686">
        <v>5</v>
      </c>
      <c r="Q1686">
        <v>54.481740841759397</v>
      </c>
      <c r="R1686">
        <v>47.8</v>
      </c>
      <c r="T1686" s="358" t="str">
        <f t="shared" si="99"/>
        <v>2004AllSexAllEth25Jumping from a high place</v>
      </c>
      <c r="U1686" s="360">
        <v>2004</v>
      </c>
      <c r="V1686" s="360" t="s">
        <v>17</v>
      </c>
      <c r="W1686" s="360" t="s">
        <v>27</v>
      </c>
      <c r="X1686" s="360">
        <v>25</v>
      </c>
      <c r="Y1686" s="360" t="s">
        <v>44</v>
      </c>
      <c r="Z1686" s="360">
        <v>3</v>
      </c>
      <c r="AA1686" s="360">
        <v>55</v>
      </c>
      <c r="AB1686" s="360">
        <v>5.5</v>
      </c>
    </row>
    <row r="1687" spans="10:28" x14ac:dyDescent="0.2">
      <c r="J1687" s="358" t="str">
        <f t="shared" si="98"/>
        <v>2005FemaleMaori224</v>
      </c>
      <c r="K1687" s="359">
        <v>2005</v>
      </c>
      <c r="L1687" t="s">
        <v>8</v>
      </c>
      <c r="M1687" t="s">
        <v>18</v>
      </c>
      <c r="N1687">
        <v>22</v>
      </c>
      <c r="O1687">
        <v>4</v>
      </c>
      <c r="P1687">
        <v>3</v>
      </c>
      <c r="Q1687">
        <v>21.619103919058801</v>
      </c>
      <c r="R1687">
        <v>24.5</v>
      </c>
      <c r="T1687" s="358" t="str">
        <f t="shared" si="99"/>
        <v>2004AllSexAllEth22Other</v>
      </c>
      <c r="U1687" s="360">
        <v>2004</v>
      </c>
      <c r="V1687" s="360" t="s">
        <v>17</v>
      </c>
      <c r="W1687" s="360" t="s">
        <v>27</v>
      </c>
      <c r="X1687" s="360">
        <v>22</v>
      </c>
      <c r="Y1687" s="360" t="s">
        <v>45</v>
      </c>
      <c r="Z1687" s="360">
        <v>1</v>
      </c>
      <c r="AA1687" s="360">
        <v>114</v>
      </c>
      <c r="AB1687" s="360">
        <v>0.9</v>
      </c>
    </row>
    <row r="1688" spans="10:28" x14ac:dyDescent="0.2">
      <c r="J1688" s="358" t="str">
        <f t="shared" si="98"/>
        <v>2005FemaleMaori225</v>
      </c>
      <c r="K1688" s="359">
        <v>2005</v>
      </c>
      <c r="L1688" t="s">
        <v>8</v>
      </c>
      <c r="M1688" t="s">
        <v>18</v>
      </c>
      <c r="N1688">
        <v>22</v>
      </c>
      <c r="O1688">
        <v>5</v>
      </c>
      <c r="P1688">
        <v>2</v>
      </c>
      <c r="Q1688">
        <v>7.9762443446973297</v>
      </c>
      <c r="R1688">
        <v>11.1</v>
      </c>
      <c r="T1688" s="358" t="str">
        <f t="shared" si="99"/>
        <v>2004AllSexAllEth23Other</v>
      </c>
      <c r="U1688" s="360">
        <v>2004</v>
      </c>
      <c r="V1688" s="360" t="s">
        <v>17</v>
      </c>
      <c r="W1688" s="360" t="s">
        <v>27</v>
      </c>
      <c r="X1688" s="360">
        <v>23</v>
      </c>
      <c r="Y1688" s="360" t="s">
        <v>45</v>
      </c>
      <c r="Z1688" s="360">
        <v>7</v>
      </c>
      <c r="AA1688" s="360">
        <v>201</v>
      </c>
      <c r="AB1688" s="360">
        <v>3.5</v>
      </c>
    </row>
    <row r="1689" spans="10:28" x14ac:dyDescent="0.2">
      <c r="J1689" s="358" t="str">
        <f t="shared" si="98"/>
        <v>2005FemaleMaori231</v>
      </c>
      <c r="K1689" s="359">
        <v>2005</v>
      </c>
      <c r="L1689" t="s">
        <v>8</v>
      </c>
      <c r="M1689" t="s">
        <v>18</v>
      </c>
      <c r="N1689">
        <v>23</v>
      </c>
      <c r="O1689">
        <v>1</v>
      </c>
      <c r="P1689">
        <v>1</v>
      </c>
      <c r="Q1689">
        <v>14.4859678458158</v>
      </c>
      <c r="R1689">
        <v>28.4</v>
      </c>
      <c r="T1689" s="358" t="str">
        <f t="shared" si="99"/>
        <v>2004AllSexAllEth24Other</v>
      </c>
      <c r="U1689" s="360">
        <v>2004</v>
      </c>
      <c r="V1689" s="360" t="s">
        <v>17</v>
      </c>
      <c r="W1689" s="360" t="s">
        <v>27</v>
      </c>
      <c r="X1689" s="360">
        <v>24</v>
      </c>
      <c r="Y1689" s="360" t="s">
        <v>45</v>
      </c>
      <c r="Z1689" s="360">
        <v>7</v>
      </c>
      <c r="AA1689" s="360">
        <v>118</v>
      </c>
      <c r="AB1689" s="360">
        <v>5.9</v>
      </c>
    </row>
    <row r="1690" spans="10:28" x14ac:dyDescent="0.2">
      <c r="J1690" s="358" t="str">
        <f t="shared" si="98"/>
        <v>2005FemaleMaori232</v>
      </c>
      <c r="K1690" s="359">
        <v>2005</v>
      </c>
      <c r="L1690" t="s">
        <v>8</v>
      </c>
      <c r="M1690" t="s">
        <v>18</v>
      </c>
      <c r="N1690">
        <v>23</v>
      </c>
      <c r="O1690">
        <v>2</v>
      </c>
      <c r="P1690">
        <v>0</v>
      </c>
      <c r="Q1690">
        <v>0</v>
      </c>
      <c r="T1690" s="358" t="str">
        <f t="shared" si="99"/>
        <v>2004AllSexAllEth25Other</v>
      </c>
      <c r="U1690" s="360">
        <v>2004</v>
      </c>
      <c r="V1690" s="360" t="s">
        <v>17</v>
      </c>
      <c r="W1690" s="360" t="s">
        <v>27</v>
      </c>
      <c r="X1690" s="360">
        <v>25</v>
      </c>
      <c r="Y1690" s="360" t="s">
        <v>45</v>
      </c>
      <c r="Z1690" s="360">
        <v>1</v>
      </c>
      <c r="AA1690" s="360">
        <v>55</v>
      </c>
      <c r="AB1690" s="360">
        <v>1.8</v>
      </c>
    </row>
    <row r="1691" spans="10:28" x14ac:dyDescent="0.2">
      <c r="J1691" s="358" t="str">
        <f t="shared" si="98"/>
        <v>2005FemaleMaori233</v>
      </c>
      <c r="K1691" s="359">
        <v>2005</v>
      </c>
      <c r="L1691" t="s">
        <v>8</v>
      </c>
      <c r="M1691" t="s">
        <v>18</v>
      </c>
      <c r="N1691">
        <v>23</v>
      </c>
      <c r="O1691">
        <v>3</v>
      </c>
      <c r="P1691">
        <v>2</v>
      </c>
      <c r="Q1691">
        <v>13.9137815594153</v>
      </c>
      <c r="R1691">
        <v>19.3</v>
      </c>
      <c r="T1691" s="358" t="str">
        <f t="shared" si="99"/>
        <v>2004AllSexAllEth22Poisoning by gases and vapours</v>
      </c>
      <c r="U1691" s="360">
        <v>2004</v>
      </c>
      <c r="V1691" s="360" t="s">
        <v>17</v>
      </c>
      <c r="W1691" s="360" t="s">
        <v>27</v>
      </c>
      <c r="X1691" s="360">
        <v>22</v>
      </c>
      <c r="Y1691" s="360" t="s">
        <v>46</v>
      </c>
      <c r="Z1691" s="360">
        <v>16</v>
      </c>
      <c r="AA1691" s="360">
        <v>114</v>
      </c>
      <c r="AB1691" s="360">
        <v>14</v>
      </c>
    </row>
    <row r="1692" spans="10:28" x14ac:dyDescent="0.2">
      <c r="J1692" s="358" t="str">
        <f t="shared" si="98"/>
        <v>2005FemaleMaori234</v>
      </c>
      <c r="K1692" s="359">
        <v>2005</v>
      </c>
      <c r="L1692" t="s">
        <v>8</v>
      </c>
      <c r="M1692" t="s">
        <v>18</v>
      </c>
      <c r="N1692">
        <v>23</v>
      </c>
      <c r="O1692">
        <v>4</v>
      </c>
      <c r="P1692">
        <v>4</v>
      </c>
      <c r="Q1692">
        <v>18.7283871194177</v>
      </c>
      <c r="R1692">
        <v>18.399999999999999</v>
      </c>
      <c r="T1692" s="358" t="str">
        <f t="shared" si="99"/>
        <v>2004AllSexAllEth23Poisoning by gases and vapours</v>
      </c>
      <c r="U1692" s="360">
        <v>2004</v>
      </c>
      <c r="V1692" s="360" t="s">
        <v>17</v>
      </c>
      <c r="W1692" s="360" t="s">
        <v>27</v>
      </c>
      <c r="X1692" s="360">
        <v>23</v>
      </c>
      <c r="Y1692" s="360" t="s">
        <v>46</v>
      </c>
      <c r="Z1692" s="360">
        <v>41</v>
      </c>
      <c r="AA1692" s="360">
        <v>201</v>
      </c>
      <c r="AB1692" s="360">
        <v>20.399999999999999</v>
      </c>
    </row>
    <row r="1693" spans="10:28" x14ac:dyDescent="0.2">
      <c r="J1693" s="358" t="str">
        <f t="shared" si="98"/>
        <v>2005FemaleMaori235</v>
      </c>
      <c r="K1693" s="359">
        <v>2005</v>
      </c>
      <c r="L1693" t="s">
        <v>8</v>
      </c>
      <c r="M1693" t="s">
        <v>18</v>
      </c>
      <c r="N1693">
        <v>23</v>
      </c>
      <c r="O1693">
        <v>5</v>
      </c>
      <c r="P1693">
        <v>4</v>
      </c>
      <c r="Q1693">
        <v>10.8665790964747</v>
      </c>
      <c r="R1693">
        <v>10.6</v>
      </c>
      <c r="T1693" s="358" t="str">
        <f t="shared" si="99"/>
        <v>2004AllSexAllEth24Poisoning by gases and vapours</v>
      </c>
      <c r="U1693" s="360">
        <v>2004</v>
      </c>
      <c r="V1693" s="360" t="s">
        <v>17</v>
      </c>
      <c r="W1693" s="360" t="s">
        <v>27</v>
      </c>
      <c r="X1693" s="360">
        <v>24</v>
      </c>
      <c r="Y1693" s="360" t="s">
        <v>46</v>
      </c>
      <c r="Z1693" s="360">
        <v>27</v>
      </c>
      <c r="AA1693" s="360">
        <v>118</v>
      </c>
      <c r="AB1693" s="360">
        <v>22.9</v>
      </c>
    </row>
    <row r="1694" spans="10:28" x14ac:dyDescent="0.2">
      <c r="J1694" s="358" t="str">
        <f t="shared" si="98"/>
        <v>2005FemaleMaori241</v>
      </c>
      <c r="K1694" s="359">
        <v>2005</v>
      </c>
      <c r="L1694" t="s">
        <v>8</v>
      </c>
      <c r="M1694" t="s">
        <v>18</v>
      </c>
      <c r="N1694">
        <v>24</v>
      </c>
      <c r="O1694">
        <v>1</v>
      </c>
      <c r="P1694">
        <v>0</v>
      </c>
      <c r="Q1694">
        <v>0</v>
      </c>
      <c r="T1694" s="358" t="str">
        <f t="shared" si="99"/>
        <v>2004AllSexAllEth25Poisoning by gases and vapours</v>
      </c>
      <c r="U1694" s="360">
        <v>2004</v>
      </c>
      <c r="V1694" s="360" t="s">
        <v>17</v>
      </c>
      <c r="W1694" s="360" t="s">
        <v>27</v>
      </c>
      <c r="X1694" s="360">
        <v>25</v>
      </c>
      <c r="Y1694" s="360" t="s">
        <v>46</v>
      </c>
      <c r="Z1694" s="360">
        <v>11</v>
      </c>
      <c r="AA1694" s="360">
        <v>55</v>
      </c>
      <c r="AB1694" s="360">
        <v>20</v>
      </c>
    </row>
    <row r="1695" spans="10:28" x14ac:dyDescent="0.2">
      <c r="J1695" s="358" t="str">
        <f t="shared" si="98"/>
        <v>2005FemaleMaori242</v>
      </c>
      <c r="K1695" s="359">
        <v>2005</v>
      </c>
      <c r="L1695" t="s">
        <v>8</v>
      </c>
      <c r="M1695" t="s">
        <v>18</v>
      </c>
      <c r="N1695">
        <v>24</v>
      </c>
      <c r="O1695">
        <v>2</v>
      </c>
      <c r="P1695">
        <v>0</v>
      </c>
      <c r="Q1695">
        <v>0</v>
      </c>
      <c r="T1695" s="358" t="str">
        <f t="shared" si="99"/>
        <v>2004AllSexAllEth22Poisoning by solids and liquids</v>
      </c>
      <c r="U1695" s="360">
        <v>2004</v>
      </c>
      <c r="V1695" s="360" t="s">
        <v>17</v>
      </c>
      <c r="W1695" s="360" t="s">
        <v>27</v>
      </c>
      <c r="X1695" s="360">
        <v>22</v>
      </c>
      <c r="Y1695" s="360" t="s">
        <v>47</v>
      </c>
      <c r="Z1695" s="360">
        <v>5</v>
      </c>
      <c r="AA1695" s="360">
        <v>114</v>
      </c>
      <c r="AB1695" s="360">
        <v>4.4000000000000004</v>
      </c>
    </row>
    <row r="1696" spans="10:28" x14ac:dyDescent="0.2">
      <c r="J1696" s="358" t="str">
        <f t="shared" si="98"/>
        <v>2005FemaleMaori243</v>
      </c>
      <c r="K1696" s="359">
        <v>2005</v>
      </c>
      <c r="L1696" t="s">
        <v>8</v>
      </c>
      <c r="M1696" t="s">
        <v>18</v>
      </c>
      <c r="N1696">
        <v>24</v>
      </c>
      <c r="O1696">
        <v>3</v>
      </c>
      <c r="P1696">
        <v>0</v>
      </c>
      <c r="Q1696">
        <v>0</v>
      </c>
      <c r="T1696" s="358" t="str">
        <f t="shared" si="99"/>
        <v>2004AllSexAllEth23Poisoning by solids and liquids</v>
      </c>
      <c r="U1696" s="360">
        <v>2004</v>
      </c>
      <c r="V1696" s="360" t="s">
        <v>17</v>
      </c>
      <c r="W1696" s="360" t="s">
        <v>27</v>
      </c>
      <c r="X1696" s="360">
        <v>23</v>
      </c>
      <c r="Y1696" s="360" t="s">
        <v>47</v>
      </c>
      <c r="Z1696" s="360">
        <v>19</v>
      </c>
      <c r="AA1696" s="360">
        <v>201</v>
      </c>
      <c r="AB1696" s="360">
        <v>9.5</v>
      </c>
    </row>
    <row r="1697" spans="10:28" x14ac:dyDescent="0.2">
      <c r="J1697" s="358" t="str">
        <f t="shared" si="98"/>
        <v>2005FemaleMaori244</v>
      </c>
      <c r="K1697" s="359">
        <v>2005</v>
      </c>
      <c r="L1697" t="s">
        <v>8</v>
      </c>
      <c r="M1697" t="s">
        <v>18</v>
      </c>
      <c r="N1697">
        <v>24</v>
      </c>
      <c r="O1697">
        <v>4</v>
      </c>
      <c r="P1697">
        <v>0</v>
      </c>
      <c r="Q1697">
        <v>0</v>
      </c>
      <c r="T1697" s="358" t="str">
        <f t="shared" si="99"/>
        <v>2004AllSexAllEth24Poisoning by solids and liquids</v>
      </c>
      <c r="U1697" s="360">
        <v>2004</v>
      </c>
      <c r="V1697" s="360" t="s">
        <v>17</v>
      </c>
      <c r="W1697" s="360" t="s">
        <v>27</v>
      </c>
      <c r="X1697" s="360">
        <v>24</v>
      </c>
      <c r="Y1697" s="360" t="s">
        <v>47</v>
      </c>
      <c r="Z1697" s="360">
        <v>14</v>
      </c>
      <c r="AA1697" s="360">
        <v>118</v>
      </c>
      <c r="AB1697" s="360">
        <v>11.9</v>
      </c>
    </row>
    <row r="1698" spans="10:28" x14ac:dyDescent="0.2">
      <c r="J1698" s="358" t="str">
        <f t="shared" si="98"/>
        <v>2005FemaleMaori245</v>
      </c>
      <c r="K1698" s="359">
        <v>2005</v>
      </c>
      <c r="L1698" t="s">
        <v>8</v>
      </c>
      <c r="M1698" t="s">
        <v>18</v>
      </c>
      <c r="N1698">
        <v>24</v>
      </c>
      <c r="O1698">
        <v>5</v>
      </c>
      <c r="P1698">
        <v>2</v>
      </c>
      <c r="Q1698">
        <v>9.7484588993772192</v>
      </c>
      <c r="R1698">
        <v>13.5</v>
      </c>
      <c r="T1698" s="358" t="str">
        <f t="shared" si="99"/>
        <v>2004AllSexAllEth25Poisoning by solids and liquids</v>
      </c>
      <c r="U1698" s="360">
        <v>2004</v>
      </c>
      <c r="V1698" s="360" t="s">
        <v>17</v>
      </c>
      <c r="W1698" s="360" t="s">
        <v>27</v>
      </c>
      <c r="X1698" s="360">
        <v>25</v>
      </c>
      <c r="Y1698" s="360" t="s">
        <v>47</v>
      </c>
      <c r="Z1698" s="360">
        <v>8</v>
      </c>
      <c r="AA1698" s="360">
        <v>55</v>
      </c>
      <c r="AB1698" s="360">
        <v>14.5</v>
      </c>
    </row>
    <row r="1699" spans="10:28" x14ac:dyDescent="0.2">
      <c r="J1699" s="358" t="str">
        <f t="shared" si="98"/>
        <v>2005FemaleMaori251</v>
      </c>
      <c r="K1699" s="359">
        <v>2005</v>
      </c>
      <c r="L1699" t="s">
        <v>8</v>
      </c>
      <c r="M1699" t="s">
        <v>18</v>
      </c>
      <c r="N1699">
        <v>25</v>
      </c>
      <c r="O1699">
        <v>1</v>
      </c>
      <c r="P1699">
        <v>0</v>
      </c>
      <c r="Q1699">
        <v>0</v>
      </c>
      <c r="T1699" s="358" t="str">
        <f t="shared" si="99"/>
        <v>2004AllSexAllEth23Sharp object</v>
      </c>
      <c r="U1699" s="360">
        <v>2004</v>
      </c>
      <c r="V1699" s="360" t="s">
        <v>17</v>
      </c>
      <c r="W1699" s="360" t="s">
        <v>27</v>
      </c>
      <c r="X1699" s="360">
        <v>23</v>
      </c>
      <c r="Y1699" s="360" t="s">
        <v>48</v>
      </c>
      <c r="Z1699" s="360">
        <v>1</v>
      </c>
      <c r="AA1699" s="360">
        <v>201</v>
      </c>
      <c r="AB1699" s="360">
        <v>0.5</v>
      </c>
    </row>
    <row r="1700" spans="10:28" x14ac:dyDescent="0.2">
      <c r="J1700" s="358" t="str">
        <f t="shared" si="98"/>
        <v>2005FemaleMaori252</v>
      </c>
      <c r="K1700" s="359">
        <v>2005</v>
      </c>
      <c r="L1700" t="s">
        <v>8</v>
      </c>
      <c r="M1700" t="s">
        <v>18</v>
      </c>
      <c r="N1700">
        <v>25</v>
      </c>
      <c r="O1700">
        <v>2</v>
      </c>
      <c r="P1700">
        <v>0</v>
      </c>
      <c r="Q1700">
        <v>0</v>
      </c>
      <c r="T1700" s="358" t="str">
        <f t="shared" si="99"/>
        <v>2004AllSexAllEth24Sharp object</v>
      </c>
      <c r="U1700" s="360">
        <v>2004</v>
      </c>
      <c r="V1700" s="360" t="s">
        <v>17</v>
      </c>
      <c r="W1700" s="360" t="s">
        <v>27</v>
      </c>
      <c r="X1700" s="360">
        <v>24</v>
      </c>
      <c r="Y1700" s="360" t="s">
        <v>48</v>
      </c>
      <c r="Z1700" s="360">
        <v>2</v>
      </c>
      <c r="AA1700" s="360">
        <v>118</v>
      </c>
      <c r="AB1700" s="360">
        <v>1.7</v>
      </c>
    </row>
    <row r="1701" spans="10:28" x14ac:dyDescent="0.2">
      <c r="J1701" s="358" t="str">
        <f t="shared" si="98"/>
        <v>2005FemaleMaori253</v>
      </c>
      <c r="K1701" s="359">
        <v>2005</v>
      </c>
      <c r="L1701" t="s">
        <v>8</v>
      </c>
      <c r="M1701" t="s">
        <v>18</v>
      </c>
      <c r="N1701">
        <v>25</v>
      </c>
      <c r="O1701">
        <v>3</v>
      </c>
      <c r="P1701">
        <v>0</v>
      </c>
      <c r="Q1701">
        <v>0</v>
      </c>
      <c r="T1701" s="358" t="str">
        <f t="shared" si="99"/>
        <v>2004AllSexAllEth25Sharp object</v>
      </c>
      <c r="U1701" s="360">
        <v>2004</v>
      </c>
      <c r="V1701" s="360" t="s">
        <v>17</v>
      </c>
      <c r="W1701" s="360" t="s">
        <v>27</v>
      </c>
      <c r="X1701" s="360">
        <v>25</v>
      </c>
      <c r="Y1701" s="360" t="s">
        <v>48</v>
      </c>
      <c r="Z1701" s="360">
        <v>3</v>
      </c>
      <c r="AA1701" s="360">
        <v>55</v>
      </c>
      <c r="AB1701" s="360">
        <v>5.5</v>
      </c>
    </row>
    <row r="1702" spans="10:28" x14ac:dyDescent="0.2">
      <c r="J1702" s="358" t="str">
        <f t="shared" si="98"/>
        <v>2005FemaleMaori254</v>
      </c>
      <c r="K1702" s="359">
        <v>2005</v>
      </c>
      <c r="L1702" t="s">
        <v>8</v>
      </c>
      <c r="M1702" t="s">
        <v>18</v>
      </c>
      <c r="N1702">
        <v>25</v>
      </c>
      <c r="O1702">
        <v>4</v>
      </c>
      <c r="P1702">
        <v>0</v>
      </c>
      <c r="Q1702">
        <v>0</v>
      </c>
      <c r="T1702" s="358" t="str">
        <f t="shared" si="99"/>
        <v>2004AllSexAllEth22Submersion (drowning)</v>
      </c>
      <c r="U1702" s="360">
        <v>2004</v>
      </c>
      <c r="V1702" s="360" t="s">
        <v>17</v>
      </c>
      <c r="W1702" s="360" t="s">
        <v>27</v>
      </c>
      <c r="X1702" s="360">
        <v>22</v>
      </c>
      <c r="Y1702" s="360" t="s">
        <v>49</v>
      </c>
      <c r="Z1702" s="360">
        <v>2</v>
      </c>
      <c r="AA1702" s="360">
        <v>114</v>
      </c>
      <c r="AB1702" s="360">
        <v>1.8</v>
      </c>
    </row>
    <row r="1703" spans="10:28" x14ac:dyDescent="0.2">
      <c r="J1703" s="358" t="str">
        <f t="shared" si="98"/>
        <v>2005FemaleMaori255</v>
      </c>
      <c r="K1703" s="359">
        <v>2005</v>
      </c>
      <c r="L1703" t="s">
        <v>8</v>
      </c>
      <c r="M1703" t="s">
        <v>18</v>
      </c>
      <c r="N1703">
        <v>25</v>
      </c>
      <c r="O1703">
        <v>5</v>
      </c>
      <c r="P1703">
        <v>0</v>
      </c>
      <c r="Q1703">
        <v>0</v>
      </c>
      <c r="T1703" s="358" t="str">
        <f t="shared" si="99"/>
        <v>2004AllSexAllEth23Submersion (drowning)</v>
      </c>
      <c r="U1703" s="360">
        <v>2004</v>
      </c>
      <c r="V1703" s="360" t="s">
        <v>17</v>
      </c>
      <c r="W1703" s="360" t="s">
        <v>27</v>
      </c>
      <c r="X1703" s="360">
        <v>23</v>
      </c>
      <c r="Y1703" s="360" t="s">
        <v>49</v>
      </c>
      <c r="Z1703" s="360">
        <v>5</v>
      </c>
      <c r="AA1703" s="360">
        <v>201</v>
      </c>
      <c r="AB1703" s="360">
        <v>2.5</v>
      </c>
    </row>
    <row r="1704" spans="10:28" x14ac:dyDescent="0.2">
      <c r="J1704" s="358" t="str">
        <f t="shared" si="98"/>
        <v>2005FemaleNon-Maori211</v>
      </c>
      <c r="K1704" s="359">
        <v>2005</v>
      </c>
      <c r="L1704" t="s">
        <v>8</v>
      </c>
      <c r="M1704" t="s">
        <v>19</v>
      </c>
      <c r="N1704">
        <v>21</v>
      </c>
      <c r="O1704">
        <v>1</v>
      </c>
      <c r="P1704">
        <v>0</v>
      </c>
      <c r="T1704" s="358" t="str">
        <f t="shared" si="99"/>
        <v>2004AllSexAllEth24Submersion (drowning)</v>
      </c>
      <c r="U1704" s="360">
        <v>2004</v>
      </c>
      <c r="V1704" s="360" t="s">
        <v>17</v>
      </c>
      <c r="W1704" s="360" t="s">
        <v>27</v>
      </c>
      <c r="X1704" s="360">
        <v>24</v>
      </c>
      <c r="Y1704" s="360" t="s">
        <v>49</v>
      </c>
      <c r="Z1704" s="360">
        <v>2</v>
      </c>
      <c r="AA1704" s="360">
        <v>118</v>
      </c>
      <c r="AB1704" s="360">
        <v>1.7</v>
      </c>
    </row>
    <row r="1705" spans="10:28" x14ac:dyDescent="0.2">
      <c r="J1705" s="358" t="str">
        <f t="shared" si="98"/>
        <v>2005FemaleNon-Maori212</v>
      </c>
      <c r="K1705" s="359">
        <v>2005</v>
      </c>
      <c r="L1705" t="s">
        <v>8</v>
      </c>
      <c r="M1705" t="s">
        <v>19</v>
      </c>
      <c r="N1705">
        <v>21</v>
      </c>
      <c r="O1705">
        <v>2</v>
      </c>
      <c r="P1705">
        <v>0</v>
      </c>
      <c r="T1705" s="358" t="str">
        <f t="shared" si="99"/>
        <v>2004AllSexAllEth25Submersion (drowning)</v>
      </c>
      <c r="U1705" s="360">
        <v>2004</v>
      </c>
      <c r="V1705" s="360" t="s">
        <v>17</v>
      </c>
      <c r="W1705" s="360" t="s">
        <v>27</v>
      </c>
      <c r="X1705" s="360">
        <v>25</v>
      </c>
      <c r="Y1705" s="360" t="s">
        <v>49</v>
      </c>
      <c r="Z1705" s="360">
        <v>3</v>
      </c>
      <c r="AA1705" s="360">
        <v>55</v>
      </c>
      <c r="AB1705" s="360">
        <v>5.5</v>
      </c>
    </row>
    <row r="1706" spans="10:28" x14ac:dyDescent="0.2">
      <c r="J1706" s="358" t="str">
        <f t="shared" si="98"/>
        <v>2005FemaleNon-Maori213</v>
      </c>
      <c r="K1706" s="359">
        <v>2005</v>
      </c>
      <c r="L1706" t="s">
        <v>8</v>
      </c>
      <c r="M1706" t="s">
        <v>19</v>
      </c>
      <c r="N1706">
        <v>21</v>
      </c>
      <c r="O1706">
        <v>3</v>
      </c>
      <c r="P1706">
        <v>0</v>
      </c>
      <c r="T1706" s="358" t="str">
        <f t="shared" si="99"/>
        <v>2004AllSexMaori23Firearms and explosives</v>
      </c>
      <c r="U1706" s="360">
        <v>2004</v>
      </c>
      <c r="V1706" s="360" t="s">
        <v>17</v>
      </c>
      <c r="W1706" s="360" t="s">
        <v>18</v>
      </c>
      <c r="X1706" s="360">
        <v>23</v>
      </c>
      <c r="Y1706" s="360" t="s">
        <v>42</v>
      </c>
      <c r="Z1706" s="360">
        <v>2</v>
      </c>
      <c r="AA1706" s="360">
        <v>55</v>
      </c>
      <c r="AB1706" s="360">
        <v>3.6</v>
      </c>
    </row>
    <row r="1707" spans="10:28" x14ac:dyDescent="0.2">
      <c r="J1707" s="358" t="str">
        <f t="shared" si="98"/>
        <v>2005FemaleNon-Maori214</v>
      </c>
      <c r="K1707" s="359">
        <v>2005</v>
      </c>
      <c r="L1707" t="s">
        <v>8</v>
      </c>
      <c r="M1707" t="s">
        <v>19</v>
      </c>
      <c r="N1707">
        <v>21</v>
      </c>
      <c r="O1707">
        <v>4</v>
      </c>
      <c r="P1707">
        <v>0</v>
      </c>
      <c r="T1707" s="358" t="str">
        <f t="shared" si="99"/>
        <v>2004AllSexMaori24Firearms and explosives</v>
      </c>
      <c r="U1707" s="360">
        <v>2004</v>
      </c>
      <c r="V1707" s="360" t="s">
        <v>17</v>
      </c>
      <c r="W1707" s="360" t="s">
        <v>18</v>
      </c>
      <c r="X1707" s="360">
        <v>24</v>
      </c>
      <c r="Y1707" s="360" t="s">
        <v>42</v>
      </c>
      <c r="Z1707" s="360">
        <v>1</v>
      </c>
      <c r="AA1707" s="360">
        <v>9</v>
      </c>
      <c r="AB1707" s="360">
        <v>11.1</v>
      </c>
    </row>
    <row r="1708" spans="10:28" x14ac:dyDescent="0.2">
      <c r="J1708" s="358" t="str">
        <f t="shared" si="98"/>
        <v>2005FemaleNon-Maori215</v>
      </c>
      <c r="K1708" s="359">
        <v>2005</v>
      </c>
      <c r="L1708" t="s">
        <v>8</v>
      </c>
      <c r="M1708" t="s">
        <v>19</v>
      </c>
      <c r="N1708">
        <v>21</v>
      </c>
      <c r="O1708">
        <v>5</v>
      </c>
      <c r="P1708">
        <v>0</v>
      </c>
      <c r="T1708" s="358" t="str">
        <f t="shared" si="99"/>
        <v>2004AllSexMaori25Firearms and explosives</v>
      </c>
      <c r="U1708" s="360">
        <v>2004</v>
      </c>
      <c r="V1708" s="360" t="s">
        <v>17</v>
      </c>
      <c r="W1708" s="360" t="s">
        <v>18</v>
      </c>
      <c r="X1708" s="360">
        <v>25</v>
      </c>
      <c r="Y1708" s="360" t="s">
        <v>42</v>
      </c>
      <c r="Z1708" s="360">
        <v>1</v>
      </c>
      <c r="AA1708" s="360">
        <v>2</v>
      </c>
      <c r="AB1708" s="360">
        <v>50</v>
      </c>
    </row>
    <row r="1709" spans="10:28" x14ac:dyDescent="0.2">
      <c r="J1709" s="358" t="str">
        <f t="shared" si="98"/>
        <v>2005FemaleNon-Maori221</v>
      </c>
      <c r="K1709" s="359">
        <v>2005</v>
      </c>
      <c r="L1709" t="s">
        <v>8</v>
      </c>
      <c r="M1709" t="s">
        <v>19</v>
      </c>
      <c r="N1709">
        <v>22</v>
      </c>
      <c r="O1709">
        <v>1</v>
      </c>
      <c r="P1709">
        <v>2</v>
      </c>
      <c r="Q1709">
        <v>4.5101314237791801</v>
      </c>
      <c r="R1709">
        <v>6.3</v>
      </c>
      <c r="T1709" s="358" t="str">
        <f t="shared" si="99"/>
        <v>2004AllSexMaori21Hanging, strangulation and suffocation</v>
      </c>
      <c r="U1709" s="360">
        <v>2004</v>
      </c>
      <c r="V1709" s="360" t="s">
        <v>17</v>
      </c>
      <c r="W1709" s="360" t="s">
        <v>18</v>
      </c>
      <c r="X1709" s="360">
        <v>21</v>
      </c>
      <c r="Y1709" s="360" t="s">
        <v>43</v>
      </c>
      <c r="Z1709" s="360">
        <v>3</v>
      </c>
      <c r="AA1709" s="360">
        <v>3</v>
      </c>
      <c r="AB1709" s="360">
        <v>100</v>
      </c>
    </row>
    <row r="1710" spans="10:28" x14ac:dyDescent="0.2">
      <c r="J1710" s="358" t="str">
        <f t="shared" si="98"/>
        <v>2005FemaleNon-Maori222</v>
      </c>
      <c r="K1710" s="359">
        <v>2005</v>
      </c>
      <c r="L1710" t="s">
        <v>8</v>
      </c>
      <c r="M1710" t="s">
        <v>19</v>
      </c>
      <c r="N1710">
        <v>22</v>
      </c>
      <c r="O1710">
        <v>2</v>
      </c>
      <c r="P1710">
        <v>3</v>
      </c>
      <c r="Q1710">
        <v>6.5548281385391904</v>
      </c>
      <c r="R1710">
        <v>7.4</v>
      </c>
      <c r="T1710" s="358" t="str">
        <f t="shared" si="99"/>
        <v>2004AllSexMaori22Hanging, strangulation and suffocation</v>
      </c>
      <c r="U1710" s="360">
        <v>2004</v>
      </c>
      <c r="V1710" s="360" t="s">
        <v>17</v>
      </c>
      <c r="W1710" s="360" t="s">
        <v>18</v>
      </c>
      <c r="X1710" s="360">
        <v>22</v>
      </c>
      <c r="Y1710" s="360" t="s">
        <v>43</v>
      </c>
      <c r="Z1710" s="360">
        <v>41</v>
      </c>
      <c r="AA1710" s="360">
        <v>42</v>
      </c>
      <c r="AB1710" s="360">
        <v>97.6</v>
      </c>
    </row>
    <row r="1711" spans="10:28" x14ac:dyDescent="0.2">
      <c r="J1711" s="358" t="str">
        <f t="shared" si="98"/>
        <v>2005FemaleNon-Maori223</v>
      </c>
      <c r="K1711" s="359">
        <v>2005</v>
      </c>
      <c r="L1711" t="s">
        <v>8</v>
      </c>
      <c r="M1711" t="s">
        <v>19</v>
      </c>
      <c r="N1711">
        <v>22</v>
      </c>
      <c r="O1711">
        <v>3</v>
      </c>
      <c r="P1711">
        <v>0</v>
      </c>
      <c r="Q1711">
        <v>0</v>
      </c>
      <c r="T1711" s="358" t="str">
        <f t="shared" si="99"/>
        <v>2004AllSexMaori23Hanging, strangulation and suffocation</v>
      </c>
      <c r="U1711" s="360">
        <v>2004</v>
      </c>
      <c r="V1711" s="360" t="s">
        <v>17</v>
      </c>
      <c r="W1711" s="360" t="s">
        <v>18</v>
      </c>
      <c r="X1711" s="360">
        <v>23</v>
      </c>
      <c r="Y1711" s="360" t="s">
        <v>43</v>
      </c>
      <c r="Z1711" s="360">
        <v>42</v>
      </c>
      <c r="AA1711" s="360">
        <v>55</v>
      </c>
      <c r="AB1711" s="360">
        <v>76.400000000000006</v>
      </c>
    </row>
    <row r="1712" spans="10:28" x14ac:dyDescent="0.2">
      <c r="J1712" s="358" t="str">
        <f t="shared" si="98"/>
        <v>2005FemaleNon-Maori224</v>
      </c>
      <c r="K1712" s="359">
        <v>2005</v>
      </c>
      <c r="L1712" t="s">
        <v>8</v>
      </c>
      <c r="M1712" t="s">
        <v>19</v>
      </c>
      <c r="N1712">
        <v>22</v>
      </c>
      <c r="O1712">
        <v>4</v>
      </c>
      <c r="P1712">
        <v>6</v>
      </c>
      <c r="Q1712">
        <v>12.2350522404373</v>
      </c>
      <c r="R1712">
        <v>9.8000000000000007</v>
      </c>
      <c r="T1712" s="358" t="str">
        <f t="shared" si="99"/>
        <v>2004AllSexMaori24Hanging, strangulation and suffocation</v>
      </c>
      <c r="U1712" s="360">
        <v>2004</v>
      </c>
      <c r="V1712" s="360" t="s">
        <v>17</v>
      </c>
      <c r="W1712" s="360" t="s">
        <v>18</v>
      </c>
      <c r="X1712" s="360">
        <v>24</v>
      </c>
      <c r="Y1712" s="360" t="s">
        <v>43</v>
      </c>
      <c r="Z1712" s="360">
        <v>6</v>
      </c>
      <c r="AA1712" s="360">
        <v>9</v>
      </c>
      <c r="AB1712" s="360">
        <v>66.7</v>
      </c>
    </row>
    <row r="1713" spans="10:28" x14ac:dyDescent="0.2">
      <c r="J1713" s="358" t="str">
        <f t="shared" si="98"/>
        <v>2005FemaleNon-Maori225</v>
      </c>
      <c r="K1713" s="359">
        <v>2005</v>
      </c>
      <c r="L1713" t="s">
        <v>8</v>
      </c>
      <c r="M1713" t="s">
        <v>19</v>
      </c>
      <c r="N1713">
        <v>22</v>
      </c>
      <c r="O1713">
        <v>5</v>
      </c>
      <c r="P1713">
        <v>1</v>
      </c>
      <c r="Q1713">
        <v>2.02295276555135</v>
      </c>
      <c r="R1713">
        <v>4</v>
      </c>
      <c r="T1713" s="358" t="str">
        <f t="shared" si="99"/>
        <v>2004AllSexMaori23Other</v>
      </c>
      <c r="U1713" s="360">
        <v>2004</v>
      </c>
      <c r="V1713" s="360" t="s">
        <v>17</v>
      </c>
      <c r="W1713" s="360" t="s">
        <v>18</v>
      </c>
      <c r="X1713" s="360">
        <v>23</v>
      </c>
      <c r="Y1713" s="360" t="s">
        <v>45</v>
      </c>
      <c r="Z1713" s="360">
        <v>1</v>
      </c>
      <c r="AA1713" s="360">
        <v>55</v>
      </c>
      <c r="AB1713" s="360">
        <v>1.8</v>
      </c>
    </row>
    <row r="1714" spans="10:28" x14ac:dyDescent="0.2">
      <c r="J1714" s="358" t="str">
        <f t="shared" si="98"/>
        <v>2005FemaleNon-Maori231</v>
      </c>
      <c r="K1714" s="359">
        <v>2005</v>
      </c>
      <c r="L1714" t="s">
        <v>8</v>
      </c>
      <c r="M1714" t="s">
        <v>19</v>
      </c>
      <c r="N1714">
        <v>23</v>
      </c>
      <c r="O1714">
        <v>1</v>
      </c>
      <c r="P1714">
        <v>9</v>
      </c>
      <c r="Q1714">
        <v>7.7334985327969097</v>
      </c>
      <c r="R1714">
        <v>5.0999999999999996</v>
      </c>
      <c r="T1714" s="358" t="str">
        <f t="shared" si="99"/>
        <v>2004AllSexMaori23Poisoning by gases and vapours</v>
      </c>
      <c r="U1714" s="360">
        <v>2004</v>
      </c>
      <c r="V1714" s="360" t="s">
        <v>17</v>
      </c>
      <c r="W1714" s="360" t="s">
        <v>18</v>
      </c>
      <c r="X1714" s="360">
        <v>23</v>
      </c>
      <c r="Y1714" s="360" t="s">
        <v>46</v>
      </c>
      <c r="Z1714" s="360">
        <v>3</v>
      </c>
      <c r="AA1714" s="360">
        <v>55</v>
      </c>
      <c r="AB1714" s="360">
        <v>5.5</v>
      </c>
    </row>
    <row r="1715" spans="10:28" x14ac:dyDescent="0.2">
      <c r="J1715" s="358" t="str">
        <f t="shared" si="98"/>
        <v>2005FemaleNon-Maori232</v>
      </c>
      <c r="K1715" s="359">
        <v>2005</v>
      </c>
      <c r="L1715" t="s">
        <v>8</v>
      </c>
      <c r="M1715" t="s">
        <v>19</v>
      </c>
      <c r="N1715">
        <v>23</v>
      </c>
      <c r="O1715">
        <v>2</v>
      </c>
      <c r="P1715">
        <v>5</v>
      </c>
      <c r="Q1715">
        <v>4.2632577271184999</v>
      </c>
      <c r="R1715">
        <v>3.7</v>
      </c>
      <c r="T1715" s="358" t="str">
        <f t="shared" si="99"/>
        <v>2004AllSexMaori23Poisoning by solids and liquids</v>
      </c>
      <c r="U1715" s="360">
        <v>2004</v>
      </c>
      <c r="V1715" s="360" t="s">
        <v>17</v>
      </c>
      <c r="W1715" s="360" t="s">
        <v>18</v>
      </c>
      <c r="X1715" s="360">
        <v>23</v>
      </c>
      <c r="Y1715" s="360" t="s">
        <v>47</v>
      </c>
      <c r="Z1715" s="360">
        <v>5</v>
      </c>
      <c r="AA1715" s="360">
        <v>55</v>
      </c>
      <c r="AB1715" s="360">
        <v>9.1</v>
      </c>
    </row>
    <row r="1716" spans="10:28" x14ac:dyDescent="0.2">
      <c r="J1716" s="358" t="str">
        <f t="shared" si="98"/>
        <v>2005FemaleNon-Maori233</v>
      </c>
      <c r="K1716" s="359">
        <v>2005</v>
      </c>
      <c r="L1716" t="s">
        <v>8</v>
      </c>
      <c r="M1716" t="s">
        <v>19</v>
      </c>
      <c r="N1716">
        <v>23</v>
      </c>
      <c r="O1716">
        <v>3</v>
      </c>
      <c r="P1716">
        <v>8</v>
      </c>
      <c r="Q1716">
        <v>7.1966157138089102</v>
      </c>
      <c r="R1716">
        <v>5</v>
      </c>
      <c r="T1716" s="358" t="str">
        <f t="shared" si="99"/>
        <v>2004AllSexMaori24Poisoning by solids and liquids</v>
      </c>
      <c r="U1716" s="360">
        <v>2004</v>
      </c>
      <c r="V1716" s="360" t="s">
        <v>17</v>
      </c>
      <c r="W1716" s="360" t="s">
        <v>18</v>
      </c>
      <c r="X1716" s="360">
        <v>24</v>
      </c>
      <c r="Y1716" s="360" t="s">
        <v>47</v>
      </c>
      <c r="Z1716" s="360">
        <v>1</v>
      </c>
      <c r="AA1716" s="360">
        <v>9</v>
      </c>
      <c r="AB1716" s="360">
        <v>11.1</v>
      </c>
    </row>
    <row r="1717" spans="10:28" x14ac:dyDescent="0.2">
      <c r="J1717" s="358" t="str">
        <f t="shared" si="98"/>
        <v>2005FemaleNon-Maori234</v>
      </c>
      <c r="K1717" s="359">
        <v>2005</v>
      </c>
      <c r="L1717" t="s">
        <v>8</v>
      </c>
      <c r="M1717" t="s">
        <v>19</v>
      </c>
      <c r="N1717">
        <v>23</v>
      </c>
      <c r="O1717">
        <v>4</v>
      </c>
      <c r="P1717">
        <v>13</v>
      </c>
      <c r="Q1717">
        <v>12.9456405489143</v>
      </c>
      <c r="R1717">
        <v>7</v>
      </c>
      <c r="T1717" s="358" t="str">
        <f t="shared" si="99"/>
        <v>2004AllSexMaori23Sharp object</v>
      </c>
      <c r="U1717" s="360">
        <v>2004</v>
      </c>
      <c r="V1717" s="360" t="s">
        <v>17</v>
      </c>
      <c r="W1717" s="360" t="s">
        <v>18</v>
      </c>
      <c r="X1717" s="360">
        <v>23</v>
      </c>
      <c r="Y1717" s="360" t="s">
        <v>48</v>
      </c>
      <c r="Z1717" s="360">
        <v>1</v>
      </c>
      <c r="AA1717" s="360">
        <v>55</v>
      </c>
      <c r="AB1717" s="360">
        <v>1.8</v>
      </c>
    </row>
    <row r="1718" spans="10:28" x14ac:dyDescent="0.2">
      <c r="J1718" s="358" t="str">
        <f t="shared" si="98"/>
        <v>2005FemaleNon-Maori235</v>
      </c>
      <c r="K1718" s="359">
        <v>2005</v>
      </c>
      <c r="L1718" t="s">
        <v>8</v>
      </c>
      <c r="M1718" t="s">
        <v>19</v>
      </c>
      <c r="N1718">
        <v>23</v>
      </c>
      <c r="O1718">
        <v>5</v>
      </c>
      <c r="P1718">
        <v>8</v>
      </c>
      <c r="Q1718">
        <v>10.294857094197001</v>
      </c>
      <c r="R1718">
        <v>7.1</v>
      </c>
      <c r="T1718" s="358" t="str">
        <f t="shared" si="99"/>
        <v>2004AllSexMaori24Sharp object</v>
      </c>
      <c r="U1718" s="360">
        <v>2004</v>
      </c>
      <c r="V1718" s="360" t="s">
        <v>17</v>
      </c>
      <c r="W1718" s="360" t="s">
        <v>18</v>
      </c>
      <c r="X1718" s="360">
        <v>24</v>
      </c>
      <c r="Y1718" s="360" t="s">
        <v>48</v>
      </c>
      <c r="Z1718" s="360">
        <v>1</v>
      </c>
      <c r="AA1718" s="360">
        <v>9</v>
      </c>
      <c r="AB1718" s="360">
        <v>11.1</v>
      </c>
    </row>
    <row r="1719" spans="10:28" x14ac:dyDescent="0.2">
      <c r="J1719" s="358" t="str">
        <f t="shared" si="98"/>
        <v>2005FemaleNon-Maori241</v>
      </c>
      <c r="K1719" s="359">
        <v>2005</v>
      </c>
      <c r="L1719" t="s">
        <v>8</v>
      </c>
      <c r="M1719" t="s">
        <v>19</v>
      </c>
      <c r="N1719">
        <v>24</v>
      </c>
      <c r="O1719">
        <v>1</v>
      </c>
      <c r="P1719">
        <v>4</v>
      </c>
      <c r="Q1719">
        <v>3.4068497925275198</v>
      </c>
      <c r="R1719">
        <v>3.3</v>
      </c>
      <c r="T1719" s="358" t="str">
        <f t="shared" si="99"/>
        <v>2004AllSexMaori25Sharp object</v>
      </c>
      <c r="U1719" s="360">
        <v>2004</v>
      </c>
      <c r="V1719" s="360" t="s">
        <v>17</v>
      </c>
      <c r="W1719" s="360" t="s">
        <v>18</v>
      </c>
      <c r="X1719" s="360">
        <v>25</v>
      </c>
      <c r="Y1719" s="360" t="s">
        <v>48</v>
      </c>
      <c r="Z1719" s="360">
        <v>1</v>
      </c>
      <c r="AA1719" s="360">
        <v>2</v>
      </c>
      <c r="AB1719" s="360">
        <v>50</v>
      </c>
    </row>
    <row r="1720" spans="10:28" x14ac:dyDescent="0.2">
      <c r="J1720" s="358" t="str">
        <f t="shared" si="98"/>
        <v>2005FemaleNon-Maori242</v>
      </c>
      <c r="K1720" s="359">
        <v>2005</v>
      </c>
      <c r="L1720" t="s">
        <v>8</v>
      </c>
      <c r="M1720" t="s">
        <v>19</v>
      </c>
      <c r="N1720">
        <v>24</v>
      </c>
      <c r="O1720">
        <v>2</v>
      </c>
      <c r="P1720">
        <v>4</v>
      </c>
      <c r="Q1720">
        <v>3.9083406519399202</v>
      </c>
      <c r="R1720">
        <v>3.8</v>
      </c>
      <c r="T1720" s="358" t="str">
        <f t="shared" si="99"/>
        <v>2004AllSexMaori22Submersion (drowning)</v>
      </c>
      <c r="U1720" s="360">
        <v>2004</v>
      </c>
      <c r="V1720" s="360" t="s">
        <v>17</v>
      </c>
      <c r="W1720" s="360" t="s">
        <v>18</v>
      </c>
      <c r="X1720" s="360">
        <v>22</v>
      </c>
      <c r="Y1720" s="360" t="s">
        <v>49</v>
      </c>
      <c r="Z1720" s="360">
        <v>1</v>
      </c>
      <c r="AA1720" s="360">
        <v>42</v>
      </c>
      <c r="AB1720" s="360">
        <v>2.4</v>
      </c>
    </row>
    <row r="1721" spans="10:28" x14ac:dyDescent="0.2">
      <c r="J1721" s="358" t="str">
        <f t="shared" si="98"/>
        <v>2005FemaleNon-Maori243</v>
      </c>
      <c r="K1721" s="359">
        <v>2005</v>
      </c>
      <c r="L1721" t="s">
        <v>8</v>
      </c>
      <c r="M1721" t="s">
        <v>19</v>
      </c>
      <c r="N1721">
        <v>24</v>
      </c>
      <c r="O1721">
        <v>3</v>
      </c>
      <c r="P1721">
        <v>4</v>
      </c>
      <c r="Q1721">
        <v>4.4476176749504504</v>
      </c>
      <c r="R1721">
        <v>4.4000000000000004</v>
      </c>
      <c r="T1721" s="358" t="str">
        <f t="shared" si="99"/>
        <v>2004AllSexMaori23Submersion (drowning)</v>
      </c>
      <c r="U1721" s="360">
        <v>2004</v>
      </c>
      <c r="V1721" s="360" t="s">
        <v>17</v>
      </c>
      <c r="W1721" s="360" t="s">
        <v>18</v>
      </c>
      <c r="X1721" s="360">
        <v>23</v>
      </c>
      <c r="Y1721" s="360" t="s">
        <v>49</v>
      </c>
      <c r="Z1721" s="360">
        <v>1</v>
      </c>
      <c r="AA1721" s="360">
        <v>55</v>
      </c>
      <c r="AB1721" s="360">
        <v>1.8</v>
      </c>
    </row>
    <row r="1722" spans="10:28" x14ac:dyDescent="0.2">
      <c r="J1722" s="358" t="str">
        <f t="shared" si="98"/>
        <v>2005FemaleNon-Maori244</v>
      </c>
      <c r="K1722" s="359">
        <v>2005</v>
      </c>
      <c r="L1722" t="s">
        <v>8</v>
      </c>
      <c r="M1722" t="s">
        <v>19</v>
      </c>
      <c r="N1722">
        <v>24</v>
      </c>
      <c r="O1722">
        <v>4</v>
      </c>
      <c r="P1722">
        <v>10</v>
      </c>
      <c r="Q1722">
        <v>12.9007673665414</v>
      </c>
      <c r="R1722">
        <v>8</v>
      </c>
      <c r="T1722" s="358" t="str">
        <f t="shared" si="99"/>
        <v>2004AllSexNon-Maori21Firearms and explosives</v>
      </c>
      <c r="U1722" s="360">
        <v>2004</v>
      </c>
      <c r="V1722" s="360" t="s">
        <v>17</v>
      </c>
      <c r="W1722" s="360" t="s">
        <v>19</v>
      </c>
      <c r="X1722" s="360">
        <v>21</v>
      </c>
      <c r="Y1722" s="360" t="s">
        <v>42</v>
      </c>
      <c r="Z1722" s="360">
        <v>2</v>
      </c>
      <c r="AA1722" s="360">
        <v>3</v>
      </c>
      <c r="AB1722" s="360">
        <v>66.7</v>
      </c>
    </row>
    <row r="1723" spans="10:28" x14ac:dyDescent="0.2">
      <c r="J1723" s="358" t="str">
        <f t="shared" si="98"/>
        <v>2005FemaleNon-Maori245</v>
      </c>
      <c r="K1723" s="359">
        <v>2005</v>
      </c>
      <c r="L1723" t="s">
        <v>8</v>
      </c>
      <c r="M1723" t="s">
        <v>19</v>
      </c>
      <c r="N1723">
        <v>24</v>
      </c>
      <c r="O1723">
        <v>5</v>
      </c>
      <c r="P1723">
        <v>7</v>
      </c>
      <c r="Q1723">
        <v>12.310137929657399</v>
      </c>
      <c r="R1723">
        <v>9.1</v>
      </c>
      <c r="T1723" s="358" t="str">
        <f t="shared" si="99"/>
        <v>2004AllSexNon-Maori22Firearms and explosives</v>
      </c>
      <c r="U1723" s="360">
        <v>2004</v>
      </c>
      <c r="V1723" s="360" t="s">
        <v>17</v>
      </c>
      <c r="W1723" s="360" t="s">
        <v>19</v>
      </c>
      <c r="X1723" s="360">
        <v>22</v>
      </c>
      <c r="Y1723" s="360" t="s">
        <v>42</v>
      </c>
      <c r="Z1723" s="360">
        <v>2</v>
      </c>
      <c r="AA1723" s="360">
        <v>72</v>
      </c>
      <c r="AB1723" s="360">
        <v>2.8</v>
      </c>
    </row>
    <row r="1724" spans="10:28" x14ac:dyDescent="0.2">
      <c r="J1724" s="358" t="str">
        <f t="shared" si="98"/>
        <v>2005FemaleNon-Maori251</v>
      </c>
      <c r="K1724" s="359">
        <v>2005</v>
      </c>
      <c r="L1724" t="s">
        <v>8</v>
      </c>
      <c r="M1724" t="s">
        <v>19</v>
      </c>
      <c r="N1724">
        <v>25</v>
      </c>
      <c r="O1724">
        <v>1</v>
      </c>
      <c r="P1724">
        <v>6</v>
      </c>
      <c r="Q1724">
        <v>12.0428736112574</v>
      </c>
      <c r="R1724">
        <v>9.6</v>
      </c>
      <c r="T1724" s="358" t="str">
        <f t="shared" si="99"/>
        <v>2004AllSexNon-Maori23Firearms and explosives</v>
      </c>
      <c r="U1724" s="360">
        <v>2004</v>
      </c>
      <c r="V1724" s="360" t="s">
        <v>17</v>
      </c>
      <c r="W1724" s="360" t="s">
        <v>19</v>
      </c>
      <c r="X1724" s="360">
        <v>23</v>
      </c>
      <c r="Y1724" s="360" t="s">
        <v>42</v>
      </c>
      <c r="Z1724" s="360">
        <v>8</v>
      </c>
      <c r="AA1724" s="360">
        <v>146</v>
      </c>
      <c r="AB1724" s="360">
        <v>5.5</v>
      </c>
    </row>
    <row r="1725" spans="10:28" x14ac:dyDescent="0.2">
      <c r="J1725" s="358" t="str">
        <f t="shared" si="98"/>
        <v>2005FemaleNon-Maori252</v>
      </c>
      <c r="K1725" s="359">
        <v>2005</v>
      </c>
      <c r="L1725" t="s">
        <v>8</v>
      </c>
      <c r="M1725" t="s">
        <v>19</v>
      </c>
      <c r="N1725">
        <v>25</v>
      </c>
      <c r="O1725">
        <v>2</v>
      </c>
      <c r="P1725">
        <v>1</v>
      </c>
      <c r="Q1725">
        <v>1.8084853299071599</v>
      </c>
      <c r="R1725">
        <v>3.5</v>
      </c>
      <c r="T1725" s="358" t="str">
        <f t="shared" si="99"/>
        <v>2004AllSexNon-Maori24Firearms and explosives</v>
      </c>
      <c r="U1725" s="360">
        <v>2004</v>
      </c>
      <c r="V1725" s="360" t="s">
        <v>17</v>
      </c>
      <c r="W1725" s="360" t="s">
        <v>19</v>
      </c>
      <c r="X1725" s="360">
        <v>24</v>
      </c>
      <c r="Y1725" s="360" t="s">
        <v>42</v>
      </c>
      <c r="Z1725" s="360">
        <v>16</v>
      </c>
      <c r="AA1725" s="360">
        <v>109</v>
      </c>
      <c r="AB1725" s="360">
        <v>14.7</v>
      </c>
    </row>
    <row r="1726" spans="10:28" x14ac:dyDescent="0.2">
      <c r="J1726" s="358" t="str">
        <f t="shared" si="98"/>
        <v>2005FemaleNon-Maori253</v>
      </c>
      <c r="K1726" s="359">
        <v>2005</v>
      </c>
      <c r="L1726" t="s">
        <v>8</v>
      </c>
      <c r="M1726" t="s">
        <v>19</v>
      </c>
      <c r="N1726">
        <v>25</v>
      </c>
      <c r="O1726">
        <v>3</v>
      </c>
      <c r="P1726">
        <v>6</v>
      </c>
      <c r="Q1726">
        <v>10.337444051996799</v>
      </c>
      <c r="R1726">
        <v>8.3000000000000007</v>
      </c>
      <c r="T1726" s="358" t="str">
        <f t="shared" si="99"/>
        <v>2004AllSexNon-Maori25Firearms and explosives</v>
      </c>
      <c r="U1726" s="360">
        <v>2004</v>
      </c>
      <c r="V1726" s="360" t="s">
        <v>17</v>
      </c>
      <c r="W1726" s="360" t="s">
        <v>19</v>
      </c>
      <c r="X1726" s="360">
        <v>25</v>
      </c>
      <c r="Y1726" s="360" t="s">
        <v>42</v>
      </c>
      <c r="Z1726" s="360">
        <v>7</v>
      </c>
      <c r="AA1726" s="360">
        <v>53</v>
      </c>
      <c r="AB1726" s="360">
        <v>13.2</v>
      </c>
    </row>
    <row r="1727" spans="10:28" x14ac:dyDescent="0.2">
      <c r="J1727" s="358" t="str">
        <f t="shared" si="98"/>
        <v>2005FemaleNon-Maori254</v>
      </c>
      <c r="K1727" s="359">
        <v>2005</v>
      </c>
      <c r="L1727" t="s">
        <v>8</v>
      </c>
      <c r="M1727" t="s">
        <v>19</v>
      </c>
      <c r="N1727">
        <v>25</v>
      </c>
      <c r="O1727">
        <v>4</v>
      </c>
      <c r="P1727">
        <v>2</v>
      </c>
      <c r="Q1727">
        <v>3.4115160002428802</v>
      </c>
      <c r="R1727">
        <v>4.7</v>
      </c>
      <c r="T1727" s="358" t="str">
        <f t="shared" si="99"/>
        <v>2004AllSexNon-Maori21Hanging, strangulation and suffocation</v>
      </c>
      <c r="U1727" s="360">
        <v>2004</v>
      </c>
      <c r="V1727" s="360" t="s">
        <v>17</v>
      </c>
      <c r="W1727" s="360" t="s">
        <v>19</v>
      </c>
      <c r="X1727" s="360">
        <v>21</v>
      </c>
      <c r="Y1727" s="360" t="s">
        <v>43</v>
      </c>
      <c r="Z1727" s="360">
        <v>1</v>
      </c>
      <c r="AA1727" s="360">
        <v>3</v>
      </c>
      <c r="AB1727" s="360">
        <v>33.299999999999997</v>
      </c>
    </row>
    <row r="1728" spans="10:28" x14ac:dyDescent="0.2">
      <c r="J1728" s="358" t="str">
        <f t="shared" si="98"/>
        <v>2005FemaleNon-Maori255</v>
      </c>
      <c r="K1728" s="359">
        <v>2005</v>
      </c>
      <c r="L1728" t="s">
        <v>8</v>
      </c>
      <c r="M1728" t="s">
        <v>19</v>
      </c>
      <c r="N1728">
        <v>25</v>
      </c>
      <c r="O1728">
        <v>5</v>
      </c>
      <c r="P1728">
        <v>1</v>
      </c>
      <c r="Q1728">
        <v>2.47116625693931</v>
      </c>
      <c r="R1728">
        <v>4.8</v>
      </c>
      <c r="T1728" s="358" t="str">
        <f t="shared" si="99"/>
        <v>2004AllSexNon-Maori22Hanging, strangulation and suffocation</v>
      </c>
      <c r="U1728" s="360">
        <v>2004</v>
      </c>
      <c r="V1728" s="360" t="s">
        <v>17</v>
      </c>
      <c r="W1728" s="360" t="s">
        <v>19</v>
      </c>
      <c r="X1728" s="360">
        <v>22</v>
      </c>
      <c r="Y1728" s="360" t="s">
        <v>43</v>
      </c>
      <c r="Z1728" s="360">
        <v>46</v>
      </c>
      <c r="AA1728" s="360">
        <v>72</v>
      </c>
      <c r="AB1728" s="360">
        <v>63.9</v>
      </c>
    </row>
    <row r="1729" spans="10:28" x14ac:dyDescent="0.2">
      <c r="J1729" s="358" t="str">
        <f t="shared" si="98"/>
        <v>2005MaleAllEth211</v>
      </c>
      <c r="K1729" s="359">
        <v>2005</v>
      </c>
      <c r="L1729" t="s">
        <v>20</v>
      </c>
      <c r="M1729" t="s">
        <v>27</v>
      </c>
      <c r="N1729">
        <v>21</v>
      </c>
      <c r="O1729">
        <v>1</v>
      </c>
      <c r="P1729">
        <v>0</v>
      </c>
      <c r="T1729" s="358" t="str">
        <f t="shared" si="99"/>
        <v>2004AllSexNon-Maori23Hanging, strangulation and suffocation</v>
      </c>
      <c r="U1729" s="360">
        <v>2004</v>
      </c>
      <c r="V1729" s="360" t="s">
        <v>17</v>
      </c>
      <c r="W1729" s="360" t="s">
        <v>19</v>
      </c>
      <c r="X1729" s="360">
        <v>23</v>
      </c>
      <c r="Y1729" s="360" t="s">
        <v>43</v>
      </c>
      <c r="Z1729" s="360">
        <v>74</v>
      </c>
      <c r="AA1729" s="360">
        <v>146</v>
      </c>
      <c r="AB1729" s="360">
        <v>50.7</v>
      </c>
    </row>
    <row r="1730" spans="10:28" x14ac:dyDescent="0.2">
      <c r="J1730" s="358" t="str">
        <f t="shared" si="98"/>
        <v>2005MaleAllEth212</v>
      </c>
      <c r="K1730" s="359">
        <v>2005</v>
      </c>
      <c r="L1730" t="s">
        <v>20</v>
      </c>
      <c r="M1730" t="s">
        <v>27</v>
      </c>
      <c r="N1730">
        <v>21</v>
      </c>
      <c r="O1730">
        <v>2</v>
      </c>
      <c r="P1730">
        <v>0</v>
      </c>
      <c r="T1730" s="358" t="str">
        <f t="shared" si="99"/>
        <v>2004AllSexNon-Maori24Hanging, strangulation and suffocation</v>
      </c>
      <c r="U1730" s="360">
        <v>2004</v>
      </c>
      <c r="V1730" s="360" t="s">
        <v>17</v>
      </c>
      <c r="W1730" s="360" t="s">
        <v>19</v>
      </c>
      <c r="X1730" s="360">
        <v>24</v>
      </c>
      <c r="Y1730" s="360" t="s">
        <v>43</v>
      </c>
      <c r="Z1730" s="360">
        <v>39</v>
      </c>
      <c r="AA1730" s="360">
        <v>109</v>
      </c>
      <c r="AB1730" s="360">
        <v>35.799999999999997</v>
      </c>
    </row>
    <row r="1731" spans="10:28" x14ac:dyDescent="0.2">
      <c r="J1731" s="358" t="str">
        <f t="shared" si="98"/>
        <v>2005MaleAllEth213</v>
      </c>
      <c r="K1731" s="359">
        <v>2005</v>
      </c>
      <c r="L1731" t="s">
        <v>20</v>
      </c>
      <c r="M1731" t="s">
        <v>27</v>
      </c>
      <c r="N1731">
        <v>21</v>
      </c>
      <c r="O1731">
        <v>3</v>
      </c>
      <c r="P1731">
        <v>0</v>
      </c>
      <c r="T1731" s="358" t="str">
        <f t="shared" si="99"/>
        <v>2004AllSexNon-Maori25Hanging, strangulation and suffocation</v>
      </c>
      <c r="U1731" s="360">
        <v>2004</v>
      </c>
      <c r="V1731" s="360" t="s">
        <v>17</v>
      </c>
      <c r="W1731" s="360" t="s">
        <v>19</v>
      </c>
      <c r="X1731" s="360">
        <v>25</v>
      </c>
      <c r="Y1731" s="360" t="s">
        <v>43</v>
      </c>
      <c r="Z1731" s="360">
        <v>18</v>
      </c>
      <c r="AA1731" s="360">
        <v>53</v>
      </c>
      <c r="AB1731" s="360">
        <v>34</v>
      </c>
    </row>
    <row r="1732" spans="10:28" x14ac:dyDescent="0.2">
      <c r="J1732" s="358" t="str">
        <f t="shared" ref="J1732:J1795" si="100">K1732&amp;L1732&amp;M1732&amp;N1732&amp;O1732</f>
        <v>2005MaleAllEth214</v>
      </c>
      <c r="K1732" s="359">
        <v>2005</v>
      </c>
      <c r="L1732" t="s">
        <v>20</v>
      </c>
      <c r="M1732" t="s">
        <v>27</v>
      </c>
      <c r="N1732">
        <v>21</v>
      </c>
      <c r="O1732">
        <v>4</v>
      </c>
      <c r="P1732">
        <v>0</v>
      </c>
      <c r="T1732" s="358" t="str">
        <f t="shared" si="99"/>
        <v>2004AllSexNon-Maori22Jumping from a high place</v>
      </c>
      <c r="U1732" s="360">
        <v>2004</v>
      </c>
      <c r="V1732" s="360" t="s">
        <v>17</v>
      </c>
      <c r="W1732" s="360" t="s">
        <v>19</v>
      </c>
      <c r="X1732" s="360">
        <v>22</v>
      </c>
      <c r="Y1732" s="360" t="s">
        <v>44</v>
      </c>
      <c r="Z1732" s="360">
        <v>1</v>
      </c>
      <c r="AA1732" s="360">
        <v>72</v>
      </c>
      <c r="AB1732" s="360">
        <v>1.4</v>
      </c>
    </row>
    <row r="1733" spans="10:28" x14ac:dyDescent="0.2">
      <c r="J1733" s="358" t="str">
        <f t="shared" si="100"/>
        <v>2005MaleAllEth215</v>
      </c>
      <c r="K1733" s="359">
        <v>2005</v>
      </c>
      <c r="L1733" t="s">
        <v>20</v>
      </c>
      <c r="M1733" t="s">
        <v>27</v>
      </c>
      <c r="N1733">
        <v>21</v>
      </c>
      <c r="O1733">
        <v>5</v>
      </c>
      <c r="P1733">
        <v>1</v>
      </c>
      <c r="T1733" s="358" t="str">
        <f t="shared" ref="T1733:T1796" si="101">U1733&amp;V1733&amp;W1733&amp;X1733&amp;Y1733</f>
        <v>2004AllSexNon-Maori23Jumping from a high place</v>
      </c>
      <c r="U1733" s="360">
        <v>2004</v>
      </c>
      <c r="V1733" s="360" t="s">
        <v>17</v>
      </c>
      <c r="W1733" s="360" t="s">
        <v>19</v>
      </c>
      <c r="X1733" s="360">
        <v>23</v>
      </c>
      <c r="Y1733" s="360" t="s">
        <v>44</v>
      </c>
      <c r="Z1733" s="360">
        <v>2</v>
      </c>
      <c r="AA1733" s="360">
        <v>146</v>
      </c>
      <c r="AB1733" s="360">
        <v>1.4</v>
      </c>
    </row>
    <row r="1734" spans="10:28" x14ac:dyDescent="0.2">
      <c r="J1734" s="358" t="str">
        <f t="shared" si="100"/>
        <v>2005MaleAllEth221</v>
      </c>
      <c r="K1734" s="359">
        <v>2005</v>
      </c>
      <c r="L1734" t="s">
        <v>20</v>
      </c>
      <c r="M1734" t="s">
        <v>27</v>
      </c>
      <c r="N1734">
        <v>22</v>
      </c>
      <c r="O1734">
        <v>1</v>
      </c>
      <c r="P1734">
        <v>12</v>
      </c>
      <c r="Q1734">
        <v>23.059512649054501</v>
      </c>
      <c r="R1734">
        <v>13</v>
      </c>
      <c r="T1734" s="358" t="str">
        <f t="shared" si="101"/>
        <v>2004AllSexNon-Maori24Jumping from a high place</v>
      </c>
      <c r="U1734" s="360">
        <v>2004</v>
      </c>
      <c r="V1734" s="360" t="s">
        <v>17</v>
      </c>
      <c r="W1734" s="360" t="s">
        <v>19</v>
      </c>
      <c r="X1734" s="360">
        <v>24</v>
      </c>
      <c r="Y1734" s="360" t="s">
        <v>44</v>
      </c>
      <c r="Z1734" s="360">
        <v>4</v>
      </c>
      <c r="AA1734" s="360">
        <v>109</v>
      </c>
      <c r="AB1734" s="360">
        <v>3.7</v>
      </c>
    </row>
    <row r="1735" spans="10:28" x14ac:dyDescent="0.2">
      <c r="J1735" s="358" t="str">
        <f t="shared" si="100"/>
        <v>2005MaleAllEth222</v>
      </c>
      <c r="K1735" s="359">
        <v>2005</v>
      </c>
      <c r="L1735" t="s">
        <v>20</v>
      </c>
      <c r="M1735" t="s">
        <v>27</v>
      </c>
      <c r="N1735">
        <v>22</v>
      </c>
      <c r="O1735">
        <v>2</v>
      </c>
      <c r="P1735">
        <v>14</v>
      </c>
      <c r="Q1735">
        <v>25.438035168138601</v>
      </c>
      <c r="R1735">
        <v>13.3</v>
      </c>
      <c r="T1735" s="358" t="str">
        <f t="shared" si="101"/>
        <v>2004AllSexNon-Maori25Jumping from a high place</v>
      </c>
      <c r="U1735" s="360">
        <v>2004</v>
      </c>
      <c r="V1735" s="360" t="s">
        <v>17</v>
      </c>
      <c r="W1735" s="360" t="s">
        <v>19</v>
      </c>
      <c r="X1735" s="360">
        <v>25</v>
      </c>
      <c r="Y1735" s="360" t="s">
        <v>44</v>
      </c>
      <c r="Z1735" s="360">
        <v>3</v>
      </c>
      <c r="AA1735" s="360">
        <v>53</v>
      </c>
      <c r="AB1735" s="360">
        <v>5.7</v>
      </c>
    </row>
    <row r="1736" spans="10:28" x14ac:dyDescent="0.2">
      <c r="J1736" s="358" t="str">
        <f t="shared" si="100"/>
        <v>2005MaleAllEth223</v>
      </c>
      <c r="K1736" s="359">
        <v>2005</v>
      </c>
      <c r="L1736" t="s">
        <v>20</v>
      </c>
      <c r="M1736" t="s">
        <v>27</v>
      </c>
      <c r="N1736">
        <v>22</v>
      </c>
      <c r="O1736">
        <v>3</v>
      </c>
      <c r="P1736">
        <v>12</v>
      </c>
      <c r="Q1736">
        <v>20.484559053800499</v>
      </c>
      <c r="R1736">
        <v>11.6</v>
      </c>
      <c r="T1736" s="358" t="str">
        <f t="shared" si="101"/>
        <v>2004AllSexNon-Maori22Other</v>
      </c>
      <c r="U1736" s="360">
        <v>2004</v>
      </c>
      <c r="V1736" s="360" t="s">
        <v>17</v>
      </c>
      <c r="W1736" s="360" t="s">
        <v>19</v>
      </c>
      <c r="X1736" s="360">
        <v>22</v>
      </c>
      <c r="Y1736" s="360" t="s">
        <v>45</v>
      </c>
      <c r="Z1736" s="360">
        <v>1</v>
      </c>
      <c r="AA1736" s="360">
        <v>72</v>
      </c>
      <c r="AB1736" s="360">
        <v>1.4</v>
      </c>
    </row>
    <row r="1737" spans="10:28" x14ac:dyDescent="0.2">
      <c r="J1737" s="358" t="str">
        <f t="shared" si="100"/>
        <v>2005MaleAllEth224</v>
      </c>
      <c r="K1737" s="359">
        <v>2005</v>
      </c>
      <c r="L1737" t="s">
        <v>20</v>
      </c>
      <c r="M1737" t="s">
        <v>27</v>
      </c>
      <c r="N1737">
        <v>22</v>
      </c>
      <c r="O1737">
        <v>4</v>
      </c>
      <c r="P1737">
        <v>24</v>
      </c>
      <c r="Q1737">
        <v>38.004536448935099</v>
      </c>
      <c r="R1737">
        <v>15.2</v>
      </c>
      <c r="T1737" s="358" t="str">
        <f t="shared" si="101"/>
        <v>2004AllSexNon-Maori23Other</v>
      </c>
      <c r="U1737" s="360">
        <v>2004</v>
      </c>
      <c r="V1737" s="360" t="s">
        <v>17</v>
      </c>
      <c r="W1737" s="360" t="s">
        <v>19</v>
      </c>
      <c r="X1737" s="360">
        <v>23</v>
      </c>
      <c r="Y1737" s="360" t="s">
        <v>45</v>
      </c>
      <c r="Z1737" s="360">
        <v>6</v>
      </c>
      <c r="AA1737" s="360">
        <v>146</v>
      </c>
      <c r="AB1737" s="360">
        <v>4.0999999999999996</v>
      </c>
    </row>
    <row r="1738" spans="10:28" x14ac:dyDescent="0.2">
      <c r="J1738" s="358" t="str">
        <f t="shared" si="100"/>
        <v>2005MaleAllEth225</v>
      </c>
      <c r="K1738" s="359">
        <v>2005</v>
      </c>
      <c r="L1738" t="s">
        <v>20</v>
      </c>
      <c r="M1738" t="s">
        <v>27</v>
      </c>
      <c r="N1738">
        <v>22</v>
      </c>
      <c r="O1738">
        <v>5</v>
      </c>
      <c r="P1738">
        <v>21</v>
      </c>
      <c r="Q1738">
        <v>29.356679184077901</v>
      </c>
      <c r="R1738">
        <v>12.6</v>
      </c>
      <c r="T1738" s="358" t="str">
        <f t="shared" si="101"/>
        <v>2004AllSexNon-Maori24Other</v>
      </c>
      <c r="U1738" s="360">
        <v>2004</v>
      </c>
      <c r="V1738" s="360" t="s">
        <v>17</v>
      </c>
      <c r="W1738" s="360" t="s">
        <v>19</v>
      </c>
      <c r="X1738" s="360">
        <v>24</v>
      </c>
      <c r="Y1738" s="360" t="s">
        <v>45</v>
      </c>
      <c r="Z1738" s="360">
        <v>7</v>
      </c>
      <c r="AA1738" s="360">
        <v>109</v>
      </c>
      <c r="AB1738" s="360">
        <v>6.4</v>
      </c>
    </row>
    <row r="1739" spans="10:28" x14ac:dyDescent="0.2">
      <c r="J1739" s="358" t="str">
        <f t="shared" si="100"/>
        <v>2005MaleAllEth231</v>
      </c>
      <c r="K1739" s="359">
        <v>2005</v>
      </c>
      <c r="L1739" t="s">
        <v>20</v>
      </c>
      <c r="M1739" t="s">
        <v>27</v>
      </c>
      <c r="N1739">
        <v>23</v>
      </c>
      <c r="O1739">
        <v>1</v>
      </c>
      <c r="P1739">
        <v>18</v>
      </c>
      <c r="Q1739">
        <v>16.381539981164501</v>
      </c>
      <c r="R1739">
        <v>7.6</v>
      </c>
      <c r="T1739" s="358" t="str">
        <f t="shared" si="101"/>
        <v>2004AllSexNon-Maori25Other</v>
      </c>
      <c r="U1739" s="360">
        <v>2004</v>
      </c>
      <c r="V1739" s="360" t="s">
        <v>17</v>
      </c>
      <c r="W1739" s="360" t="s">
        <v>19</v>
      </c>
      <c r="X1739" s="360">
        <v>25</v>
      </c>
      <c r="Y1739" s="360" t="s">
        <v>45</v>
      </c>
      <c r="Z1739" s="360">
        <v>1</v>
      </c>
      <c r="AA1739" s="360">
        <v>53</v>
      </c>
      <c r="AB1739" s="360">
        <v>1.9</v>
      </c>
    </row>
    <row r="1740" spans="10:28" x14ac:dyDescent="0.2">
      <c r="J1740" s="358" t="str">
        <f t="shared" si="100"/>
        <v>2005MaleAllEth232</v>
      </c>
      <c r="K1740" s="359">
        <v>2005</v>
      </c>
      <c r="L1740" t="s">
        <v>20</v>
      </c>
      <c r="M1740" t="s">
        <v>27</v>
      </c>
      <c r="N1740">
        <v>23</v>
      </c>
      <c r="O1740">
        <v>2</v>
      </c>
      <c r="P1740">
        <v>18</v>
      </c>
      <c r="Q1740">
        <v>15.3755453479504</v>
      </c>
      <c r="R1740">
        <v>7.1</v>
      </c>
      <c r="T1740" s="358" t="str">
        <f t="shared" si="101"/>
        <v>2004AllSexNon-Maori22Poisoning by gases and vapours</v>
      </c>
      <c r="U1740" s="360">
        <v>2004</v>
      </c>
      <c r="V1740" s="360" t="s">
        <v>17</v>
      </c>
      <c r="W1740" s="360" t="s">
        <v>19</v>
      </c>
      <c r="X1740" s="360">
        <v>22</v>
      </c>
      <c r="Y1740" s="360" t="s">
        <v>46</v>
      </c>
      <c r="Z1740" s="360">
        <v>16</v>
      </c>
      <c r="AA1740" s="360">
        <v>72</v>
      </c>
      <c r="AB1740" s="360">
        <v>22.2</v>
      </c>
    </row>
    <row r="1741" spans="10:28" x14ac:dyDescent="0.2">
      <c r="J1741" s="358" t="str">
        <f t="shared" si="100"/>
        <v>2005MaleAllEth233</v>
      </c>
      <c r="K1741" s="359">
        <v>2005</v>
      </c>
      <c r="L1741" t="s">
        <v>20</v>
      </c>
      <c r="M1741" t="s">
        <v>27</v>
      </c>
      <c r="N1741">
        <v>23</v>
      </c>
      <c r="O1741">
        <v>3</v>
      </c>
      <c r="P1741">
        <v>31</v>
      </c>
      <c r="Q1741">
        <v>26.209229651795798</v>
      </c>
      <c r="R1741">
        <v>9.1999999999999993</v>
      </c>
      <c r="T1741" s="358" t="str">
        <f t="shared" si="101"/>
        <v>2004AllSexNon-Maori23Poisoning by gases and vapours</v>
      </c>
      <c r="U1741" s="360">
        <v>2004</v>
      </c>
      <c r="V1741" s="360" t="s">
        <v>17</v>
      </c>
      <c r="W1741" s="360" t="s">
        <v>19</v>
      </c>
      <c r="X1741" s="360">
        <v>23</v>
      </c>
      <c r="Y1741" s="360" t="s">
        <v>46</v>
      </c>
      <c r="Z1741" s="360">
        <v>38</v>
      </c>
      <c r="AA1741" s="360">
        <v>146</v>
      </c>
      <c r="AB1741" s="360">
        <v>26</v>
      </c>
    </row>
    <row r="1742" spans="10:28" x14ac:dyDescent="0.2">
      <c r="J1742" s="358" t="str">
        <f t="shared" si="100"/>
        <v>2005MaleAllEth234</v>
      </c>
      <c r="K1742" s="359">
        <v>2005</v>
      </c>
      <c r="L1742" t="s">
        <v>20</v>
      </c>
      <c r="M1742" t="s">
        <v>27</v>
      </c>
      <c r="N1742">
        <v>23</v>
      </c>
      <c r="O1742">
        <v>4</v>
      </c>
      <c r="P1742">
        <v>28</v>
      </c>
      <c r="Q1742">
        <v>24.0693160174872</v>
      </c>
      <c r="R1742">
        <v>8.9</v>
      </c>
      <c r="T1742" s="358" t="str">
        <f t="shared" si="101"/>
        <v>2004AllSexNon-Maori24Poisoning by gases and vapours</v>
      </c>
      <c r="U1742" s="360">
        <v>2004</v>
      </c>
      <c r="V1742" s="360" t="s">
        <v>17</v>
      </c>
      <c r="W1742" s="360" t="s">
        <v>19</v>
      </c>
      <c r="X1742" s="360">
        <v>24</v>
      </c>
      <c r="Y1742" s="360" t="s">
        <v>46</v>
      </c>
      <c r="Z1742" s="360">
        <v>27</v>
      </c>
      <c r="AA1742" s="360">
        <v>109</v>
      </c>
      <c r="AB1742" s="360">
        <v>24.8</v>
      </c>
    </row>
    <row r="1743" spans="10:28" x14ac:dyDescent="0.2">
      <c r="J1743" s="358" t="str">
        <f t="shared" si="100"/>
        <v>2005MaleAllEth235</v>
      </c>
      <c r="K1743" s="359">
        <v>2005</v>
      </c>
      <c r="L1743" t="s">
        <v>20</v>
      </c>
      <c r="M1743" t="s">
        <v>27</v>
      </c>
      <c r="N1743">
        <v>23</v>
      </c>
      <c r="O1743">
        <v>5</v>
      </c>
      <c r="P1743">
        <v>58</v>
      </c>
      <c r="Q1743">
        <v>54.023052825029801</v>
      </c>
      <c r="R1743">
        <v>13.9</v>
      </c>
      <c r="T1743" s="358" t="str">
        <f t="shared" si="101"/>
        <v>2004AllSexNon-Maori25Poisoning by gases and vapours</v>
      </c>
      <c r="U1743" s="360">
        <v>2004</v>
      </c>
      <c r="V1743" s="360" t="s">
        <v>17</v>
      </c>
      <c r="W1743" s="360" t="s">
        <v>19</v>
      </c>
      <c r="X1743" s="360">
        <v>25</v>
      </c>
      <c r="Y1743" s="360" t="s">
        <v>46</v>
      </c>
      <c r="Z1743" s="360">
        <v>11</v>
      </c>
      <c r="AA1743" s="360">
        <v>53</v>
      </c>
      <c r="AB1743" s="360">
        <v>20.8</v>
      </c>
    </row>
    <row r="1744" spans="10:28" x14ac:dyDescent="0.2">
      <c r="J1744" s="358" t="str">
        <f t="shared" si="100"/>
        <v>2005MaleAllEth241</v>
      </c>
      <c r="K1744" s="359">
        <v>2005</v>
      </c>
      <c r="L1744" t="s">
        <v>20</v>
      </c>
      <c r="M1744" t="s">
        <v>27</v>
      </c>
      <c r="N1744">
        <v>24</v>
      </c>
      <c r="O1744">
        <v>1</v>
      </c>
      <c r="P1744">
        <v>16</v>
      </c>
      <c r="Q1744">
        <v>13.3584990265805</v>
      </c>
      <c r="R1744">
        <v>6.5</v>
      </c>
      <c r="T1744" s="358" t="str">
        <f t="shared" si="101"/>
        <v>2004AllSexNon-Maori22Poisoning by solids and liquids</v>
      </c>
      <c r="U1744" s="360">
        <v>2004</v>
      </c>
      <c r="V1744" s="360" t="s">
        <v>17</v>
      </c>
      <c r="W1744" s="360" t="s">
        <v>19</v>
      </c>
      <c r="X1744" s="360">
        <v>22</v>
      </c>
      <c r="Y1744" s="360" t="s">
        <v>47</v>
      </c>
      <c r="Z1744" s="360">
        <v>5</v>
      </c>
      <c r="AA1744" s="360">
        <v>72</v>
      </c>
      <c r="AB1744" s="360">
        <v>6.9</v>
      </c>
    </row>
    <row r="1745" spans="10:28" x14ac:dyDescent="0.2">
      <c r="J1745" s="358" t="str">
        <f t="shared" si="100"/>
        <v>2005MaleAllEth242</v>
      </c>
      <c r="K1745" s="359">
        <v>2005</v>
      </c>
      <c r="L1745" t="s">
        <v>20</v>
      </c>
      <c r="M1745" t="s">
        <v>27</v>
      </c>
      <c r="N1745">
        <v>24</v>
      </c>
      <c r="O1745">
        <v>2</v>
      </c>
      <c r="P1745">
        <v>20</v>
      </c>
      <c r="Q1745">
        <v>19.096399735190399</v>
      </c>
      <c r="R1745">
        <v>8.4</v>
      </c>
      <c r="T1745" s="358" t="str">
        <f t="shared" si="101"/>
        <v>2004AllSexNon-Maori23Poisoning by solids and liquids</v>
      </c>
      <c r="U1745" s="360">
        <v>2004</v>
      </c>
      <c r="V1745" s="360" t="s">
        <v>17</v>
      </c>
      <c r="W1745" s="360" t="s">
        <v>19</v>
      </c>
      <c r="X1745" s="360">
        <v>23</v>
      </c>
      <c r="Y1745" s="360" t="s">
        <v>47</v>
      </c>
      <c r="Z1745" s="360">
        <v>14</v>
      </c>
      <c r="AA1745" s="360">
        <v>146</v>
      </c>
      <c r="AB1745" s="360">
        <v>9.6</v>
      </c>
    </row>
    <row r="1746" spans="10:28" x14ac:dyDescent="0.2">
      <c r="J1746" s="358" t="str">
        <f t="shared" si="100"/>
        <v>2005MaleAllEth243</v>
      </c>
      <c r="K1746" s="359">
        <v>2005</v>
      </c>
      <c r="L1746" t="s">
        <v>20</v>
      </c>
      <c r="M1746" t="s">
        <v>27</v>
      </c>
      <c r="N1746">
        <v>24</v>
      </c>
      <c r="O1746">
        <v>3</v>
      </c>
      <c r="P1746">
        <v>11</v>
      </c>
      <c r="Q1746">
        <v>11.764250328805399</v>
      </c>
      <c r="R1746">
        <v>7</v>
      </c>
      <c r="T1746" s="358" t="str">
        <f t="shared" si="101"/>
        <v>2004AllSexNon-Maori24Poisoning by solids and liquids</v>
      </c>
      <c r="U1746" s="360">
        <v>2004</v>
      </c>
      <c r="V1746" s="360" t="s">
        <v>17</v>
      </c>
      <c r="W1746" s="360" t="s">
        <v>19</v>
      </c>
      <c r="X1746" s="360">
        <v>24</v>
      </c>
      <c r="Y1746" s="360" t="s">
        <v>47</v>
      </c>
      <c r="Z1746" s="360">
        <v>13</v>
      </c>
      <c r="AA1746" s="360">
        <v>109</v>
      </c>
      <c r="AB1746" s="360">
        <v>11.9</v>
      </c>
    </row>
    <row r="1747" spans="10:28" x14ac:dyDescent="0.2">
      <c r="J1747" s="358" t="str">
        <f t="shared" si="100"/>
        <v>2005MaleAllEth244</v>
      </c>
      <c r="K1747" s="359">
        <v>2005</v>
      </c>
      <c r="L1747" t="s">
        <v>20</v>
      </c>
      <c r="M1747" t="s">
        <v>27</v>
      </c>
      <c r="N1747">
        <v>24</v>
      </c>
      <c r="O1747">
        <v>4</v>
      </c>
      <c r="P1747">
        <v>30</v>
      </c>
      <c r="Q1747">
        <v>35.262033225257099</v>
      </c>
      <c r="R1747">
        <v>12.6</v>
      </c>
      <c r="T1747" s="358" t="str">
        <f t="shared" si="101"/>
        <v>2004AllSexNon-Maori25Poisoning by solids and liquids</v>
      </c>
      <c r="U1747" s="360">
        <v>2004</v>
      </c>
      <c r="V1747" s="360" t="s">
        <v>17</v>
      </c>
      <c r="W1747" s="360" t="s">
        <v>19</v>
      </c>
      <c r="X1747" s="360">
        <v>25</v>
      </c>
      <c r="Y1747" s="360" t="s">
        <v>47</v>
      </c>
      <c r="Z1747" s="360">
        <v>8</v>
      </c>
      <c r="AA1747" s="360">
        <v>53</v>
      </c>
      <c r="AB1747" s="360">
        <v>15.1</v>
      </c>
    </row>
    <row r="1748" spans="10:28" x14ac:dyDescent="0.2">
      <c r="J1748" s="358" t="str">
        <f t="shared" si="100"/>
        <v>2005MaleAllEth245</v>
      </c>
      <c r="K1748" s="359">
        <v>2005</v>
      </c>
      <c r="L1748" t="s">
        <v>20</v>
      </c>
      <c r="M1748" t="s">
        <v>27</v>
      </c>
      <c r="N1748">
        <v>24</v>
      </c>
      <c r="O1748">
        <v>5</v>
      </c>
      <c r="P1748">
        <v>21</v>
      </c>
      <c r="Q1748">
        <v>27.750863749898699</v>
      </c>
      <c r="R1748">
        <v>11.9</v>
      </c>
      <c r="T1748" s="358" t="str">
        <f t="shared" si="101"/>
        <v>2004AllSexNon-Maori24Sharp object</v>
      </c>
      <c r="U1748" s="360">
        <v>2004</v>
      </c>
      <c r="V1748" s="360" t="s">
        <v>17</v>
      </c>
      <c r="W1748" s="360" t="s">
        <v>19</v>
      </c>
      <c r="X1748" s="360">
        <v>24</v>
      </c>
      <c r="Y1748" s="360" t="s">
        <v>48</v>
      </c>
      <c r="Z1748" s="360">
        <v>1</v>
      </c>
      <c r="AA1748" s="360">
        <v>109</v>
      </c>
      <c r="AB1748" s="360">
        <v>0.9</v>
      </c>
    </row>
    <row r="1749" spans="10:28" x14ac:dyDescent="0.2">
      <c r="J1749" s="358" t="str">
        <f t="shared" si="100"/>
        <v>2005MaleAllEth251</v>
      </c>
      <c r="K1749" s="359">
        <v>2005</v>
      </c>
      <c r="L1749" t="s">
        <v>20</v>
      </c>
      <c r="M1749" t="s">
        <v>27</v>
      </c>
      <c r="N1749">
        <v>25</v>
      </c>
      <c r="O1749">
        <v>1</v>
      </c>
      <c r="P1749">
        <v>7</v>
      </c>
      <c r="Q1749">
        <v>15.4950420386531</v>
      </c>
      <c r="R1749">
        <v>11.5</v>
      </c>
      <c r="T1749" s="358" t="str">
        <f t="shared" si="101"/>
        <v>2004AllSexNon-Maori25Sharp object</v>
      </c>
      <c r="U1749" s="360">
        <v>2004</v>
      </c>
      <c r="V1749" s="360" t="s">
        <v>17</v>
      </c>
      <c r="W1749" s="360" t="s">
        <v>19</v>
      </c>
      <c r="X1749" s="360">
        <v>25</v>
      </c>
      <c r="Y1749" s="360" t="s">
        <v>48</v>
      </c>
      <c r="Z1749" s="360">
        <v>2</v>
      </c>
      <c r="AA1749" s="360">
        <v>53</v>
      </c>
      <c r="AB1749" s="360">
        <v>3.8</v>
      </c>
    </row>
    <row r="1750" spans="10:28" x14ac:dyDescent="0.2">
      <c r="J1750" s="358" t="str">
        <f t="shared" si="100"/>
        <v>2005MaleAllEth252</v>
      </c>
      <c r="K1750" s="359">
        <v>2005</v>
      </c>
      <c r="L1750" t="s">
        <v>20</v>
      </c>
      <c r="M1750" t="s">
        <v>27</v>
      </c>
      <c r="N1750">
        <v>25</v>
      </c>
      <c r="O1750">
        <v>2</v>
      </c>
      <c r="P1750">
        <v>7</v>
      </c>
      <c r="Q1750">
        <v>15.1892833110048</v>
      </c>
      <c r="R1750">
        <v>11.3</v>
      </c>
      <c r="T1750" s="358" t="str">
        <f t="shared" si="101"/>
        <v>2004AllSexNon-Maori22Submersion (drowning)</v>
      </c>
      <c r="U1750" s="360">
        <v>2004</v>
      </c>
      <c r="V1750" s="360" t="s">
        <v>17</v>
      </c>
      <c r="W1750" s="360" t="s">
        <v>19</v>
      </c>
      <c r="X1750" s="360">
        <v>22</v>
      </c>
      <c r="Y1750" s="360" t="s">
        <v>49</v>
      </c>
      <c r="Z1750" s="360">
        <v>1</v>
      </c>
      <c r="AA1750" s="360">
        <v>72</v>
      </c>
      <c r="AB1750" s="360">
        <v>1.4</v>
      </c>
    </row>
    <row r="1751" spans="10:28" x14ac:dyDescent="0.2">
      <c r="J1751" s="358" t="str">
        <f t="shared" si="100"/>
        <v>2005MaleAllEth253</v>
      </c>
      <c r="K1751" s="359">
        <v>2005</v>
      </c>
      <c r="L1751" t="s">
        <v>20</v>
      </c>
      <c r="M1751" t="s">
        <v>27</v>
      </c>
      <c r="N1751">
        <v>25</v>
      </c>
      <c r="O1751">
        <v>3</v>
      </c>
      <c r="P1751">
        <v>7</v>
      </c>
      <c r="Q1751">
        <v>14.8837529051281</v>
      </c>
      <c r="R1751">
        <v>11</v>
      </c>
      <c r="T1751" s="358" t="str">
        <f t="shared" si="101"/>
        <v>2004AllSexNon-Maori23Submersion (drowning)</v>
      </c>
      <c r="U1751" s="360">
        <v>2004</v>
      </c>
      <c r="V1751" s="360" t="s">
        <v>17</v>
      </c>
      <c r="W1751" s="360" t="s">
        <v>19</v>
      </c>
      <c r="X1751" s="360">
        <v>23</v>
      </c>
      <c r="Y1751" s="360" t="s">
        <v>49</v>
      </c>
      <c r="Z1751" s="360">
        <v>4</v>
      </c>
      <c r="AA1751" s="360">
        <v>146</v>
      </c>
      <c r="AB1751" s="360">
        <v>2.7</v>
      </c>
    </row>
    <row r="1752" spans="10:28" x14ac:dyDescent="0.2">
      <c r="J1752" s="358" t="str">
        <f t="shared" si="100"/>
        <v>2005MaleAllEth254</v>
      </c>
      <c r="K1752" s="359">
        <v>2005</v>
      </c>
      <c r="L1752" t="s">
        <v>20</v>
      </c>
      <c r="M1752" t="s">
        <v>27</v>
      </c>
      <c r="N1752">
        <v>25</v>
      </c>
      <c r="O1752">
        <v>4</v>
      </c>
      <c r="P1752">
        <v>5</v>
      </c>
      <c r="Q1752">
        <v>10.9250753519739</v>
      </c>
      <c r="R1752">
        <v>9.6</v>
      </c>
      <c r="T1752" s="358" t="str">
        <f t="shared" si="101"/>
        <v>2004AllSexNon-Maori24Submersion (drowning)</v>
      </c>
      <c r="U1752" s="360">
        <v>2004</v>
      </c>
      <c r="V1752" s="360" t="s">
        <v>17</v>
      </c>
      <c r="W1752" s="360" t="s">
        <v>19</v>
      </c>
      <c r="X1752" s="360">
        <v>24</v>
      </c>
      <c r="Y1752" s="360" t="s">
        <v>49</v>
      </c>
      <c r="Z1752" s="360">
        <v>2</v>
      </c>
      <c r="AA1752" s="360">
        <v>109</v>
      </c>
      <c r="AB1752" s="360">
        <v>1.8</v>
      </c>
    </row>
    <row r="1753" spans="10:28" x14ac:dyDescent="0.2">
      <c r="J1753" s="358" t="str">
        <f t="shared" si="100"/>
        <v>2005MaleAllEth255</v>
      </c>
      <c r="K1753" s="359">
        <v>2005</v>
      </c>
      <c r="L1753" t="s">
        <v>20</v>
      </c>
      <c r="M1753" t="s">
        <v>27</v>
      </c>
      <c r="N1753">
        <v>25</v>
      </c>
      <c r="O1753">
        <v>5</v>
      </c>
      <c r="P1753">
        <v>4</v>
      </c>
      <c r="Q1753">
        <v>10.872013780979501</v>
      </c>
      <c r="R1753">
        <v>10.7</v>
      </c>
      <c r="T1753" s="358" t="str">
        <f t="shared" si="101"/>
        <v>2004AllSexNon-Maori25Submersion (drowning)</v>
      </c>
      <c r="U1753" s="360">
        <v>2004</v>
      </c>
      <c r="V1753" s="360" t="s">
        <v>17</v>
      </c>
      <c r="W1753" s="360" t="s">
        <v>19</v>
      </c>
      <c r="X1753" s="360">
        <v>25</v>
      </c>
      <c r="Y1753" s="360" t="s">
        <v>49</v>
      </c>
      <c r="Z1753" s="360">
        <v>3</v>
      </c>
      <c r="AA1753" s="360">
        <v>53</v>
      </c>
      <c r="AB1753" s="360">
        <v>5.7</v>
      </c>
    </row>
    <row r="1754" spans="10:28" x14ac:dyDescent="0.2">
      <c r="J1754" s="358" t="str">
        <f t="shared" si="100"/>
        <v>2005MaleMaori211</v>
      </c>
      <c r="K1754" s="359">
        <v>2005</v>
      </c>
      <c r="L1754" t="s">
        <v>20</v>
      </c>
      <c r="M1754" t="s">
        <v>18</v>
      </c>
      <c r="N1754">
        <v>21</v>
      </c>
      <c r="O1754">
        <v>1</v>
      </c>
      <c r="P1754">
        <v>0</v>
      </c>
      <c r="T1754" s="358" t="str">
        <f t="shared" si="101"/>
        <v>2004FemaleAllEth23Firearms and explosives</v>
      </c>
      <c r="U1754" s="360">
        <v>2004</v>
      </c>
      <c r="V1754" s="360" t="s">
        <v>8</v>
      </c>
      <c r="W1754" s="360" t="s">
        <v>27</v>
      </c>
      <c r="X1754" s="360">
        <v>23</v>
      </c>
      <c r="Y1754" s="360" t="s">
        <v>42</v>
      </c>
      <c r="Z1754" s="360">
        <v>1</v>
      </c>
      <c r="AA1754" s="360">
        <v>40</v>
      </c>
      <c r="AB1754" s="360">
        <v>2.5</v>
      </c>
    </row>
    <row r="1755" spans="10:28" x14ac:dyDescent="0.2">
      <c r="J1755" s="358" t="str">
        <f t="shared" si="100"/>
        <v>2005MaleMaori212</v>
      </c>
      <c r="K1755" s="359">
        <v>2005</v>
      </c>
      <c r="L1755" t="s">
        <v>20</v>
      </c>
      <c r="M1755" t="s">
        <v>18</v>
      </c>
      <c r="N1755">
        <v>21</v>
      </c>
      <c r="O1755">
        <v>2</v>
      </c>
      <c r="P1755">
        <v>0</v>
      </c>
      <c r="T1755" s="358" t="str">
        <f t="shared" si="101"/>
        <v>2004FemaleAllEth24Firearms and explosives</v>
      </c>
      <c r="U1755" s="360">
        <v>2004</v>
      </c>
      <c r="V1755" s="360" t="s">
        <v>8</v>
      </c>
      <c r="W1755" s="360" t="s">
        <v>27</v>
      </c>
      <c r="X1755" s="360">
        <v>24</v>
      </c>
      <c r="Y1755" s="360" t="s">
        <v>42</v>
      </c>
      <c r="Z1755" s="360">
        <v>1</v>
      </c>
      <c r="AA1755" s="360">
        <v>30</v>
      </c>
      <c r="AB1755" s="360">
        <v>3.3</v>
      </c>
    </row>
    <row r="1756" spans="10:28" x14ac:dyDescent="0.2">
      <c r="J1756" s="358" t="str">
        <f t="shared" si="100"/>
        <v>2005MaleMaori213</v>
      </c>
      <c r="K1756" s="359">
        <v>2005</v>
      </c>
      <c r="L1756" t="s">
        <v>20</v>
      </c>
      <c r="M1756" t="s">
        <v>18</v>
      </c>
      <c r="N1756">
        <v>21</v>
      </c>
      <c r="O1756">
        <v>3</v>
      </c>
      <c r="P1756">
        <v>0</v>
      </c>
      <c r="T1756" s="358" t="str">
        <f t="shared" si="101"/>
        <v>2004FemaleAllEth21Hanging, strangulation and suffocation</v>
      </c>
      <c r="U1756" s="360">
        <v>2004</v>
      </c>
      <c r="V1756" s="360" t="s">
        <v>8</v>
      </c>
      <c r="W1756" s="360" t="s">
        <v>27</v>
      </c>
      <c r="X1756" s="360">
        <v>21</v>
      </c>
      <c r="Y1756" s="360" t="s">
        <v>43</v>
      </c>
      <c r="Z1756" s="360">
        <v>2</v>
      </c>
      <c r="AA1756" s="360">
        <v>2</v>
      </c>
      <c r="AB1756" s="360">
        <v>100</v>
      </c>
    </row>
    <row r="1757" spans="10:28" x14ac:dyDescent="0.2">
      <c r="J1757" s="358" t="str">
        <f t="shared" si="100"/>
        <v>2005MaleMaori214</v>
      </c>
      <c r="K1757" s="359">
        <v>2005</v>
      </c>
      <c r="L1757" t="s">
        <v>20</v>
      </c>
      <c r="M1757" t="s">
        <v>18</v>
      </c>
      <c r="N1757">
        <v>21</v>
      </c>
      <c r="O1757">
        <v>4</v>
      </c>
      <c r="P1757">
        <v>0</v>
      </c>
      <c r="T1757" s="358" t="str">
        <f t="shared" si="101"/>
        <v>2004FemaleAllEth22Hanging, strangulation and suffocation</v>
      </c>
      <c r="U1757" s="360">
        <v>2004</v>
      </c>
      <c r="V1757" s="360" t="s">
        <v>8</v>
      </c>
      <c r="W1757" s="360" t="s">
        <v>27</v>
      </c>
      <c r="X1757" s="360">
        <v>22</v>
      </c>
      <c r="Y1757" s="360" t="s">
        <v>43</v>
      </c>
      <c r="Z1757" s="360">
        <v>27</v>
      </c>
      <c r="AA1757" s="360">
        <v>31</v>
      </c>
      <c r="AB1757" s="360">
        <v>87.1</v>
      </c>
    </row>
    <row r="1758" spans="10:28" x14ac:dyDescent="0.2">
      <c r="J1758" s="358" t="str">
        <f t="shared" si="100"/>
        <v>2005MaleMaori215</v>
      </c>
      <c r="K1758" s="359">
        <v>2005</v>
      </c>
      <c r="L1758" t="s">
        <v>20</v>
      </c>
      <c r="M1758" t="s">
        <v>18</v>
      </c>
      <c r="N1758">
        <v>21</v>
      </c>
      <c r="O1758">
        <v>5</v>
      </c>
      <c r="P1758">
        <v>0</v>
      </c>
      <c r="T1758" s="358" t="str">
        <f t="shared" si="101"/>
        <v>2004FemaleAllEth23Hanging, strangulation and suffocation</v>
      </c>
      <c r="U1758" s="360">
        <v>2004</v>
      </c>
      <c r="V1758" s="360" t="s">
        <v>8</v>
      </c>
      <c r="W1758" s="360" t="s">
        <v>27</v>
      </c>
      <c r="X1758" s="360">
        <v>23</v>
      </c>
      <c r="Y1758" s="360" t="s">
        <v>43</v>
      </c>
      <c r="Z1758" s="360">
        <v>15</v>
      </c>
      <c r="AA1758" s="360">
        <v>40</v>
      </c>
      <c r="AB1758" s="360">
        <v>37.5</v>
      </c>
    </row>
    <row r="1759" spans="10:28" x14ac:dyDescent="0.2">
      <c r="J1759" s="358" t="str">
        <f t="shared" si="100"/>
        <v>2005MaleMaori221</v>
      </c>
      <c r="K1759" s="359">
        <v>2005</v>
      </c>
      <c r="L1759" t="s">
        <v>20</v>
      </c>
      <c r="M1759" t="s">
        <v>18</v>
      </c>
      <c r="N1759">
        <v>22</v>
      </c>
      <c r="O1759">
        <v>1</v>
      </c>
      <c r="P1759">
        <v>1</v>
      </c>
      <c r="Q1759">
        <v>23.612642527157899</v>
      </c>
      <c r="R1759">
        <v>46.3</v>
      </c>
      <c r="T1759" s="358" t="str">
        <f t="shared" si="101"/>
        <v>2004FemaleAllEth24Hanging, strangulation and suffocation</v>
      </c>
      <c r="U1759" s="360">
        <v>2004</v>
      </c>
      <c r="V1759" s="360" t="s">
        <v>8</v>
      </c>
      <c r="W1759" s="360" t="s">
        <v>27</v>
      </c>
      <c r="X1759" s="360">
        <v>24</v>
      </c>
      <c r="Y1759" s="360" t="s">
        <v>43</v>
      </c>
      <c r="Z1759" s="360">
        <v>13</v>
      </c>
      <c r="AA1759" s="360">
        <v>30</v>
      </c>
      <c r="AB1759" s="360">
        <v>43.3</v>
      </c>
    </row>
    <row r="1760" spans="10:28" x14ac:dyDescent="0.2">
      <c r="J1760" s="358" t="str">
        <f t="shared" si="100"/>
        <v>2005MaleMaori222</v>
      </c>
      <c r="K1760" s="359">
        <v>2005</v>
      </c>
      <c r="L1760" t="s">
        <v>20</v>
      </c>
      <c r="M1760" t="s">
        <v>18</v>
      </c>
      <c r="N1760">
        <v>22</v>
      </c>
      <c r="O1760">
        <v>2</v>
      </c>
      <c r="P1760">
        <v>2</v>
      </c>
      <c r="Q1760">
        <v>32.014891806168698</v>
      </c>
      <c r="R1760">
        <v>44.4</v>
      </c>
      <c r="T1760" s="358" t="str">
        <f t="shared" si="101"/>
        <v>2004FemaleAllEth25Hanging, strangulation and suffocation</v>
      </c>
      <c r="U1760" s="360">
        <v>2004</v>
      </c>
      <c r="V1760" s="360" t="s">
        <v>8</v>
      </c>
      <c r="W1760" s="360" t="s">
        <v>27</v>
      </c>
      <c r="X1760" s="360">
        <v>25</v>
      </c>
      <c r="Y1760" s="360" t="s">
        <v>43</v>
      </c>
      <c r="Z1760" s="360">
        <v>2</v>
      </c>
      <c r="AA1760" s="360">
        <v>9</v>
      </c>
      <c r="AB1760" s="360">
        <v>22.2</v>
      </c>
    </row>
    <row r="1761" spans="10:28" x14ac:dyDescent="0.2">
      <c r="J1761" s="358" t="str">
        <f t="shared" si="100"/>
        <v>2005MaleMaori223</v>
      </c>
      <c r="K1761" s="359">
        <v>2005</v>
      </c>
      <c r="L1761" t="s">
        <v>20</v>
      </c>
      <c r="M1761" t="s">
        <v>18</v>
      </c>
      <c r="N1761">
        <v>22</v>
      </c>
      <c r="O1761">
        <v>3</v>
      </c>
      <c r="P1761">
        <v>3</v>
      </c>
      <c r="Q1761">
        <v>32.407125559405898</v>
      </c>
      <c r="R1761">
        <v>36.700000000000003</v>
      </c>
      <c r="T1761" s="358" t="str">
        <f t="shared" si="101"/>
        <v>2004FemaleAllEth23Jumping from a high place</v>
      </c>
      <c r="U1761" s="360">
        <v>2004</v>
      </c>
      <c r="V1761" s="360" t="s">
        <v>8</v>
      </c>
      <c r="W1761" s="360" t="s">
        <v>27</v>
      </c>
      <c r="X1761" s="360">
        <v>23</v>
      </c>
      <c r="Y1761" s="360" t="s">
        <v>44</v>
      </c>
      <c r="Z1761" s="360">
        <v>1</v>
      </c>
      <c r="AA1761" s="360">
        <v>40</v>
      </c>
      <c r="AB1761" s="360">
        <v>2.5</v>
      </c>
    </row>
    <row r="1762" spans="10:28" x14ac:dyDescent="0.2">
      <c r="J1762" s="358" t="str">
        <f t="shared" si="100"/>
        <v>2005MaleMaori224</v>
      </c>
      <c r="K1762" s="359">
        <v>2005</v>
      </c>
      <c r="L1762" t="s">
        <v>20</v>
      </c>
      <c r="M1762" t="s">
        <v>18</v>
      </c>
      <c r="N1762">
        <v>22</v>
      </c>
      <c r="O1762">
        <v>4</v>
      </c>
      <c r="P1762">
        <v>10</v>
      </c>
      <c r="Q1762">
        <v>74.293191762125403</v>
      </c>
      <c r="R1762">
        <v>46</v>
      </c>
      <c r="T1762" s="358" t="str">
        <f t="shared" si="101"/>
        <v>2004FemaleAllEth24Jumping from a high place</v>
      </c>
      <c r="U1762" s="360">
        <v>2004</v>
      </c>
      <c r="V1762" s="360" t="s">
        <v>8</v>
      </c>
      <c r="W1762" s="360" t="s">
        <v>27</v>
      </c>
      <c r="X1762" s="360">
        <v>24</v>
      </c>
      <c r="Y1762" s="360" t="s">
        <v>44</v>
      </c>
      <c r="Z1762" s="360">
        <v>2</v>
      </c>
      <c r="AA1762" s="360">
        <v>30</v>
      </c>
      <c r="AB1762" s="360">
        <v>6.7</v>
      </c>
    </row>
    <row r="1763" spans="10:28" x14ac:dyDescent="0.2">
      <c r="J1763" s="358" t="str">
        <f t="shared" si="100"/>
        <v>2005MaleMaori225</v>
      </c>
      <c r="K1763" s="359">
        <v>2005</v>
      </c>
      <c r="L1763" t="s">
        <v>20</v>
      </c>
      <c r="M1763" t="s">
        <v>18</v>
      </c>
      <c r="N1763">
        <v>22</v>
      </c>
      <c r="O1763">
        <v>5</v>
      </c>
      <c r="P1763">
        <v>12</v>
      </c>
      <c r="Q1763">
        <v>51.9919844562965</v>
      </c>
      <c r="R1763">
        <v>29.4</v>
      </c>
      <c r="T1763" s="358" t="str">
        <f t="shared" si="101"/>
        <v>2004FemaleAllEth23Other</v>
      </c>
      <c r="U1763" s="360">
        <v>2004</v>
      </c>
      <c r="V1763" s="360" t="s">
        <v>8</v>
      </c>
      <c r="W1763" s="360" t="s">
        <v>27</v>
      </c>
      <c r="X1763" s="360">
        <v>23</v>
      </c>
      <c r="Y1763" s="360" t="s">
        <v>45</v>
      </c>
      <c r="Z1763" s="360">
        <v>4</v>
      </c>
      <c r="AA1763" s="360">
        <v>40</v>
      </c>
      <c r="AB1763" s="360">
        <v>10</v>
      </c>
    </row>
    <row r="1764" spans="10:28" x14ac:dyDescent="0.2">
      <c r="J1764" s="358" t="str">
        <f t="shared" si="100"/>
        <v>2005MaleMaori231</v>
      </c>
      <c r="K1764" s="359">
        <v>2005</v>
      </c>
      <c r="L1764" t="s">
        <v>20</v>
      </c>
      <c r="M1764" t="s">
        <v>18</v>
      </c>
      <c r="N1764">
        <v>23</v>
      </c>
      <c r="O1764">
        <v>1</v>
      </c>
      <c r="P1764">
        <v>1</v>
      </c>
      <c r="Q1764">
        <v>14.162191592588099</v>
      </c>
      <c r="R1764">
        <v>27.8</v>
      </c>
      <c r="T1764" s="358" t="str">
        <f t="shared" si="101"/>
        <v>2004FemaleAllEth24Other</v>
      </c>
      <c r="U1764" s="360">
        <v>2004</v>
      </c>
      <c r="V1764" s="360" t="s">
        <v>8</v>
      </c>
      <c r="W1764" s="360" t="s">
        <v>27</v>
      </c>
      <c r="X1764" s="360">
        <v>24</v>
      </c>
      <c r="Y1764" s="360" t="s">
        <v>45</v>
      </c>
      <c r="Z1764" s="360">
        <v>1</v>
      </c>
      <c r="AA1764" s="360">
        <v>30</v>
      </c>
      <c r="AB1764" s="360">
        <v>3.3</v>
      </c>
    </row>
    <row r="1765" spans="10:28" x14ac:dyDescent="0.2">
      <c r="J1765" s="358" t="str">
        <f t="shared" si="100"/>
        <v>2005MaleMaori232</v>
      </c>
      <c r="K1765" s="359">
        <v>2005</v>
      </c>
      <c r="L1765" t="s">
        <v>20</v>
      </c>
      <c r="M1765" t="s">
        <v>18</v>
      </c>
      <c r="N1765">
        <v>23</v>
      </c>
      <c r="O1765">
        <v>2</v>
      </c>
      <c r="P1765">
        <v>5</v>
      </c>
      <c r="Q1765">
        <v>49.604434970241499</v>
      </c>
      <c r="R1765">
        <v>43.5</v>
      </c>
      <c r="T1765" s="358" t="str">
        <f t="shared" si="101"/>
        <v>2004FemaleAllEth25Other</v>
      </c>
      <c r="U1765" s="360">
        <v>2004</v>
      </c>
      <c r="V1765" s="360" t="s">
        <v>8</v>
      </c>
      <c r="W1765" s="360" t="s">
        <v>27</v>
      </c>
      <c r="X1765" s="360">
        <v>25</v>
      </c>
      <c r="Y1765" s="360" t="s">
        <v>45</v>
      </c>
      <c r="Z1765" s="360">
        <v>1</v>
      </c>
      <c r="AA1765" s="360">
        <v>9</v>
      </c>
      <c r="AB1765" s="360">
        <v>11.1</v>
      </c>
    </row>
    <row r="1766" spans="10:28" x14ac:dyDescent="0.2">
      <c r="J1766" s="358" t="str">
        <f t="shared" si="100"/>
        <v>2005MaleMaori233</v>
      </c>
      <c r="K1766" s="359">
        <v>2005</v>
      </c>
      <c r="L1766" t="s">
        <v>20</v>
      </c>
      <c r="M1766" t="s">
        <v>18</v>
      </c>
      <c r="N1766">
        <v>23</v>
      </c>
      <c r="O1766">
        <v>3</v>
      </c>
      <c r="P1766">
        <v>4</v>
      </c>
      <c r="Q1766">
        <v>28.772428734517501</v>
      </c>
      <c r="R1766">
        <v>28.2</v>
      </c>
      <c r="T1766" s="358" t="str">
        <f t="shared" si="101"/>
        <v>2004FemaleAllEth22Poisoning by gases and vapours</v>
      </c>
      <c r="U1766" s="360">
        <v>2004</v>
      </c>
      <c r="V1766" s="360" t="s">
        <v>8</v>
      </c>
      <c r="W1766" s="360" t="s">
        <v>27</v>
      </c>
      <c r="X1766" s="360">
        <v>22</v>
      </c>
      <c r="Y1766" s="360" t="s">
        <v>46</v>
      </c>
      <c r="Z1766" s="360">
        <v>2</v>
      </c>
      <c r="AA1766" s="360">
        <v>31</v>
      </c>
      <c r="AB1766" s="360">
        <v>6.5</v>
      </c>
    </row>
    <row r="1767" spans="10:28" x14ac:dyDescent="0.2">
      <c r="J1767" s="358" t="str">
        <f t="shared" si="100"/>
        <v>2005MaleMaori234</v>
      </c>
      <c r="K1767" s="359">
        <v>2005</v>
      </c>
      <c r="L1767" t="s">
        <v>20</v>
      </c>
      <c r="M1767" t="s">
        <v>18</v>
      </c>
      <c r="N1767">
        <v>23</v>
      </c>
      <c r="O1767">
        <v>4</v>
      </c>
      <c r="P1767">
        <v>8</v>
      </c>
      <c r="Q1767">
        <v>41.9765080536149</v>
      </c>
      <c r="R1767">
        <v>29.1</v>
      </c>
      <c r="T1767" s="358" t="str">
        <f t="shared" si="101"/>
        <v>2004FemaleAllEth23Poisoning by gases and vapours</v>
      </c>
      <c r="U1767" s="360">
        <v>2004</v>
      </c>
      <c r="V1767" s="360" t="s">
        <v>8</v>
      </c>
      <c r="W1767" s="360" t="s">
        <v>27</v>
      </c>
      <c r="X1767" s="360">
        <v>23</v>
      </c>
      <c r="Y1767" s="360" t="s">
        <v>46</v>
      </c>
      <c r="Z1767" s="360">
        <v>9</v>
      </c>
      <c r="AA1767" s="360">
        <v>40</v>
      </c>
      <c r="AB1767" s="360">
        <v>22.5</v>
      </c>
    </row>
    <row r="1768" spans="10:28" x14ac:dyDescent="0.2">
      <c r="J1768" s="358" t="str">
        <f t="shared" si="100"/>
        <v>2005MaleMaori235</v>
      </c>
      <c r="K1768" s="359">
        <v>2005</v>
      </c>
      <c r="L1768" t="s">
        <v>20</v>
      </c>
      <c r="M1768" t="s">
        <v>18</v>
      </c>
      <c r="N1768">
        <v>23</v>
      </c>
      <c r="O1768">
        <v>5</v>
      </c>
      <c r="P1768">
        <v>21</v>
      </c>
      <c r="Q1768">
        <v>70.733922982028204</v>
      </c>
      <c r="R1768">
        <v>30.3</v>
      </c>
      <c r="T1768" s="358" t="str">
        <f t="shared" si="101"/>
        <v>2004FemaleAllEth24Poisoning by gases and vapours</v>
      </c>
      <c r="U1768" s="360">
        <v>2004</v>
      </c>
      <c r="V1768" s="360" t="s">
        <v>8</v>
      </c>
      <c r="W1768" s="360" t="s">
        <v>27</v>
      </c>
      <c r="X1768" s="360">
        <v>24</v>
      </c>
      <c r="Y1768" s="360" t="s">
        <v>46</v>
      </c>
      <c r="Z1768" s="360">
        <v>2</v>
      </c>
      <c r="AA1768" s="360">
        <v>30</v>
      </c>
      <c r="AB1768" s="360">
        <v>6.7</v>
      </c>
    </row>
    <row r="1769" spans="10:28" x14ac:dyDescent="0.2">
      <c r="J1769" s="358" t="str">
        <f t="shared" si="100"/>
        <v>2005MaleMaori241</v>
      </c>
      <c r="K1769" s="359">
        <v>2005</v>
      </c>
      <c r="L1769" t="s">
        <v>20</v>
      </c>
      <c r="M1769" t="s">
        <v>18</v>
      </c>
      <c r="N1769">
        <v>24</v>
      </c>
      <c r="O1769">
        <v>1</v>
      </c>
      <c r="P1769">
        <v>0</v>
      </c>
      <c r="Q1769">
        <v>0</v>
      </c>
      <c r="T1769" s="358" t="str">
        <f t="shared" si="101"/>
        <v>2004FemaleAllEth25Poisoning by gases and vapours</v>
      </c>
      <c r="U1769" s="360">
        <v>2004</v>
      </c>
      <c r="V1769" s="360" t="s">
        <v>8</v>
      </c>
      <c r="W1769" s="360" t="s">
        <v>27</v>
      </c>
      <c r="X1769" s="360">
        <v>25</v>
      </c>
      <c r="Y1769" s="360" t="s">
        <v>46</v>
      </c>
      <c r="Z1769" s="360">
        <v>1</v>
      </c>
      <c r="AA1769" s="360">
        <v>9</v>
      </c>
      <c r="AB1769" s="360">
        <v>11.1</v>
      </c>
    </row>
    <row r="1770" spans="10:28" x14ac:dyDescent="0.2">
      <c r="J1770" s="358" t="str">
        <f t="shared" si="100"/>
        <v>2005MaleMaori242</v>
      </c>
      <c r="K1770" s="359">
        <v>2005</v>
      </c>
      <c r="L1770" t="s">
        <v>20</v>
      </c>
      <c r="M1770" t="s">
        <v>18</v>
      </c>
      <c r="N1770">
        <v>24</v>
      </c>
      <c r="O1770">
        <v>2</v>
      </c>
      <c r="P1770">
        <v>0</v>
      </c>
      <c r="Q1770">
        <v>0</v>
      </c>
      <c r="T1770" s="358" t="str">
        <f t="shared" si="101"/>
        <v>2004FemaleAllEth22Poisoning by solids and liquids</v>
      </c>
      <c r="U1770" s="360">
        <v>2004</v>
      </c>
      <c r="V1770" s="360" t="s">
        <v>8</v>
      </c>
      <c r="W1770" s="360" t="s">
        <v>27</v>
      </c>
      <c r="X1770" s="360">
        <v>22</v>
      </c>
      <c r="Y1770" s="360" t="s">
        <v>47</v>
      </c>
      <c r="Z1770" s="360">
        <v>2</v>
      </c>
      <c r="AA1770" s="360">
        <v>31</v>
      </c>
      <c r="AB1770" s="360">
        <v>6.5</v>
      </c>
    </row>
    <row r="1771" spans="10:28" x14ac:dyDescent="0.2">
      <c r="J1771" s="358" t="str">
        <f t="shared" si="100"/>
        <v>2005MaleMaori243</v>
      </c>
      <c r="K1771" s="359">
        <v>2005</v>
      </c>
      <c r="L1771" t="s">
        <v>20</v>
      </c>
      <c r="M1771" t="s">
        <v>18</v>
      </c>
      <c r="N1771">
        <v>24</v>
      </c>
      <c r="O1771">
        <v>3</v>
      </c>
      <c r="P1771">
        <v>0</v>
      </c>
      <c r="Q1771">
        <v>0</v>
      </c>
      <c r="T1771" s="358" t="str">
        <f t="shared" si="101"/>
        <v>2004FemaleAllEth23Poisoning by solids and liquids</v>
      </c>
      <c r="U1771" s="360">
        <v>2004</v>
      </c>
      <c r="V1771" s="360" t="s">
        <v>8</v>
      </c>
      <c r="W1771" s="360" t="s">
        <v>27</v>
      </c>
      <c r="X1771" s="360">
        <v>23</v>
      </c>
      <c r="Y1771" s="360" t="s">
        <v>47</v>
      </c>
      <c r="Z1771" s="360">
        <v>9</v>
      </c>
      <c r="AA1771" s="360">
        <v>40</v>
      </c>
      <c r="AB1771" s="360">
        <v>22.5</v>
      </c>
    </row>
    <row r="1772" spans="10:28" x14ac:dyDescent="0.2">
      <c r="J1772" s="358" t="str">
        <f t="shared" si="100"/>
        <v>2005MaleMaori244</v>
      </c>
      <c r="K1772" s="359">
        <v>2005</v>
      </c>
      <c r="L1772" t="s">
        <v>20</v>
      </c>
      <c r="M1772" t="s">
        <v>18</v>
      </c>
      <c r="N1772">
        <v>24</v>
      </c>
      <c r="O1772">
        <v>4</v>
      </c>
      <c r="P1772">
        <v>1</v>
      </c>
      <c r="Q1772">
        <v>9.6920759512513897</v>
      </c>
      <c r="R1772">
        <v>19</v>
      </c>
      <c r="T1772" s="358" t="str">
        <f t="shared" si="101"/>
        <v>2004FemaleAllEth24Poisoning by solids and liquids</v>
      </c>
      <c r="U1772" s="360">
        <v>2004</v>
      </c>
      <c r="V1772" s="360" t="s">
        <v>8</v>
      </c>
      <c r="W1772" s="360" t="s">
        <v>27</v>
      </c>
      <c r="X1772" s="360">
        <v>24</v>
      </c>
      <c r="Y1772" s="360" t="s">
        <v>47</v>
      </c>
      <c r="Z1772" s="360">
        <v>8</v>
      </c>
      <c r="AA1772" s="360">
        <v>30</v>
      </c>
      <c r="AB1772" s="360">
        <v>26.7</v>
      </c>
    </row>
    <row r="1773" spans="10:28" x14ac:dyDescent="0.2">
      <c r="J1773" s="358" t="str">
        <f t="shared" si="100"/>
        <v>2005MaleMaori245</v>
      </c>
      <c r="K1773" s="359">
        <v>2005</v>
      </c>
      <c r="L1773" t="s">
        <v>20</v>
      </c>
      <c r="M1773" t="s">
        <v>18</v>
      </c>
      <c r="N1773">
        <v>24</v>
      </c>
      <c r="O1773">
        <v>5</v>
      </c>
      <c r="P1773">
        <v>4</v>
      </c>
      <c r="Q1773">
        <v>22.5589550698691</v>
      </c>
      <c r="R1773">
        <v>22.1</v>
      </c>
      <c r="T1773" s="358" t="str">
        <f t="shared" si="101"/>
        <v>2004FemaleAllEth25Poisoning by solids and liquids</v>
      </c>
      <c r="U1773" s="360">
        <v>2004</v>
      </c>
      <c r="V1773" s="360" t="s">
        <v>8</v>
      </c>
      <c r="W1773" s="360" t="s">
        <v>27</v>
      </c>
      <c r="X1773" s="360">
        <v>25</v>
      </c>
      <c r="Y1773" s="360" t="s">
        <v>47</v>
      </c>
      <c r="Z1773" s="360">
        <v>5</v>
      </c>
      <c r="AA1773" s="360">
        <v>9</v>
      </c>
      <c r="AB1773" s="360">
        <v>55.6</v>
      </c>
    </row>
    <row r="1774" spans="10:28" x14ac:dyDescent="0.2">
      <c r="J1774" s="358" t="str">
        <f t="shared" si="100"/>
        <v>2005MaleMaori251</v>
      </c>
      <c r="K1774" s="359">
        <v>2005</v>
      </c>
      <c r="L1774" t="s">
        <v>20</v>
      </c>
      <c r="M1774" t="s">
        <v>18</v>
      </c>
      <c r="N1774">
        <v>25</v>
      </c>
      <c r="O1774">
        <v>1</v>
      </c>
      <c r="P1774">
        <v>0</v>
      </c>
      <c r="Q1774">
        <v>0</v>
      </c>
      <c r="T1774" s="358" t="str">
        <f t="shared" si="101"/>
        <v>2004FemaleAllEth24Sharp object</v>
      </c>
      <c r="U1774" s="360">
        <v>2004</v>
      </c>
      <c r="V1774" s="360" t="s">
        <v>8</v>
      </c>
      <c r="W1774" s="360" t="s">
        <v>27</v>
      </c>
      <c r="X1774" s="360">
        <v>24</v>
      </c>
      <c r="Y1774" s="360" t="s">
        <v>48</v>
      </c>
      <c r="Z1774" s="360">
        <v>2</v>
      </c>
      <c r="AA1774" s="360">
        <v>30</v>
      </c>
      <c r="AB1774" s="360">
        <v>6.7</v>
      </c>
    </row>
    <row r="1775" spans="10:28" x14ac:dyDescent="0.2">
      <c r="J1775" s="358" t="str">
        <f t="shared" si="100"/>
        <v>2005MaleMaori252</v>
      </c>
      <c r="K1775" s="359">
        <v>2005</v>
      </c>
      <c r="L1775" t="s">
        <v>20</v>
      </c>
      <c r="M1775" t="s">
        <v>18</v>
      </c>
      <c r="N1775">
        <v>25</v>
      </c>
      <c r="O1775">
        <v>2</v>
      </c>
      <c r="P1775">
        <v>0</v>
      </c>
      <c r="Q1775">
        <v>0</v>
      </c>
      <c r="T1775" s="358" t="str">
        <f t="shared" si="101"/>
        <v>2004FemaleAllEth23Submersion (drowning)</v>
      </c>
      <c r="U1775" s="360">
        <v>2004</v>
      </c>
      <c r="V1775" s="360" t="s">
        <v>8</v>
      </c>
      <c r="W1775" s="360" t="s">
        <v>27</v>
      </c>
      <c r="X1775" s="360">
        <v>23</v>
      </c>
      <c r="Y1775" s="360" t="s">
        <v>49</v>
      </c>
      <c r="Z1775" s="360">
        <v>1</v>
      </c>
      <c r="AA1775" s="360">
        <v>40</v>
      </c>
      <c r="AB1775" s="360">
        <v>2.5</v>
      </c>
    </row>
    <row r="1776" spans="10:28" x14ac:dyDescent="0.2">
      <c r="J1776" s="358" t="str">
        <f t="shared" si="100"/>
        <v>2005MaleMaori253</v>
      </c>
      <c r="K1776" s="359">
        <v>2005</v>
      </c>
      <c r="L1776" t="s">
        <v>20</v>
      </c>
      <c r="M1776" t="s">
        <v>18</v>
      </c>
      <c r="N1776">
        <v>25</v>
      </c>
      <c r="O1776">
        <v>3</v>
      </c>
      <c r="P1776">
        <v>0</v>
      </c>
      <c r="Q1776">
        <v>0</v>
      </c>
      <c r="T1776" s="358" t="str">
        <f t="shared" si="101"/>
        <v>2004FemaleAllEth24Submersion (drowning)</v>
      </c>
      <c r="U1776" s="360">
        <v>2004</v>
      </c>
      <c r="V1776" s="360" t="s">
        <v>8</v>
      </c>
      <c r="W1776" s="360" t="s">
        <v>27</v>
      </c>
      <c r="X1776" s="360">
        <v>24</v>
      </c>
      <c r="Y1776" s="360" t="s">
        <v>49</v>
      </c>
      <c r="Z1776" s="360">
        <v>1</v>
      </c>
      <c r="AA1776" s="360">
        <v>30</v>
      </c>
      <c r="AB1776" s="360">
        <v>3.3</v>
      </c>
    </row>
    <row r="1777" spans="10:28" x14ac:dyDescent="0.2">
      <c r="J1777" s="358" t="str">
        <f t="shared" si="100"/>
        <v>2005MaleMaori254</v>
      </c>
      <c r="K1777" s="359">
        <v>2005</v>
      </c>
      <c r="L1777" t="s">
        <v>20</v>
      </c>
      <c r="M1777" t="s">
        <v>18</v>
      </c>
      <c r="N1777">
        <v>25</v>
      </c>
      <c r="O1777">
        <v>4</v>
      </c>
      <c r="P1777">
        <v>0</v>
      </c>
      <c r="Q1777">
        <v>0</v>
      </c>
      <c r="T1777" s="358" t="str">
        <f t="shared" si="101"/>
        <v>2004FemaleMaori21Hanging, strangulation and suffocation</v>
      </c>
      <c r="U1777" s="360">
        <v>2004</v>
      </c>
      <c r="V1777" s="360" t="s">
        <v>8</v>
      </c>
      <c r="W1777" s="360" t="s">
        <v>18</v>
      </c>
      <c r="X1777" s="360">
        <v>21</v>
      </c>
      <c r="Y1777" s="360" t="s">
        <v>43</v>
      </c>
      <c r="Z1777" s="360">
        <v>1</v>
      </c>
      <c r="AA1777" s="360">
        <v>1</v>
      </c>
      <c r="AB1777" s="360">
        <v>100</v>
      </c>
    </row>
    <row r="1778" spans="10:28" x14ac:dyDescent="0.2">
      <c r="J1778" s="358" t="str">
        <f t="shared" si="100"/>
        <v>2005MaleMaori255</v>
      </c>
      <c r="K1778" s="359">
        <v>2005</v>
      </c>
      <c r="L1778" t="s">
        <v>20</v>
      </c>
      <c r="M1778" t="s">
        <v>18</v>
      </c>
      <c r="N1778">
        <v>25</v>
      </c>
      <c r="O1778">
        <v>5</v>
      </c>
      <c r="P1778">
        <v>2</v>
      </c>
      <c r="Q1778">
        <v>41.298930195576297</v>
      </c>
      <c r="R1778">
        <v>57.2</v>
      </c>
      <c r="T1778" s="358" t="str">
        <f t="shared" si="101"/>
        <v>2004FemaleMaori22Hanging, strangulation and suffocation</v>
      </c>
      <c r="U1778" s="360">
        <v>2004</v>
      </c>
      <c r="V1778" s="360" t="s">
        <v>8</v>
      </c>
      <c r="W1778" s="360" t="s">
        <v>18</v>
      </c>
      <c r="X1778" s="360">
        <v>22</v>
      </c>
      <c r="Y1778" s="360" t="s">
        <v>43</v>
      </c>
      <c r="Z1778" s="360">
        <v>14</v>
      </c>
      <c r="AA1778" s="360">
        <v>14</v>
      </c>
      <c r="AB1778" s="360">
        <v>100</v>
      </c>
    </row>
    <row r="1779" spans="10:28" x14ac:dyDescent="0.2">
      <c r="J1779" s="358" t="str">
        <f t="shared" si="100"/>
        <v>2005MaleNon-Maori211</v>
      </c>
      <c r="K1779" s="359">
        <v>2005</v>
      </c>
      <c r="L1779" t="s">
        <v>20</v>
      </c>
      <c r="M1779" t="s">
        <v>19</v>
      </c>
      <c r="N1779">
        <v>21</v>
      </c>
      <c r="O1779">
        <v>1</v>
      </c>
      <c r="P1779">
        <v>0</v>
      </c>
      <c r="T1779" s="358" t="str">
        <f t="shared" si="101"/>
        <v>2004FemaleMaori23Hanging, strangulation and suffocation</v>
      </c>
      <c r="U1779" s="360">
        <v>2004</v>
      </c>
      <c r="V1779" s="360" t="s">
        <v>8</v>
      </c>
      <c r="W1779" s="360" t="s">
        <v>18</v>
      </c>
      <c r="X1779" s="360">
        <v>23</v>
      </c>
      <c r="Y1779" s="360" t="s">
        <v>43</v>
      </c>
      <c r="Z1779" s="360">
        <v>6</v>
      </c>
      <c r="AA1779" s="360">
        <v>11</v>
      </c>
      <c r="AB1779" s="360">
        <v>54.5</v>
      </c>
    </row>
    <row r="1780" spans="10:28" x14ac:dyDescent="0.2">
      <c r="J1780" s="358" t="str">
        <f t="shared" si="100"/>
        <v>2005MaleNon-Maori212</v>
      </c>
      <c r="K1780" s="359">
        <v>2005</v>
      </c>
      <c r="L1780" t="s">
        <v>20</v>
      </c>
      <c r="M1780" t="s">
        <v>19</v>
      </c>
      <c r="N1780">
        <v>21</v>
      </c>
      <c r="O1780">
        <v>2</v>
      </c>
      <c r="P1780">
        <v>0</v>
      </c>
      <c r="T1780" s="358" t="str">
        <f t="shared" si="101"/>
        <v>2004FemaleMaori24Hanging, strangulation and suffocation</v>
      </c>
      <c r="U1780" s="360">
        <v>2004</v>
      </c>
      <c r="V1780" s="360" t="s">
        <v>8</v>
      </c>
      <c r="W1780" s="360" t="s">
        <v>18</v>
      </c>
      <c r="X1780" s="360">
        <v>24</v>
      </c>
      <c r="Y1780" s="360" t="s">
        <v>43</v>
      </c>
      <c r="Z1780" s="360">
        <v>1</v>
      </c>
      <c r="AA1780" s="360">
        <v>2</v>
      </c>
      <c r="AB1780" s="360">
        <v>50</v>
      </c>
    </row>
    <row r="1781" spans="10:28" x14ac:dyDescent="0.2">
      <c r="J1781" s="358" t="str">
        <f t="shared" si="100"/>
        <v>2005MaleNon-Maori213</v>
      </c>
      <c r="K1781" s="359">
        <v>2005</v>
      </c>
      <c r="L1781" t="s">
        <v>20</v>
      </c>
      <c r="M1781" t="s">
        <v>19</v>
      </c>
      <c r="N1781">
        <v>21</v>
      </c>
      <c r="O1781">
        <v>3</v>
      </c>
      <c r="P1781">
        <v>0</v>
      </c>
      <c r="T1781" s="358" t="str">
        <f t="shared" si="101"/>
        <v>2004FemaleMaori23Other</v>
      </c>
      <c r="U1781" s="360">
        <v>2004</v>
      </c>
      <c r="V1781" s="360" t="s">
        <v>8</v>
      </c>
      <c r="W1781" s="360" t="s">
        <v>18</v>
      </c>
      <c r="X1781" s="360">
        <v>23</v>
      </c>
      <c r="Y1781" s="360" t="s">
        <v>45</v>
      </c>
      <c r="Z1781" s="360">
        <v>1</v>
      </c>
      <c r="AA1781" s="360">
        <v>11</v>
      </c>
      <c r="AB1781" s="360">
        <v>9.1</v>
      </c>
    </row>
    <row r="1782" spans="10:28" x14ac:dyDescent="0.2">
      <c r="J1782" s="358" t="str">
        <f t="shared" si="100"/>
        <v>2005MaleNon-Maori214</v>
      </c>
      <c r="K1782" s="359">
        <v>2005</v>
      </c>
      <c r="L1782" t="s">
        <v>20</v>
      </c>
      <c r="M1782" t="s">
        <v>19</v>
      </c>
      <c r="N1782">
        <v>21</v>
      </c>
      <c r="O1782">
        <v>4</v>
      </c>
      <c r="P1782">
        <v>0</v>
      </c>
      <c r="T1782" s="358" t="str">
        <f t="shared" si="101"/>
        <v>2004FemaleMaori23Poisoning by gases and vapours</v>
      </c>
      <c r="U1782" s="360">
        <v>2004</v>
      </c>
      <c r="V1782" s="360" t="s">
        <v>8</v>
      </c>
      <c r="W1782" s="360" t="s">
        <v>18</v>
      </c>
      <c r="X1782" s="360">
        <v>23</v>
      </c>
      <c r="Y1782" s="360" t="s">
        <v>46</v>
      </c>
      <c r="Z1782" s="360">
        <v>1</v>
      </c>
      <c r="AA1782" s="360">
        <v>11</v>
      </c>
      <c r="AB1782" s="360">
        <v>9.1</v>
      </c>
    </row>
    <row r="1783" spans="10:28" x14ac:dyDescent="0.2">
      <c r="J1783" s="358" t="str">
        <f t="shared" si="100"/>
        <v>2005MaleNon-Maori215</v>
      </c>
      <c r="K1783" s="359">
        <v>2005</v>
      </c>
      <c r="L1783" t="s">
        <v>20</v>
      </c>
      <c r="M1783" t="s">
        <v>19</v>
      </c>
      <c r="N1783">
        <v>21</v>
      </c>
      <c r="O1783">
        <v>5</v>
      </c>
      <c r="P1783">
        <v>1</v>
      </c>
      <c r="T1783" s="358" t="str">
        <f t="shared" si="101"/>
        <v>2004FemaleMaori23Poisoning by solids and liquids</v>
      </c>
      <c r="U1783" s="360">
        <v>2004</v>
      </c>
      <c r="V1783" s="360" t="s">
        <v>8</v>
      </c>
      <c r="W1783" s="360" t="s">
        <v>18</v>
      </c>
      <c r="X1783" s="360">
        <v>23</v>
      </c>
      <c r="Y1783" s="360" t="s">
        <v>47</v>
      </c>
      <c r="Z1783" s="360">
        <v>3</v>
      </c>
      <c r="AA1783" s="360">
        <v>11</v>
      </c>
      <c r="AB1783" s="360">
        <v>27.3</v>
      </c>
    </row>
    <row r="1784" spans="10:28" x14ac:dyDescent="0.2">
      <c r="J1784" s="358" t="str">
        <f t="shared" si="100"/>
        <v>2005MaleNon-Maori221</v>
      </c>
      <c r="K1784" s="359">
        <v>2005</v>
      </c>
      <c r="L1784" t="s">
        <v>20</v>
      </c>
      <c r="M1784" t="s">
        <v>19</v>
      </c>
      <c r="N1784">
        <v>22</v>
      </c>
      <c r="O1784">
        <v>1</v>
      </c>
      <c r="P1784">
        <v>11</v>
      </c>
      <c r="Q1784">
        <v>22.683106177196802</v>
      </c>
      <c r="R1784">
        <v>13.4</v>
      </c>
      <c r="T1784" s="358" t="str">
        <f t="shared" si="101"/>
        <v>2004FemaleMaori24Sharp object</v>
      </c>
      <c r="U1784" s="360">
        <v>2004</v>
      </c>
      <c r="V1784" s="360" t="s">
        <v>8</v>
      </c>
      <c r="W1784" s="360" t="s">
        <v>18</v>
      </c>
      <c r="X1784" s="360">
        <v>24</v>
      </c>
      <c r="Y1784" s="360" t="s">
        <v>48</v>
      </c>
      <c r="Z1784" s="360">
        <v>1</v>
      </c>
      <c r="AA1784" s="360">
        <v>2</v>
      </c>
      <c r="AB1784" s="360">
        <v>50</v>
      </c>
    </row>
    <row r="1785" spans="10:28" x14ac:dyDescent="0.2">
      <c r="J1785" s="358" t="str">
        <f t="shared" si="100"/>
        <v>2005MaleNon-Maori222</v>
      </c>
      <c r="K1785" s="359">
        <v>2005</v>
      </c>
      <c r="L1785" t="s">
        <v>20</v>
      </c>
      <c r="M1785" t="s">
        <v>19</v>
      </c>
      <c r="N1785">
        <v>22</v>
      </c>
      <c r="O1785">
        <v>2</v>
      </c>
      <c r="P1785">
        <v>12</v>
      </c>
      <c r="Q1785">
        <v>24.3425911160158</v>
      </c>
      <c r="R1785">
        <v>13.8</v>
      </c>
      <c r="T1785" s="358" t="str">
        <f t="shared" si="101"/>
        <v>2004FemaleNon-Maori23Firearms and explosives</v>
      </c>
      <c r="U1785" s="360">
        <v>2004</v>
      </c>
      <c r="V1785" s="360" t="s">
        <v>8</v>
      </c>
      <c r="W1785" s="360" t="s">
        <v>19</v>
      </c>
      <c r="X1785" s="360">
        <v>23</v>
      </c>
      <c r="Y1785" s="360" t="s">
        <v>42</v>
      </c>
      <c r="Z1785" s="360">
        <v>1</v>
      </c>
      <c r="AA1785" s="360">
        <v>29</v>
      </c>
      <c r="AB1785" s="360">
        <v>3.4</v>
      </c>
    </row>
    <row r="1786" spans="10:28" x14ac:dyDescent="0.2">
      <c r="J1786" s="358" t="str">
        <f t="shared" si="100"/>
        <v>2005MaleNon-Maori223</v>
      </c>
      <c r="K1786" s="359">
        <v>2005</v>
      </c>
      <c r="L1786" t="s">
        <v>20</v>
      </c>
      <c r="M1786" t="s">
        <v>19</v>
      </c>
      <c r="N1786">
        <v>22</v>
      </c>
      <c r="O1786">
        <v>3</v>
      </c>
      <c r="P1786">
        <v>9</v>
      </c>
      <c r="Q1786">
        <v>18.1483005008199</v>
      </c>
      <c r="R1786">
        <v>11.9</v>
      </c>
      <c r="T1786" s="358" t="str">
        <f t="shared" si="101"/>
        <v>2004FemaleNon-Maori24Firearms and explosives</v>
      </c>
      <c r="U1786" s="360">
        <v>2004</v>
      </c>
      <c r="V1786" s="360" t="s">
        <v>8</v>
      </c>
      <c r="W1786" s="360" t="s">
        <v>19</v>
      </c>
      <c r="X1786" s="360">
        <v>24</v>
      </c>
      <c r="Y1786" s="360" t="s">
        <v>42</v>
      </c>
      <c r="Z1786" s="360">
        <v>1</v>
      </c>
      <c r="AA1786" s="360">
        <v>28</v>
      </c>
      <c r="AB1786" s="360">
        <v>3.6</v>
      </c>
    </row>
    <row r="1787" spans="10:28" x14ac:dyDescent="0.2">
      <c r="J1787" s="358" t="str">
        <f t="shared" si="100"/>
        <v>2005MaleNon-Maori224</v>
      </c>
      <c r="K1787" s="359">
        <v>2005</v>
      </c>
      <c r="L1787" t="s">
        <v>20</v>
      </c>
      <c r="M1787" t="s">
        <v>19</v>
      </c>
      <c r="N1787">
        <v>22</v>
      </c>
      <c r="O1787">
        <v>4</v>
      </c>
      <c r="P1787">
        <v>14</v>
      </c>
      <c r="Q1787">
        <v>28.347963942185199</v>
      </c>
      <c r="R1787">
        <v>14.8</v>
      </c>
      <c r="T1787" s="358" t="str">
        <f t="shared" si="101"/>
        <v>2004FemaleNon-Maori21Hanging, strangulation and suffocation</v>
      </c>
      <c r="U1787" s="360">
        <v>2004</v>
      </c>
      <c r="V1787" s="360" t="s">
        <v>8</v>
      </c>
      <c r="W1787" s="360" t="s">
        <v>19</v>
      </c>
      <c r="X1787" s="360">
        <v>21</v>
      </c>
      <c r="Y1787" s="360" t="s">
        <v>43</v>
      </c>
      <c r="Z1787" s="360">
        <v>1</v>
      </c>
      <c r="AA1787" s="360">
        <v>1</v>
      </c>
      <c r="AB1787" s="360">
        <v>100</v>
      </c>
    </row>
    <row r="1788" spans="10:28" x14ac:dyDescent="0.2">
      <c r="J1788" s="358" t="str">
        <f t="shared" si="100"/>
        <v>2005MaleNon-Maori225</v>
      </c>
      <c r="K1788" s="359">
        <v>2005</v>
      </c>
      <c r="L1788" t="s">
        <v>20</v>
      </c>
      <c r="M1788" t="s">
        <v>19</v>
      </c>
      <c r="N1788">
        <v>22</v>
      </c>
      <c r="O1788">
        <v>5</v>
      </c>
      <c r="P1788">
        <v>9</v>
      </c>
      <c r="Q1788">
        <v>19.034823182498801</v>
      </c>
      <c r="R1788">
        <v>12.4</v>
      </c>
      <c r="T1788" s="358" t="str">
        <f t="shared" si="101"/>
        <v>2004FemaleNon-Maori22Hanging, strangulation and suffocation</v>
      </c>
      <c r="U1788" s="360">
        <v>2004</v>
      </c>
      <c r="V1788" s="360" t="s">
        <v>8</v>
      </c>
      <c r="W1788" s="360" t="s">
        <v>19</v>
      </c>
      <c r="X1788" s="360">
        <v>22</v>
      </c>
      <c r="Y1788" s="360" t="s">
        <v>43</v>
      </c>
      <c r="Z1788" s="360">
        <v>13</v>
      </c>
      <c r="AA1788" s="360">
        <v>17</v>
      </c>
      <c r="AB1788" s="360">
        <v>76.5</v>
      </c>
    </row>
    <row r="1789" spans="10:28" x14ac:dyDescent="0.2">
      <c r="J1789" s="358" t="str">
        <f t="shared" si="100"/>
        <v>2005MaleNon-Maori231</v>
      </c>
      <c r="K1789" s="359">
        <v>2005</v>
      </c>
      <c r="L1789" t="s">
        <v>20</v>
      </c>
      <c r="M1789" t="s">
        <v>19</v>
      </c>
      <c r="N1789">
        <v>23</v>
      </c>
      <c r="O1789">
        <v>1</v>
      </c>
      <c r="P1789">
        <v>17</v>
      </c>
      <c r="Q1789">
        <v>16.3117981357479</v>
      </c>
      <c r="R1789">
        <v>7.8</v>
      </c>
      <c r="T1789" s="358" t="str">
        <f t="shared" si="101"/>
        <v>2004FemaleNon-Maori23Hanging, strangulation and suffocation</v>
      </c>
      <c r="U1789" s="360">
        <v>2004</v>
      </c>
      <c r="V1789" s="360" t="s">
        <v>8</v>
      </c>
      <c r="W1789" s="360" t="s">
        <v>19</v>
      </c>
      <c r="X1789" s="360">
        <v>23</v>
      </c>
      <c r="Y1789" s="360" t="s">
        <v>43</v>
      </c>
      <c r="Z1789" s="360">
        <v>9</v>
      </c>
      <c r="AA1789" s="360">
        <v>29</v>
      </c>
      <c r="AB1789" s="360">
        <v>31</v>
      </c>
    </row>
    <row r="1790" spans="10:28" x14ac:dyDescent="0.2">
      <c r="J1790" s="358" t="str">
        <f t="shared" si="100"/>
        <v>2005MaleNon-Maori232</v>
      </c>
      <c r="K1790" s="359">
        <v>2005</v>
      </c>
      <c r="L1790" t="s">
        <v>20</v>
      </c>
      <c r="M1790" t="s">
        <v>19</v>
      </c>
      <c r="N1790">
        <v>23</v>
      </c>
      <c r="O1790">
        <v>2</v>
      </c>
      <c r="P1790">
        <v>13</v>
      </c>
      <c r="Q1790">
        <v>12.0278473904604</v>
      </c>
      <c r="R1790">
        <v>6.5</v>
      </c>
      <c r="T1790" s="358" t="str">
        <f t="shared" si="101"/>
        <v>2004FemaleNon-Maori24Hanging, strangulation and suffocation</v>
      </c>
      <c r="U1790" s="360">
        <v>2004</v>
      </c>
      <c r="V1790" s="360" t="s">
        <v>8</v>
      </c>
      <c r="W1790" s="360" t="s">
        <v>19</v>
      </c>
      <c r="X1790" s="360">
        <v>24</v>
      </c>
      <c r="Y1790" s="360" t="s">
        <v>43</v>
      </c>
      <c r="Z1790" s="360">
        <v>12</v>
      </c>
      <c r="AA1790" s="360">
        <v>28</v>
      </c>
      <c r="AB1790" s="360">
        <v>42.9</v>
      </c>
    </row>
    <row r="1791" spans="10:28" x14ac:dyDescent="0.2">
      <c r="J1791" s="358" t="str">
        <f t="shared" si="100"/>
        <v>2005MaleNon-Maori233</v>
      </c>
      <c r="K1791" s="359">
        <v>2005</v>
      </c>
      <c r="L1791" t="s">
        <v>20</v>
      </c>
      <c r="M1791" t="s">
        <v>19</v>
      </c>
      <c r="N1791">
        <v>23</v>
      </c>
      <c r="O1791">
        <v>3</v>
      </c>
      <c r="P1791">
        <v>27</v>
      </c>
      <c r="Q1791">
        <v>25.7373893619711</v>
      </c>
      <c r="R1791">
        <v>9.6999999999999993</v>
      </c>
      <c r="T1791" s="358" t="str">
        <f t="shared" si="101"/>
        <v>2004FemaleNon-Maori25Hanging, strangulation and suffocation</v>
      </c>
      <c r="U1791" s="360">
        <v>2004</v>
      </c>
      <c r="V1791" s="360" t="s">
        <v>8</v>
      </c>
      <c r="W1791" s="360" t="s">
        <v>19</v>
      </c>
      <c r="X1791" s="360">
        <v>25</v>
      </c>
      <c r="Y1791" s="360" t="s">
        <v>43</v>
      </c>
      <c r="Z1791" s="360">
        <v>2</v>
      </c>
      <c r="AA1791" s="360">
        <v>9</v>
      </c>
      <c r="AB1791" s="360">
        <v>22.2</v>
      </c>
    </row>
    <row r="1792" spans="10:28" x14ac:dyDescent="0.2">
      <c r="J1792" s="358" t="str">
        <f t="shared" si="100"/>
        <v>2005MaleNon-Maori234</v>
      </c>
      <c r="K1792" s="359">
        <v>2005</v>
      </c>
      <c r="L1792" t="s">
        <v>20</v>
      </c>
      <c r="M1792" t="s">
        <v>19</v>
      </c>
      <c r="N1792">
        <v>23</v>
      </c>
      <c r="O1792">
        <v>4</v>
      </c>
      <c r="P1792">
        <v>20</v>
      </c>
      <c r="Q1792">
        <v>20.707239403324799</v>
      </c>
      <c r="R1792">
        <v>9.1</v>
      </c>
      <c r="T1792" s="358" t="str">
        <f t="shared" si="101"/>
        <v>2004FemaleNon-Maori23Jumping from a high place</v>
      </c>
      <c r="U1792" s="360">
        <v>2004</v>
      </c>
      <c r="V1792" s="360" t="s">
        <v>8</v>
      </c>
      <c r="W1792" s="360" t="s">
        <v>19</v>
      </c>
      <c r="X1792" s="360">
        <v>23</v>
      </c>
      <c r="Y1792" s="360" t="s">
        <v>44</v>
      </c>
      <c r="Z1792" s="360">
        <v>1</v>
      </c>
      <c r="AA1792" s="360">
        <v>29</v>
      </c>
      <c r="AB1792" s="360">
        <v>3.4</v>
      </c>
    </row>
    <row r="1793" spans="10:28" x14ac:dyDescent="0.2">
      <c r="J1793" s="358" t="str">
        <f t="shared" si="100"/>
        <v>2005MaleNon-Maori235</v>
      </c>
      <c r="K1793" s="359">
        <v>2005</v>
      </c>
      <c r="L1793" t="s">
        <v>20</v>
      </c>
      <c r="M1793" t="s">
        <v>19</v>
      </c>
      <c r="N1793">
        <v>23</v>
      </c>
      <c r="O1793">
        <v>5</v>
      </c>
      <c r="P1793">
        <v>37</v>
      </c>
      <c r="Q1793">
        <v>49.105407412811203</v>
      </c>
      <c r="R1793">
        <v>15.8</v>
      </c>
      <c r="T1793" s="358" t="str">
        <f t="shared" si="101"/>
        <v>2004FemaleNon-Maori24Jumping from a high place</v>
      </c>
      <c r="U1793" s="360">
        <v>2004</v>
      </c>
      <c r="V1793" s="360" t="s">
        <v>8</v>
      </c>
      <c r="W1793" s="360" t="s">
        <v>19</v>
      </c>
      <c r="X1793" s="360">
        <v>24</v>
      </c>
      <c r="Y1793" s="360" t="s">
        <v>44</v>
      </c>
      <c r="Z1793" s="360">
        <v>2</v>
      </c>
      <c r="AA1793" s="360">
        <v>28</v>
      </c>
      <c r="AB1793" s="360">
        <v>7.1</v>
      </c>
    </row>
    <row r="1794" spans="10:28" x14ac:dyDescent="0.2">
      <c r="J1794" s="358" t="str">
        <f t="shared" si="100"/>
        <v>2005MaleNon-Maori241</v>
      </c>
      <c r="K1794" s="359">
        <v>2005</v>
      </c>
      <c r="L1794" t="s">
        <v>20</v>
      </c>
      <c r="M1794" t="s">
        <v>19</v>
      </c>
      <c r="N1794">
        <v>24</v>
      </c>
      <c r="O1794">
        <v>1</v>
      </c>
      <c r="P1794">
        <v>16</v>
      </c>
      <c r="Q1794">
        <v>13.6566802624943</v>
      </c>
      <c r="R1794">
        <v>6.7</v>
      </c>
      <c r="T1794" s="358" t="str">
        <f t="shared" si="101"/>
        <v>2004FemaleNon-Maori23Other</v>
      </c>
      <c r="U1794" s="360">
        <v>2004</v>
      </c>
      <c r="V1794" s="360" t="s">
        <v>8</v>
      </c>
      <c r="W1794" s="360" t="s">
        <v>19</v>
      </c>
      <c r="X1794" s="360">
        <v>23</v>
      </c>
      <c r="Y1794" s="360" t="s">
        <v>45</v>
      </c>
      <c r="Z1794" s="360">
        <v>3</v>
      </c>
      <c r="AA1794" s="360">
        <v>29</v>
      </c>
      <c r="AB1794" s="360">
        <v>10.3</v>
      </c>
    </row>
    <row r="1795" spans="10:28" x14ac:dyDescent="0.2">
      <c r="J1795" s="358" t="str">
        <f t="shared" si="100"/>
        <v>2005MaleNon-Maori242</v>
      </c>
      <c r="K1795" s="359">
        <v>2005</v>
      </c>
      <c r="L1795" t="s">
        <v>20</v>
      </c>
      <c r="M1795" t="s">
        <v>19</v>
      </c>
      <c r="N1795">
        <v>24</v>
      </c>
      <c r="O1795">
        <v>2</v>
      </c>
      <c r="P1795">
        <v>20</v>
      </c>
      <c r="Q1795">
        <v>19.9619773806957</v>
      </c>
      <c r="R1795">
        <v>8.6999999999999993</v>
      </c>
      <c r="T1795" s="358" t="str">
        <f t="shared" si="101"/>
        <v>2004FemaleNon-Maori24Other</v>
      </c>
      <c r="U1795" s="360">
        <v>2004</v>
      </c>
      <c r="V1795" s="360" t="s">
        <v>8</v>
      </c>
      <c r="W1795" s="360" t="s">
        <v>19</v>
      </c>
      <c r="X1795" s="360">
        <v>24</v>
      </c>
      <c r="Y1795" s="360" t="s">
        <v>45</v>
      </c>
      <c r="Z1795" s="360">
        <v>1</v>
      </c>
      <c r="AA1795" s="360">
        <v>28</v>
      </c>
      <c r="AB1795" s="360">
        <v>3.6</v>
      </c>
    </row>
    <row r="1796" spans="10:28" x14ac:dyDescent="0.2">
      <c r="J1796" s="358" t="str">
        <f t="shared" ref="J1796:J1859" si="102">K1796&amp;L1796&amp;M1796&amp;N1796&amp;O1796</f>
        <v>2005MaleNon-Maori243</v>
      </c>
      <c r="K1796" s="359">
        <v>2005</v>
      </c>
      <c r="L1796" t="s">
        <v>20</v>
      </c>
      <c r="M1796" t="s">
        <v>19</v>
      </c>
      <c r="N1796">
        <v>24</v>
      </c>
      <c r="O1796">
        <v>3</v>
      </c>
      <c r="P1796">
        <v>11</v>
      </c>
      <c r="Q1796">
        <v>12.760336095528601</v>
      </c>
      <c r="R1796">
        <v>7.5</v>
      </c>
      <c r="T1796" s="358" t="str">
        <f t="shared" si="101"/>
        <v>2004FemaleNon-Maori25Other</v>
      </c>
      <c r="U1796" s="360">
        <v>2004</v>
      </c>
      <c r="V1796" s="360" t="s">
        <v>8</v>
      </c>
      <c r="W1796" s="360" t="s">
        <v>19</v>
      </c>
      <c r="X1796" s="360">
        <v>25</v>
      </c>
      <c r="Y1796" s="360" t="s">
        <v>45</v>
      </c>
      <c r="Z1796" s="360">
        <v>1</v>
      </c>
      <c r="AA1796" s="360">
        <v>9</v>
      </c>
      <c r="AB1796" s="360">
        <v>11.1</v>
      </c>
    </row>
    <row r="1797" spans="10:28" x14ac:dyDescent="0.2">
      <c r="J1797" s="358" t="str">
        <f t="shared" si="102"/>
        <v>2005MaleNon-Maori244</v>
      </c>
      <c r="K1797" s="359">
        <v>2005</v>
      </c>
      <c r="L1797" t="s">
        <v>20</v>
      </c>
      <c r="M1797" t="s">
        <v>19</v>
      </c>
      <c r="N1797">
        <v>24</v>
      </c>
      <c r="O1797">
        <v>4</v>
      </c>
      <c r="P1797">
        <v>29</v>
      </c>
      <c r="Q1797">
        <v>39.118518374424198</v>
      </c>
      <c r="R1797">
        <v>14.2</v>
      </c>
      <c r="T1797" s="358" t="str">
        <f t="shared" ref="T1797:T1860" si="103">U1797&amp;V1797&amp;W1797&amp;X1797&amp;Y1797</f>
        <v>2004FemaleNon-Maori22Poisoning by gases and vapours</v>
      </c>
      <c r="U1797" s="360">
        <v>2004</v>
      </c>
      <c r="V1797" s="360" t="s">
        <v>8</v>
      </c>
      <c r="W1797" s="360" t="s">
        <v>19</v>
      </c>
      <c r="X1797" s="360">
        <v>22</v>
      </c>
      <c r="Y1797" s="360" t="s">
        <v>46</v>
      </c>
      <c r="Z1797" s="360">
        <v>2</v>
      </c>
      <c r="AA1797" s="360">
        <v>17</v>
      </c>
      <c r="AB1797" s="360">
        <v>11.8</v>
      </c>
    </row>
    <row r="1798" spans="10:28" x14ac:dyDescent="0.2">
      <c r="J1798" s="358" t="str">
        <f t="shared" si="102"/>
        <v>2005MaleNon-Maori245</v>
      </c>
      <c r="K1798" s="359">
        <v>2005</v>
      </c>
      <c r="L1798" t="s">
        <v>20</v>
      </c>
      <c r="M1798" t="s">
        <v>19</v>
      </c>
      <c r="N1798">
        <v>24</v>
      </c>
      <c r="O1798">
        <v>5</v>
      </c>
      <c r="P1798">
        <v>17</v>
      </c>
      <c r="Q1798">
        <v>30.247801563473502</v>
      </c>
      <c r="R1798">
        <v>14.4</v>
      </c>
      <c r="T1798" s="358" t="str">
        <f t="shared" si="103"/>
        <v>2004FemaleNon-Maori23Poisoning by gases and vapours</v>
      </c>
      <c r="U1798" s="360">
        <v>2004</v>
      </c>
      <c r="V1798" s="360" t="s">
        <v>8</v>
      </c>
      <c r="W1798" s="360" t="s">
        <v>19</v>
      </c>
      <c r="X1798" s="360">
        <v>23</v>
      </c>
      <c r="Y1798" s="360" t="s">
        <v>46</v>
      </c>
      <c r="Z1798" s="360">
        <v>8</v>
      </c>
      <c r="AA1798" s="360">
        <v>29</v>
      </c>
      <c r="AB1798" s="360">
        <v>27.6</v>
      </c>
    </row>
    <row r="1799" spans="10:28" x14ac:dyDescent="0.2">
      <c r="J1799" s="358" t="str">
        <f t="shared" si="102"/>
        <v>2005MaleNon-Maori251</v>
      </c>
      <c r="K1799" s="359">
        <v>2005</v>
      </c>
      <c r="L1799" t="s">
        <v>20</v>
      </c>
      <c r="M1799" t="s">
        <v>19</v>
      </c>
      <c r="N1799">
        <v>25</v>
      </c>
      <c r="O1799">
        <v>1</v>
      </c>
      <c r="P1799">
        <v>7</v>
      </c>
      <c r="Q1799">
        <v>15.520776012826399</v>
      </c>
      <c r="R1799">
        <v>11.5</v>
      </c>
      <c r="T1799" s="358" t="str">
        <f t="shared" si="103"/>
        <v>2004FemaleNon-Maori24Poisoning by gases and vapours</v>
      </c>
      <c r="U1799" s="360">
        <v>2004</v>
      </c>
      <c r="V1799" s="360" t="s">
        <v>8</v>
      </c>
      <c r="W1799" s="360" t="s">
        <v>19</v>
      </c>
      <c r="X1799" s="360">
        <v>24</v>
      </c>
      <c r="Y1799" s="360" t="s">
        <v>46</v>
      </c>
      <c r="Z1799" s="360">
        <v>2</v>
      </c>
      <c r="AA1799" s="360">
        <v>28</v>
      </c>
      <c r="AB1799" s="360">
        <v>7.1</v>
      </c>
    </row>
    <row r="1800" spans="10:28" x14ac:dyDescent="0.2">
      <c r="J1800" s="358" t="str">
        <f t="shared" si="102"/>
        <v>2005MaleNon-Maori252</v>
      </c>
      <c r="K1800" s="359">
        <v>2005</v>
      </c>
      <c r="L1800" t="s">
        <v>20</v>
      </c>
      <c r="M1800" t="s">
        <v>19</v>
      </c>
      <c r="N1800">
        <v>25</v>
      </c>
      <c r="O1800">
        <v>2</v>
      </c>
      <c r="P1800">
        <v>7</v>
      </c>
      <c r="Q1800">
        <v>15.4194964115985</v>
      </c>
      <c r="R1800">
        <v>11.4</v>
      </c>
      <c r="T1800" s="358" t="str">
        <f t="shared" si="103"/>
        <v>2004FemaleNon-Maori25Poisoning by gases and vapours</v>
      </c>
      <c r="U1800" s="360">
        <v>2004</v>
      </c>
      <c r="V1800" s="360" t="s">
        <v>8</v>
      </c>
      <c r="W1800" s="360" t="s">
        <v>19</v>
      </c>
      <c r="X1800" s="360">
        <v>25</v>
      </c>
      <c r="Y1800" s="360" t="s">
        <v>46</v>
      </c>
      <c r="Z1800" s="360">
        <v>1</v>
      </c>
      <c r="AA1800" s="360">
        <v>9</v>
      </c>
      <c r="AB1800" s="360">
        <v>11.1</v>
      </c>
    </row>
    <row r="1801" spans="10:28" x14ac:dyDescent="0.2">
      <c r="J1801" s="358" t="str">
        <f t="shared" si="102"/>
        <v>2005MaleNon-Maori253</v>
      </c>
      <c r="K1801" s="359">
        <v>2005</v>
      </c>
      <c r="L1801" t="s">
        <v>20</v>
      </c>
      <c r="M1801" t="s">
        <v>19</v>
      </c>
      <c r="N1801">
        <v>25</v>
      </c>
      <c r="O1801">
        <v>3</v>
      </c>
      <c r="P1801">
        <v>7</v>
      </c>
      <c r="Q1801">
        <v>15.4181411240321</v>
      </c>
      <c r="R1801">
        <v>11.4</v>
      </c>
      <c r="T1801" s="358" t="str">
        <f t="shared" si="103"/>
        <v>2004FemaleNon-Maori22Poisoning by solids and liquids</v>
      </c>
      <c r="U1801" s="360">
        <v>2004</v>
      </c>
      <c r="V1801" s="360" t="s">
        <v>8</v>
      </c>
      <c r="W1801" s="360" t="s">
        <v>19</v>
      </c>
      <c r="X1801" s="360">
        <v>22</v>
      </c>
      <c r="Y1801" s="360" t="s">
        <v>47</v>
      </c>
      <c r="Z1801" s="360">
        <v>2</v>
      </c>
      <c r="AA1801" s="360">
        <v>17</v>
      </c>
      <c r="AB1801" s="360">
        <v>11.8</v>
      </c>
    </row>
    <row r="1802" spans="10:28" x14ac:dyDescent="0.2">
      <c r="J1802" s="358" t="str">
        <f t="shared" si="102"/>
        <v>2005MaleNon-Maori254</v>
      </c>
      <c r="K1802" s="359">
        <v>2005</v>
      </c>
      <c r="L1802" t="s">
        <v>20</v>
      </c>
      <c r="M1802" t="s">
        <v>19</v>
      </c>
      <c r="N1802">
        <v>25</v>
      </c>
      <c r="O1802">
        <v>4</v>
      </c>
      <c r="P1802">
        <v>5</v>
      </c>
      <c r="Q1802">
        <v>11.6605785616049</v>
      </c>
      <c r="R1802">
        <v>10.199999999999999</v>
      </c>
      <c r="T1802" s="358" t="str">
        <f t="shared" si="103"/>
        <v>2004FemaleNon-Maori23Poisoning by solids and liquids</v>
      </c>
      <c r="U1802" s="360">
        <v>2004</v>
      </c>
      <c r="V1802" s="360" t="s">
        <v>8</v>
      </c>
      <c r="W1802" s="360" t="s">
        <v>19</v>
      </c>
      <c r="X1802" s="360">
        <v>23</v>
      </c>
      <c r="Y1802" s="360" t="s">
        <v>47</v>
      </c>
      <c r="Z1802" s="360">
        <v>6</v>
      </c>
      <c r="AA1802" s="360">
        <v>29</v>
      </c>
      <c r="AB1802" s="360">
        <v>20.7</v>
      </c>
    </row>
    <row r="1803" spans="10:28" x14ac:dyDescent="0.2">
      <c r="J1803" s="358" t="str">
        <f t="shared" si="102"/>
        <v>2005MaleNon-Maori255</v>
      </c>
      <c r="K1803" s="359">
        <v>2005</v>
      </c>
      <c r="L1803" t="s">
        <v>20</v>
      </c>
      <c r="M1803" t="s">
        <v>19</v>
      </c>
      <c r="N1803">
        <v>25</v>
      </c>
      <c r="O1803">
        <v>5</v>
      </c>
      <c r="P1803">
        <v>2</v>
      </c>
      <c r="Q1803">
        <v>6.44091115441742</v>
      </c>
      <c r="R1803">
        <v>8.9</v>
      </c>
      <c r="T1803" s="358" t="str">
        <f t="shared" si="103"/>
        <v>2004FemaleNon-Maori24Poisoning by solids and liquids</v>
      </c>
      <c r="U1803" s="360">
        <v>2004</v>
      </c>
      <c r="V1803" s="360" t="s">
        <v>8</v>
      </c>
      <c r="W1803" s="360" t="s">
        <v>19</v>
      </c>
      <c r="X1803" s="360">
        <v>24</v>
      </c>
      <c r="Y1803" s="360" t="s">
        <v>47</v>
      </c>
      <c r="Z1803" s="360">
        <v>8</v>
      </c>
      <c r="AA1803" s="360">
        <v>28</v>
      </c>
      <c r="AB1803" s="360">
        <v>28.6</v>
      </c>
    </row>
    <row r="1804" spans="10:28" x14ac:dyDescent="0.2">
      <c r="J1804" s="358" t="str">
        <f t="shared" si="102"/>
        <v>2006AllSexAllEth211</v>
      </c>
      <c r="K1804" s="359">
        <v>2006</v>
      </c>
      <c r="L1804" t="s">
        <v>17</v>
      </c>
      <c r="M1804" t="s">
        <v>27</v>
      </c>
      <c r="N1804">
        <v>21</v>
      </c>
      <c r="O1804">
        <v>1</v>
      </c>
      <c r="P1804">
        <v>1</v>
      </c>
      <c r="T1804" s="358" t="str">
        <f t="shared" si="103"/>
        <v>2004FemaleNon-Maori25Poisoning by solids and liquids</v>
      </c>
      <c r="U1804" s="360">
        <v>2004</v>
      </c>
      <c r="V1804" s="360" t="s">
        <v>8</v>
      </c>
      <c r="W1804" s="360" t="s">
        <v>19</v>
      </c>
      <c r="X1804" s="360">
        <v>25</v>
      </c>
      <c r="Y1804" s="360" t="s">
        <v>47</v>
      </c>
      <c r="Z1804" s="360">
        <v>5</v>
      </c>
      <c r="AA1804" s="360">
        <v>9</v>
      </c>
      <c r="AB1804" s="360">
        <v>55.6</v>
      </c>
    </row>
    <row r="1805" spans="10:28" x14ac:dyDescent="0.2">
      <c r="J1805" s="358" t="str">
        <f t="shared" si="102"/>
        <v>2006AllSexAllEth212</v>
      </c>
      <c r="K1805" s="359">
        <v>2006</v>
      </c>
      <c r="L1805" t="s">
        <v>17</v>
      </c>
      <c r="M1805" t="s">
        <v>27</v>
      </c>
      <c r="N1805">
        <v>21</v>
      </c>
      <c r="O1805">
        <v>2</v>
      </c>
      <c r="P1805">
        <v>1</v>
      </c>
      <c r="T1805" s="358" t="str">
        <f t="shared" si="103"/>
        <v>2004FemaleNon-Maori24Sharp object</v>
      </c>
      <c r="U1805" s="360">
        <v>2004</v>
      </c>
      <c r="V1805" s="360" t="s">
        <v>8</v>
      </c>
      <c r="W1805" s="360" t="s">
        <v>19</v>
      </c>
      <c r="X1805" s="360">
        <v>24</v>
      </c>
      <c r="Y1805" s="360" t="s">
        <v>48</v>
      </c>
      <c r="Z1805" s="360">
        <v>1</v>
      </c>
      <c r="AA1805" s="360">
        <v>28</v>
      </c>
      <c r="AB1805" s="360">
        <v>3.6</v>
      </c>
    </row>
    <row r="1806" spans="10:28" x14ac:dyDescent="0.2">
      <c r="J1806" s="358" t="str">
        <f t="shared" si="102"/>
        <v>2006AllSexAllEth213</v>
      </c>
      <c r="K1806" s="359">
        <v>2006</v>
      </c>
      <c r="L1806" t="s">
        <v>17</v>
      </c>
      <c r="M1806" t="s">
        <v>27</v>
      </c>
      <c r="N1806">
        <v>21</v>
      </c>
      <c r="O1806">
        <v>3</v>
      </c>
      <c r="P1806">
        <v>1</v>
      </c>
      <c r="T1806" s="358" t="str">
        <f t="shared" si="103"/>
        <v>2004FemaleNon-Maori23Submersion (drowning)</v>
      </c>
      <c r="U1806" s="360">
        <v>2004</v>
      </c>
      <c r="V1806" s="360" t="s">
        <v>8</v>
      </c>
      <c r="W1806" s="360" t="s">
        <v>19</v>
      </c>
      <c r="X1806" s="360">
        <v>23</v>
      </c>
      <c r="Y1806" s="360" t="s">
        <v>49</v>
      </c>
      <c r="Z1806" s="360">
        <v>1</v>
      </c>
      <c r="AA1806" s="360">
        <v>29</v>
      </c>
      <c r="AB1806" s="360">
        <v>3.4</v>
      </c>
    </row>
    <row r="1807" spans="10:28" x14ac:dyDescent="0.2">
      <c r="J1807" s="358" t="str">
        <f t="shared" si="102"/>
        <v>2006AllSexAllEth214</v>
      </c>
      <c r="K1807" s="359">
        <v>2006</v>
      </c>
      <c r="L1807" t="s">
        <v>17</v>
      </c>
      <c r="M1807" t="s">
        <v>27</v>
      </c>
      <c r="N1807">
        <v>21</v>
      </c>
      <c r="O1807">
        <v>4</v>
      </c>
      <c r="P1807">
        <v>1</v>
      </c>
      <c r="T1807" s="358" t="str">
        <f t="shared" si="103"/>
        <v>2004FemaleNon-Maori24Submersion (drowning)</v>
      </c>
      <c r="U1807" s="360">
        <v>2004</v>
      </c>
      <c r="V1807" s="360" t="s">
        <v>8</v>
      </c>
      <c r="W1807" s="360" t="s">
        <v>19</v>
      </c>
      <c r="X1807" s="360">
        <v>24</v>
      </c>
      <c r="Y1807" s="360" t="s">
        <v>49</v>
      </c>
      <c r="Z1807" s="360">
        <v>1</v>
      </c>
      <c r="AA1807" s="360">
        <v>28</v>
      </c>
      <c r="AB1807" s="360">
        <v>3.6</v>
      </c>
    </row>
    <row r="1808" spans="10:28" x14ac:dyDescent="0.2">
      <c r="J1808" s="358" t="str">
        <f t="shared" si="102"/>
        <v>2006AllSexAllEth215</v>
      </c>
      <c r="K1808" s="359">
        <v>2006</v>
      </c>
      <c r="L1808" t="s">
        <v>17</v>
      </c>
      <c r="M1808" t="s">
        <v>27</v>
      </c>
      <c r="N1808">
        <v>21</v>
      </c>
      <c r="O1808">
        <v>5</v>
      </c>
      <c r="P1808">
        <v>2</v>
      </c>
      <c r="T1808" s="358" t="str">
        <f t="shared" si="103"/>
        <v>2004MaleAllEth21Firearms and explosives</v>
      </c>
      <c r="U1808" s="360">
        <v>2004</v>
      </c>
      <c r="V1808" s="360" t="s">
        <v>20</v>
      </c>
      <c r="W1808" s="360" t="s">
        <v>27</v>
      </c>
      <c r="X1808" s="360">
        <v>21</v>
      </c>
      <c r="Y1808" s="360" t="s">
        <v>42</v>
      </c>
      <c r="Z1808" s="360">
        <v>2</v>
      </c>
      <c r="AA1808" s="360">
        <v>4</v>
      </c>
      <c r="AB1808" s="360">
        <v>50</v>
      </c>
    </row>
    <row r="1809" spans="10:28" x14ac:dyDescent="0.2">
      <c r="J1809" s="358" t="str">
        <f t="shared" si="102"/>
        <v>2006AllSexAllEth221</v>
      </c>
      <c r="K1809" s="359">
        <v>2006</v>
      </c>
      <c r="L1809" t="s">
        <v>17</v>
      </c>
      <c r="M1809" t="s">
        <v>27</v>
      </c>
      <c r="N1809">
        <v>22</v>
      </c>
      <c r="O1809">
        <v>1</v>
      </c>
      <c r="P1809">
        <v>14</v>
      </c>
      <c r="Q1809">
        <v>13.777404864683101</v>
      </c>
      <c r="R1809">
        <v>7.2</v>
      </c>
      <c r="T1809" s="358" t="str">
        <f t="shared" si="103"/>
        <v>2004MaleAllEth22Firearms and explosives</v>
      </c>
      <c r="U1809" s="360">
        <v>2004</v>
      </c>
      <c r="V1809" s="360" t="s">
        <v>20</v>
      </c>
      <c r="W1809" s="360" t="s">
        <v>27</v>
      </c>
      <c r="X1809" s="360">
        <v>22</v>
      </c>
      <c r="Y1809" s="360" t="s">
        <v>42</v>
      </c>
      <c r="Z1809" s="360">
        <v>2</v>
      </c>
      <c r="AA1809" s="360">
        <v>83</v>
      </c>
      <c r="AB1809" s="360">
        <v>2.4</v>
      </c>
    </row>
    <row r="1810" spans="10:28" x14ac:dyDescent="0.2">
      <c r="J1810" s="358" t="str">
        <f t="shared" si="102"/>
        <v>2006AllSexAllEth222</v>
      </c>
      <c r="K1810" s="359">
        <v>2006</v>
      </c>
      <c r="L1810" t="s">
        <v>17</v>
      </c>
      <c r="M1810" t="s">
        <v>27</v>
      </c>
      <c r="N1810">
        <v>22</v>
      </c>
      <c r="O1810">
        <v>2</v>
      </c>
      <c r="P1810">
        <v>15</v>
      </c>
      <c r="Q1810">
        <v>13.869924506774399</v>
      </c>
      <c r="R1810">
        <v>7</v>
      </c>
      <c r="T1810" s="358" t="str">
        <f t="shared" si="103"/>
        <v>2004MaleAllEth23Firearms and explosives</v>
      </c>
      <c r="U1810" s="360">
        <v>2004</v>
      </c>
      <c r="V1810" s="360" t="s">
        <v>20</v>
      </c>
      <c r="W1810" s="360" t="s">
        <v>27</v>
      </c>
      <c r="X1810" s="360">
        <v>23</v>
      </c>
      <c r="Y1810" s="360" t="s">
        <v>42</v>
      </c>
      <c r="Z1810" s="360">
        <v>9</v>
      </c>
      <c r="AA1810" s="360">
        <v>161</v>
      </c>
      <c r="AB1810" s="360">
        <v>5.6</v>
      </c>
    </row>
    <row r="1811" spans="10:28" x14ac:dyDescent="0.2">
      <c r="J1811" s="358" t="str">
        <f t="shared" si="102"/>
        <v>2006AllSexAllEth223</v>
      </c>
      <c r="K1811" s="359">
        <v>2006</v>
      </c>
      <c r="L1811" t="s">
        <v>17</v>
      </c>
      <c r="M1811" t="s">
        <v>27</v>
      </c>
      <c r="N1811">
        <v>22</v>
      </c>
      <c r="O1811">
        <v>3</v>
      </c>
      <c r="P1811">
        <v>20</v>
      </c>
      <c r="Q1811">
        <v>17.100096928548201</v>
      </c>
      <c r="R1811">
        <v>7.5</v>
      </c>
      <c r="T1811" s="358" t="str">
        <f t="shared" si="103"/>
        <v>2004MaleAllEth24Firearms and explosives</v>
      </c>
      <c r="U1811" s="360">
        <v>2004</v>
      </c>
      <c r="V1811" s="360" t="s">
        <v>20</v>
      </c>
      <c r="W1811" s="360" t="s">
        <v>27</v>
      </c>
      <c r="X1811" s="360">
        <v>24</v>
      </c>
      <c r="Y1811" s="360" t="s">
        <v>42</v>
      </c>
      <c r="Z1811" s="360">
        <v>16</v>
      </c>
      <c r="AA1811" s="360">
        <v>88</v>
      </c>
      <c r="AB1811" s="360">
        <v>18.2</v>
      </c>
    </row>
    <row r="1812" spans="10:28" x14ac:dyDescent="0.2">
      <c r="J1812" s="358" t="str">
        <f t="shared" si="102"/>
        <v>2006AllSexAllEth224</v>
      </c>
      <c r="K1812" s="359">
        <v>2006</v>
      </c>
      <c r="L1812" t="s">
        <v>17</v>
      </c>
      <c r="M1812" t="s">
        <v>27</v>
      </c>
      <c r="N1812">
        <v>22</v>
      </c>
      <c r="O1812">
        <v>4</v>
      </c>
      <c r="P1812">
        <v>26</v>
      </c>
      <c r="Q1812">
        <v>20.250110691416801</v>
      </c>
      <c r="R1812">
        <v>7.8</v>
      </c>
      <c r="T1812" s="358" t="str">
        <f t="shared" si="103"/>
        <v>2004MaleAllEth25Firearms and explosives</v>
      </c>
      <c r="U1812" s="360">
        <v>2004</v>
      </c>
      <c r="V1812" s="360" t="s">
        <v>20</v>
      </c>
      <c r="W1812" s="360" t="s">
        <v>27</v>
      </c>
      <c r="X1812" s="360">
        <v>25</v>
      </c>
      <c r="Y1812" s="360" t="s">
        <v>42</v>
      </c>
      <c r="Z1812" s="360">
        <v>8</v>
      </c>
      <c r="AA1812" s="360">
        <v>46</v>
      </c>
      <c r="AB1812" s="360">
        <v>17.399999999999999</v>
      </c>
    </row>
    <row r="1813" spans="10:28" x14ac:dyDescent="0.2">
      <c r="J1813" s="358" t="str">
        <f t="shared" si="102"/>
        <v>2006AllSexAllEth225</v>
      </c>
      <c r="K1813" s="359">
        <v>2006</v>
      </c>
      <c r="L1813" t="s">
        <v>17</v>
      </c>
      <c r="M1813" t="s">
        <v>27</v>
      </c>
      <c r="N1813">
        <v>22</v>
      </c>
      <c r="O1813">
        <v>5</v>
      </c>
      <c r="P1813">
        <v>36</v>
      </c>
      <c r="Q1813">
        <v>24.0603246091591</v>
      </c>
      <c r="R1813">
        <v>7.9</v>
      </c>
      <c r="T1813" s="358" t="str">
        <f t="shared" si="103"/>
        <v>2004MaleAllEth21Hanging, strangulation and suffocation</v>
      </c>
      <c r="U1813" s="360">
        <v>2004</v>
      </c>
      <c r="V1813" s="360" t="s">
        <v>20</v>
      </c>
      <c r="W1813" s="360" t="s">
        <v>27</v>
      </c>
      <c r="X1813" s="360">
        <v>21</v>
      </c>
      <c r="Y1813" s="360" t="s">
        <v>43</v>
      </c>
      <c r="Z1813" s="360">
        <v>2</v>
      </c>
      <c r="AA1813" s="360">
        <v>4</v>
      </c>
      <c r="AB1813" s="360">
        <v>50</v>
      </c>
    </row>
    <row r="1814" spans="10:28" x14ac:dyDescent="0.2">
      <c r="J1814" s="358" t="str">
        <f t="shared" si="102"/>
        <v>2006AllSexAllEth231</v>
      </c>
      <c r="K1814" s="359">
        <v>2006</v>
      </c>
      <c r="L1814" t="s">
        <v>17</v>
      </c>
      <c r="M1814" t="s">
        <v>27</v>
      </c>
      <c r="N1814">
        <v>23</v>
      </c>
      <c r="O1814">
        <v>1</v>
      </c>
      <c r="P1814">
        <v>22</v>
      </c>
      <c r="Q1814">
        <v>9.5047540081629904</v>
      </c>
      <c r="R1814">
        <v>4</v>
      </c>
      <c r="T1814" s="358" t="str">
        <f t="shared" si="103"/>
        <v>2004MaleAllEth22Hanging, strangulation and suffocation</v>
      </c>
      <c r="U1814" s="360">
        <v>2004</v>
      </c>
      <c r="V1814" s="360" t="s">
        <v>20</v>
      </c>
      <c r="W1814" s="360" t="s">
        <v>27</v>
      </c>
      <c r="X1814" s="360">
        <v>22</v>
      </c>
      <c r="Y1814" s="360" t="s">
        <v>43</v>
      </c>
      <c r="Z1814" s="360">
        <v>60</v>
      </c>
      <c r="AA1814" s="360">
        <v>83</v>
      </c>
      <c r="AB1814" s="360">
        <v>72.3</v>
      </c>
    </row>
    <row r="1815" spans="10:28" x14ac:dyDescent="0.2">
      <c r="J1815" s="358" t="str">
        <f t="shared" si="102"/>
        <v>2006AllSexAllEth232</v>
      </c>
      <c r="K1815" s="359">
        <v>2006</v>
      </c>
      <c r="L1815" t="s">
        <v>17</v>
      </c>
      <c r="M1815" t="s">
        <v>27</v>
      </c>
      <c r="N1815">
        <v>23</v>
      </c>
      <c r="O1815">
        <v>2</v>
      </c>
      <c r="P1815">
        <v>32</v>
      </c>
      <c r="Q1815">
        <v>13.1507001589565</v>
      </c>
      <c r="R1815">
        <v>4.5999999999999996</v>
      </c>
      <c r="T1815" s="358" t="str">
        <f t="shared" si="103"/>
        <v>2004MaleAllEth23Hanging, strangulation and suffocation</v>
      </c>
      <c r="U1815" s="360">
        <v>2004</v>
      </c>
      <c r="V1815" s="360" t="s">
        <v>20</v>
      </c>
      <c r="W1815" s="360" t="s">
        <v>27</v>
      </c>
      <c r="X1815" s="360">
        <v>23</v>
      </c>
      <c r="Y1815" s="360" t="s">
        <v>43</v>
      </c>
      <c r="Z1815" s="360">
        <v>101</v>
      </c>
      <c r="AA1815" s="360">
        <v>161</v>
      </c>
      <c r="AB1815" s="360">
        <v>62.7</v>
      </c>
    </row>
    <row r="1816" spans="10:28" x14ac:dyDescent="0.2">
      <c r="J1816" s="358" t="str">
        <f t="shared" si="102"/>
        <v>2006AllSexAllEth233</v>
      </c>
      <c r="K1816" s="359">
        <v>2006</v>
      </c>
      <c r="L1816" t="s">
        <v>17</v>
      </c>
      <c r="M1816" t="s">
        <v>27</v>
      </c>
      <c r="N1816">
        <v>23</v>
      </c>
      <c r="O1816">
        <v>3</v>
      </c>
      <c r="P1816">
        <v>34</v>
      </c>
      <c r="Q1816">
        <v>13.9723083636888</v>
      </c>
      <c r="R1816">
        <v>4.7</v>
      </c>
      <c r="T1816" s="358" t="str">
        <f t="shared" si="103"/>
        <v>2004MaleAllEth24Hanging, strangulation and suffocation</v>
      </c>
      <c r="U1816" s="360">
        <v>2004</v>
      </c>
      <c r="V1816" s="360" t="s">
        <v>20</v>
      </c>
      <c r="W1816" s="360" t="s">
        <v>27</v>
      </c>
      <c r="X1816" s="360">
        <v>24</v>
      </c>
      <c r="Y1816" s="360" t="s">
        <v>43</v>
      </c>
      <c r="Z1816" s="360">
        <v>32</v>
      </c>
      <c r="AA1816" s="360">
        <v>88</v>
      </c>
      <c r="AB1816" s="360">
        <v>36.4</v>
      </c>
    </row>
    <row r="1817" spans="10:28" x14ac:dyDescent="0.2">
      <c r="J1817" s="358" t="str">
        <f t="shared" si="102"/>
        <v>2006AllSexAllEth234</v>
      </c>
      <c r="K1817" s="359">
        <v>2006</v>
      </c>
      <c r="L1817" t="s">
        <v>17</v>
      </c>
      <c r="M1817" t="s">
        <v>27</v>
      </c>
      <c r="N1817">
        <v>23</v>
      </c>
      <c r="O1817">
        <v>4</v>
      </c>
      <c r="P1817">
        <v>41</v>
      </c>
      <c r="Q1817">
        <v>17.1654216466126</v>
      </c>
      <c r="R1817">
        <v>5.3</v>
      </c>
      <c r="T1817" s="358" t="str">
        <f t="shared" si="103"/>
        <v>2004MaleAllEth25Hanging, strangulation and suffocation</v>
      </c>
      <c r="U1817" s="360">
        <v>2004</v>
      </c>
      <c r="V1817" s="360" t="s">
        <v>20</v>
      </c>
      <c r="W1817" s="360" t="s">
        <v>27</v>
      </c>
      <c r="X1817" s="360">
        <v>25</v>
      </c>
      <c r="Y1817" s="360" t="s">
        <v>43</v>
      </c>
      <c r="Z1817" s="360">
        <v>16</v>
      </c>
      <c r="AA1817" s="360">
        <v>46</v>
      </c>
      <c r="AB1817" s="360">
        <v>34.799999999999997</v>
      </c>
    </row>
    <row r="1818" spans="10:28" x14ac:dyDescent="0.2">
      <c r="J1818" s="358" t="str">
        <f t="shared" si="102"/>
        <v>2006AllSexAllEth235</v>
      </c>
      <c r="K1818" s="359">
        <v>2006</v>
      </c>
      <c r="L1818" t="s">
        <v>17</v>
      </c>
      <c r="M1818" t="s">
        <v>27</v>
      </c>
      <c r="N1818">
        <v>23</v>
      </c>
      <c r="O1818">
        <v>5</v>
      </c>
      <c r="P1818">
        <v>70</v>
      </c>
      <c r="Q1818">
        <v>31.1878582508776</v>
      </c>
      <c r="R1818">
        <v>7.3</v>
      </c>
      <c r="T1818" s="358" t="str">
        <f t="shared" si="103"/>
        <v>2004MaleAllEth22Jumping from a high place</v>
      </c>
      <c r="U1818" s="360">
        <v>2004</v>
      </c>
      <c r="V1818" s="360" t="s">
        <v>20</v>
      </c>
      <c r="W1818" s="360" t="s">
        <v>27</v>
      </c>
      <c r="X1818" s="360">
        <v>22</v>
      </c>
      <c r="Y1818" s="360" t="s">
        <v>44</v>
      </c>
      <c r="Z1818" s="360">
        <v>1</v>
      </c>
      <c r="AA1818" s="360">
        <v>83</v>
      </c>
      <c r="AB1818" s="360">
        <v>1.2</v>
      </c>
    </row>
    <row r="1819" spans="10:28" x14ac:dyDescent="0.2">
      <c r="J1819" s="358" t="str">
        <f t="shared" si="102"/>
        <v>2006AllSexAllEth241</v>
      </c>
      <c r="K1819" s="359">
        <v>2006</v>
      </c>
      <c r="L1819" t="s">
        <v>17</v>
      </c>
      <c r="M1819" t="s">
        <v>27</v>
      </c>
      <c r="N1819">
        <v>24</v>
      </c>
      <c r="O1819">
        <v>1</v>
      </c>
      <c r="P1819">
        <v>21</v>
      </c>
      <c r="Q1819">
        <v>8.5247018863974802</v>
      </c>
      <c r="R1819">
        <v>3.6</v>
      </c>
      <c r="T1819" s="358" t="str">
        <f t="shared" si="103"/>
        <v>2004MaleAllEth23Jumping from a high place</v>
      </c>
      <c r="U1819" s="360">
        <v>2004</v>
      </c>
      <c r="V1819" s="360" t="s">
        <v>20</v>
      </c>
      <c r="W1819" s="360" t="s">
        <v>27</v>
      </c>
      <c r="X1819" s="360">
        <v>23</v>
      </c>
      <c r="Y1819" s="360" t="s">
        <v>44</v>
      </c>
      <c r="Z1819" s="360">
        <v>1</v>
      </c>
      <c r="AA1819" s="360">
        <v>161</v>
      </c>
      <c r="AB1819" s="360">
        <v>0.6</v>
      </c>
    </row>
    <row r="1820" spans="10:28" x14ac:dyDescent="0.2">
      <c r="J1820" s="358" t="str">
        <f t="shared" si="102"/>
        <v>2006AllSexAllEth242</v>
      </c>
      <c r="K1820" s="359">
        <v>2006</v>
      </c>
      <c r="L1820" t="s">
        <v>17</v>
      </c>
      <c r="M1820" t="s">
        <v>27</v>
      </c>
      <c r="N1820">
        <v>24</v>
      </c>
      <c r="O1820">
        <v>2</v>
      </c>
      <c r="P1820">
        <v>27</v>
      </c>
      <c r="Q1820">
        <v>12.4153183119709</v>
      </c>
      <c r="R1820">
        <v>4.7</v>
      </c>
      <c r="T1820" s="358" t="str">
        <f t="shared" si="103"/>
        <v>2004MaleAllEth24Jumping from a high place</v>
      </c>
      <c r="U1820" s="360">
        <v>2004</v>
      </c>
      <c r="V1820" s="360" t="s">
        <v>20</v>
      </c>
      <c r="W1820" s="360" t="s">
        <v>27</v>
      </c>
      <c r="X1820" s="360">
        <v>24</v>
      </c>
      <c r="Y1820" s="360" t="s">
        <v>44</v>
      </c>
      <c r="Z1820" s="360">
        <v>2</v>
      </c>
      <c r="AA1820" s="360">
        <v>88</v>
      </c>
      <c r="AB1820" s="360">
        <v>2.2999999999999998</v>
      </c>
    </row>
    <row r="1821" spans="10:28" x14ac:dyDescent="0.2">
      <c r="J1821" s="358" t="str">
        <f t="shared" si="102"/>
        <v>2006AllSexAllEth243</v>
      </c>
      <c r="K1821" s="359">
        <v>2006</v>
      </c>
      <c r="L1821" t="s">
        <v>17</v>
      </c>
      <c r="M1821" t="s">
        <v>27</v>
      </c>
      <c r="N1821">
        <v>24</v>
      </c>
      <c r="O1821">
        <v>3</v>
      </c>
      <c r="P1821">
        <v>32</v>
      </c>
      <c r="Q1821">
        <v>16.3227902507615</v>
      </c>
      <c r="R1821">
        <v>5.7</v>
      </c>
      <c r="T1821" s="358" t="str">
        <f t="shared" si="103"/>
        <v>2004MaleAllEth25Jumping from a high place</v>
      </c>
      <c r="U1821" s="360">
        <v>2004</v>
      </c>
      <c r="V1821" s="360" t="s">
        <v>20</v>
      </c>
      <c r="W1821" s="360" t="s">
        <v>27</v>
      </c>
      <c r="X1821" s="360">
        <v>25</v>
      </c>
      <c r="Y1821" s="360" t="s">
        <v>44</v>
      </c>
      <c r="Z1821" s="360">
        <v>3</v>
      </c>
      <c r="AA1821" s="360">
        <v>46</v>
      </c>
      <c r="AB1821" s="360">
        <v>6.5</v>
      </c>
    </row>
    <row r="1822" spans="10:28" x14ac:dyDescent="0.2">
      <c r="J1822" s="358" t="str">
        <f t="shared" si="102"/>
        <v>2006AllSexAllEth244</v>
      </c>
      <c r="K1822" s="359">
        <v>2006</v>
      </c>
      <c r="L1822" t="s">
        <v>17</v>
      </c>
      <c r="M1822" t="s">
        <v>27</v>
      </c>
      <c r="N1822">
        <v>24</v>
      </c>
      <c r="O1822">
        <v>4</v>
      </c>
      <c r="P1822">
        <v>24</v>
      </c>
      <c r="Q1822">
        <v>13.3944607096868</v>
      </c>
      <c r="R1822">
        <v>5.4</v>
      </c>
      <c r="T1822" s="358" t="str">
        <f t="shared" si="103"/>
        <v>2004MaleAllEth22Other</v>
      </c>
      <c r="U1822" s="360">
        <v>2004</v>
      </c>
      <c r="V1822" s="360" t="s">
        <v>20</v>
      </c>
      <c r="W1822" s="360" t="s">
        <v>27</v>
      </c>
      <c r="X1822" s="360">
        <v>22</v>
      </c>
      <c r="Y1822" s="360" t="s">
        <v>45</v>
      </c>
      <c r="Z1822" s="360">
        <v>1</v>
      </c>
      <c r="AA1822" s="360">
        <v>83</v>
      </c>
      <c r="AB1822" s="360">
        <v>1.2</v>
      </c>
    </row>
    <row r="1823" spans="10:28" x14ac:dyDescent="0.2">
      <c r="J1823" s="358" t="str">
        <f t="shared" si="102"/>
        <v>2006AllSexAllEth245</v>
      </c>
      <c r="K1823" s="359">
        <v>2006</v>
      </c>
      <c r="L1823" t="s">
        <v>17</v>
      </c>
      <c r="M1823" t="s">
        <v>27</v>
      </c>
      <c r="N1823">
        <v>24</v>
      </c>
      <c r="O1823">
        <v>5</v>
      </c>
      <c r="P1823">
        <v>31</v>
      </c>
      <c r="Q1823">
        <v>19.4430096494523</v>
      </c>
      <c r="R1823">
        <v>6.8</v>
      </c>
      <c r="T1823" s="358" t="str">
        <f t="shared" si="103"/>
        <v>2004MaleAllEth23Other</v>
      </c>
      <c r="U1823" s="360">
        <v>2004</v>
      </c>
      <c r="V1823" s="360" t="s">
        <v>20</v>
      </c>
      <c r="W1823" s="360" t="s">
        <v>27</v>
      </c>
      <c r="X1823" s="360">
        <v>23</v>
      </c>
      <c r="Y1823" s="360" t="s">
        <v>45</v>
      </c>
      <c r="Z1823" s="360">
        <v>3</v>
      </c>
      <c r="AA1823" s="360">
        <v>161</v>
      </c>
      <c r="AB1823" s="360">
        <v>1.9</v>
      </c>
    </row>
    <row r="1824" spans="10:28" x14ac:dyDescent="0.2">
      <c r="J1824" s="358" t="str">
        <f t="shared" si="102"/>
        <v>2006AllSexAllEth251</v>
      </c>
      <c r="K1824" s="359">
        <v>2006</v>
      </c>
      <c r="L1824" t="s">
        <v>17</v>
      </c>
      <c r="M1824" t="s">
        <v>27</v>
      </c>
      <c r="N1824">
        <v>25</v>
      </c>
      <c r="O1824">
        <v>1</v>
      </c>
      <c r="P1824">
        <v>9</v>
      </c>
      <c r="Q1824">
        <v>9.1592642759985594</v>
      </c>
      <c r="R1824">
        <v>6</v>
      </c>
      <c r="T1824" s="358" t="str">
        <f t="shared" si="103"/>
        <v>2004MaleAllEth24Other</v>
      </c>
      <c r="U1824" s="360">
        <v>2004</v>
      </c>
      <c r="V1824" s="360" t="s">
        <v>20</v>
      </c>
      <c r="W1824" s="360" t="s">
        <v>27</v>
      </c>
      <c r="X1824" s="360">
        <v>24</v>
      </c>
      <c r="Y1824" s="360" t="s">
        <v>45</v>
      </c>
      <c r="Z1824" s="360">
        <v>6</v>
      </c>
      <c r="AA1824" s="360">
        <v>88</v>
      </c>
      <c r="AB1824" s="360">
        <v>6.8</v>
      </c>
    </row>
    <row r="1825" spans="10:28" x14ac:dyDescent="0.2">
      <c r="J1825" s="358" t="str">
        <f t="shared" si="102"/>
        <v>2006AllSexAllEth252</v>
      </c>
      <c r="K1825" s="359">
        <v>2006</v>
      </c>
      <c r="L1825" t="s">
        <v>17</v>
      </c>
      <c r="M1825" t="s">
        <v>27</v>
      </c>
      <c r="N1825">
        <v>25</v>
      </c>
      <c r="O1825">
        <v>2</v>
      </c>
      <c r="P1825">
        <v>14</v>
      </c>
      <c r="Q1825">
        <v>13.2762762397857</v>
      </c>
      <c r="R1825">
        <v>7</v>
      </c>
      <c r="T1825" s="358" t="str">
        <f t="shared" si="103"/>
        <v>2004MaleAllEth22Poisoning by gases and vapours</v>
      </c>
      <c r="U1825" s="360">
        <v>2004</v>
      </c>
      <c r="V1825" s="360" t="s">
        <v>20</v>
      </c>
      <c r="W1825" s="360" t="s">
        <v>27</v>
      </c>
      <c r="X1825" s="360">
        <v>22</v>
      </c>
      <c r="Y1825" s="360" t="s">
        <v>46</v>
      </c>
      <c r="Z1825" s="360">
        <v>14</v>
      </c>
      <c r="AA1825" s="360">
        <v>83</v>
      </c>
      <c r="AB1825" s="360">
        <v>16.899999999999999</v>
      </c>
    </row>
    <row r="1826" spans="10:28" x14ac:dyDescent="0.2">
      <c r="J1826" s="358" t="str">
        <f t="shared" si="102"/>
        <v>2006AllSexAllEth253</v>
      </c>
      <c r="K1826" s="359">
        <v>2006</v>
      </c>
      <c r="L1826" t="s">
        <v>17</v>
      </c>
      <c r="M1826" t="s">
        <v>27</v>
      </c>
      <c r="N1826">
        <v>25</v>
      </c>
      <c r="O1826">
        <v>3</v>
      </c>
      <c r="P1826">
        <v>9</v>
      </c>
      <c r="Q1826">
        <v>8.1719220241008195</v>
      </c>
      <c r="R1826">
        <v>5.3</v>
      </c>
      <c r="T1826" s="358" t="str">
        <f t="shared" si="103"/>
        <v>2004MaleAllEth23Poisoning by gases and vapours</v>
      </c>
      <c r="U1826" s="360">
        <v>2004</v>
      </c>
      <c r="V1826" s="360" t="s">
        <v>20</v>
      </c>
      <c r="W1826" s="360" t="s">
        <v>27</v>
      </c>
      <c r="X1826" s="360">
        <v>23</v>
      </c>
      <c r="Y1826" s="360" t="s">
        <v>46</v>
      </c>
      <c r="Z1826" s="360">
        <v>32</v>
      </c>
      <c r="AA1826" s="360">
        <v>161</v>
      </c>
      <c r="AB1826" s="360">
        <v>19.899999999999999</v>
      </c>
    </row>
    <row r="1827" spans="10:28" x14ac:dyDescent="0.2">
      <c r="J1827" s="358" t="str">
        <f t="shared" si="102"/>
        <v>2006AllSexAllEth254</v>
      </c>
      <c r="K1827" s="359">
        <v>2006</v>
      </c>
      <c r="L1827" t="s">
        <v>17</v>
      </c>
      <c r="M1827" t="s">
        <v>27</v>
      </c>
      <c r="N1827">
        <v>25</v>
      </c>
      <c r="O1827">
        <v>4</v>
      </c>
      <c r="P1827">
        <v>8</v>
      </c>
      <c r="Q1827">
        <v>7.1992076781166601</v>
      </c>
      <c r="R1827">
        <v>5</v>
      </c>
      <c r="T1827" s="358" t="str">
        <f t="shared" si="103"/>
        <v>2004MaleAllEth24Poisoning by gases and vapours</v>
      </c>
      <c r="U1827" s="360">
        <v>2004</v>
      </c>
      <c r="V1827" s="360" t="s">
        <v>20</v>
      </c>
      <c r="W1827" s="360" t="s">
        <v>27</v>
      </c>
      <c r="X1827" s="360">
        <v>24</v>
      </c>
      <c r="Y1827" s="360" t="s">
        <v>46</v>
      </c>
      <c r="Z1827" s="360">
        <v>25</v>
      </c>
      <c r="AA1827" s="360">
        <v>88</v>
      </c>
      <c r="AB1827" s="360">
        <v>28.4</v>
      </c>
    </row>
    <row r="1828" spans="10:28" x14ac:dyDescent="0.2">
      <c r="J1828" s="358" t="str">
        <f t="shared" si="102"/>
        <v>2006AllSexAllEth255</v>
      </c>
      <c r="K1828" s="359">
        <v>2006</v>
      </c>
      <c r="L1828" t="s">
        <v>17</v>
      </c>
      <c r="M1828" t="s">
        <v>27</v>
      </c>
      <c r="N1828">
        <v>25</v>
      </c>
      <c r="O1828">
        <v>5</v>
      </c>
      <c r="P1828">
        <v>9</v>
      </c>
      <c r="Q1828">
        <v>10.386482615103199</v>
      </c>
      <c r="R1828">
        <v>6.8</v>
      </c>
      <c r="T1828" s="358" t="str">
        <f t="shared" si="103"/>
        <v>2004MaleAllEth25Poisoning by gases and vapours</v>
      </c>
      <c r="U1828" s="360">
        <v>2004</v>
      </c>
      <c r="V1828" s="360" t="s">
        <v>20</v>
      </c>
      <c r="W1828" s="360" t="s">
        <v>27</v>
      </c>
      <c r="X1828" s="360">
        <v>25</v>
      </c>
      <c r="Y1828" s="360" t="s">
        <v>46</v>
      </c>
      <c r="Z1828" s="360">
        <v>10</v>
      </c>
      <c r="AA1828" s="360">
        <v>46</v>
      </c>
      <c r="AB1828" s="360">
        <v>21.7</v>
      </c>
    </row>
    <row r="1829" spans="10:28" x14ac:dyDescent="0.2">
      <c r="J1829" s="358" t="str">
        <f t="shared" si="102"/>
        <v>2006AllSexMaori211</v>
      </c>
      <c r="K1829" s="359">
        <v>2006</v>
      </c>
      <c r="L1829" t="s">
        <v>17</v>
      </c>
      <c r="M1829" t="s">
        <v>18</v>
      </c>
      <c r="N1829">
        <v>21</v>
      </c>
      <c r="O1829">
        <v>1</v>
      </c>
      <c r="P1829">
        <v>1</v>
      </c>
      <c r="T1829" s="358" t="str">
        <f t="shared" si="103"/>
        <v>2004MaleAllEth22Poisoning by solids and liquids</v>
      </c>
      <c r="U1829" s="360">
        <v>2004</v>
      </c>
      <c r="V1829" s="360" t="s">
        <v>20</v>
      </c>
      <c r="W1829" s="360" t="s">
        <v>27</v>
      </c>
      <c r="X1829" s="360">
        <v>22</v>
      </c>
      <c r="Y1829" s="360" t="s">
        <v>47</v>
      </c>
      <c r="Z1829" s="360">
        <v>3</v>
      </c>
      <c r="AA1829" s="360">
        <v>83</v>
      </c>
      <c r="AB1829" s="360">
        <v>3.6</v>
      </c>
    </row>
    <row r="1830" spans="10:28" x14ac:dyDescent="0.2">
      <c r="J1830" s="358" t="str">
        <f t="shared" si="102"/>
        <v>2006AllSexMaori212</v>
      </c>
      <c r="K1830" s="359">
        <v>2006</v>
      </c>
      <c r="L1830" t="s">
        <v>17</v>
      </c>
      <c r="M1830" t="s">
        <v>18</v>
      </c>
      <c r="N1830">
        <v>21</v>
      </c>
      <c r="O1830">
        <v>2</v>
      </c>
      <c r="P1830">
        <v>0</v>
      </c>
      <c r="T1830" s="358" t="str">
        <f t="shared" si="103"/>
        <v>2004MaleAllEth23Poisoning by solids and liquids</v>
      </c>
      <c r="U1830" s="360">
        <v>2004</v>
      </c>
      <c r="V1830" s="360" t="s">
        <v>20</v>
      </c>
      <c r="W1830" s="360" t="s">
        <v>27</v>
      </c>
      <c r="X1830" s="360">
        <v>23</v>
      </c>
      <c r="Y1830" s="360" t="s">
        <v>47</v>
      </c>
      <c r="Z1830" s="360">
        <v>10</v>
      </c>
      <c r="AA1830" s="360">
        <v>161</v>
      </c>
      <c r="AB1830" s="360">
        <v>6.2</v>
      </c>
    </row>
    <row r="1831" spans="10:28" x14ac:dyDescent="0.2">
      <c r="J1831" s="358" t="str">
        <f t="shared" si="102"/>
        <v>2006AllSexMaori213</v>
      </c>
      <c r="K1831" s="359">
        <v>2006</v>
      </c>
      <c r="L1831" t="s">
        <v>17</v>
      </c>
      <c r="M1831" t="s">
        <v>18</v>
      </c>
      <c r="N1831">
        <v>21</v>
      </c>
      <c r="O1831">
        <v>3</v>
      </c>
      <c r="P1831">
        <v>0</v>
      </c>
      <c r="T1831" s="358" t="str">
        <f t="shared" si="103"/>
        <v>2004MaleAllEth24Poisoning by solids and liquids</v>
      </c>
      <c r="U1831" s="360">
        <v>2004</v>
      </c>
      <c r="V1831" s="360" t="s">
        <v>20</v>
      </c>
      <c r="W1831" s="360" t="s">
        <v>27</v>
      </c>
      <c r="X1831" s="360">
        <v>24</v>
      </c>
      <c r="Y1831" s="360" t="s">
        <v>47</v>
      </c>
      <c r="Z1831" s="360">
        <v>6</v>
      </c>
      <c r="AA1831" s="360">
        <v>88</v>
      </c>
      <c r="AB1831" s="360">
        <v>6.8</v>
      </c>
    </row>
    <row r="1832" spans="10:28" x14ac:dyDescent="0.2">
      <c r="J1832" s="358" t="str">
        <f t="shared" si="102"/>
        <v>2006AllSexMaori214</v>
      </c>
      <c r="K1832" s="359">
        <v>2006</v>
      </c>
      <c r="L1832" t="s">
        <v>17</v>
      </c>
      <c r="M1832" t="s">
        <v>18</v>
      </c>
      <c r="N1832">
        <v>21</v>
      </c>
      <c r="O1832">
        <v>4</v>
      </c>
      <c r="P1832">
        <v>1</v>
      </c>
      <c r="T1832" s="358" t="str">
        <f t="shared" si="103"/>
        <v>2004MaleAllEth25Poisoning by solids and liquids</v>
      </c>
      <c r="U1832" s="360">
        <v>2004</v>
      </c>
      <c r="V1832" s="360" t="s">
        <v>20</v>
      </c>
      <c r="W1832" s="360" t="s">
        <v>27</v>
      </c>
      <c r="X1832" s="360">
        <v>25</v>
      </c>
      <c r="Y1832" s="360" t="s">
        <v>47</v>
      </c>
      <c r="Z1832" s="360">
        <v>3</v>
      </c>
      <c r="AA1832" s="360">
        <v>46</v>
      </c>
      <c r="AB1832" s="360">
        <v>6.5</v>
      </c>
    </row>
    <row r="1833" spans="10:28" x14ac:dyDescent="0.2">
      <c r="J1833" s="358" t="str">
        <f t="shared" si="102"/>
        <v>2006AllSexMaori215</v>
      </c>
      <c r="K1833" s="359">
        <v>2006</v>
      </c>
      <c r="L1833" t="s">
        <v>17</v>
      </c>
      <c r="M1833" t="s">
        <v>18</v>
      </c>
      <c r="N1833">
        <v>21</v>
      </c>
      <c r="O1833">
        <v>5</v>
      </c>
      <c r="P1833">
        <v>2</v>
      </c>
      <c r="T1833" s="358" t="str">
        <f t="shared" si="103"/>
        <v>2004MaleAllEth23Sharp object</v>
      </c>
      <c r="U1833" s="360">
        <v>2004</v>
      </c>
      <c r="V1833" s="360" t="s">
        <v>20</v>
      </c>
      <c r="W1833" s="360" t="s">
        <v>27</v>
      </c>
      <c r="X1833" s="360">
        <v>23</v>
      </c>
      <c r="Y1833" s="360" t="s">
        <v>48</v>
      </c>
      <c r="Z1833" s="360">
        <v>1</v>
      </c>
      <c r="AA1833" s="360">
        <v>161</v>
      </c>
      <c r="AB1833" s="360">
        <v>0.6</v>
      </c>
    </row>
    <row r="1834" spans="10:28" x14ac:dyDescent="0.2">
      <c r="J1834" s="358" t="str">
        <f t="shared" si="102"/>
        <v>2006AllSexMaori221</v>
      </c>
      <c r="K1834" s="359">
        <v>2006</v>
      </c>
      <c r="L1834" t="s">
        <v>17</v>
      </c>
      <c r="M1834" t="s">
        <v>18</v>
      </c>
      <c r="N1834">
        <v>22</v>
      </c>
      <c r="O1834">
        <v>1</v>
      </c>
      <c r="P1834">
        <v>2</v>
      </c>
      <c r="Q1834">
        <v>24.054133273759199</v>
      </c>
      <c r="R1834">
        <v>33.299999999999997</v>
      </c>
      <c r="T1834" s="358" t="str">
        <f t="shared" si="103"/>
        <v>2004MaleAllEth25Sharp object</v>
      </c>
      <c r="U1834" s="360">
        <v>2004</v>
      </c>
      <c r="V1834" s="360" t="s">
        <v>20</v>
      </c>
      <c r="W1834" s="360" t="s">
        <v>27</v>
      </c>
      <c r="X1834" s="360">
        <v>25</v>
      </c>
      <c r="Y1834" s="360" t="s">
        <v>48</v>
      </c>
      <c r="Z1834" s="360">
        <v>3</v>
      </c>
      <c r="AA1834" s="360">
        <v>46</v>
      </c>
      <c r="AB1834" s="360">
        <v>6.5</v>
      </c>
    </row>
    <row r="1835" spans="10:28" x14ac:dyDescent="0.2">
      <c r="J1835" s="358" t="str">
        <f t="shared" si="102"/>
        <v>2006AllSexMaori222</v>
      </c>
      <c r="K1835" s="359">
        <v>2006</v>
      </c>
      <c r="L1835" t="s">
        <v>17</v>
      </c>
      <c r="M1835" t="s">
        <v>18</v>
      </c>
      <c r="N1835">
        <v>22</v>
      </c>
      <c r="O1835">
        <v>2</v>
      </c>
      <c r="P1835">
        <v>4</v>
      </c>
      <c r="Q1835">
        <v>32.406041825372299</v>
      </c>
      <c r="R1835">
        <v>31.8</v>
      </c>
      <c r="T1835" s="358" t="str">
        <f t="shared" si="103"/>
        <v>2004MaleAllEth22Submersion (drowning)</v>
      </c>
      <c r="U1835" s="360">
        <v>2004</v>
      </c>
      <c r="V1835" s="360" t="s">
        <v>20</v>
      </c>
      <c r="W1835" s="360" t="s">
        <v>27</v>
      </c>
      <c r="X1835" s="360">
        <v>22</v>
      </c>
      <c r="Y1835" s="360" t="s">
        <v>49</v>
      </c>
      <c r="Z1835" s="360">
        <v>2</v>
      </c>
      <c r="AA1835" s="360">
        <v>83</v>
      </c>
      <c r="AB1835" s="360">
        <v>2.4</v>
      </c>
    </row>
    <row r="1836" spans="10:28" x14ac:dyDescent="0.2">
      <c r="J1836" s="358" t="str">
        <f t="shared" si="102"/>
        <v>2006AllSexMaori223</v>
      </c>
      <c r="K1836" s="359">
        <v>2006</v>
      </c>
      <c r="L1836" t="s">
        <v>17</v>
      </c>
      <c r="M1836" t="s">
        <v>18</v>
      </c>
      <c r="N1836">
        <v>22</v>
      </c>
      <c r="O1836">
        <v>3</v>
      </c>
      <c r="P1836">
        <v>3</v>
      </c>
      <c r="Q1836">
        <v>16.0266775736361</v>
      </c>
      <c r="R1836">
        <v>18.100000000000001</v>
      </c>
      <c r="T1836" s="358" t="str">
        <f t="shared" si="103"/>
        <v>2004MaleAllEth23Submersion (drowning)</v>
      </c>
      <c r="U1836" s="360">
        <v>2004</v>
      </c>
      <c r="V1836" s="360" t="s">
        <v>20</v>
      </c>
      <c r="W1836" s="360" t="s">
        <v>27</v>
      </c>
      <c r="X1836" s="360">
        <v>23</v>
      </c>
      <c r="Y1836" s="360" t="s">
        <v>49</v>
      </c>
      <c r="Z1836" s="360">
        <v>4</v>
      </c>
      <c r="AA1836" s="360">
        <v>161</v>
      </c>
      <c r="AB1836" s="360">
        <v>2.5</v>
      </c>
    </row>
    <row r="1837" spans="10:28" x14ac:dyDescent="0.2">
      <c r="J1837" s="358" t="str">
        <f t="shared" si="102"/>
        <v>2006AllSexMaori224</v>
      </c>
      <c r="K1837" s="359">
        <v>2006</v>
      </c>
      <c r="L1837" t="s">
        <v>17</v>
      </c>
      <c r="M1837" t="s">
        <v>18</v>
      </c>
      <c r="N1837">
        <v>22</v>
      </c>
      <c r="O1837">
        <v>4</v>
      </c>
      <c r="P1837">
        <v>6</v>
      </c>
      <c r="Q1837">
        <v>21.610033842048999</v>
      </c>
      <c r="R1837">
        <v>17.3</v>
      </c>
      <c r="T1837" s="358" t="str">
        <f t="shared" si="103"/>
        <v>2004MaleAllEth24Submersion (drowning)</v>
      </c>
      <c r="U1837" s="360">
        <v>2004</v>
      </c>
      <c r="V1837" s="360" t="s">
        <v>20</v>
      </c>
      <c r="W1837" s="360" t="s">
        <v>27</v>
      </c>
      <c r="X1837" s="360">
        <v>24</v>
      </c>
      <c r="Y1837" s="360" t="s">
        <v>49</v>
      </c>
      <c r="Z1837" s="360">
        <v>1</v>
      </c>
      <c r="AA1837" s="360">
        <v>88</v>
      </c>
      <c r="AB1837" s="360">
        <v>1.1000000000000001</v>
      </c>
    </row>
    <row r="1838" spans="10:28" x14ac:dyDescent="0.2">
      <c r="J1838" s="358" t="str">
        <f t="shared" si="102"/>
        <v>2006AllSexMaori225</v>
      </c>
      <c r="K1838" s="359">
        <v>2006</v>
      </c>
      <c r="L1838" t="s">
        <v>17</v>
      </c>
      <c r="M1838" t="s">
        <v>18</v>
      </c>
      <c r="N1838">
        <v>22</v>
      </c>
      <c r="O1838">
        <v>5</v>
      </c>
      <c r="P1838">
        <v>21</v>
      </c>
      <c r="Q1838">
        <v>42.9198812555736</v>
      </c>
      <c r="R1838">
        <v>18.399999999999999</v>
      </c>
      <c r="T1838" s="358" t="str">
        <f t="shared" si="103"/>
        <v>2004MaleAllEth25Submersion (drowning)</v>
      </c>
      <c r="U1838" s="360">
        <v>2004</v>
      </c>
      <c r="V1838" s="360" t="s">
        <v>20</v>
      </c>
      <c r="W1838" s="360" t="s">
        <v>27</v>
      </c>
      <c r="X1838" s="360">
        <v>25</v>
      </c>
      <c r="Y1838" s="360" t="s">
        <v>49</v>
      </c>
      <c r="Z1838" s="360">
        <v>3</v>
      </c>
      <c r="AA1838" s="360">
        <v>46</v>
      </c>
      <c r="AB1838" s="360">
        <v>6.5</v>
      </c>
    </row>
    <row r="1839" spans="10:28" x14ac:dyDescent="0.2">
      <c r="J1839" s="358" t="str">
        <f t="shared" si="102"/>
        <v>2006AllSexMaori231</v>
      </c>
      <c r="K1839" s="359">
        <v>2006</v>
      </c>
      <c r="L1839" t="s">
        <v>17</v>
      </c>
      <c r="M1839" t="s">
        <v>18</v>
      </c>
      <c r="N1839">
        <v>23</v>
      </c>
      <c r="O1839">
        <v>1</v>
      </c>
      <c r="P1839">
        <v>4</v>
      </c>
      <c r="Q1839">
        <v>28.633326295511502</v>
      </c>
      <c r="R1839">
        <v>28.1</v>
      </c>
      <c r="T1839" s="358" t="str">
        <f t="shared" si="103"/>
        <v>2004MaleMaori23Firearms and explosives</v>
      </c>
      <c r="U1839" s="360">
        <v>2004</v>
      </c>
      <c r="V1839" s="360" t="s">
        <v>20</v>
      </c>
      <c r="W1839" s="360" t="s">
        <v>18</v>
      </c>
      <c r="X1839" s="360">
        <v>23</v>
      </c>
      <c r="Y1839" s="360" t="s">
        <v>42</v>
      </c>
      <c r="Z1839" s="360">
        <v>2</v>
      </c>
      <c r="AA1839" s="360">
        <v>44</v>
      </c>
      <c r="AB1839" s="360">
        <v>4.5</v>
      </c>
    </row>
    <row r="1840" spans="10:28" x14ac:dyDescent="0.2">
      <c r="J1840" s="358" t="str">
        <f t="shared" si="102"/>
        <v>2006AllSexMaori232</v>
      </c>
      <c r="K1840" s="359">
        <v>2006</v>
      </c>
      <c r="L1840" t="s">
        <v>17</v>
      </c>
      <c r="M1840" t="s">
        <v>18</v>
      </c>
      <c r="N1840">
        <v>23</v>
      </c>
      <c r="O1840">
        <v>2</v>
      </c>
      <c r="P1840">
        <v>1</v>
      </c>
      <c r="Q1840">
        <v>4.9287745736890498</v>
      </c>
      <c r="R1840">
        <v>9.6999999999999993</v>
      </c>
      <c r="T1840" s="358" t="str">
        <f t="shared" si="103"/>
        <v>2004MaleMaori24Firearms and explosives</v>
      </c>
      <c r="U1840" s="360">
        <v>2004</v>
      </c>
      <c r="V1840" s="360" t="s">
        <v>20</v>
      </c>
      <c r="W1840" s="360" t="s">
        <v>18</v>
      </c>
      <c r="X1840" s="360">
        <v>24</v>
      </c>
      <c r="Y1840" s="360" t="s">
        <v>42</v>
      </c>
      <c r="Z1840" s="360">
        <v>1</v>
      </c>
      <c r="AA1840" s="360">
        <v>7</v>
      </c>
      <c r="AB1840" s="360">
        <v>14.3</v>
      </c>
    </row>
    <row r="1841" spans="10:28" x14ac:dyDescent="0.2">
      <c r="J1841" s="358" t="str">
        <f t="shared" si="102"/>
        <v>2006AllSexMaori233</v>
      </c>
      <c r="K1841" s="359">
        <v>2006</v>
      </c>
      <c r="L1841" t="s">
        <v>17</v>
      </c>
      <c r="M1841" t="s">
        <v>18</v>
      </c>
      <c r="N1841">
        <v>23</v>
      </c>
      <c r="O1841">
        <v>3</v>
      </c>
      <c r="P1841">
        <v>8</v>
      </c>
      <c r="Q1841">
        <v>28.213102658346202</v>
      </c>
      <c r="R1841">
        <v>19.600000000000001</v>
      </c>
      <c r="T1841" s="358" t="str">
        <f t="shared" si="103"/>
        <v>2004MaleMaori25Firearms and explosives</v>
      </c>
      <c r="U1841" s="360">
        <v>2004</v>
      </c>
      <c r="V1841" s="360" t="s">
        <v>20</v>
      </c>
      <c r="W1841" s="360" t="s">
        <v>18</v>
      </c>
      <c r="X1841" s="360">
        <v>25</v>
      </c>
      <c r="Y1841" s="360" t="s">
        <v>42</v>
      </c>
      <c r="Z1841" s="360">
        <v>1</v>
      </c>
      <c r="AA1841" s="360">
        <v>2</v>
      </c>
      <c r="AB1841" s="360">
        <v>50</v>
      </c>
    </row>
    <row r="1842" spans="10:28" x14ac:dyDescent="0.2">
      <c r="J1842" s="358" t="str">
        <f t="shared" si="102"/>
        <v>2006AllSexMaori234</v>
      </c>
      <c r="K1842" s="359">
        <v>2006</v>
      </c>
      <c r="L1842" t="s">
        <v>17</v>
      </c>
      <c r="M1842" t="s">
        <v>18</v>
      </c>
      <c r="N1842">
        <v>23</v>
      </c>
      <c r="O1842">
        <v>4</v>
      </c>
      <c r="P1842">
        <v>15</v>
      </c>
      <c r="Q1842">
        <v>36.975990176230503</v>
      </c>
      <c r="R1842">
        <v>18.7</v>
      </c>
      <c r="T1842" s="358" t="str">
        <f t="shared" si="103"/>
        <v>2004MaleMaori21Hanging, strangulation and suffocation</v>
      </c>
      <c r="U1842" s="360">
        <v>2004</v>
      </c>
      <c r="V1842" s="360" t="s">
        <v>20</v>
      </c>
      <c r="W1842" s="360" t="s">
        <v>18</v>
      </c>
      <c r="X1842" s="360">
        <v>21</v>
      </c>
      <c r="Y1842" s="360" t="s">
        <v>43</v>
      </c>
      <c r="Z1842" s="360">
        <v>2</v>
      </c>
      <c r="AA1842" s="360">
        <v>2</v>
      </c>
      <c r="AB1842" s="360">
        <v>100</v>
      </c>
    </row>
    <row r="1843" spans="10:28" x14ac:dyDescent="0.2">
      <c r="J1843" s="358" t="str">
        <f t="shared" si="102"/>
        <v>2006AllSexMaori235</v>
      </c>
      <c r="K1843" s="359">
        <v>2006</v>
      </c>
      <c r="L1843" t="s">
        <v>17</v>
      </c>
      <c r="M1843" t="s">
        <v>18</v>
      </c>
      <c r="N1843">
        <v>23</v>
      </c>
      <c r="O1843">
        <v>5</v>
      </c>
      <c r="P1843">
        <v>25</v>
      </c>
      <c r="Q1843">
        <v>37.4258437587253</v>
      </c>
      <c r="R1843">
        <v>14.7</v>
      </c>
      <c r="T1843" s="358" t="str">
        <f t="shared" si="103"/>
        <v>2004MaleMaori22Hanging, strangulation and suffocation</v>
      </c>
      <c r="U1843" s="360">
        <v>2004</v>
      </c>
      <c r="V1843" s="360" t="s">
        <v>20</v>
      </c>
      <c r="W1843" s="360" t="s">
        <v>18</v>
      </c>
      <c r="X1843" s="360">
        <v>22</v>
      </c>
      <c r="Y1843" s="360" t="s">
        <v>43</v>
      </c>
      <c r="Z1843" s="360">
        <v>27</v>
      </c>
      <c r="AA1843" s="360">
        <v>28</v>
      </c>
      <c r="AB1843" s="360">
        <v>96.4</v>
      </c>
    </row>
    <row r="1844" spans="10:28" x14ac:dyDescent="0.2">
      <c r="J1844" s="358" t="str">
        <f t="shared" si="102"/>
        <v>2006AllSexMaori241</v>
      </c>
      <c r="K1844" s="359">
        <v>2006</v>
      </c>
      <c r="L1844" t="s">
        <v>17</v>
      </c>
      <c r="M1844" t="s">
        <v>18</v>
      </c>
      <c r="N1844">
        <v>24</v>
      </c>
      <c r="O1844">
        <v>1</v>
      </c>
      <c r="P1844">
        <v>1</v>
      </c>
      <c r="Q1844">
        <v>12.071181636857901</v>
      </c>
      <c r="R1844">
        <v>23.7</v>
      </c>
      <c r="T1844" s="358" t="str">
        <f t="shared" si="103"/>
        <v>2004MaleMaori23Hanging, strangulation and suffocation</v>
      </c>
      <c r="U1844" s="360">
        <v>2004</v>
      </c>
      <c r="V1844" s="360" t="s">
        <v>20</v>
      </c>
      <c r="W1844" s="360" t="s">
        <v>18</v>
      </c>
      <c r="X1844" s="360">
        <v>23</v>
      </c>
      <c r="Y1844" s="360" t="s">
        <v>43</v>
      </c>
      <c r="Z1844" s="360">
        <v>36</v>
      </c>
      <c r="AA1844" s="360">
        <v>44</v>
      </c>
      <c r="AB1844" s="360">
        <v>81.8</v>
      </c>
    </row>
    <row r="1845" spans="10:28" x14ac:dyDescent="0.2">
      <c r="J1845" s="358" t="str">
        <f t="shared" si="102"/>
        <v>2006AllSexMaori242</v>
      </c>
      <c r="K1845" s="359">
        <v>2006</v>
      </c>
      <c r="L1845" t="s">
        <v>17</v>
      </c>
      <c r="M1845" t="s">
        <v>18</v>
      </c>
      <c r="N1845">
        <v>24</v>
      </c>
      <c r="O1845">
        <v>2</v>
      </c>
      <c r="P1845">
        <v>2</v>
      </c>
      <c r="Q1845">
        <v>17.980656634887598</v>
      </c>
      <c r="R1845">
        <v>24.9</v>
      </c>
      <c r="T1845" s="358" t="str">
        <f t="shared" si="103"/>
        <v>2004MaleMaori24Hanging, strangulation and suffocation</v>
      </c>
      <c r="U1845" s="360">
        <v>2004</v>
      </c>
      <c r="V1845" s="360" t="s">
        <v>20</v>
      </c>
      <c r="W1845" s="360" t="s">
        <v>18</v>
      </c>
      <c r="X1845" s="360">
        <v>24</v>
      </c>
      <c r="Y1845" s="360" t="s">
        <v>43</v>
      </c>
      <c r="Z1845" s="360">
        <v>5</v>
      </c>
      <c r="AA1845" s="360">
        <v>7</v>
      </c>
      <c r="AB1845" s="360">
        <v>71.400000000000006</v>
      </c>
    </row>
    <row r="1846" spans="10:28" x14ac:dyDescent="0.2">
      <c r="J1846" s="358" t="str">
        <f t="shared" si="102"/>
        <v>2006AllSexMaori243</v>
      </c>
      <c r="K1846" s="359">
        <v>2006</v>
      </c>
      <c r="L1846" t="s">
        <v>17</v>
      </c>
      <c r="M1846" t="s">
        <v>18</v>
      </c>
      <c r="N1846">
        <v>24</v>
      </c>
      <c r="O1846">
        <v>3</v>
      </c>
      <c r="P1846">
        <v>1</v>
      </c>
      <c r="Q1846">
        <v>6.4527493280889399</v>
      </c>
      <c r="R1846">
        <v>12.6</v>
      </c>
      <c r="T1846" s="358" t="str">
        <f t="shared" si="103"/>
        <v>2004MaleMaori23Poisoning by gases and vapours</v>
      </c>
      <c r="U1846" s="360">
        <v>2004</v>
      </c>
      <c r="V1846" s="360" t="s">
        <v>20</v>
      </c>
      <c r="W1846" s="360" t="s">
        <v>18</v>
      </c>
      <c r="X1846" s="360">
        <v>23</v>
      </c>
      <c r="Y1846" s="360" t="s">
        <v>46</v>
      </c>
      <c r="Z1846" s="360">
        <v>2</v>
      </c>
      <c r="AA1846" s="360">
        <v>44</v>
      </c>
      <c r="AB1846" s="360">
        <v>4.5</v>
      </c>
    </row>
    <row r="1847" spans="10:28" x14ac:dyDescent="0.2">
      <c r="J1847" s="358" t="str">
        <f t="shared" si="102"/>
        <v>2006AllSexMaori244</v>
      </c>
      <c r="K1847" s="359">
        <v>2006</v>
      </c>
      <c r="L1847" t="s">
        <v>17</v>
      </c>
      <c r="M1847" t="s">
        <v>18</v>
      </c>
      <c r="N1847">
        <v>24</v>
      </c>
      <c r="O1847">
        <v>4</v>
      </c>
      <c r="P1847">
        <v>2</v>
      </c>
      <c r="Q1847">
        <v>8.8891586525948192</v>
      </c>
      <c r="R1847">
        <v>12.3</v>
      </c>
      <c r="T1847" s="358" t="str">
        <f t="shared" si="103"/>
        <v>2004MaleMaori23Poisoning by solids and liquids</v>
      </c>
      <c r="U1847" s="360">
        <v>2004</v>
      </c>
      <c r="V1847" s="360" t="s">
        <v>20</v>
      </c>
      <c r="W1847" s="360" t="s">
        <v>18</v>
      </c>
      <c r="X1847" s="360">
        <v>23</v>
      </c>
      <c r="Y1847" s="360" t="s">
        <v>47</v>
      </c>
      <c r="Z1847" s="360">
        <v>2</v>
      </c>
      <c r="AA1847" s="360">
        <v>44</v>
      </c>
      <c r="AB1847" s="360">
        <v>4.5</v>
      </c>
    </row>
    <row r="1848" spans="10:28" x14ac:dyDescent="0.2">
      <c r="J1848" s="358" t="str">
        <f t="shared" si="102"/>
        <v>2006AllSexMaori245</v>
      </c>
      <c r="K1848" s="359">
        <v>2006</v>
      </c>
      <c r="L1848" t="s">
        <v>17</v>
      </c>
      <c r="M1848" t="s">
        <v>18</v>
      </c>
      <c r="N1848">
        <v>24</v>
      </c>
      <c r="O1848">
        <v>5</v>
      </c>
      <c r="P1848">
        <v>6</v>
      </c>
      <c r="Q1848">
        <v>15.0503603258955</v>
      </c>
      <c r="R1848">
        <v>12</v>
      </c>
      <c r="T1848" s="358" t="str">
        <f t="shared" si="103"/>
        <v>2004MaleMaori24Poisoning by solids and liquids</v>
      </c>
      <c r="U1848" s="360">
        <v>2004</v>
      </c>
      <c r="V1848" s="360" t="s">
        <v>20</v>
      </c>
      <c r="W1848" s="360" t="s">
        <v>18</v>
      </c>
      <c r="X1848" s="360">
        <v>24</v>
      </c>
      <c r="Y1848" s="360" t="s">
        <v>47</v>
      </c>
      <c r="Z1848" s="360">
        <v>1</v>
      </c>
      <c r="AA1848" s="360">
        <v>7</v>
      </c>
      <c r="AB1848" s="360">
        <v>14.3</v>
      </c>
    </row>
    <row r="1849" spans="10:28" x14ac:dyDescent="0.2">
      <c r="J1849" s="358" t="str">
        <f t="shared" si="102"/>
        <v>2006AllSexMaori251</v>
      </c>
      <c r="K1849" s="359">
        <v>2006</v>
      </c>
      <c r="L1849" t="s">
        <v>17</v>
      </c>
      <c r="M1849" t="s">
        <v>18</v>
      </c>
      <c r="N1849">
        <v>25</v>
      </c>
      <c r="O1849">
        <v>1</v>
      </c>
      <c r="P1849">
        <v>0</v>
      </c>
      <c r="Q1849">
        <v>0</v>
      </c>
      <c r="T1849" s="358" t="str">
        <f t="shared" si="103"/>
        <v>2004MaleMaori23Sharp object</v>
      </c>
      <c r="U1849" s="360">
        <v>2004</v>
      </c>
      <c r="V1849" s="360" t="s">
        <v>20</v>
      </c>
      <c r="W1849" s="360" t="s">
        <v>18</v>
      </c>
      <c r="X1849" s="360">
        <v>23</v>
      </c>
      <c r="Y1849" s="360" t="s">
        <v>48</v>
      </c>
      <c r="Z1849" s="360">
        <v>1</v>
      </c>
      <c r="AA1849" s="360">
        <v>44</v>
      </c>
      <c r="AB1849" s="360">
        <v>2.2999999999999998</v>
      </c>
    </row>
    <row r="1850" spans="10:28" x14ac:dyDescent="0.2">
      <c r="J1850" s="358" t="str">
        <f t="shared" si="102"/>
        <v>2006AllSexMaori252</v>
      </c>
      <c r="K1850" s="359">
        <v>2006</v>
      </c>
      <c r="L1850" t="s">
        <v>17</v>
      </c>
      <c r="M1850" t="s">
        <v>18</v>
      </c>
      <c r="N1850">
        <v>25</v>
      </c>
      <c r="O1850">
        <v>2</v>
      </c>
      <c r="P1850">
        <v>0</v>
      </c>
      <c r="Q1850">
        <v>0</v>
      </c>
      <c r="T1850" s="358" t="str">
        <f t="shared" si="103"/>
        <v>2004MaleMaori25Sharp object</v>
      </c>
      <c r="U1850" s="360">
        <v>2004</v>
      </c>
      <c r="V1850" s="360" t="s">
        <v>20</v>
      </c>
      <c r="W1850" s="360" t="s">
        <v>18</v>
      </c>
      <c r="X1850" s="360">
        <v>25</v>
      </c>
      <c r="Y1850" s="360" t="s">
        <v>48</v>
      </c>
      <c r="Z1850" s="360">
        <v>1</v>
      </c>
      <c r="AA1850" s="360">
        <v>2</v>
      </c>
      <c r="AB1850" s="360">
        <v>50</v>
      </c>
    </row>
    <row r="1851" spans="10:28" x14ac:dyDescent="0.2">
      <c r="J1851" s="358" t="str">
        <f t="shared" si="102"/>
        <v>2006AllSexMaori253</v>
      </c>
      <c r="K1851" s="359">
        <v>2006</v>
      </c>
      <c r="L1851" t="s">
        <v>17</v>
      </c>
      <c r="M1851" t="s">
        <v>18</v>
      </c>
      <c r="N1851">
        <v>25</v>
      </c>
      <c r="O1851">
        <v>3</v>
      </c>
      <c r="P1851">
        <v>1</v>
      </c>
      <c r="Q1851">
        <v>24.891237093260099</v>
      </c>
      <c r="R1851">
        <v>48.8</v>
      </c>
      <c r="T1851" s="358" t="str">
        <f t="shared" si="103"/>
        <v>2004MaleMaori22Submersion (drowning)</v>
      </c>
      <c r="U1851" s="360">
        <v>2004</v>
      </c>
      <c r="V1851" s="360" t="s">
        <v>20</v>
      </c>
      <c r="W1851" s="360" t="s">
        <v>18</v>
      </c>
      <c r="X1851" s="360">
        <v>22</v>
      </c>
      <c r="Y1851" s="360" t="s">
        <v>49</v>
      </c>
      <c r="Z1851" s="360">
        <v>1</v>
      </c>
      <c r="AA1851" s="360">
        <v>28</v>
      </c>
      <c r="AB1851" s="360">
        <v>3.6</v>
      </c>
    </row>
    <row r="1852" spans="10:28" x14ac:dyDescent="0.2">
      <c r="J1852" s="358" t="str">
        <f t="shared" si="102"/>
        <v>2006AllSexMaori254</v>
      </c>
      <c r="K1852" s="359">
        <v>2006</v>
      </c>
      <c r="L1852" t="s">
        <v>17</v>
      </c>
      <c r="M1852" t="s">
        <v>18</v>
      </c>
      <c r="N1852">
        <v>25</v>
      </c>
      <c r="O1852">
        <v>4</v>
      </c>
      <c r="P1852">
        <v>0</v>
      </c>
      <c r="Q1852">
        <v>0</v>
      </c>
      <c r="T1852" s="358" t="str">
        <f t="shared" si="103"/>
        <v>2004MaleMaori23Submersion (drowning)</v>
      </c>
      <c r="U1852" s="360">
        <v>2004</v>
      </c>
      <c r="V1852" s="360" t="s">
        <v>20</v>
      </c>
      <c r="W1852" s="360" t="s">
        <v>18</v>
      </c>
      <c r="X1852" s="360">
        <v>23</v>
      </c>
      <c r="Y1852" s="360" t="s">
        <v>49</v>
      </c>
      <c r="Z1852" s="360">
        <v>1</v>
      </c>
      <c r="AA1852" s="360">
        <v>44</v>
      </c>
      <c r="AB1852" s="360">
        <v>2.2999999999999998</v>
      </c>
    </row>
    <row r="1853" spans="10:28" x14ac:dyDescent="0.2">
      <c r="J1853" s="358" t="str">
        <f t="shared" si="102"/>
        <v>2006AllSexMaori255</v>
      </c>
      <c r="K1853" s="359">
        <v>2006</v>
      </c>
      <c r="L1853" t="s">
        <v>17</v>
      </c>
      <c r="M1853" t="s">
        <v>18</v>
      </c>
      <c r="N1853">
        <v>25</v>
      </c>
      <c r="O1853">
        <v>5</v>
      </c>
      <c r="P1853">
        <v>0</v>
      </c>
      <c r="Q1853">
        <v>0</v>
      </c>
      <c r="T1853" s="358" t="str">
        <f t="shared" si="103"/>
        <v>2004MaleNon-Maori21Firearms and explosives</v>
      </c>
      <c r="U1853" s="360">
        <v>2004</v>
      </c>
      <c r="V1853" s="360" t="s">
        <v>20</v>
      </c>
      <c r="W1853" s="360" t="s">
        <v>19</v>
      </c>
      <c r="X1853" s="360">
        <v>21</v>
      </c>
      <c r="Y1853" s="360" t="s">
        <v>42</v>
      </c>
      <c r="Z1853" s="360">
        <v>2</v>
      </c>
      <c r="AA1853" s="360">
        <v>2</v>
      </c>
      <c r="AB1853" s="360">
        <v>100</v>
      </c>
    </row>
    <row r="1854" spans="10:28" x14ac:dyDescent="0.2">
      <c r="J1854" s="358" t="str">
        <f t="shared" si="102"/>
        <v>2006AllSexNon-Maori211</v>
      </c>
      <c r="K1854" s="359">
        <v>2006</v>
      </c>
      <c r="L1854" t="s">
        <v>17</v>
      </c>
      <c r="M1854" t="s">
        <v>19</v>
      </c>
      <c r="N1854">
        <v>21</v>
      </c>
      <c r="O1854">
        <v>1</v>
      </c>
      <c r="P1854">
        <v>0</v>
      </c>
      <c r="T1854" s="358" t="str">
        <f t="shared" si="103"/>
        <v>2004MaleNon-Maori22Firearms and explosives</v>
      </c>
      <c r="U1854" s="360">
        <v>2004</v>
      </c>
      <c r="V1854" s="360" t="s">
        <v>20</v>
      </c>
      <c r="W1854" s="360" t="s">
        <v>19</v>
      </c>
      <c r="X1854" s="360">
        <v>22</v>
      </c>
      <c r="Y1854" s="360" t="s">
        <v>42</v>
      </c>
      <c r="Z1854" s="360">
        <v>2</v>
      </c>
      <c r="AA1854" s="360">
        <v>55</v>
      </c>
      <c r="AB1854" s="360">
        <v>3.6</v>
      </c>
    </row>
    <row r="1855" spans="10:28" x14ac:dyDescent="0.2">
      <c r="J1855" s="358" t="str">
        <f t="shared" si="102"/>
        <v>2006AllSexNon-Maori212</v>
      </c>
      <c r="K1855" s="359">
        <v>2006</v>
      </c>
      <c r="L1855" t="s">
        <v>17</v>
      </c>
      <c r="M1855" t="s">
        <v>19</v>
      </c>
      <c r="N1855">
        <v>21</v>
      </c>
      <c r="O1855">
        <v>2</v>
      </c>
      <c r="P1855">
        <v>1</v>
      </c>
      <c r="T1855" s="358" t="str">
        <f t="shared" si="103"/>
        <v>2004MaleNon-Maori23Firearms and explosives</v>
      </c>
      <c r="U1855" s="360">
        <v>2004</v>
      </c>
      <c r="V1855" s="360" t="s">
        <v>20</v>
      </c>
      <c r="W1855" s="360" t="s">
        <v>19</v>
      </c>
      <c r="X1855" s="360">
        <v>23</v>
      </c>
      <c r="Y1855" s="360" t="s">
        <v>42</v>
      </c>
      <c r="Z1855" s="360">
        <v>7</v>
      </c>
      <c r="AA1855" s="360">
        <v>117</v>
      </c>
      <c r="AB1855" s="360">
        <v>6</v>
      </c>
    </row>
    <row r="1856" spans="10:28" x14ac:dyDescent="0.2">
      <c r="J1856" s="358" t="str">
        <f t="shared" si="102"/>
        <v>2006AllSexNon-Maori213</v>
      </c>
      <c r="K1856" s="359">
        <v>2006</v>
      </c>
      <c r="L1856" t="s">
        <v>17</v>
      </c>
      <c r="M1856" t="s">
        <v>19</v>
      </c>
      <c r="N1856">
        <v>21</v>
      </c>
      <c r="O1856">
        <v>3</v>
      </c>
      <c r="P1856">
        <v>1</v>
      </c>
      <c r="T1856" s="358" t="str">
        <f t="shared" si="103"/>
        <v>2004MaleNon-Maori24Firearms and explosives</v>
      </c>
      <c r="U1856" s="360">
        <v>2004</v>
      </c>
      <c r="V1856" s="360" t="s">
        <v>20</v>
      </c>
      <c r="W1856" s="360" t="s">
        <v>19</v>
      </c>
      <c r="X1856" s="360">
        <v>24</v>
      </c>
      <c r="Y1856" s="360" t="s">
        <v>42</v>
      </c>
      <c r="Z1856" s="360">
        <v>15</v>
      </c>
      <c r="AA1856" s="360">
        <v>81</v>
      </c>
      <c r="AB1856" s="360">
        <v>18.5</v>
      </c>
    </row>
    <row r="1857" spans="10:28" x14ac:dyDescent="0.2">
      <c r="J1857" s="358" t="str">
        <f t="shared" si="102"/>
        <v>2006AllSexNon-Maori214</v>
      </c>
      <c r="K1857" s="359">
        <v>2006</v>
      </c>
      <c r="L1857" t="s">
        <v>17</v>
      </c>
      <c r="M1857" t="s">
        <v>19</v>
      </c>
      <c r="N1857">
        <v>21</v>
      </c>
      <c r="O1857">
        <v>4</v>
      </c>
      <c r="P1857">
        <v>0</v>
      </c>
      <c r="T1857" s="358" t="str">
        <f t="shared" si="103"/>
        <v>2004MaleNon-Maori25Firearms and explosives</v>
      </c>
      <c r="U1857" s="360">
        <v>2004</v>
      </c>
      <c r="V1857" s="360" t="s">
        <v>20</v>
      </c>
      <c r="W1857" s="360" t="s">
        <v>19</v>
      </c>
      <c r="X1857" s="360">
        <v>25</v>
      </c>
      <c r="Y1857" s="360" t="s">
        <v>42</v>
      </c>
      <c r="Z1857" s="360">
        <v>7</v>
      </c>
      <c r="AA1857" s="360">
        <v>44</v>
      </c>
      <c r="AB1857" s="360">
        <v>15.9</v>
      </c>
    </row>
    <row r="1858" spans="10:28" x14ac:dyDescent="0.2">
      <c r="J1858" s="358" t="str">
        <f t="shared" si="102"/>
        <v>2006AllSexNon-Maori215</v>
      </c>
      <c r="K1858" s="359">
        <v>2006</v>
      </c>
      <c r="L1858" t="s">
        <v>17</v>
      </c>
      <c r="M1858" t="s">
        <v>19</v>
      </c>
      <c r="N1858">
        <v>21</v>
      </c>
      <c r="O1858">
        <v>5</v>
      </c>
      <c r="P1858">
        <v>0</v>
      </c>
      <c r="T1858" s="358" t="str">
        <f t="shared" si="103"/>
        <v>2004MaleNon-Maori22Hanging, strangulation and suffocation</v>
      </c>
      <c r="U1858" s="360">
        <v>2004</v>
      </c>
      <c r="V1858" s="360" t="s">
        <v>20</v>
      </c>
      <c r="W1858" s="360" t="s">
        <v>19</v>
      </c>
      <c r="X1858" s="360">
        <v>22</v>
      </c>
      <c r="Y1858" s="360" t="s">
        <v>43</v>
      </c>
      <c r="Z1858" s="360">
        <v>33</v>
      </c>
      <c r="AA1858" s="360">
        <v>55</v>
      </c>
      <c r="AB1858" s="360">
        <v>60</v>
      </c>
    </row>
    <row r="1859" spans="10:28" x14ac:dyDescent="0.2">
      <c r="J1859" s="358" t="str">
        <f t="shared" si="102"/>
        <v>2006AllSexNon-Maori221</v>
      </c>
      <c r="K1859" s="359">
        <v>2006</v>
      </c>
      <c r="L1859" t="s">
        <v>17</v>
      </c>
      <c r="M1859" t="s">
        <v>19</v>
      </c>
      <c r="N1859">
        <v>22</v>
      </c>
      <c r="O1859">
        <v>1</v>
      </c>
      <c r="P1859">
        <v>12</v>
      </c>
      <c r="Q1859">
        <v>12.7675300141346</v>
      </c>
      <c r="R1859">
        <v>7.2</v>
      </c>
      <c r="T1859" s="358" t="str">
        <f t="shared" si="103"/>
        <v>2004MaleNon-Maori23Hanging, strangulation and suffocation</v>
      </c>
      <c r="U1859" s="360">
        <v>2004</v>
      </c>
      <c r="V1859" s="360" t="s">
        <v>20</v>
      </c>
      <c r="W1859" s="360" t="s">
        <v>19</v>
      </c>
      <c r="X1859" s="360">
        <v>23</v>
      </c>
      <c r="Y1859" s="360" t="s">
        <v>43</v>
      </c>
      <c r="Z1859" s="360">
        <v>65</v>
      </c>
      <c r="AA1859" s="360">
        <v>117</v>
      </c>
      <c r="AB1859" s="360">
        <v>55.6</v>
      </c>
    </row>
    <row r="1860" spans="10:28" x14ac:dyDescent="0.2">
      <c r="J1860" s="358" t="str">
        <f t="shared" ref="J1860:J1923" si="104">K1860&amp;L1860&amp;M1860&amp;N1860&amp;O1860</f>
        <v>2006AllSexNon-Maori222</v>
      </c>
      <c r="K1860" s="359">
        <v>2006</v>
      </c>
      <c r="L1860" t="s">
        <v>17</v>
      </c>
      <c r="M1860" t="s">
        <v>19</v>
      </c>
      <c r="N1860">
        <v>22</v>
      </c>
      <c r="O1860">
        <v>2</v>
      </c>
      <c r="P1860">
        <v>11</v>
      </c>
      <c r="Q1860">
        <v>11.4041229167171</v>
      </c>
      <c r="R1860">
        <v>6.7</v>
      </c>
      <c r="T1860" s="358" t="str">
        <f t="shared" si="103"/>
        <v>2004MaleNon-Maori24Hanging, strangulation and suffocation</v>
      </c>
      <c r="U1860" s="360">
        <v>2004</v>
      </c>
      <c r="V1860" s="360" t="s">
        <v>20</v>
      </c>
      <c r="W1860" s="360" t="s">
        <v>19</v>
      </c>
      <c r="X1860" s="360">
        <v>24</v>
      </c>
      <c r="Y1860" s="360" t="s">
        <v>43</v>
      </c>
      <c r="Z1860" s="360">
        <v>27</v>
      </c>
      <c r="AA1860" s="360">
        <v>81</v>
      </c>
      <c r="AB1860" s="360">
        <v>33.299999999999997</v>
      </c>
    </row>
    <row r="1861" spans="10:28" x14ac:dyDescent="0.2">
      <c r="J1861" s="358" t="str">
        <f t="shared" si="104"/>
        <v>2006AllSexNon-Maori223</v>
      </c>
      <c r="K1861" s="359">
        <v>2006</v>
      </c>
      <c r="L1861" t="s">
        <v>17</v>
      </c>
      <c r="M1861" t="s">
        <v>19</v>
      </c>
      <c r="N1861">
        <v>22</v>
      </c>
      <c r="O1861">
        <v>3</v>
      </c>
      <c r="P1861">
        <v>17</v>
      </c>
      <c r="Q1861">
        <v>17.2261940875999</v>
      </c>
      <c r="R1861">
        <v>8.1999999999999993</v>
      </c>
      <c r="T1861" s="358" t="str">
        <f t="shared" ref="T1861:T1924" si="105">U1861&amp;V1861&amp;W1861&amp;X1861&amp;Y1861</f>
        <v>2004MaleNon-Maori25Hanging, strangulation and suffocation</v>
      </c>
      <c r="U1861" s="360">
        <v>2004</v>
      </c>
      <c r="V1861" s="360" t="s">
        <v>20</v>
      </c>
      <c r="W1861" s="360" t="s">
        <v>19</v>
      </c>
      <c r="X1861" s="360">
        <v>25</v>
      </c>
      <c r="Y1861" s="360" t="s">
        <v>43</v>
      </c>
      <c r="Z1861" s="360">
        <v>16</v>
      </c>
      <c r="AA1861" s="360">
        <v>44</v>
      </c>
      <c r="AB1861" s="360">
        <v>36.4</v>
      </c>
    </row>
    <row r="1862" spans="10:28" x14ac:dyDescent="0.2">
      <c r="J1862" s="358" t="str">
        <f t="shared" si="104"/>
        <v>2006AllSexNon-Maori224</v>
      </c>
      <c r="K1862" s="359">
        <v>2006</v>
      </c>
      <c r="L1862" t="s">
        <v>17</v>
      </c>
      <c r="M1862" t="s">
        <v>19</v>
      </c>
      <c r="N1862">
        <v>22</v>
      </c>
      <c r="O1862">
        <v>4</v>
      </c>
      <c r="P1862">
        <v>20</v>
      </c>
      <c r="Q1862">
        <v>19.947188295847699</v>
      </c>
      <c r="R1862">
        <v>8.6999999999999993</v>
      </c>
      <c r="T1862" s="358" t="str">
        <f t="shared" si="105"/>
        <v>2004MaleNon-Maori22Jumping from a high place</v>
      </c>
      <c r="U1862" s="360">
        <v>2004</v>
      </c>
      <c r="V1862" s="360" t="s">
        <v>20</v>
      </c>
      <c r="W1862" s="360" t="s">
        <v>19</v>
      </c>
      <c r="X1862" s="360">
        <v>22</v>
      </c>
      <c r="Y1862" s="360" t="s">
        <v>44</v>
      </c>
      <c r="Z1862" s="360">
        <v>1</v>
      </c>
      <c r="AA1862" s="360">
        <v>55</v>
      </c>
      <c r="AB1862" s="360">
        <v>1.8</v>
      </c>
    </row>
    <row r="1863" spans="10:28" x14ac:dyDescent="0.2">
      <c r="J1863" s="358" t="str">
        <f t="shared" si="104"/>
        <v>2006AllSexNon-Maori225</v>
      </c>
      <c r="K1863" s="359">
        <v>2006</v>
      </c>
      <c r="L1863" t="s">
        <v>17</v>
      </c>
      <c r="M1863" t="s">
        <v>19</v>
      </c>
      <c r="N1863">
        <v>22</v>
      </c>
      <c r="O1863">
        <v>5</v>
      </c>
      <c r="P1863">
        <v>15</v>
      </c>
      <c r="Q1863">
        <v>15.109763556652499</v>
      </c>
      <c r="R1863">
        <v>7.6</v>
      </c>
      <c r="T1863" s="358" t="str">
        <f t="shared" si="105"/>
        <v>2004MaleNon-Maori23Jumping from a high place</v>
      </c>
      <c r="U1863" s="360">
        <v>2004</v>
      </c>
      <c r="V1863" s="360" t="s">
        <v>20</v>
      </c>
      <c r="W1863" s="360" t="s">
        <v>19</v>
      </c>
      <c r="X1863" s="360">
        <v>23</v>
      </c>
      <c r="Y1863" s="360" t="s">
        <v>44</v>
      </c>
      <c r="Z1863" s="360">
        <v>1</v>
      </c>
      <c r="AA1863" s="360">
        <v>117</v>
      </c>
      <c r="AB1863" s="360">
        <v>0.9</v>
      </c>
    </row>
    <row r="1864" spans="10:28" x14ac:dyDescent="0.2">
      <c r="J1864" s="358" t="str">
        <f t="shared" si="104"/>
        <v>2006AllSexNon-Maori231</v>
      </c>
      <c r="K1864" s="359">
        <v>2006</v>
      </c>
      <c r="L1864" t="s">
        <v>17</v>
      </c>
      <c r="M1864" t="s">
        <v>19</v>
      </c>
      <c r="N1864">
        <v>23</v>
      </c>
      <c r="O1864">
        <v>1</v>
      </c>
      <c r="P1864">
        <v>18</v>
      </c>
      <c r="Q1864">
        <v>8.1879844362703498</v>
      </c>
      <c r="R1864">
        <v>3.8</v>
      </c>
      <c r="T1864" s="358" t="str">
        <f t="shared" si="105"/>
        <v>2004MaleNon-Maori24Jumping from a high place</v>
      </c>
      <c r="U1864" s="360">
        <v>2004</v>
      </c>
      <c r="V1864" s="360" t="s">
        <v>20</v>
      </c>
      <c r="W1864" s="360" t="s">
        <v>19</v>
      </c>
      <c r="X1864" s="360">
        <v>24</v>
      </c>
      <c r="Y1864" s="360" t="s">
        <v>44</v>
      </c>
      <c r="Z1864" s="360">
        <v>2</v>
      </c>
      <c r="AA1864" s="360">
        <v>81</v>
      </c>
      <c r="AB1864" s="360">
        <v>2.5</v>
      </c>
    </row>
    <row r="1865" spans="10:28" x14ac:dyDescent="0.2">
      <c r="J1865" s="358" t="str">
        <f t="shared" si="104"/>
        <v>2006AllSexNon-Maori232</v>
      </c>
      <c r="K1865" s="359">
        <v>2006</v>
      </c>
      <c r="L1865" t="s">
        <v>17</v>
      </c>
      <c r="M1865" t="s">
        <v>19</v>
      </c>
      <c r="N1865">
        <v>23</v>
      </c>
      <c r="O1865">
        <v>2</v>
      </c>
      <c r="P1865">
        <v>31</v>
      </c>
      <c r="Q1865">
        <v>13.791031425223199</v>
      </c>
      <c r="R1865">
        <v>4.9000000000000004</v>
      </c>
      <c r="T1865" s="358" t="str">
        <f t="shared" si="105"/>
        <v>2004MaleNon-Maori25Jumping from a high place</v>
      </c>
      <c r="U1865" s="360">
        <v>2004</v>
      </c>
      <c r="V1865" s="360" t="s">
        <v>20</v>
      </c>
      <c r="W1865" s="360" t="s">
        <v>19</v>
      </c>
      <c r="X1865" s="360">
        <v>25</v>
      </c>
      <c r="Y1865" s="360" t="s">
        <v>44</v>
      </c>
      <c r="Z1865" s="360">
        <v>3</v>
      </c>
      <c r="AA1865" s="360">
        <v>44</v>
      </c>
      <c r="AB1865" s="360">
        <v>6.8</v>
      </c>
    </row>
    <row r="1866" spans="10:28" x14ac:dyDescent="0.2">
      <c r="J1866" s="358" t="str">
        <f t="shared" si="104"/>
        <v>2006AllSexNon-Maori233</v>
      </c>
      <c r="K1866" s="359">
        <v>2006</v>
      </c>
      <c r="L1866" t="s">
        <v>17</v>
      </c>
      <c r="M1866" t="s">
        <v>19</v>
      </c>
      <c r="N1866">
        <v>23</v>
      </c>
      <c r="O1866">
        <v>3</v>
      </c>
      <c r="P1866">
        <v>26</v>
      </c>
      <c r="Q1866">
        <v>12.0491870430014</v>
      </c>
      <c r="R1866">
        <v>4.5999999999999996</v>
      </c>
      <c r="T1866" s="358" t="str">
        <f t="shared" si="105"/>
        <v>2004MaleNon-Maori22Other</v>
      </c>
      <c r="U1866" s="360">
        <v>2004</v>
      </c>
      <c r="V1866" s="360" t="s">
        <v>20</v>
      </c>
      <c r="W1866" s="360" t="s">
        <v>19</v>
      </c>
      <c r="X1866" s="360">
        <v>22</v>
      </c>
      <c r="Y1866" s="360" t="s">
        <v>45</v>
      </c>
      <c r="Z1866" s="360">
        <v>1</v>
      </c>
      <c r="AA1866" s="360">
        <v>55</v>
      </c>
      <c r="AB1866" s="360">
        <v>1.8</v>
      </c>
    </row>
    <row r="1867" spans="10:28" x14ac:dyDescent="0.2">
      <c r="J1867" s="358" t="str">
        <f t="shared" si="104"/>
        <v>2006AllSexNon-Maori234</v>
      </c>
      <c r="K1867" s="359">
        <v>2006</v>
      </c>
      <c r="L1867" t="s">
        <v>17</v>
      </c>
      <c r="M1867" t="s">
        <v>19</v>
      </c>
      <c r="N1867">
        <v>23</v>
      </c>
      <c r="O1867">
        <v>4</v>
      </c>
      <c r="P1867">
        <v>26</v>
      </c>
      <c r="Q1867">
        <v>13.1847823669954</v>
      </c>
      <c r="R1867">
        <v>5.0999999999999996</v>
      </c>
      <c r="T1867" s="358" t="str">
        <f t="shared" si="105"/>
        <v>2004MaleNon-Maori23Other</v>
      </c>
      <c r="U1867" s="360">
        <v>2004</v>
      </c>
      <c r="V1867" s="360" t="s">
        <v>20</v>
      </c>
      <c r="W1867" s="360" t="s">
        <v>19</v>
      </c>
      <c r="X1867" s="360">
        <v>23</v>
      </c>
      <c r="Y1867" s="360" t="s">
        <v>45</v>
      </c>
      <c r="Z1867" s="360">
        <v>3</v>
      </c>
      <c r="AA1867" s="360">
        <v>117</v>
      </c>
      <c r="AB1867" s="360">
        <v>2.6</v>
      </c>
    </row>
    <row r="1868" spans="10:28" x14ac:dyDescent="0.2">
      <c r="J1868" s="358" t="str">
        <f t="shared" si="104"/>
        <v>2006AllSexNon-Maori235</v>
      </c>
      <c r="K1868" s="359">
        <v>2006</v>
      </c>
      <c r="L1868" t="s">
        <v>17</v>
      </c>
      <c r="M1868" t="s">
        <v>19</v>
      </c>
      <c r="N1868">
        <v>23</v>
      </c>
      <c r="O1868">
        <v>5</v>
      </c>
      <c r="P1868">
        <v>45</v>
      </c>
      <c r="Q1868">
        <v>29.246857724817399</v>
      </c>
      <c r="R1868">
        <v>8.5</v>
      </c>
      <c r="T1868" s="358" t="str">
        <f t="shared" si="105"/>
        <v>2004MaleNon-Maori24Other</v>
      </c>
      <c r="U1868" s="360">
        <v>2004</v>
      </c>
      <c r="V1868" s="360" t="s">
        <v>20</v>
      </c>
      <c r="W1868" s="360" t="s">
        <v>19</v>
      </c>
      <c r="X1868" s="360">
        <v>24</v>
      </c>
      <c r="Y1868" s="360" t="s">
        <v>45</v>
      </c>
      <c r="Z1868" s="360">
        <v>6</v>
      </c>
      <c r="AA1868" s="360">
        <v>81</v>
      </c>
      <c r="AB1868" s="360">
        <v>7.4</v>
      </c>
    </row>
    <row r="1869" spans="10:28" x14ac:dyDescent="0.2">
      <c r="J1869" s="358" t="str">
        <f t="shared" si="104"/>
        <v>2006AllSexNon-Maori241</v>
      </c>
      <c r="K1869" s="359">
        <v>2006</v>
      </c>
      <c r="L1869" t="s">
        <v>17</v>
      </c>
      <c r="M1869" t="s">
        <v>19</v>
      </c>
      <c r="N1869">
        <v>24</v>
      </c>
      <c r="O1869">
        <v>1</v>
      </c>
      <c r="P1869">
        <v>20</v>
      </c>
      <c r="Q1869">
        <v>8.3187135551569291</v>
      </c>
      <c r="R1869">
        <v>3.6</v>
      </c>
      <c r="T1869" s="358" t="str">
        <f t="shared" si="105"/>
        <v>2004MaleNon-Maori22Poisoning by gases and vapours</v>
      </c>
      <c r="U1869" s="360">
        <v>2004</v>
      </c>
      <c r="V1869" s="360" t="s">
        <v>20</v>
      </c>
      <c r="W1869" s="360" t="s">
        <v>19</v>
      </c>
      <c r="X1869" s="360">
        <v>22</v>
      </c>
      <c r="Y1869" s="360" t="s">
        <v>46</v>
      </c>
      <c r="Z1869" s="360">
        <v>14</v>
      </c>
      <c r="AA1869" s="360">
        <v>55</v>
      </c>
      <c r="AB1869" s="360">
        <v>25.5</v>
      </c>
    </row>
    <row r="1870" spans="10:28" x14ac:dyDescent="0.2">
      <c r="J1870" s="358" t="str">
        <f t="shared" si="104"/>
        <v>2006AllSexNon-Maori242</v>
      </c>
      <c r="K1870" s="359">
        <v>2006</v>
      </c>
      <c r="L1870" t="s">
        <v>17</v>
      </c>
      <c r="M1870" t="s">
        <v>19</v>
      </c>
      <c r="N1870">
        <v>24</v>
      </c>
      <c r="O1870">
        <v>2</v>
      </c>
      <c r="P1870">
        <v>25</v>
      </c>
      <c r="Q1870">
        <v>12.034932108076401</v>
      </c>
      <c r="R1870">
        <v>4.7</v>
      </c>
      <c r="T1870" s="358" t="str">
        <f t="shared" si="105"/>
        <v>2004MaleNon-Maori23Poisoning by gases and vapours</v>
      </c>
      <c r="U1870" s="360">
        <v>2004</v>
      </c>
      <c r="V1870" s="360" t="s">
        <v>20</v>
      </c>
      <c r="W1870" s="360" t="s">
        <v>19</v>
      </c>
      <c r="X1870" s="360">
        <v>23</v>
      </c>
      <c r="Y1870" s="360" t="s">
        <v>46</v>
      </c>
      <c r="Z1870" s="360">
        <v>30</v>
      </c>
      <c r="AA1870" s="360">
        <v>117</v>
      </c>
      <c r="AB1870" s="360">
        <v>25.6</v>
      </c>
    </row>
    <row r="1871" spans="10:28" x14ac:dyDescent="0.2">
      <c r="J1871" s="358" t="str">
        <f t="shared" si="104"/>
        <v>2006AllSexNon-Maori243</v>
      </c>
      <c r="K1871" s="359">
        <v>2006</v>
      </c>
      <c r="L1871" t="s">
        <v>17</v>
      </c>
      <c r="M1871" t="s">
        <v>19</v>
      </c>
      <c r="N1871">
        <v>24</v>
      </c>
      <c r="O1871">
        <v>3</v>
      </c>
      <c r="P1871">
        <v>31</v>
      </c>
      <c r="Q1871">
        <v>17.151528786180901</v>
      </c>
      <c r="R1871">
        <v>6</v>
      </c>
      <c r="T1871" s="358" t="str">
        <f t="shared" si="105"/>
        <v>2004MaleNon-Maori24Poisoning by gases and vapours</v>
      </c>
      <c r="U1871" s="360">
        <v>2004</v>
      </c>
      <c r="V1871" s="360" t="s">
        <v>20</v>
      </c>
      <c r="W1871" s="360" t="s">
        <v>19</v>
      </c>
      <c r="X1871" s="360">
        <v>24</v>
      </c>
      <c r="Y1871" s="360" t="s">
        <v>46</v>
      </c>
      <c r="Z1871" s="360">
        <v>25</v>
      </c>
      <c r="AA1871" s="360">
        <v>81</v>
      </c>
      <c r="AB1871" s="360">
        <v>30.9</v>
      </c>
    </row>
    <row r="1872" spans="10:28" x14ac:dyDescent="0.2">
      <c r="J1872" s="358" t="str">
        <f t="shared" si="104"/>
        <v>2006AllSexNon-Maori244</v>
      </c>
      <c r="K1872" s="359">
        <v>2006</v>
      </c>
      <c r="L1872" t="s">
        <v>17</v>
      </c>
      <c r="M1872" t="s">
        <v>19</v>
      </c>
      <c r="N1872">
        <v>24</v>
      </c>
      <c r="O1872">
        <v>4</v>
      </c>
      <c r="P1872">
        <v>22</v>
      </c>
      <c r="Q1872">
        <v>14.1227824327792</v>
      </c>
      <c r="R1872">
        <v>5.9</v>
      </c>
      <c r="T1872" s="358" t="str">
        <f t="shared" si="105"/>
        <v>2004MaleNon-Maori25Poisoning by gases and vapours</v>
      </c>
      <c r="U1872" s="360">
        <v>2004</v>
      </c>
      <c r="V1872" s="360" t="s">
        <v>20</v>
      </c>
      <c r="W1872" s="360" t="s">
        <v>19</v>
      </c>
      <c r="X1872" s="360">
        <v>25</v>
      </c>
      <c r="Y1872" s="360" t="s">
        <v>46</v>
      </c>
      <c r="Z1872" s="360">
        <v>10</v>
      </c>
      <c r="AA1872" s="360">
        <v>44</v>
      </c>
      <c r="AB1872" s="360">
        <v>22.7</v>
      </c>
    </row>
    <row r="1873" spans="10:28" x14ac:dyDescent="0.2">
      <c r="J1873" s="358" t="str">
        <f t="shared" si="104"/>
        <v>2006AllSexNon-Maori245</v>
      </c>
      <c r="K1873" s="359">
        <v>2006</v>
      </c>
      <c r="L1873" t="s">
        <v>17</v>
      </c>
      <c r="M1873" t="s">
        <v>19</v>
      </c>
      <c r="N1873">
        <v>24</v>
      </c>
      <c r="O1873">
        <v>5</v>
      </c>
      <c r="P1873">
        <v>25</v>
      </c>
      <c r="Q1873">
        <v>21.455359513298799</v>
      </c>
      <c r="R1873">
        <v>8.4</v>
      </c>
      <c r="T1873" s="358" t="str">
        <f t="shared" si="105"/>
        <v>2004MaleNon-Maori22Poisoning by solids and liquids</v>
      </c>
      <c r="U1873" s="360">
        <v>2004</v>
      </c>
      <c r="V1873" s="360" t="s">
        <v>20</v>
      </c>
      <c r="W1873" s="360" t="s">
        <v>19</v>
      </c>
      <c r="X1873" s="360">
        <v>22</v>
      </c>
      <c r="Y1873" s="360" t="s">
        <v>47</v>
      </c>
      <c r="Z1873" s="360">
        <v>3</v>
      </c>
      <c r="AA1873" s="360">
        <v>55</v>
      </c>
      <c r="AB1873" s="360">
        <v>5.5</v>
      </c>
    </row>
    <row r="1874" spans="10:28" x14ac:dyDescent="0.2">
      <c r="J1874" s="358" t="str">
        <f t="shared" si="104"/>
        <v>2006AllSexNon-Maori251</v>
      </c>
      <c r="K1874" s="359">
        <v>2006</v>
      </c>
      <c r="L1874" t="s">
        <v>17</v>
      </c>
      <c r="M1874" t="s">
        <v>19</v>
      </c>
      <c r="N1874">
        <v>25</v>
      </c>
      <c r="O1874">
        <v>1</v>
      </c>
      <c r="P1874">
        <v>9</v>
      </c>
      <c r="Q1874">
        <v>9.2087705030230698</v>
      </c>
      <c r="R1874">
        <v>6</v>
      </c>
      <c r="T1874" s="358" t="str">
        <f t="shared" si="105"/>
        <v>2004MaleNon-Maori23Poisoning by solids and liquids</v>
      </c>
      <c r="U1874" s="360">
        <v>2004</v>
      </c>
      <c r="V1874" s="360" t="s">
        <v>20</v>
      </c>
      <c r="W1874" s="360" t="s">
        <v>19</v>
      </c>
      <c r="X1874" s="360">
        <v>23</v>
      </c>
      <c r="Y1874" s="360" t="s">
        <v>47</v>
      </c>
      <c r="Z1874" s="360">
        <v>8</v>
      </c>
      <c r="AA1874" s="360">
        <v>117</v>
      </c>
      <c r="AB1874" s="360">
        <v>6.8</v>
      </c>
    </row>
    <row r="1875" spans="10:28" x14ac:dyDescent="0.2">
      <c r="J1875" s="358" t="str">
        <f t="shared" si="104"/>
        <v>2006AllSexNon-Maori252</v>
      </c>
      <c r="K1875" s="359">
        <v>2006</v>
      </c>
      <c r="L1875" t="s">
        <v>17</v>
      </c>
      <c r="M1875" t="s">
        <v>19</v>
      </c>
      <c r="N1875">
        <v>25</v>
      </c>
      <c r="O1875">
        <v>2</v>
      </c>
      <c r="P1875">
        <v>14</v>
      </c>
      <c r="Q1875">
        <v>13.5090717240881</v>
      </c>
      <c r="R1875">
        <v>7.1</v>
      </c>
      <c r="T1875" s="358" t="str">
        <f t="shared" si="105"/>
        <v>2004MaleNon-Maori24Poisoning by solids and liquids</v>
      </c>
      <c r="U1875" s="360">
        <v>2004</v>
      </c>
      <c r="V1875" s="360" t="s">
        <v>20</v>
      </c>
      <c r="W1875" s="360" t="s">
        <v>19</v>
      </c>
      <c r="X1875" s="360">
        <v>24</v>
      </c>
      <c r="Y1875" s="360" t="s">
        <v>47</v>
      </c>
      <c r="Z1875" s="360">
        <v>5</v>
      </c>
      <c r="AA1875" s="360">
        <v>81</v>
      </c>
      <c r="AB1875" s="360">
        <v>6.2</v>
      </c>
    </row>
    <row r="1876" spans="10:28" x14ac:dyDescent="0.2">
      <c r="J1876" s="358" t="str">
        <f t="shared" si="104"/>
        <v>2006AllSexNon-Maori253</v>
      </c>
      <c r="K1876" s="359">
        <v>2006</v>
      </c>
      <c r="L1876" t="s">
        <v>17</v>
      </c>
      <c r="M1876" t="s">
        <v>19</v>
      </c>
      <c r="N1876">
        <v>25</v>
      </c>
      <c r="O1876">
        <v>3</v>
      </c>
      <c r="P1876">
        <v>8</v>
      </c>
      <c r="Q1876">
        <v>7.5188515857240601</v>
      </c>
      <c r="R1876">
        <v>5.2</v>
      </c>
      <c r="T1876" s="358" t="str">
        <f t="shared" si="105"/>
        <v>2004MaleNon-Maori25Poisoning by solids and liquids</v>
      </c>
      <c r="U1876" s="360">
        <v>2004</v>
      </c>
      <c r="V1876" s="360" t="s">
        <v>20</v>
      </c>
      <c r="W1876" s="360" t="s">
        <v>19</v>
      </c>
      <c r="X1876" s="360">
        <v>25</v>
      </c>
      <c r="Y1876" s="360" t="s">
        <v>47</v>
      </c>
      <c r="Z1876" s="360">
        <v>3</v>
      </c>
      <c r="AA1876" s="360">
        <v>44</v>
      </c>
      <c r="AB1876" s="360">
        <v>6.8</v>
      </c>
    </row>
    <row r="1877" spans="10:28" x14ac:dyDescent="0.2">
      <c r="J1877" s="358" t="str">
        <f t="shared" si="104"/>
        <v>2006AllSexNon-Maori254</v>
      </c>
      <c r="K1877" s="359">
        <v>2006</v>
      </c>
      <c r="L1877" t="s">
        <v>17</v>
      </c>
      <c r="M1877" t="s">
        <v>19</v>
      </c>
      <c r="N1877">
        <v>25</v>
      </c>
      <c r="O1877">
        <v>4</v>
      </c>
      <c r="P1877">
        <v>8</v>
      </c>
      <c r="Q1877">
        <v>7.66194393027875</v>
      </c>
      <c r="R1877">
        <v>5.3</v>
      </c>
      <c r="T1877" s="358" t="str">
        <f t="shared" si="105"/>
        <v>2004MaleNon-Maori25Sharp object</v>
      </c>
      <c r="U1877" s="360">
        <v>2004</v>
      </c>
      <c r="V1877" s="360" t="s">
        <v>20</v>
      </c>
      <c r="W1877" s="360" t="s">
        <v>19</v>
      </c>
      <c r="X1877" s="360">
        <v>25</v>
      </c>
      <c r="Y1877" s="360" t="s">
        <v>48</v>
      </c>
      <c r="Z1877" s="360">
        <v>2</v>
      </c>
      <c r="AA1877" s="360">
        <v>44</v>
      </c>
      <c r="AB1877" s="360">
        <v>4.5</v>
      </c>
    </row>
    <row r="1878" spans="10:28" x14ac:dyDescent="0.2">
      <c r="J1878" s="358" t="str">
        <f t="shared" si="104"/>
        <v>2006AllSexNon-Maori255</v>
      </c>
      <c r="K1878" s="359">
        <v>2006</v>
      </c>
      <c r="L1878" t="s">
        <v>17</v>
      </c>
      <c r="M1878" t="s">
        <v>19</v>
      </c>
      <c r="N1878">
        <v>25</v>
      </c>
      <c r="O1878">
        <v>5</v>
      </c>
      <c r="P1878">
        <v>9</v>
      </c>
      <c r="Q1878">
        <v>12.2047721127363</v>
      </c>
      <c r="R1878">
        <v>8</v>
      </c>
      <c r="T1878" s="358" t="str">
        <f t="shared" si="105"/>
        <v>2004MaleNon-Maori22Submersion (drowning)</v>
      </c>
      <c r="U1878" s="360">
        <v>2004</v>
      </c>
      <c r="V1878" s="360" t="s">
        <v>20</v>
      </c>
      <c r="W1878" s="360" t="s">
        <v>19</v>
      </c>
      <c r="X1878" s="360">
        <v>22</v>
      </c>
      <c r="Y1878" s="360" t="s">
        <v>49</v>
      </c>
      <c r="Z1878" s="360">
        <v>1</v>
      </c>
      <c r="AA1878" s="360">
        <v>55</v>
      </c>
      <c r="AB1878" s="360">
        <v>1.8</v>
      </c>
    </row>
    <row r="1879" spans="10:28" x14ac:dyDescent="0.2">
      <c r="J1879" s="358" t="str">
        <f t="shared" si="104"/>
        <v>2006FemaleAllEth211</v>
      </c>
      <c r="K1879" s="359">
        <v>2006</v>
      </c>
      <c r="L1879" t="s">
        <v>8</v>
      </c>
      <c r="M1879" t="s">
        <v>27</v>
      </c>
      <c r="N1879">
        <v>21</v>
      </c>
      <c r="O1879">
        <v>1</v>
      </c>
      <c r="P1879">
        <v>1</v>
      </c>
      <c r="T1879" s="358" t="str">
        <f t="shared" si="105"/>
        <v>2004MaleNon-Maori23Submersion (drowning)</v>
      </c>
      <c r="U1879" s="360">
        <v>2004</v>
      </c>
      <c r="V1879" s="360" t="s">
        <v>20</v>
      </c>
      <c r="W1879" s="360" t="s">
        <v>19</v>
      </c>
      <c r="X1879" s="360">
        <v>23</v>
      </c>
      <c r="Y1879" s="360" t="s">
        <v>49</v>
      </c>
      <c r="Z1879" s="360">
        <v>3</v>
      </c>
      <c r="AA1879" s="360">
        <v>117</v>
      </c>
      <c r="AB1879" s="360">
        <v>2.6</v>
      </c>
    </row>
    <row r="1880" spans="10:28" x14ac:dyDescent="0.2">
      <c r="J1880" s="358" t="str">
        <f t="shared" si="104"/>
        <v>2006FemaleAllEth212</v>
      </c>
      <c r="K1880" s="359">
        <v>2006</v>
      </c>
      <c r="L1880" t="s">
        <v>8</v>
      </c>
      <c r="M1880" t="s">
        <v>27</v>
      </c>
      <c r="N1880">
        <v>21</v>
      </c>
      <c r="O1880">
        <v>2</v>
      </c>
      <c r="P1880">
        <v>0</v>
      </c>
      <c r="T1880" s="358" t="str">
        <f t="shared" si="105"/>
        <v>2004MaleNon-Maori24Submersion (drowning)</v>
      </c>
      <c r="U1880" s="360">
        <v>2004</v>
      </c>
      <c r="V1880" s="360" t="s">
        <v>20</v>
      </c>
      <c r="W1880" s="360" t="s">
        <v>19</v>
      </c>
      <c r="X1880" s="360">
        <v>24</v>
      </c>
      <c r="Y1880" s="360" t="s">
        <v>49</v>
      </c>
      <c r="Z1880" s="360">
        <v>1</v>
      </c>
      <c r="AA1880" s="360">
        <v>81</v>
      </c>
      <c r="AB1880" s="360">
        <v>1.2</v>
      </c>
    </row>
    <row r="1881" spans="10:28" x14ac:dyDescent="0.2">
      <c r="J1881" s="358" t="str">
        <f t="shared" si="104"/>
        <v>2006FemaleAllEth213</v>
      </c>
      <c r="K1881" s="359">
        <v>2006</v>
      </c>
      <c r="L1881" t="s">
        <v>8</v>
      </c>
      <c r="M1881" t="s">
        <v>27</v>
      </c>
      <c r="N1881">
        <v>21</v>
      </c>
      <c r="O1881">
        <v>3</v>
      </c>
      <c r="P1881">
        <v>0</v>
      </c>
      <c r="T1881" s="358" t="str">
        <f t="shared" si="105"/>
        <v>2004MaleNon-Maori25Submersion (drowning)</v>
      </c>
      <c r="U1881" s="360">
        <v>2004</v>
      </c>
      <c r="V1881" s="360" t="s">
        <v>20</v>
      </c>
      <c r="W1881" s="360" t="s">
        <v>19</v>
      </c>
      <c r="X1881" s="360">
        <v>25</v>
      </c>
      <c r="Y1881" s="360" t="s">
        <v>49</v>
      </c>
      <c r="Z1881" s="360">
        <v>3</v>
      </c>
      <c r="AA1881" s="360">
        <v>44</v>
      </c>
      <c r="AB1881" s="360">
        <v>6.8</v>
      </c>
    </row>
    <row r="1882" spans="10:28" x14ac:dyDescent="0.2">
      <c r="J1882" s="358" t="str">
        <f t="shared" si="104"/>
        <v>2006FemaleAllEth214</v>
      </c>
      <c r="K1882" s="359">
        <v>2006</v>
      </c>
      <c r="L1882" t="s">
        <v>8</v>
      </c>
      <c r="M1882" t="s">
        <v>27</v>
      </c>
      <c r="N1882">
        <v>21</v>
      </c>
      <c r="O1882">
        <v>4</v>
      </c>
      <c r="P1882">
        <v>1</v>
      </c>
      <c r="T1882" s="358" t="str">
        <f t="shared" si="105"/>
        <v>2005AllSexAllEth22Firearms and explosives</v>
      </c>
      <c r="U1882" s="360">
        <v>2005</v>
      </c>
      <c r="V1882" s="360" t="s">
        <v>17</v>
      </c>
      <c r="W1882" s="360" t="s">
        <v>27</v>
      </c>
      <c r="X1882" s="360">
        <v>22</v>
      </c>
      <c r="Y1882" s="360" t="s">
        <v>42</v>
      </c>
      <c r="Z1882" s="360">
        <v>10</v>
      </c>
      <c r="AA1882" s="360">
        <v>109</v>
      </c>
      <c r="AB1882" s="360">
        <v>9.1999999999999993</v>
      </c>
    </row>
    <row r="1883" spans="10:28" x14ac:dyDescent="0.2">
      <c r="J1883" s="358" t="str">
        <f t="shared" si="104"/>
        <v>2006FemaleAllEth215</v>
      </c>
      <c r="K1883" s="359">
        <v>2006</v>
      </c>
      <c r="L1883" t="s">
        <v>8</v>
      </c>
      <c r="M1883" t="s">
        <v>27</v>
      </c>
      <c r="N1883">
        <v>21</v>
      </c>
      <c r="O1883">
        <v>5</v>
      </c>
      <c r="P1883">
        <v>2</v>
      </c>
      <c r="T1883" s="358" t="str">
        <f t="shared" si="105"/>
        <v>2005AllSexAllEth23Firearms and explosives</v>
      </c>
      <c r="U1883" s="360">
        <v>2005</v>
      </c>
      <c r="V1883" s="360" t="s">
        <v>17</v>
      </c>
      <c r="W1883" s="360" t="s">
        <v>27</v>
      </c>
      <c r="X1883" s="360">
        <v>23</v>
      </c>
      <c r="Y1883" s="360" t="s">
        <v>42</v>
      </c>
      <c r="Z1883" s="360">
        <v>13</v>
      </c>
      <c r="AA1883" s="360">
        <v>219</v>
      </c>
      <c r="AB1883" s="360">
        <v>5.9</v>
      </c>
    </row>
    <row r="1884" spans="10:28" x14ac:dyDescent="0.2">
      <c r="J1884" s="358" t="str">
        <f t="shared" si="104"/>
        <v>2006FemaleAllEth221</v>
      </c>
      <c r="K1884" s="359">
        <v>2006</v>
      </c>
      <c r="L1884" t="s">
        <v>8</v>
      </c>
      <c r="M1884" t="s">
        <v>27</v>
      </c>
      <c r="N1884">
        <v>22</v>
      </c>
      <c r="O1884">
        <v>1</v>
      </c>
      <c r="P1884">
        <v>3</v>
      </c>
      <c r="Q1884">
        <v>6.1654405837566104</v>
      </c>
      <c r="R1884">
        <v>7</v>
      </c>
      <c r="T1884" s="358" t="str">
        <f t="shared" si="105"/>
        <v>2005AllSexAllEth24Firearms and explosives</v>
      </c>
      <c r="U1884" s="360">
        <v>2005</v>
      </c>
      <c r="V1884" s="360" t="s">
        <v>17</v>
      </c>
      <c r="W1884" s="360" t="s">
        <v>27</v>
      </c>
      <c r="X1884" s="360">
        <v>24</v>
      </c>
      <c r="Y1884" s="360" t="s">
        <v>42</v>
      </c>
      <c r="Z1884" s="360">
        <v>14</v>
      </c>
      <c r="AA1884" s="360">
        <v>136</v>
      </c>
      <c r="AB1884" s="360">
        <v>10.3</v>
      </c>
    </row>
    <row r="1885" spans="10:28" x14ac:dyDescent="0.2">
      <c r="J1885" s="358" t="str">
        <f t="shared" si="104"/>
        <v>2006FemaleAllEth222</v>
      </c>
      <c r="K1885" s="359">
        <v>2006</v>
      </c>
      <c r="L1885" t="s">
        <v>8</v>
      </c>
      <c r="M1885" t="s">
        <v>27</v>
      </c>
      <c r="N1885">
        <v>22</v>
      </c>
      <c r="O1885">
        <v>2</v>
      </c>
      <c r="P1885">
        <v>6</v>
      </c>
      <c r="Q1885">
        <v>11.4946355220328</v>
      </c>
      <c r="R1885">
        <v>9.1999999999999993</v>
      </c>
      <c r="T1885" s="358" t="str">
        <f t="shared" si="105"/>
        <v>2005AllSexAllEth25Firearms and explosives</v>
      </c>
      <c r="U1885" s="360">
        <v>2005</v>
      </c>
      <c r="V1885" s="360" t="s">
        <v>17</v>
      </c>
      <c r="W1885" s="360" t="s">
        <v>27</v>
      </c>
      <c r="X1885" s="360">
        <v>25</v>
      </c>
      <c r="Y1885" s="360" t="s">
        <v>42</v>
      </c>
      <c r="Z1885" s="360">
        <v>7</v>
      </c>
      <c r="AA1885" s="360">
        <v>48</v>
      </c>
      <c r="AB1885" s="360">
        <v>14.6</v>
      </c>
    </row>
    <row r="1886" spans="10:28" x14ac:dyDescent="0.2">
      <c r="J1886" s="358" t="str">
        <f t="shared" si="104"/>
        <v>2006FemaleAllEth223</v>
      </c>
      <c r="K1886" s="359">
        <v>2006</v>
      </c>
      <c r="L1886" t="s">
        <v>8</v>
      </c>
      <c r="M1886" t="s">
        <v>27</v>
      </c>
      <c r="N1886">
        <v>22</v>
      </c>
      <c r="O1886">
        <v>3</v>
      </c>
      <c r="P1886">
        <v>3</v>
      </c>
      <c r="Q1886">
        <v>5.2220299502414198</v>
      </c>
      <c r="R1886">
        <v>5.9</v>
      </c>
      <c r="T1886" s="358" t="str">
        <f t="shared" si="105"/>
        <v>2005AllSexAllEth21Hanging, strangulation and suffocation</v>
      </c>
      <c r="U1886" s="360">
        <v>2005</v>
      </c>
      <c r="V1886" s="360" t="s">
        <v>17</v>
      </c>
      <c r="W1886" s="360" t="s">
        <v>27</v>
      </c>
      <c r="X1886" s="360">
        <v>21</v>
      </c>
      <c r="Y1886" s="360" t="s">
        <v>43</v>
      </c>
      <c r="Z1886" s="360">
        <v>3</v>
      </c>
      <c r="AA1886" s="360">
        <v>3</v>
      </c>
      <c r="AB1886" s="360">
        <v>100</v>
      </c>
    </row>
    <row r="1887" spans="10:28" x14ac:dyDescent="0.2">
      <c r="J1887" s="358" t="str">
        <f t="shared" si="104"/>
        <v>2006FemaleAllEth224</v>
      </c>
      <c r="K1887" s="359">
        <v>2006</v>
      </c>
      <c r="L1887" t="s">
        <v>8</v>
      </c>
      <c r="M1887" t="s">
        <v>27</v>
      </c>
      <c r="N1887">
        <v>22</v>
      </c>
      <c r="O1887">
        <v>4</v>
      </c>
      <c r="P1887">
        <v>3</v>
      </c>
      <c r="Q1887">
        <v>4.6684789162695504</v>
      </c>
      <c r="R1887">
        <v>5.3</v>
      </c>
      <c r="T1887" s="358" t="str">
        <f t="shared" si="105"/>
        <v>2005AllSexAllEth22Hanging, strangulation and suffocation</v>
      </c>
      <c r="U1887" s="360">
        <v>2005</v>
      </c>
      <c r="V1887" s="360" t="s">
        <v>17</v>
      </c>
      <c r="W1887" s="360" t="s">
        <v>27</v>
      </c>
      <c r="X1887" s="360">
        <v>22</v>
      </c>
      <c r="Y1887" s="360" t="s">
        <v>43</v>
      </c>
      <c r="Z1887" s="360">
        <v>79</v>
      </c>
      <c r="AA1887" s="360">
        <v>109</v>
      </c>
      <c r="AB1887" s="360">
        <v>72.5</v>
      </c>
    </row>
    <row r="1888" spans="10:28" x14ac:dyDescent="0.2">
      <c r="J1888" s="358" t="str">
        <f t="shared" si="104"/>
        <v>2006FemaleAllEth225</v>
      </c>
      <c r="K1888" s="359">
        <v>2006</v>
      </c>
      <c r="L1888" t="s">
        <v>8</v>
      </c>
      <c r="M1888" t="s">
        <v>27</v>
      </c>
      <c r="N1888">
        <v>22</v>
      </c>
      <c r="O1888">
        <v>5</v>
      </c>
      <c r="P1888">
        <v>7</v>
      </c>
      <c r="Q1888">
        <v>9.0999225503404393</v>
      </c>
      <c r="R1888">
        <v>6.7</v>
      </c>
      <c r="T1888" s="358" t="str">
        <f t="shared" si="105"/>
        <v>2005AllSexAllEth23Hanging, strangulation and suffocation</v>
      </c>
      <c r="U1888" s="360">
        <v>2005</v>
      </c>
      <c r="V1888" s="360" t="s">
        <v>17</v>
      </c>
      <c r="W1888" s="360" t="s">
        <v>27</v>
      </c>
      <c r="X1888" s="360">
        <v>23</v>
      </c>
      <c r="Y1888" s="360" t="s">
        <v>43</v>
      </c>
      <c r="Z1888" s="360">
        <v>105</v>
      </c>
      <c r="AA1888" s="360">
        <v>219</v>
      </c>
      <c r="AB1888" s="360">
        <v>47.9</v>
      </c>
    </row>
    <row r="1889" spans="10:28" x14ac:dyDescent="0.2">
      <c r="J1889" s="358" t="str">
        <f t="shared" si="104"/>
        <v>2006FemaleAllEth231</v>
      </c>
      <c r="K1889" s="359">
        <v>2006</v>
      </c>
      <c r="L1889" t="s">
        <v>8</v>
      </c>
      <c r="M1889" t="s">
        <v>27</v>
      </c>
      <c r="N1889">
        <v>23</v>
      </c>
      <c r="O1889">
        <v>1</v>
      </c>
      <c r="P1889">
        <v>5</v>
      </c>
      <c r="Q1889">
        <v>4.1067562849079398</v>
      </c>
      <c r="R1889">
        <v>3.6</v>
      </c>
      <c r="T1889" s="358" t="str">
        <f t="shared" si="105"/>
        <v>2005AllSexAllEth24Hanging, strangulation and suffocation</v>
      </c>
      <c r="U1889" s="360">
        <v>2005</v>
      </c>
      <c r="V1889" s="360" t="s">
        <v>17</v>
      </c>
      <c r="W1889" s="360" t="s">
        <v>27</v>
      </c>
      <c r="X1889" s="360">
        <v>24</v>
      </c>
      <c r="Y1889" s="360" t="s">
        <v>43</v>
      </c>
      <c r="Z1889" s="360">
        <v>54</v>
      </c>
      <c r="AA1889" s="360">
        <v>136</v>
      </c>
      <c r="AB1889" s="360">
        <v>39.700000000000003</v>
      </c>
    </row>
    <row r="1890" spans="10:28" x14ac:dyDescent="0.2">
      <c r="J1890" s="358" t="str">
        <f t="shared" si="104"/>
        <v>2006FemaleAllEth232</v>
      </c>
      <c r="K1890" s="359">
        <v>2006</v>
      </c>
      <c r="L1890" t="s">
        <v>8</v>
      </c>
      <c r="M1890" t="s">
        <v>27</v>
      </c>
      <c r="N1890">
        <v>23</v>
      </c>
      <c r="O1890">
        <v>2</v>
      </c>
      <c r="P1890">
        <v>6</v>
      </c>
      <c r="Q1890">
        <v>4.7447648869747896</v>
      </c>
      <c r="R1890">
        <v>3.8</v>
      </c>
      <c r="T1890" s="358" t="str">
        <f t="shared" si="105"/>
        <v>2005AllSexAllEth25Hanging, strangulation and suffocation</v>
      </c>
      <c r="U1890" s="360">
        <v>2005</v>
      </c>
      <c r="V1890" s="360" t="s">
        <v>17</v>
      </c>
      <c r="W1890" s="360" t="s">
        <v>27</v>
      </c>
      <c r="X1890" s="360">
        <v>25</v>
      </c>
      <c r="Y1890" s="360" t="s">
        <v>43</v>
      </c>
      <c r="Z1890" s="360">
        <v>15</v>
      </c>
      <c r="AA1890" s="360">
        <v>48</v>
      </c>
      <c r="AB1890" s="360">
        <v>31.2</v>
      </c>
    </row>
    <row r="1891" spans="10:28" x14ac:dyDescent="0.2">
      <c r="J1891" s="358" t="str">
        <f t="shared" si="104"/>
        <v>2006FemaleAllEth233</v>
      </c>
      <c r="K1891" s="359">
        <v>2006</v>
      </c>
      <c r="L1891" t="s">
        <v>8</v>
      </c>
      <c r="M1891" t="s">
        <v>27</v>
      </c>
      <c r="N1891">
        <v>23</v>
      </c>
      <c r="O1891">
        <v>3</v>
      </c>
      <c r="P1891">
        <v>11</v>
      </c>
      <c r="Q1891">
        <v>8.7842203283754507</v>
      </c>
      <c r="R1891">
        <v>5.2</v>
      </c>
      <c r="T1891" s="358" t="str">
        <f t="shared" si="105"/>
        <v>2005AllSexAllEth22Jumping from a high place</v>
      </c>
      <c r="U1891" s="360">
        <v>2005</v>
      </c>
      <c r="V1891" s="360" t="s">
        <v>17</v>
      </c>
      <c r="W1891" s="360" t="s">
        <v>27</v>
      </c>
      <c r="X1891" s="360">
        <v>22</v>
      </c>
      <c r="Y1891" s="360" t="s">
        <v>44</v>
      </c>
      <c r="Z1891" s="360">
        <v>3</v>
      </c>
      <c r="AA1891" s="360">
        <v>109</v>
      </c>
      <c r="AB1891" s="360">
        <v>2.8</v>
      </c>
    </row>
    <row r="1892" spans="10:28" x14ac:dyDescent="0.2">
      <c r="J1892" s="358" t="str">
        <f t="shared" si="104"/>
        <v>2006FemaleAllEth234</v>
      </c>
      <c r="K1892" s="359">
        <v>2006</v>
      </c>
      <c r="L1892" t="s">
        <v>8</v>
      </c>
      <c r="M1892" t="s">
        <v>27</v>
      </c>
      <c r="N1892">
        <v>23</v>
      </c>
      <c r="O1892">
        <v>4</v>
      </c>
      <c r="P1892">
        <v>12</v>
      </c>
      <c r="Q1892">
        <v>9.7824330191749507</v>
      </c>
      <c r="R1892">
        <v>5.5</v>
      </c>
      <c r="T1892" s="358" t="str">
        <f t="shared" si="105"/>
        <v>2005AllSexAllEth23Jumping from a high place</v>
      </c>
      <c r="U1892" s="360">
        <v>2005</v>
      </c>
      <c r="V1892" s="360" t="s">
        <v>17</v>
      </c>
      <c r="W1892" s="360" t="s">
        <v>27</v>
      </c>
      <c r="X1892" s="360">
        <v>23</v>
      </c>
      <c r="Y1892" s="360" t="s">
        <v>44</v>
      </c>
      <c r="Z1892" s="360">
        <v>7</v>
      </c>
      <c r="AA1892" s="360">
        <v>219</v>
      </c>
      <c r="AB1892" s="360">
        <v>3.2</v>
      </c>
    </row>
    <row r="1893" spans="10:28" x14ac:dyDescent="0.2">
      <c r="J1893" s="358" t="str">
        <f t="shared" si="104"/>
        <v>2006FemaleAllEth235</v>
      </c>
      <c r="K1893" s="359">
        <v>2006</v>
      </c>
      <c r="L1893" t="s">
        <v>8</v>
      </c>
      <c r="M1893" t="s">
        <v>27</v>
      </c>
      <c r="N1893">
        <v>23</v>
      </c>
      <c r="O1893">
        <v>5</v>
      </c>
      <c r="P1893">
        <v>19</v>
      </c>
      <c r="Q1893">
        <v>16.215639255029899</v>
      </c>
      <c r="R1893">
        <v>7.3</v>
      </c>
      <c r="T1893" s="358" t="str">
        <f t="shared" si="105"/>
        <v>2005AllSexAllEth24Jumping from a high place</v>
      </c>
      <c r="U1893" s="360">
        <v>2005</v>
      </c>
      <c r="V1893" s="360" t="s">
        <v>17</v>
      </c>
      <c r="W1893" s="360" t="s">
        <v>27</v>
      </c>
      <c r="X1893" s="360">
        <v>24</v>
      </c>
      <c r="Y1893" s="360" t="s">
        <v>44</v>
      </c>
      <c r="Z1893" s="360">
        <v>3</v>
      </c>
      <c r="AA1893" s="360">
        <v>136</v>
      </c>
      <c r="AB1893" s="360">
        <v>2.2000000000000002</v>
      </c>
    </row>
    <row r="1894" spans="10:28" x14ac:dyDescent="0.2">
      <c r="J1894" s="358" t="str">
        <f t="shared" si="104"/>
        <v>2006FemaleAllEth241</v>
      </c>
      <c r="K1894" s="359">
        <v>2006</v>
      </c>
      <c r="L1894" t="s">
        <v>8</v>
      </c>
      <c r="M1894" t="s">
        <v>27</v>
      </c>
      <c r="N1894">
        <v>24</v>
      </c>
      <c r="O1894">
        <v>1</v>
      </c>
      <c r="P1894">
        <v>5</v>
      </c>
      <c r="Q1894">
        <v>4.0485067445159899</v>
      </c>
      <c r="R1894">
        <v>3.5</v>
      </c>
      <c r="T1894" s="358" t="str">
        <f t="shared" si="105"/>
        <v>2005AllSexAllEth25Jumping from a high place</v>
      </c>
      <c r="U1894" s="360">
        <v>2005</v>
      </c>
      <c r="V1894" s="360" t="s">
        <v>17</v>
      </c>
      <c r="W1894" s="360" t="s">
        <v>27</v>
      </c>
      <c r="X1894" s="360">
        <v>25</v>
      </c>
      <c r="Y1894" s="360" t="s">
        <v>44</v>
      </c>
      <c r="Z1894" s="360">
        <v>2</v>
      </c>
      <c r="AA1894" s="360">
        <v>48</v>
      </c>
      <c r="AB1894" s="360">
        <v>4.2</v>
      </c>
    </row>
    <row r="1895" spans="10:28" x14ac:dyDescent="0.2">
      <c r="J1895" s="358" t="str">
        <f t="shared" si="104"/>
        <v>2006FemaleAllEth242</v>
      </c>
      <c r="K1895" s="359">
        <v>2006</v>
      </c>
      <c r="L1895" t="s">
        <v>8</v>
      </c>
      <c r="M1895" t="s">
        <v>27</v>
      </c>
      <c r="N1895">
        <v>24</v>
      </c>
      <c r="O1895">
        <v>2</v>
      </c>
      <c r="P1895">
        <v>7</v>
      </c>
      <c r="Q1895">
        <v>6.3601937402277198</v>
      </c>
      <c r="R1895">
        <v>4.7</v>
      </c>
      <c r="T1895" s="358" t="str">
        <f t="shared" si="105"/>
        <v>2005AllSexAllEth22Other</v>
      </c>
      <c r="U1895" s="360">
        <v>2005</v>
      </c>
      <c r="V1895" s="360" t="s">
        <v>17</v>
      </c>
      <c r="W1895" s="360" t="s">
        <v>27</v>
      </c>
      <c r="X1895" s="360">
        <v>22</v>
      </c>
      <c r="Y1895" s="360" t="s">
        <v>45</v>
      </c>
      <c r="Z1895" s="360">
        <v>4</v>
      </c>
      <c r="AA1895" s="360">
        <v>109</v>
      </c>
      <c r="AB1895" s="360">
        <v>3.7</v>
      </c>
    </row>
    <row r="1896" spans="10:28" x14ac:dyDescent="0.2">
      <c r="J1896" s="358" t="str">
        <f t="shared" si="104"/>
        <v>2006FemaleAllEth243</v>
      </c>
      <c r="K1896" s="359">
        <v>2006</v>
      </c>
      <c r="L1896" t="s">
        <v>8</v>
      </c>
      <c r="M1896" t="s">
        <v>27</v>
      </c>
      <c r="N1896">
        <v>24</v>
      </c>
      <c r="O1896">
        <v>3</v>
      </c>
      <c r="P1896">
        <v>8</v>
      </c>
      <c r="Q1896">
        <v>7.9885273273970103</v>
      </c>
      <c r="R1896">
        <v>5.5</v>
      </c>
      <c r="T1896" s="358" t="str">
        <f t="shared" si="105"/>
        <v>2005AllSexAllEth23Other</v>
      </c>
      <c r="U1896" s="360">
        <v>2005</v>
      </c>
      <c r="V1896" s="360" t="s">
        <v>17</v>
      </c>
      <c r="W1896" s="360" t="s">
        <v>27</v>
      </c>
      <c r="X1896" s="360">
        <v>23</v>
      </c>
      <c r="Y1896" s="360" t="s">
        <v>45</v>
      </c>
      <c r="Z1896" s="360">
        <v>6</v>
      </c>
      <c r="AA1896" s="360">
        <v>219</v>
      </c>
      <c r="AB1896" s="360">
        <v>2.7</v>
      </c>
    </row>
    <row r="1897" spans="10:28" x14ac:dyDescent="0.2">
      <c r="J1897" s="358" t="str">
        <f t="shared" si="104"/>
        <v>2006FemaleAllEth244</v>
      </c>
      <c r="K1897" s="359">
        <v>2006</v>
      </c>
      <c r="L1897" t="s">
        <v>8</v>
      </c>
      <c r="M1897" t="s">
        <v>27</v>
      </c>
      <c r="N1897">
        <v>24</v>
      </c>
      <c r="O1897">
        <v>4</v>
      </c>
      <c r="P1897">
        <v>5</v>
      </c>
      <c r="Q1897">
        <v>5.4393821109910698</v>
      </c>
      <c r="R1897">
        <v>4.8</v>
      </c>
      <c r="T1897" s="358" t="str">
        <f t="shared" si="105"/>
        <v>2005AllSexAllEth25Other</v>
      </c>
      <c r="U1897" s="360">
        <v>2005</v>
      </c>
      <c r="V1897" s="360" t="s">
        <v>17</v>
      </c>
      <c r="W1897" s="360" t="s">
        <v>27</v>
      </c>
      <c r="X1897" s="360">
        <v>25</v>
      </c>
      <c r="Y1897" s="360" t="s">
        <v>45</v>
      </c>
      <c r="Z1897" s="360">
        <v>3</v>
      </c>
      <c r="AA1897" s="360">
        <v>48</v>
      </c>
      <c r="AB1897" s="360">
        <v>6.2</v>
      </c>
    </row>
    <row r="1898" spans="10:28" x14ac:dyDescent="0.2">
      <c r="J1898" s="358" t="str">
        <f t="shared" si="104"/>
        <v>2006FemaleAllEth245</v>
      </c>
      <c r="K1898" s="359">
        <v>2006</v>
      </c>
      <c r="L1898" t="s">
        <v>8</v>
      </c>
      <c r="M1898" t="s">
        <v>27</v>
      </c>
      <c r="N1898">
        <v>24</v>
      </c>
      <c r="O1898">
        <v>5</v>
      </c>
      <c r="P1898">
        <v>4</v>
      </c>
      <c r="Q1898">
        <v>4.8886420084662801</v>
      </c>
      <c r="R1898">
        <v>4.8</v>
      </c>
      <c r="T1898" s="358" t="str">
        <f t="shared" si="105"/>
        <v>2005AllSexAllEth22Poisoning by gases and vapours</v>
      </c>
      <c r="U1898" s="360">
        <v>2005</v>
      </c>
      <c r="V1898" s="360" t="s">
        <v>17</v>
      </c>
      <c r="W1898" s="360" t="s">
        <v>27</v>
      </c>
      <c r="X1898" s="360">
        <v>22</v>
      </c>
      <c r="Y1898" s="360" t="s">
        <v>46</v>
      </c>
      <c r="Z1898" s="360">
        <v>10</v>
      </c>
      <c r="AA1898" s="360">
        <v>109</v>
      </c>
      <c r="AB1898" s="360">
        <v>9.1999999999999993</v>
      </c>
    </row>
    <row r="1899" spans="10:28" x14ac:dyDescent="0.2">
      <c r="J1899" s="358" t="str">
        <f t="shared" si="104"/>
        <v>2006FemaleAllEth251</v>
      </c>
      <c r="K1899" s="359">
        <v>2006</v>
      </c>
      <c r="L1899" t="s">
        <v>8</v>
      </c>
      <c r="M1899" t="s">
        <v>27</v>
      </c>
      <c r="N1899">
        <v>25</v>
      </c>
      <c r="O1899">
        <v>1</v>
      </c>
      <c r="P1899">
        <v>4</v>
      </c>
      <c r="Q1899">
        <v>7.7782736809707398</v>
      </c>
      <c r="R1899">
        <v>7.6</v>
      </c>
      <c r="T1899" s="358" t="str">
        <f t="shared" si="105"/>
        <v>2005AllSexAllEth23Poisoning by gases and vapours</v>
      </c>
      <c r="U1899" s="360">
        <v>2005</v>
      </c>
      <c r="V1899" s="360" t="s">
        <v>17</v>
      </c>
      <c r="W1899" s="360" t="s">
        <v>27</v>
      </c>
      <c r="X1899" s="360">
        <v>23</v>
      </c>
      <c r="Y1899" s="360" t="s">
        <v>46</v>
      </c>
      <c r="Z1899" s="360">
        <v>57</v>
      </c>
      <c r="AA1899" s="360">
        <v>219</v>
      </c>
      <c r="AB1899" s="360">
        <v>26</v>
      </c>
    </row>
    <row r="1900" spans="10:28" x14ac:dyDescent="0.2">
      <c r="J1900" s="358" t="str">
        <f t="shared" si="104"/>
        <v>2006FemaleAllEth252</v>
      </c>
      <c r="K1900" s="359">
        <v>2006</v>
      </c>
      <c r="L1900" t="s">
        <v>8</v>
      </c>
      <c r="M1900" t="s">
        <v>27</v>
      </c>
      <c r="N1900">
        <v>25</v>
      </c>
      <c r="O1900">
        <v>2</v>
      </c>
      <c r="P1900">
        <v>5</v>
      </c>
      <c r="Q1900">
        <v>8.6686267813250595</v>
      </c>
      <c r="R1900">
        <v>7.6</v>
      </c>
      <c r="T1900" s="358" t="str">
        <f t="shared" si="105"/>
        <v>2005AllSexAllEth24Poisoning by gases and vapours</v>
      </c>
      <c r="U1900" s="360">
        <v>2005</v>
      </c>
      <c r="V1900" s="360" t="s">
        <v>17</v>
      </c>
      <c r="W1900" s="360" t="s">
        <v>27</v>
      </c>
      <c r="X1900" s="360">
        <v>24</v>
      </c>
      <c r="Y1900" s="360" t="s">
        <v>46</v>
      </c>
      <c r="Z1900" s="360">
        <v>33</v>
      </c>
      <c r="AA1900" s="360">
        <v>136</v>
      </c>
      <c r="AB1900" s="360">
        <v>24.3</v>
      </c>
    </row>
    <row r="1901" spans="10:28" x14ac:dyDescent="0.2">
      <c r="J1901" s="358" t="str">
        <f t="shared" si="104"/>
        <v>2006FemaleAllEth253</v>
      </c>
      <c r="K1901" s="359">
        <v>2006</v>
      </c>
      <c r="L1901" t="s">
        <v>8</v>
      </c>
      <c r="M1901" t="s">
        <v>27</v>
      </c>
      <c r="N1901">
        <v>25</v>
      </c>
      <c r="O1901">
        <v>3</v>
      </c>
      <c r="P1901">
        <v>3</v>
      </c>
      <c r="Q1901">
        <v>4.8873734406468801</v>
      </c>
      <c r="R1901">
        <v>5.5</v>
      </c>
      <c r="T1901" s="358" t="str">
        <f t="shared" si="105"/>
        <v>2005AllSexAllEth25Poisoning by gases and vapours</v>
      </c>
      <c r="U1901" s="360">
        <v>2005</v>
      </c>
      <c r="V1901" s="360" t="s">
        <v>17</v>
      </c>
      <c r="W1901" s="360" t="s">
        <v>27</v>
      </c>
      <c r="X1901" s="360">
        <v>25</v>
      </c>
      <c r="Y1901" s="360" t="s">
        <v>46</v>
      </c>
      <c r="Z1901" s="360">
        <v>10</v>
      </c>
      <c r="AA1901" s="360">
        <v>48</v>
      </c>
      <c r="AB1901" s="360">
        <v>20.8</v>
      </c>
    </row>
    <row r="1902" spans="10:28" x14ac:dyDescent="0.2">
      <c r="J1902" s="358" t="str">
        <f t="shared" si="104"/>
        <v>2006FemaleAllEth254</v>
      </c>
      <c r="K1902" s="359">
        <v>2006</v>
      </c>
      <c r="L1902" t="s">
        <v>8</v>
      </c>
      <c r="M1902" t="s">
        <v>27</v>
      </c>
      <c r="N1902">
        <v>25</v>
      </c>
      <c r="O1902">
        <v>4</v>
      </c>
      <c r="P1902">
        <v>3</v>
      </c>
      <c r="Q1902">
        <v>4.71069051008981</v>
      </c>
      <c r="R1902">
        <v>5.3</v>
      </c>
      <c r="T1902" s="358" t="str">
        <f t="shared" si="105"/>
        <v>2005AllSexAllEth22Poisoning by solids and liquids</v>
      </c>
      <c r="U1902" s="360">
        <v>2005</v>
      </c>
      <c r="V1902" s="360" t="s">
        <v>17</v>
      </c>
      <c r="W1902" s="360" t="s">
        <v>27</v>
      </c>
      <c r="X1902" s="360">
        <v>22</v>
      </c>
      <c r="Y1902" s="360" t="s">
        <v>47</v>
      </c>
      <c r="Z1902" s="360">
        <v>3</v>
      </c>
      <c r="AA1902" s="360">
        <v>109</v>
      </c>
      <c r="AB1902" s="360">
        <v>2.8</v>
      </c>
    </row>
    <row r="1903" spans="10:28" x14ac:dyDescent="0.2">
      <c r="J1903" s="358" t="str">
        <f t="shared" si="104"/>
        <v>2006FemaleAllEth255</v>
      </c>
      <c r="K1903" s="359">
        <v>2006</v>
      </c>
      <c r="L1903" t="s">
        <v>8</v>
      </c>
      <c r="M1903" t="s">
        <v>27</v>
      </c>
      <c r="N1903">
        <v>25</v>
      </c>
      <c r="O1903">
        <v>5</v>
      </c>
      <c r="P1903">
        <v>3</v>
      </c>
      <c r="Q1903">
        <v>6.1832912745265203</v>
      </c>
      <c r="R1903">
        <v>7</v>
      </c>
      <c r="T1903" s="358" t="str">
        <f t="shared" si="105"/>
        <v>2005AllSexAllEth23Poisoning by solids and liquids</v>
      </c>
      <c r="U1903" s="360">
        <v>2005</v>
      </c>
      <c r="V1903" s="360" t="s">
        <v>17</v>
      </c>
      <c r="W1903" s="360" t="s">
        <v>27</v>
      </c>
      <c r="X1903" s="360">
        <v>23</v>
      </c>
      <c r="Y1903" s="360" t="s">
        <v>47</v>
      </c>
      <c r="Z1903" s="360">
        <v>22</v>
      </c>
      <c r="AA1903" s="360">
        <v>219</v>
      </c>
      <c r="AB1903" s="360">
        <v>10</v>
      </c>
    </row>
    <row r="1904" spans="10:28" x14ac:dyDescent="0.2">
      <c r="J1904" s="358" t="str">
        <f t="shared" si="104"/>
        <v>2006FemaleMaori211</v>
      </c>
      <c r="K1904" s="359">
        <v>2006</v>
      </c>
      <c r="L1904" t="s">
        <v>8</v>
      </c>
      <c r="M1904" t="s">
        <v>18</v>
      </c>
      <c r="N1904">
        <v>21</v>
      </c>
      <c r="O1904">
        <v>1</v>
      </c>
      <c r="P1904">
        <v>1</v>
      </c>
      <c r="T1904" s="358" t="str">
        <f t="shared" si="105"/>
        <v>2005AllSexAllEth24Poisoning by solids and liquids</v>
      </c>
      <c r="U1904" s="360">
        <v>2005</v>
      </c>
      <c r="V1904" s="360" t="s">
        <v>17</v>
      </c>
      <c r="W1904" s="360" t="s">
        <v>27</v>
      </c>
      <c r="X1904" s="360">
        <v>24</v>
      </c>
      <c r="Y1904" s="360" t="s">
        <v>47</v>
      </c>
      <c r="Z1904" s="360">
        <v>21</v>
      </c>
      <c r="AA1904" s="360">
        <v>136</v>
      </c>
      <c r="AB1904" s="360">
        <v>15.4</v>
      </c>
    </row>
    <row r="1905" spans="10:28" x14ac:dyDescent="0.2">
      <c r="J1905" s="358" t="str">
        <f t="shared" si="104"/>
        <v>2006FemaleMaori212</v>
      </c>
      <c r="K1905" s="359">
        <v>2006</v>
      </c>
      <c r="L1905" t="s">
        <v>8</v>
      </c>
      <c r="M1905" t="s">
        <v>18</v>
      </c>
      <c r="N1905">
        <v>21</v>
      </c>
      <c r="O1905">
        <v>2</v>
      </c>
      <c r="P1905">
        <v>0</v>
      </c>
      <c r="T1905" s="358" t="str">
        <f t="shared" si="105"/>
        <v>2005AllSexAllEth25Poisoning by solids and liquids</v>
      </c>
      <c r="U1905" s="360">
        <v>2005</v>
      </c>
      <c r="V1905" s="360" t="s">
        <v>17</v>
      </c>
      <c r="W1905" s="360" t="s">
        <v>27</v>
      </c>
      <c r="X1905" s="360">
        <v>25</v>
      </c>
      <c r="Y1905" s="360" t="s">
        <v>47</v>
      </c>
      <c r="Z1905" s="360">
        <v>5</v>
      </c>
      <c r="AA1905" s="360">
        <v>48</v>
      </c>
      <c r="AB1905" s="360">
        <v>10.4</v>
      </c>
    </row>
    <row r="1906" spans="10:28" x14ac:dyDescent="0.2">
      <c r="J1906" s="358" t="str">
        <f t="shared" si="104"/>
        <v>2006FemaleMaori213</v>
      </c>
      <c r="K1906" s="359">
        <v>2006</v>
      </c>
      <c r="L1906" t="s">
        <v>8</v>
      </c>
      <c r="M1906" t="s">
        <v>18</v>
      </c>
      <c r="N1906">
        <v>21</v>
      </c>
      <c r="O1906">
        <v>3</v>
      </c>
      <c r="P1906">
        <v>0</v>
      </c>
      <c r="T1906" s="358" t="str">
        <f t="shared" si="105"/>
        <v>2005AllSexAllEth23Sharp object</v>
      </c>
      <c r="U1906" s="360">
        <v>2005</v>
      </c>
      <c r="V1906" s="360" t="s">
        <v>17</v>
      </c>
      <c r="W1906" s="360" t="s">
        <v>27</v>
      </c>
      <c r="X1906" s="360">
        <v>23</v>
      </c>
      <c r="Y1906" s="360" t="s">
        <v>48</v>
      </c>
      <c r="Z1906" s="360">
        <v>7</v>
      </c>
      <c r="AA1906" s="360">
        <v>219</v>
      </c>
      <c r="AB1906" s="360">
        <v>3.2</v>
      </c>
    </row>
    <row r="1907" spans="10:28" x14ac:dyDescent="0.2">
      <c r="J1907" s="358" t="str">
        <f t="shared" si="104"/>
        <v>2006FemaleMaori214</v>
      </c>
      <c r="K1907" s="359">
        <v>2006</v>
      </c>
      <c r="L1907" t="s">
        <v>8</v>
      </c>
      <c r="M1907" t="s">
        <v>18</v>
      </c>
      <c r="N1907">
        <v>21</v>
      </c>
      <c r="O1907">
        <v>4</v>
      </c>
      <c r="P1907">
        <v>1</v>
      </c>
      <c r="T1907" s="358" t="str">
        <f t="shared" si="105"/>
        <v>2005AllSexAllEth24Sharp object</v>
      </c>
      <c r="U1907" s="360">
        <v>2005</v>
      </c>
      <c r="V1907" s="360" t="s">
        <v>17</v>
      </c>
      <c r="W1907" s="360" t="s">
        <v>27</v>
      </c>
      <c r="X1907" s="360">
        <v>24</v>
      </c>
      <c r="Y1907" s="360" t="s">
        <v>48</v>
      </c>
      <c r="Z1907" s="360">
        <v>5</v>
      </c>
      <c r="AA1907" s="360">
        <v>136</v>
      </c>
      <c r="AB1907" s="360">
        <v>3.7</v>
      </c>
    </row>
    <row r="1908" spans="10:28" x14ac:dyDescent="0.2">
      <c r="J1908" s="358" t="str">
        <f t="shared" si="104"/>
        <v>2006FemaleMaori215</v>
      </c>
      <c r="K1908" s="359">
        <v>2006</v>
      </c>
      <c r="L1908" t="s">
        <v>8</v>
      </c>
      <c r="M1908" t="s">
        <v>18</v>
      </c>
      <c r="N1908">
        <v>21</v>
      </c>
      <c r="O1908">
        <v>5</v>
      </c>
      <c r="P1908">
        <v>2</v>
      </c>
      <c r="T1908" s="358" t="str">
        <f t="shared" si="105"/>
        <v>2005AllSexAllEth25Sharp object</v>
      </c>
      <c r="U1908" s="360">
        <v>2005</v>
      </c>
      <c r="V1908" s="360" t="s">
        <v>17</v>
      </c>
      <c r="W1908" s="360" t="s">
        <v>27</v>
      </c>
      <c r="X1908" s="360">
        <v>25</v>
      </c>
      <c r="Y1908" s="360" t="s">
        <v>48</v>
      </c>
      <c r="Z1908" s="360">
        <v>1</v>
      </c>
      <c r="AA1908" s="360">
        <v>48</v>
      </c>
      <c r="AB1908" s="360">
        <v>2.1</v>
      </c>
    </row>
    <row r="1909" spans="10:28" x14ac:dyDescent="0.2">
      <c r="J1909" s="358" t="str">
        <f t="shared" si="104"/>
        <v>2006FemaleMaori221</v>
      </c>
      <c r="K1909" s="359">
        <v>2006</v>
      </c>
      <c r="L1909" t="s">
        <v>8</v>
      </c>
      <c r="M1909" t="s">
        <v>18</v>
      </c>
      <c r="N1909">
        <v>22</v>
      </c>
      <c r="O1909">
        <v>1</v>
      </c>
      <c r="P1909">
        <v>0</v>
      </c>
      <c r="Q1909">
        <v>0</v>
      </c>
      <c r="T1909" s="358" t="str">
        <f t="shared" si="105"/>
        <v>2005AllSexAllEth23Submersion (drowning)</v>
      </c>
      <c r="U1909" s="360">
        <v>2005</v>
      </c>
      <c r="V1909" s="360" t="s">
        <v>17</v>
      </c>
      <c r="W1909" s="360" t="s">
        <v>27</v>
      </c>
      <c r="X1909" s="360">
        <v>23</v>
      </c>
      <c r="Y1909" s="360" t="s">
        <v>49</v>
      </c>
      <c r="Z1909" s="360">
        <v>2</v>
      </c>
      <c r="AA1909" s="360">
        <v>219</v>
      </c>
      <c r="AB1909" s="360">
        <v>0.9</v>
      </c>
    </row>
    <row r="1910" spans="10:28" x14ac:dyDescent="0.2">
      <c r="J1910" s="358" t="str">
        <f t="shared" si="104"/>
        <v>2006FemaleMaori222</v>
      </c>
      <c r="K1910" s="359">
        <v>2006</v>
      </c>
      <c r="L1910" t="s">
        <v>8</v>
      </c>
      <c r="M1910" t="s">
        <v>18</v>
      </c>
      <c r="N1910">
        <v>22</v>
      </c>
      <c r="O1910">
        <v>2</v>
      </c>
      <c r="P1910">
        <v>1</v>
      </c>
      <c r="Q1910">
        <v>16.643932580807501</v>
      </c>
      <c r="R1910">
        <v>32.6</v>
      </c>
      <c r="T1910" s="358" t="str">
        <f t="shared" si="105"/>
        <v>2005AllSexAllEth24Submersion (drowning)</v>
      </c>
      <c r="U1910" s="360">
        <v>2005</v>
      </c>
      <c r="V1910" s="360" t="s">
        <v>17</v>
      </c>
      <c r="W1910" s="360" t="s">
        <v>27</v>
      </c>
      <c r="X1910" s="360">
        <v>24</v>
      </c>
      <c r="Y1910" s="360" t="s">
        <v>49</v>
      </c>
      <c r="Z1910" s="360">
        <v>6</v>
      </c>
      <c r="AA1910" s="360">
        <v>136</v>
      </c>
      <c r="AB1910" s="360">
        <v>4.4000000000000004</v>
      </c>
    </row>
    <row r="1911" spans="10:28" x14ac:dyDescent="0.2">
      <c r="J1911" s="358" t="str">
        <f t="shared" si="104"/>
        <v>2006FemaleMaori223</v>
      </c>
      <c r="K1911" s="359">
        <v>2006</v>
      </c>
      <c r="L1911" t="s">
        <v>8</v>
      </c>
      <c r="M1911" t="s">
        <v>18</v>
      </c>
      <c r="N1911">
        <v>22</v>
      </c>
      <c r="O1911">
        <v>3</v>
      </c>
      <c r="P1911">
        <v>1</v>
      </c>
      <c r="Q1911">
        <v>10.712208338045601</v>
      </c>
      <c r="R1911">
        <v>21</v>
      </c>
      <c r="T1911" s="358" t="str">
        <f t="shared" si="105"/>
        <v>2005AllSexAllEth25Submersion (drowning)</v>
      </c>
      <c r="U1911" s="360">
        <v>2005</v>
      </c>
      <c r="V1911" s="360" t="s">
        <v>17</v>
      </c>
      <c r="W1911" s="360" t="s">
        <v>27</v>
      </c>
      <c r="X1911" s="360">
        <v>25</v>
      </c>
      <c r="Y1911" s="360" t="s">
        <v>49</v>
      </c>
      <c r="Z1911" s="360">
        <v>5</v>
      </c>
      <c r="AA1911" s="360">
        <v>48</v>
      </c>
      <c r="AB1911" s="360">
        <v>10.4</v>
      </c>
    </row>
    <row r="1912" spans="10:28" x14ac:dyDescent="0.2">
      <c r="J1912" s="358" t="str">
        <f t="shared" si="104"/>
        <v>2006FemaleMaori224</v>
      </c>
      <c r="K1912" s="359">
        <v>2006</v>
      </c>
      <c r="L1912" t="s">
        <v>8</v>
      </c>
      <c r="M1912" t="s">
        <v>18</v>
      </c>
      <c r="N1912">
        <v>22</v>
      </c>
      <c r="O1912">
        <v>4</v>
      </c>
      <c r="P1912">
        <v>1</v>
      </c>
      <c r="Q1912">
        <v>7.0846049405417499</v>
      </c>
      <c r="R1912">
        <v>13.9</v>
      </c>
      <c r="T1912" s="358" t="str">
        <f t="shared" si="105"/>
        <v>2005AllSexMaori22Firearms and explosives</v>
      </c>
      <c r="U1912" s="360">
        <v>2005</v>
      </c>
      <c r="V1912" s="360" t="s">
        <v>17</v>
      </c>
      <c r="W1912" s="360" t="s">
        <v>18</v>
      </c>
      <c r="X1912" s="360">
        <v>22</v>
      </c>
      <c r="Y1912" s="360" t="s">
        <v>42</v>
      </c>
      <c r="Z1912" s="360">
        <v>1</v>
      </c>
      <c r="AA1912" s="360">
        <v>40</v>
      </c>
      <c r="AB1912" s="360">
        <v>2.5</v>
      </c>
    </row>
    <row r="1913" spans="10:28" x14ac:dyDescent="0.2">
      <c r="J1913" s="358" t="str">
        <f t="shared" si="104"/>
        <v>2006FemaleMaori225</v>
      </c>
      <c r="K1913" s="359">
        <v>2006</v>
      </c>
      <c r="L1913" t="s">
        <v>8</v>
      </c>
      <c r="M1913" t="s">
        <v>18</v>
      </c>
      <c r="N1913">
        <v>22</v>
      </c>
      <c r="O1913">
        <v>5</v>
      </c>
      <c r="P1913">
        <v>4</v>
      </c>
      <c r="Q1913">
        <v>15.6852170921784</v>
      </c>
      <c r="R1913">
        <v>15.4</v>
      </c>
      <c r="T1913" s="358" t="str">
        <f t="shared" si="105"/>
        <v>2005AllSexMaori23Firearms and explosives</v>
      </c>
      <c r="U1913" s="360">
        <v>2005</v>
      </c>
      <c r="V1913" s="360" t="s">
        <v>17</v>
      </c>
      <c r="W1913" s="360" t="s">
        <v>18</v>
      </c>
      <c r="X1913" s="360">
        <v>23</v>
      </c>
      <c r="Y1913" s="360" t="s">
        <v>42</v>
      </c>
      <c r="Z1913" s="360">
        <v>3</v>
      </c>
      <c r="AA1913" s="360">
        <v>54</v>
      </c>
      <c r="AB1913" s="360">
        <v>5.6</v>
      </c>
    </row>
    <row r="1914" spans="10:28" x14ac:dyDescent="0.2">
      <c r="J1914" s="358" t="str">
        <f t="shared" si="104"/>
        <v>2006FemaleMaori231</v>
      </c>
      <c r="K1914" s="359">
        <v>2006</v>
      </c>
      <c r="L1914" t="s">
        <v>8</v>
      </c>
      <c r="M1914" t="s">
        <v>18</v>
      </c>
      <c r="N1914">
        <v>23</v>
      </c>
      <c r="O1914">
        <v>1</v>
      </c>
      <c r="P1914">
        <v>1</v>
      </c>
      <c r="Q1914">
        <v>14.460126027691899</v>
      </c>
      <c r="R1914">
        <v>28.3</v>
      </c>
      <c r="T1914" s="358" t="str">
        <f t="shared" si="105"/>
        <v>2005AllSexMaori24Firearms and explosives</v>
      </c>
      <c r="U1914" s="360">
        <v>2005</v>
      </c>
      <c r="V1914" s="360" t="s">
        <v>17</v>
      </c>
      <c r="W1914" s="360" t="s">
        <v>18</v>
      </c>
      <c r="X1914" s="360">
        <v>24</v>
      </c>
      <c r="Y1914" s="360" t="s">
        <v>42</v>
      </c>
      <c r="Z1914" s="360">
        <v>3</v>
      </c>
      <c r="AA1914" s="360">
        <v>7</v>
      </c>
      <c r="AB1914" s="360">
        <v>42.9</v>
      </c>
    </row>
    <row r="1915" spans="10:28" x14ac:dyDescent="0.2">
      <c r="J1915" s="358" t="str">
        <f t="shared" si="104"/>
        <v>2006FemaleMaori232</v>
      </c>
      <c r="K1915" s="359">
        <v>2006</v>
      </c>
      <c r="L1915" t="s">
        <v>8</v>
      </c>
      <c r="M1915" t="s">
        <v>18</v>
      </c>
      <c r="N1915">
        <v>23</v>
      </c>
      <c r="O1915">
        <v>2</v>
      </c>
      <c r="P1915">
        <v>0</v>
      </c>
      <c r="Q1915">
        <v>0</v>
      </c>
      <c r="T1915" s="358" t="str">
        <f t="shared" si="105"/>
        <v>2005AllSexMaori21Hanging, strangulation and suffocation</v>
      </c>
      <c r="U1915" s="360">
        <v>2005</v>
      </c>
      <c r="V1915" s="360" t="s">
        <v>17</v>
      </c>
      <c r="W1915" s="360" t="s">
        <v>18</v>
      </c>
      <c r="X1915" s="360">
        <v>21</v>
      </c>
      <c r="Y1915" s="360" t="s">
        <v>43</v>
      </c>
      <c r="Z1915" s="360">
        <v>2</v>
      </c>
      <c r="AA1915" s="360">
        <v>2</v>
      </c>
      <c r="AB1915" s="360">
        <v>100</v>
      </c>
    </row>
    <row r="1916" spans="10:28" x14ac:dyDescent="0.2">
      <c r="J1916" s="358" t="str">
        <f t="shared" si="104"/>
        <v>2006FemaleMaori233</v>
      </c>
      <c r="K1916" s="359">
        <v>2006</v>
      </c>
      <c r="L1916" t="s">
        <v>8</v>
      </c>
      <c r="M1916" t="s">
        <v>18</v>
      </c>
      <c r="N1916">
        <v>23</v>
      </c>
      <c r="O1916">
        <v>3</v>
      </c>
      <c r="P1916">
        <v>3</v>
      </c>
      <c r="Q1916">
        <v>20.7900458095089</v>
      </c>
      <c r="R1916">
        <v>23.5</v>
      </c>
      <c r="T1916" s="358" t="str">
        <f t="shared" si="105"/>
        <v>2005AllSexMaori22Hanging, strangulation and suffocation</v>
      </c>
      <c r="U1916" s="360">
        <v>2005</v>
      </c>
      <c r="V1916" s="360" t="s">
        <v>17</v>
      </c>
      <c r="W1916" s="360" t="s">
        <v>18</v>
      </c>
      <c r="X1916" s="360">
        <v>22</v>
      </c>
      <c r="Y1916" s="360" t="s">
        <v>43</v>
      </c>
      <c r="Z1916" s="360">
        <v>36</v>
      </c>
      <c r="AA1916" s="360">
        <v>40</v>
      </c>
      <c r="AB1916" s="360">
        <v>90</v>
      </c>
    </row>
    <row r="1917" spans="10:28" x14ac:dyDescent="0.2">
      <c r="J1917" s="358" t="str">
        <f t="shared" si="104"/>
        <v>2006FemaleMaori234</v>
      </c>
      <c r="K1917" s="359">
        <v>2006</v>
      </c>
      <c r="L1917" t="s">
        <v>8</v>
      </c>
      <c r="M1917" t="s">
        <v>18</v>
      </c>
      <c r="N1917">
        <v>23</v>
      </c>
      <c r="O1917">
        <v>4</v>
      </c>
      <c r="P1917">
        <v>4</v>
      </c>
      <c r="Q1917">
        <v>18.6461438991834</v>
      </c>
      <c r="R1917">
        <v>18.3</v>
      </c>
      <c r="T1917" s="358" t="str">
        <f t="shared" si="105"/>
        <v>2005AllSexMaori23Hanging, strangulation and suffocation</v>
      </c>
      <c r="U1917" s="360">
        <v>2005</v>
      </c>
      <c r="V1917" s="360" t="s">
        <v>17</v>
      </c>
      <c r="W1917" s="360" t="s">
        <v>18</v>
      </c>
      <c r="X1917" s="360">
        <v>23</v>
      </c>
      <c r="Y1917" s="360" t="s">
        <v>43</v>
      </c>
      <c r="Z1917" s="360">
        <v>36</v>
      </c>
      <c r="AA1917" s="360">
        <v>54</v>
      </c>
      <c r="AB1917" s="360">
        <v>66.7</v>
      </c>
    </row>
    <row r="1918" spans="10:28" x14ac:dyDescent="0.2">
      <c r="J1918" s="358" t="str">
        <f t="shared" si="104"/>
        <v>2006FemaleMaori235</v>
      </c>
      <c r="K1918" s="359">
        <v>2006</v>
      </c>
      <c r="L1918" t="s">
        <v>8</v>
      </c>
      <c r="M1918" t="s">
        <v>18</v>
      </c>
      <c r="N1918">
        <v>23</v>
      </c>
      <c r="O1918">
        <v>5</v>
      </c>
      <c r="P1918">
        <v>9</v>
      </c>
      <c r="Q1918">
        <v>24.347589518700101</v>
      </c>
      <c r="R1918">
        <v>15.9</v>
      </c>
      <c r="T1918" s="358" t="str">
        <f t="shared" si="105"/>
        <v>2005AllSexMaori24Hanging, strangulation and suffocation</v>
      </c>
      <c r="U1918" s="360">
        <v>2005</v>
      </c>
      <c r="V1918" s="360" t="s">
        <v>17</v>
      </c>
      <c r="W1918" s="360" t="s">
        <v>18</v>
      </c>
      <c r="X1918" s="360">
        <v>24</v>
      </c>
      <c r="Y1918" s="360" t="s">
        <v>43</v>
      </c>
      <c r="Z1918" s="360">
        <v>4</v>
      </c>
      <c r="AA1918" s="360">
        <v>7</v>
      </c>
      <c r="AB1918" s="360">
        <v>57.1</v>
      </c>
    </row>
    <row r="1919" spans="10:28" x14ac:dyDescent="0.2">
      <c r="J1919" s="358" t="str">
        <f t="shared" si="104"/>
        <v>2006FemaleMaori241</v>
      </c>
      <c r="K1919" s="359">
        <v>2006</v>
      </c>
      <c r="L1919" t="s">
        <v>8</v>
      </c>
      <c r="M1919" t="s">
        <v>18</v>
      </c>
      <c r="N1919">
        <v>24</v>
      </c>
      <c r="O1919">
        <v>1</v>
      </c>
      <c r="P1919">
        <v>0</v>
      </c>
      <c r="Q1919">
        <v>0</v>
      </c>
      <c r="T1919" s="358" t="str">
        <f t="shared" si="105"/>
        <v>2005AllSexMaori25Hanging, strangulation and suffocation</v>
      </c>
      <c r="U1919" s="360">
        <v>2005</v>
      </c>
      <c r="V1919" s="360" t="s">
        <v>17</v>
      </c>
      <c r="W1919" s="360" t="s">
        <v>18</v>
      </c>
      <c r="X1919" s="360">
        <v>25</v>
      </c>
      <c r="Y1919" s="360" t="s">
        <v>43</v>
      </c>
      <c r="Z1919" s="360">
        <v>1</v>
      </c>
      <c r="AA1919" s="360">
        <v>2</v>
      </c>
      <c r="AB1919" s="360">
        <v>50</v>
      </c>
    </row>
    <row r="1920" spans="10:28" x14ac:dyDescent="0.2">
      <c r="J1920" s="358" t="str">
        <f t="shared" si="104"/>
        <v>2006FemaleMaori242</v>
      </c>
      <c r="K1920" s="359">
        <v>2006</v>
      </c>
      <c r="L1920" t="s">
        <v>8</v>
      </c>
      <c r="M1920" t="s">
        <v>18</v>
      </c>
      <c r="N1920">
        <v>24</v>
      </c>
      <c r="O1920">
        <v>2</v>
      </c>
      <c r="P1920">
        <v>0</v>
      </c>
      <c r="Q1920">
        <v>0</v>
      </c>
      <c r="T1920" s="358" t="str">
        <f t="shared" si="105"/>
        <v>2005AllSexMaori22Jumping from a high place</v>
      </c>
      <c r="U1920" s="360">
        <v>2005</v>
      </c>
      <c r="V1920" s="360" t="s">
        <v>17</v>
      </c>
      <c r="W1920" s="360" t="s">
        <v>18</v>
      </c>
      <c r="X1920" s="360">
        <v>22</v>
      </c>
      <c r="Y1920" s="360" t="s">
        <v>44</v>
      </c>
      <c r="Z1920" s="360">
        <v>2</v>
      </c>
      <c r="AA1920" s="360">
        <v>40</v>
      </c>
      <c r="AB1920" s="360">
        <v>5</v>
      </c>
    </row>
    <row r="1921" spans="10:28" x14ac:dyDescent="0.2">
      <c r="J1921" s="358" t="str">
        <f t="shared" si="104"/>
        <v>2006FemaleMaori243</v>
      </c>
      <c r="K1921" s="359">
        <v>2006</v>
      </c>
      <c r="L1921" t="s">
        <v>8</v>
      </c>
      <c r="M1921" t="s">
        <v>18</v>
      </c>
      <c r="N1921">
        <v>24</v>
      </c>
      <c r="O1921">
        <v>3</v>
      </c>
      <c r="P1921">
        <v>1</v>
      </c>
      <c r="Q1921">
        <v>12.795603795777</v>
      </c>
      <c r="R1921">
        <v>25.1</v>
      </c>
      <c r="T1921" s="358" t="str">
        <f t="shared" si="105"/>
        <v>2005AllSexMaori22Other</v>
      </c>
      <c r="U1921" s="360">
        <v>2005</v>
      </c>
      <c r="V1921" s="360" t="s">
        <v>17</v>
      </c>
      <c r="W1921" s="360" t="s">
        <v>18</v>
      </c>
      <c r="X1921" s="360">
        <v>22</v>
      </c>
      <c r="Y1921" s="360" t="s">
        <v>45</v>
      </c>
      <c r="Z1921" s="360">
        <v>1</v>
      </c>
      <c r="AA1921" s="360">
        <v>40</v>
      </c>
      <c r="AB1921" s="360">
        <v>2.5</v>
      </c>
    </row>
    <row r="1922" spans="10:28" x14ac:dyDescent="0.2">
      <c r="J1922" s="358" t="str">
        <f t="shared" si="104"/>
        <v>2006FemaleMaori244</v>
      </c>
      <c r="K1922" s="359">
        <v>2006</v>
      </c>
      <c r="L1922" t="s">
        <v>8</v>
      </c>
      <c r="M1922" t="s">
        <v>18</v>
      </c>
      <c r="N1922">
        <v>24</v>
      </c>
      <c r="O1922">
        <v>4</v>
      </c>
      <c r="P1922">
        <v>0</v>
      </c>
      <c r="Q1922">
        <v>0</v>
      </c>
      <c r="T1922" s="358" t="str">
        <f t="shared" si="105"/>
        <v>2005AllSexMaori23Poisoning by gases and vapours</v>
      </c>
      <c r="U1922" s="360">
        <v>2005</v>
      </c>
      <c r="V1922" s="360" t="s">
        <v>17</v>
      </c>
      <c r="W1922" s="360" t="s">
        <v>18</v>
      </c>
      <c r="X1922" s="360">
        <v>23</v>
      </c>
      <c r="Y1922" s="360" t="s">
        <v>46</v>
      </c>
      <c r="Z1922" s="360">
        <v>10</v>
      </c>
      <c r="AA1922" s="360">
        <v>54</v>
      </c>
      <c r="AB1922" s="360">
        <v>18.5</v>
      </c>
    </row>
    <row r="1923" spans="10:28" x14ac:dyDescent="0.2">
      <c r="J1923" s="358" t="str">
        <f t="shared" si="104"/>
        <v>2006FemaleMaori245</v>
      </c>
      <c r="K1923" s="359">
        <v>2006</v>
      </c>
      <c r="L1923" t="s">
        <v>8</v>
      </c>
      <c r="M1923" t="s">
        <v>18</v>
      </c>
      <c r="N1923">
        <v>24</v>
      </c>
      <c r="O1923">
        <v>5</v>
      </c>
      <c r="P1923">
        <v>1</v>
      </c>
      <c r="Q1923">
        <v>4.6588709728376196</v>
      </c>
      <c r="R1923">
        <v>9.1</v>
      </c>
      <c r="T1923" s="358" t="str">
        <f t="shared" si="105"/>
        <v>2005AllSexMaori25Poisoning by gases and vapours</v>
      </c>
      <c r="U1923" s="360">
        <v>2005</v>
      </c>
      <c r="V1923" s="360" t="s">
        <v>17</v>
      </c>
      <c r="W1923" s="360" t="s">
        <v>18</v>
      </c>
      <c r="X1923" s="360">
        <v>25</v>
      </c>
      <c r="Y1923" s="360" t="s">
        <v>46</v>
      </c>
      <c r="Z1923" s="360">
        <v>1</v>
      </c>
      <c r="AA1923" s="360">
        <v>2</v>
      </c>
      <c r="AB1923" s="360">
        <v>50</v>
      </c>
    </row>
    <row r="1924" spans="10:28" x14ac:dyDescent="0.2">
      <c r="J1924" s="358" t="str">
        <f t="shared" ref="J1924:J1987" si="106">K1924&amp;L1924&amp;M1924&amp;N1924&amp;O1924</f>
        <v>2006FemaleMaori251</v>
      </c>
      <c r="K1924" s="359">
        <v>2006</v>
      </c>
      <c r="L1924" t="s">
        <v>8</v>
      </c>
      <c r="M1924" t="s">
        <v>18</v>
      </c>
      <c r="N1924">
        <v>25</v>
      </c>
      <c r="O1924">
        <v>1</v>
      </c>
      <c r="P1924">
        <v>0</v>
      </c>
      <c r="Q1924">
        <v>0</v>
      </c>
      <c r="T1924" s="358" t="str">
        <f t="shared" si="105"/>
        <v>2005AllSexMaori23Poisoning by solids and liquids</v>
      </c>
      <c r="U1924" s="360">
        <v>2005</v>
      </c>
      <c r="V1924" s="360" t="s">
        <v>17</v>
      </c>
      <c r="W1924" s="360" t="s">
        <v>18</v>
      </c>
      <c r="X1924" s="360">
        <v>23</v>
      </c>
      <c r="Y1924" s="360" t="s">
        <v>47</v>
      </c>
      <c r="Z1924" s="360">
        <v>3</v>
      </c>
      <c r="AA1924" s="360">
        <v>54</v>
      </c>
      <c r="AB1924" s="360">
        <v>5.6</v>
      </c>
    </row>
    <row r="1925" spans="10:28" x14ac:dyDescent="0.2">
      <c r="J1925" s="358" t="str">
        <f t="shared" si="106"/>
        <v>2006FemaleMaori252</v>
      </c>
      <c r="K1925" s="359">
        <v>2006</v>
      </c>
      <c r="L1925" t="s">
        <v>8</v>
      </c>
      <c r="M1925" t="s">
        <v>18</v>
      </c>
      <c r="N1925">
        <v>25</v>
      </c>
      <c r="O1925">
        <v>2</v>
      </c>
      <c r="P1925">
        <v>0</v>
      </c>
      <c r="Q1925">
        <v>0</v>
      </c>
      <c r="T1925" s="358" t="str">
        <f t="shared" ref="T1925:T1988" si="107">U1925&amp;V1925&amp;W1925&amp;X1925&amp;Y1925</f>
        <v>2005AllSexMaori23Sharp object</v>
      </c>
      <c r="U1925" s="360">
        <v>2005</v>
      </c>
      <c r="V1925" s="360" t="s">
        <v>17</v>
      </c>
      <c r="W1925" s="360" t="s">
        <v>18</v>
      </c>
      <c r="X1925" s="360">
        <v>23</v>
      </c>
      <c r="Y1925" s="360" t="s">
        <v>48</v>
      </c>
      <c r="Z1925" s="360">
        <v>2</v>
      </c>
      <c r="AA1925" s="360">
        <v>54</v>
      </c>
      <c r="AB1925" s="360">
        <v>3.7</v>
      </c>
    </row>
    <row r="1926" spans="10:28" x14ac:dyDescent="0.2">
      <c r="J1926" s="358" t="str">
        <f t="shared" si="106"/>
        <v>2006FemaleMaori253</v>
      </c>
      <c r="K1926" s="359">
        <v>2006</v>
      </c>
      <c r="L1926" t="s">
        <v>8</v>
      </c>
      <c r="M1926" t="s">
        <v>18</v>
      </c>
      <c r="N1926">
        <v>25</v>
      </c>
      <c r="O1926">
        <v>3</v>
      </c>
      <c r="P1926">
        <v>1</v>
      </c>
      <c r="Q1926">
        <v>47.547439902665097</v>
      </c>
      <c r="R1926">
        <v>93.2</v>
      </c>
      <c r="T1926" s="358" t="str">
        <f t="shared" si="107"/>
        <v>2005AllSexNon-Maori22Firearms and explosives</v>
      </c>
      <c r="U1926" s="360">
        <v>2005</v>
      </c>
      <c r="V1926" s="360" t="s">
        <v>17</v>
      </c>
      <c r="W1926" s="360" t="s">
        <v>19</v>
      </c>
      <c r="X1926" s="360">
        <v>22</v>
      </c>
      <c r="Y1926" s="360" t="s">
        <v>42</v>
      </c>
      <c r="Z1926" s="360">
        <v>9</v>
      </c>
      <c r="AA1926" s="360">
        <v>69</v>
      </c>
      <c r="AB1926" s="360">
        <v>13</v>
      </c>
    </row>
    <row r="1927" spans="10:28" x14ac:dyDescent="0.2">
      <c r="J1927" s="358" t="str">
        <f t="shared" si="106"/>
        <v>2006FemaleMaori254</v>
      </c>
      <c r="K1927" s="359">
        <v>2006</v>
      </c>
      <c r="L1927" t="s">
        <v>8</v>
      </c>
      <c r="M1927" t="s">
        <v>18</v>
      </c>
      <c r="N1927">
        <v>25</v>
      </c>
      <c r="O1927">
        <v>4</v>
      </c>
      <c r="P1927">
        <v>0</v>
      </c>
      <c r="Q1927">
        <v>0</v>
      </c>
      <c r="T1927" s="358" t="str">
        <f t="shared" si="107"/>
        <v>2005AllSexNon-Maori23Firearms and explosives</v>
      </c>
      <c r="U1927" s="360">
        <v>2005</v>
      </c>
      <c r="V1927" s="360" t="s">
        <v>17</v>
      </c>
      <c r="W1927" s="360" t="s">
        <v>19</v>
      </c>
      <c r="X1927" s="360">
        <v>23</v>
      </c>
      <c r="Y1927" s="360" t="s">
        <v>42</v>
      </c>
      <c r="Z1927" s="360">
        <v>10</v>
      </c>
      <c r="AA1927" s="360">
        <v>165</v>
      </c>
      <c r="AB1927" s="360">
        <v>6.1</v>
      </c>
    </row>
    <row r="1928" spans="10:28" x14ac:dyDescent="0.2">
      <c r="J1928" s="358" t="str">
        <f t="shared" si="106"/>
        <v>2006FemaleMaori255</v>
      </c>
      <c r="K1928" s="359">
        <v>2006</v>
      </c>
      <c r="L1928" t="s">
        <v>8</v>
      </c>
      <c r="M1928" t="s">
        <v>18</v>
      </c>
      <c r="N1928">
        <v>25</v>
      </c>
      <c r="O1928">
        <v>5</v>
      </c>
      <c r="P1928">
        <v>0</v>
      </c>
      <c r="Q1928">
        <v>0</v>
      </c>
      <c r="T1928" s="358" t="str">
        <f t="shared" si="107"/>
        <v>2005AllSexNon-Maori24Firearms and explosives</v>
      </c>
      <c r="U1928" s="360">
        <v>2005</v>
      </c>
      <c r="V1928" s="360" t="s">
        <v>17</v>
      </c>
      <c r="W1928" s="360" t="s">
        <v>19</v>
      </c>
      <c r="X1928" s="360">
        <v>24</v>
      </c>
      <c r="Y1928" s="360" t="s">
        <v>42</v>
      </c>
      <c r="Z1928" s="360">
        <v>11</v>
      </c>
      <c r="AA1928" s="360">
        <v>129</v>
      </c>
      <c r="AB1928" s="360">
        <v>8.5</v>
      </c>
    </row>
    <row r="1929" spans="10:28" x14ac:dyDescent="0.2">
      <c r="J1929" s="358" t="str">
        <f t="shared" si="106"/>
        <v>2006FemaleNon-Maori211</v>
      </c>
      <c r="K1929" s="359">
        <v>2006</v>
      </c>
      <c r="L1929" t="s">
        <v>8</v>
      </c>
      <c r="M1929" t="s">
        <v>19</v>
      </c>
      <c r="N1929">
        <v>21</v>
      </c>
      <c r="O1929">
        <v>1</v>
      </c>
      <c r="P1929">
        <v>0</v>
      </c>
      <c r="T1929" s="358" t="str">
        <f t="shared" si="107"/>
        <v>2005AllSexNon-Maori25Firearms and explosives</v>
      </c>
      <c r="U1929" s="360">
        <v>2005</v>
      </c>
      <c r="V1929" s="360" t="s">
        <v>17</v>
      </c>
      <c r="W1929" s="360" t="s">
        <v>19</v>
      </c>
      <c r="X1929" s="360">
        <v>25</v>
      </c>
      <c r="Y1929" s="360" t="s">
        <v>42</v>
      </c>
      <c r="Z1929" s="360">
        <v>7</v>
      </c>
      <c r="AA1929" s="360">
        <v>46</v>
      </c>
      <c r="AB1929" s="360">
        <v>15.2</v>
      </c>
    </row>
    <row r="1930" spans="10:28" x14ac:dyDescent="0.2">
      <c r="J1930" s="358" t="str">
        <f t="shared" si="106"/>
        <v>2006FemaleNon-Maori212</v>
      </c>
      <c r="K1930" s="359">
        <v>2006</v>
      </c>
      <c r="L1930" t="s">
        <v>8</v>
      </c>
      <c r="M1930" t="s">
        <v>19</v>
      </c>
      <c r="N1930">
        <v>21</v>
      </c>
      <c r="O1930">
        <v>2</v>
      </c>
      <c r="P1930">
        <v>0</v>
      </c>
      <c r="T1930" s="358" t="str">
        <f t="shared" si="107"/>
        <v>2005AllSexNon-Maori21Hanging, strangulation and suffocation</v>
      </c>
      <c r="U1930" s="360">
        <v>2005</v>
      </c>
      <c r="V1930" s="360" t="s">
        <v>17</v>
      </c>
      <c r="W1930" s="360" t="s">
        <v>19</v>
      </c>
      <c r="X1930" s="360">
        <v>21</v>
      </c>
      <c r="Y1930" s="360" t="s">
        <v>43</v>
      </c>
      <c r="Z1930" s="360">
        <v>1</v>
      </c>
      <c r="AA1930" s="360">
        <v>1</v>
      </c>
      <c r="AB1930" s="360">
        <v>100</v>
      </c>
    </row>
    <row r="1931" spans="10:28" x14ac:dyDescent="0.2">
      <c r="J1931" s="358" t="str">
        <f t="shared" si="106"/>
        <v>2006FemaleNon-Maori213</v>
      </c>
      <c r="K1931" s="359">
        <v>2006</v>
      </c>
      <c r="L1931" t="s">
        <v>8</v>
      </c>
      <c r="M1931" t="s">
        <v>19</v>
      </c>
      <c r="N1931">
        <v>21</v>
      </c>
      <c r="O1931">
        <v>3</v>
      </c>
      <c r="P1931">
        <v>0</v>
      </c>
      <c r="T1931" s="358" t="str">
        <f t="shared" si="107"/>
        <v>2005AllSexNon-Maori22Hanging, strangulation and suffocation</v>
      </c>
      <c r="U1931" s="360">
        <v>2005</v>
      </c>
      <c r="V1931" s="360" t="s">
        <v>17</v>
      </c>
      <c r="W1931" s="360" t="s">
        <v>19</v>
      </c>
      <c r="X1931" s="360">
        <v>22</v>
      </c>
      <c r="Y1931" s="360" t="s">
        <v>43</v>
      </c>
      <c r="Z1931" s="360">
        <v>43</v>
      </c>
      <c r="AA1931" s="360">
        <v>69</v>
      </c>
      <c r="AB1931" s="360">
        <v>62.3</v>
      </c>
    </row>
    <row r="1932" spans="10:28" x14ac:dyDescent="0.2">
      <c r="J1932" s="358" t="str">
        <f t="shared" si="106"/>
        <v>2006FemaleNon-Maori214</v>
      </c>
      <c r="K1932" s="359">
        <v>2006</v>
      </c>
      <c r="L1932" t="s">
        <v>8</v>
      </c>
      <c r="M1932" t="s">
        <v>19</v>
      </c>
      <c r="N1932">
        <v>21</v>
      </c>
      <c r="O1932">
        <v>4</v>
      </c>
      <c r="P1932">
        <v>0</v>
      </c>
      <c r="T1932" s="358" t="str">
        <f t="shared" si="107"/>
        <v>2005AllSexNon-Maori23Hanging, strangulation and suffocation</v>
      </c>
      <c r="U1932" s="360">
        <v>2005</v>
      </c>
      <c r="V1932" s="360" t="s">
        <v>17</v>
      </c>
      <c r="W1932" s="360" t="s">
        <v>19</v>
      </c>
      <c r="X1932" s="360">
        <v>23</v>
      </c>
      <c r="Y1932" s="360" t="s">
        <v>43</v>
      </c>
      <c r="Z1932" s="360">
        <v>69</v>
      </c>
      <c r="AA1932" s="360">
        <v>165</v>
      </c>
      <c r="AB1932" s="360">
        <v>41.8</v>
      </c>
    </row>
    <row r="1933" spans="10:28" x14ac:dyDescent="0.2">
      <c r="J1933" s="358" t="str">
        <f t="shared" si="106"/>
        <v>2006FemaleNon-Maori215</v>
      </c>
      <c r="K1933" s="359">
        <v>2006</v>
      </c>
      <c r="L1933" t="s">
        <v>8</v>
      </c>
      <c r="M1933" t="s">
        <v>19</v>
      </c>
      <c r="N1933">
        <v>21</v>
      </c>
      <c r="O1933">
        <v>5</v>
      </c>
      <c r="P1933">
        <v>0</v>
      </c>
      <c r="T1933" s="358" t="str">
        <f t="shared" si="107"/>
        <v>2005AllSexNon-Maori24Hanging, strangulation and suffocation</v>
      </c>
      <c r="U1933" s="360">
        <v>2005</v>
      </c>
      <c r="V1933" s="360" t="s">
        <v>17</v>
      </c>
      <c r="W1933" s="360" t="s">
        <v>19</v>
      </c>
      <c r="X1933" s="360">
        <v>24</v>
      </c>
      <c r="Y1933" s="360" t="s">
        <v>43</v>
      </c>
      <c r="Z1933" s="360">
        <v>50</v>
      </c>
      <c r="AA1933" s="360">
        <v>129</v>
      </c>
      <c r="AB1933" s="360">
        <v>38.799999999999997</v>
      </c>
    </row>
    <row r="1934" spans="10:28" x14ac:dyDescent="0.2">
      <c r="J1934" s="358" t="str">
        <f t="shared" si="106"/>
        <v>2006FemaleNon-Maori221</v>
      </c>
      <c r="K1934" s="359">
        <v>2006</v>
      </c>
      <c r="L1934" t="s">
        <v>8</v>
      </c>
      <c r="M1934" t="s">
        <v>19</v>
      </c>
      <c r="N1934">
        <v>22</v>
      </c>
      <c r="O1934">
        <v>1</v>
      </c>
      <c r="P1934">
        <v>3</v>
      </c>
      <c r="Q1934">
        <v>6.6768674231912604</v>
      </c>
      <c r="R1934">
        <v>7.6</v>
      </c>
      <c r="T1934" s="358" t="str">
        <f t="shared" si="107"/>
        <v>2005AllSexNon-Maori25Hanging, strangulation and suffocation</v>
      </c>
      <c r="U1934" s="360">
        <v>2005</v>
      </c>
      <c r="V1934" s="360" t="s">
        <v>17</v>
      </c>
      <c r="W1934" s="360" t="s">
        <v>19</v>
      </c>
      <c r="X1934" s="360">
        <v>25</v>
      </c>
      <c r="Y1934" s="360" t="s">
        <v>43</v>
      </c>
      <c r="Z1934" s="360">
        <v>14</v>
      </c>
      <c r="AA1934" s="360">
        <v>46</v>
      </c>
      <c r="AB1934" s="360">
        <v>30.4</v>
      </c>
    </row>
    <row r="1935" spans="10:28" x14ac:dyDescent="0.2">
      <c r="J1935" s="358" t="str">
        <f t="shared" si="106"/>
        <v>2006FemaleNon-Maori222</v>
      </c>
      <c r="K1935" s="359">
        <v>2006</v>
      </c>
      <c r="L1935" t="s">
        <v>8</v>
      </c>
      <c r="M1935" t="s">
        <v>19</v>
      </c>
      <c r="N1935">
        <v>22</v>
      </c>
      <c r="O1935">
        <v>2</v>
      </c>
      <c r="P1935">
        <v>5</v>
      </c>
      <c r="Q1935">
        <v>10.7546266528387</v>
      </c>
      <c r="R1935">
        <v>9.4</v>
      </c>
      <c r="T1935" s="358" t="str">
        <f t="shared" si="107"/>
        <v>2005AllSexNon-Maori22Jumping from a high place</v>
      </c>
      <c r="U1935" s="360">
        <v>2005</v>
      </c>
      <c r="V1935" s="360" t="s">
        <v>17</v>
      </c>
      <c r="W1935" s="360" t="s">
        <v>19</v>
      </c>
      <c r="X1935" s="360">
        <v>22</v>
      </c>
      <c r="Y1935" s="360" t="s">
        <v>44</v>
      </c>
      <c r="Z1935" s="360">
        <v>1</v>
      </c>
      <c r="AA1935" s="360">
        <v>69</v>
      </c>
      <c r="AB1935" s="360">
        <v>1.4</v>
      </c>
    </row>
    <row r="1936" spans="10:28" x14ac:dyDescent="0.2">
      <c r="J1936" s="358" t="str">
        <f t="shared" si="106"/>
        <v>2006FemaleNon-Maori223</v>
      </c>
      <c r="K1936" s="359">
        <v>2006</v>
      </c>
      <c r="L1936" t="s">
        <v>8</v>
      </c>
      <c r="M1936" t="s">
        <v>19</v>
      </c>
      <c r="N1936">
        <v>22</v>
      </c>
      <c r="O1936">
        <v>3</v>
      </c>
      <c r="P1936">
        <v>2</v>
      </c>
      <c r="Q1936">
        <v>4.1365885596519796</v>
      </c>
      <c r="R1936">
        <v>5.7</v>
      </c>
      <c r="T1936" s="358" t="str">
        <f t="shared" si="107"/>
        <v>2005AllSexNon-Maori23Jumping from a high place</v>
      </c>
      <c r="U1936" s="360">
        <v>2005</v>
      </c>
      <c r="V1936" s="360" t="s">
        <v>17</v>
      </c>
      <c r="W1936" s="360" t="s">
        <v>19</v>
      </c>
      <c r="X1936" s="360">
        <v>23</v>
      </c>
      <c r="Y1936" s="360" t="s">
        <v>44</v>
      </c>
      <c r="Z1936" s="360">
        <v>7</v>
      </c>
      <c r="AA1936" s="360">
        <v>165</v>
      </c>
      <c r="AB1936" s="360">
        <v>4.2</v>
      </c>
    </row>
    <row r="1937" spans="10:28" x14ac:dyDescent="0.2">
      <c r="J1937" s="358" t="str">
        <f t="shared" si="106"/>
        <v>2006FemaleNon-Maori224</v>
      </c>
      <c r="K1937" s="359">
        <v>2006</v>
      </c>
      <c r="L1937" t="s">
        <v>8</v>
      </c>
      <c r="M1937" t="s">
        <v>19</v>
      </c>
      <c r="N1937">
        <v>22</v>
      </c>
      <c r="O1937">
        <v>4</v>
      </c>
      <c r="P1937">
        <v>2</v>
      </c>
      <c r="Q1937">
        <v>4.0008649583892604</v>
      </c>
      <c r="R1937">
        <v>5.5</v>
      </c>
      <c r="T1937" s="358" t="str">
        <f t="shared" si="107"/>
        <v>2005AllSexNon-Maori24Jumping from a high place</v>
      </c>
      <c r="U1937" s="360">
        <v>2005</v>
      </c>
      <c r="V1937" s="360" t="s">
        <v>17</v>
      </c>
      <c r="W1937" s="360" t="s">
        <v>19</v>
      </c>
      <c r="X1937" s="360">
        <v>24</v>
      </c>
      <c r="Y1937" s="360" t="s">
        <v>44</v>
      </c>
      <c r="Z1937" s="360">
        <v>3</v>
      </c>
      <c r="AA1937" s="360">
        <v>129</v>
      </c>
      <c r="AB1937" s="360">
        <v>2.2999999999999998</v>
      </c>
    </row>
    <row r="1938" spans="10:28" x14ac:dyDescent="0.2">
      <c r="J1938" s="358" t="str">
        <f t="shared" si="106"/>
        <v>2006FemaleNon-Maori225</v>
      </c>
      <c r="K1938" s="359">
        <v>2006</v>
      </c>
      <c r="L1938" t="s">
        <v>8</v>
      </c>
      <c r="M1938" t="s">
        <v>19</v>
      </c>
      <c r="N1938">
        <v>22</v>
      </c>
      <c r="O1938">
        <v>5</v>
      </c>
      <c r="P1938">
        <v>3</v>
      </c>
      <c r="Q1938">
        <v>5.9102910342139499</v>
      </c>
      <c r="R1938">
        <v>6.7</v>
      </c>
      <c r="T1938" s="358" t="str">
        <f t="shared" si="107"/>
        <v>2005AllSexNon-Maori25Jumping from a high place</v>
      </c>
      <c r="U1938" s="360">
        <v>2005</v>
      </c>
      <c r="V1938" s="360" t="s">
        <v>17</v>
      </c>
      <c r="W1938" s="360" t="s">
        <v>19</v>
      </c>
      <c r="X1938" s="360">
        <v>25</v>
      </c>
      <c r="Y1938" s="360" t="s">
        <v>44</v>
      </c>
      <c r="Z1938" s="360">
        <v>2</v>
      </c>
      <c r="AA1938" s="360">
        <v>46</v>
      </c>
      <c r="AB1938" s="360">
        <v>4.3</v>
      </c>
    </row>
    <row r="1939" spans="10:28" x14ac:dyDescent="0.2">
      <c r="J1939" s="358" t="str">
        <f t="shared" si="106"/>
        <v>2006FemaleNon-Maori231</v>
      </c>
      <c r="K1939" s="359">
        <v>2006</v>
      </c>
      <c r="L1939" t="s">
        <v>8</v>
      </c>
      <c r="M1939" t="s">
        <v>19</v>
      </c>
      <c r="N1939">
        <v>23</v>
      </c>
      <c r="O1939">
        <v>1</v>
      </c>
      <c r="P1939">
        <v>4</v>
      </c>
      <c r="Q1939">
        <v>3.4445951569648301</v>
      </c>
      <c r="R1939">
        <v>3.4</v>
      </c>
      <c r="T1939" s="358" t="str">
        <f t="shared" si="107"/>
        <v>2005AllSexNon-Maori22Other</v>
      </c>
      <c r="U1939" s="360">
        <v>2005</v>
      </c>
      <c r="V1939" s="360" t="s">
        <v>17</v>
      </c>
      <c r="W1939" s="360" t="s">
        <v>19</v>
      </c>
      <c r="X1939" s="360">
        <v>22</v>
      </c>
      <c r="Y1939" s="360" t="s">
        <v>45</v>
      </c>
      <c r="Z1939" s="360">
        <v>3</v>
      </c>
      <c r="AA1939" s="360">
        <v>69</v>
      </c>
      <c r="AB1939" s="360">
        <v>4.3</v>
      </c>
    </row>
    <row r="1940" spans="10:28" x14ac:dyDescent="0.2">
      <c r="J1940" s="358" t="str">
        <f t="shared" si="106"/>
        <v>2006FemaleNon-Maori232</v>
      </c>
      <c r="K1940" s="359">
        <v>2006</v>
      </c>
      <c r="L1940" t="s">
        <v>8</v>
      </c>
      <c r="M1940" t="s">
        <v>19</v>
      </c>
      <c r="N1940">
        <v>23</v>
      </c>
      <c r="O1940">
        <v>2</v>
      </c>
      <c r="P1940">
        <v>6</v>
      </c>
      <c r="Q1940">
        <v>5.1215502433278797</v>
      </c>
      <c r="R1940">
        <v>4.0999999999999996</v>
      </c>
      <c r="T1940" s="358" t="str">
        <f t="shared" si="107"/>
        <v>2005AllSexNon-Maori23Other</v>
      </c>
      <c r="U1940" s="360">
        <v>2005</v>
      </c>
      <c r="V1940" s="360" t="s">
        <v>17</v>
      </c>
      <c r="W1940" s="360" t="s">
        <v>19</v>
      </c>
      <c r="X1940" s="360">
        <v>23</v>
      </c>
      <c r="Y1940" s="360" t="s">
        <v>45</v>
      </c>
      <c r="Z1940" s="360">
        <v>6</v>
      </c>
      <c r="AA1940" s="360">
        <v>165</v>
      </c>
      <c r="AB1940" s="360">
        <v>3.6</v>
      </c>
    </row>
    <row r="1941" spans="10:28" x14ac:dyDescent="0.2">
      <c r="J1941" s="358" t="str">
        <f t="shared" si="106"/>
        <v>2006FemaleNon-Maori233</v>
      </c>
      <c r="K1941" s="359">
        <v>2006</v>
      </c>
      <c r="L1941" t="s">
        <v>8</v>
      </c>
      <c r="M1941" t="s">
        <v>19</v>
      </c>
      <c r="N1941">
        <v>23</v>
      </c>
      <c r="O1941">
        <v>3</v>
      </c>
      <c r="P1941">
        <v>8</v>
      </c>
      <c r="Q1941">
        <v>7.1964391773859004</v>
      </c>
      <c r="R1941">
        <v>5</v>
      </c>
      <c r="T1941" s="358" t="str">
        <f t="shared" si="107"/>
        <v>2005AllSexNon-Maori25Other</v>
      </c>
      <c r="U1941" s="360">
        <v>2005</v>
      </c>
      <c r="V1941" s="360" t="s">
        <v>17</v>
      </c>
      <c r="W1941" s="360" t="s">
        <v>19</v>
      </c>
      <c r="X1941" s="360">
        <v>25</v>
      </c>
      <c r="Y1941" s="360" t="s">
        <v>45</v>
      </c>
      <c r="Z1941" s="360">
        <v>3</v>
      </c>
      <c r="AA1941" s="360">
        <v>46</v>
      </c>
      <c r="AB1941" s="360">
        <v>6.5</v>
      </c>
    </row>
    <row r="1942" spans="10:28" x14ac:dyDescent="0.2">
      <c r="J1942" s="358" t="str">
        <f t="shared" si="106"/>
        <v>2006FemaleNon-Maori234</v>
      </c>
      <c r="K1942" s="359">
        <v>2006</v>
      </c>
      <c r="L1942" t="s">
        <v>8</v>
      </c>
      <c r="M1942" t="s">
        <v>19</v>
      </c>
      <c r="N1942">
        <v>23</v>
      </c>
      <c r="O1942">
        <v>4</v>
      </c>
      <c r="P1942">
        <v>8</v>
      </c>
      <c r="Q1942">
        <v>7.9489052447551698</v>
      </c>
      <c r="R1942">
        <v>5.5</v>
      </c>
      <c r="T1942" s="358" t="str">
        <f t="shared" si="107"/>
        <v>2005AllSexNon-Maori22Poisoning by gases and vapours</v>
      </c>
      <c r="U1942" s="360">
        <v>2005</v>
      </c>
      <c r="V1942" s="360" t="s">
        <v>17</v>
      </c>
      <c r="W1942" s="360" t="s">
        <v>19</v>
      </c>
      <c r="X1942" s="360">
        <v>22</v>
      </c>
      <c r="Y1942" s="360" t="s">
        <v>46</v>
      </c>
      <c r="Z1942" s="360">
        <v>10</v>
      </c>
      <c r="AA1942" s="360">
        <v>69</v>
      </c>
      <c r="AB1942" s="360">
        <v>14.5</v>
      </c>
    </row>
    <row r="1943" spans="10:28" x14ac:dyDescent="0.2">
      <c r="J1943" s="358" t="str">
        <f t="shared" si="106"/>
        <v>2006FemaleNon-Maori235</v>
      </c>
      <c r="K1943" s="359">
        <v>2006</v>
      </c>
      <c r="L1943" t="s">
        <v>8</v>
      </c>
      <c r="M1943" t="s">
        <v>19</v>
      </c>
      <c r="N1943">
        <v>23</v>
      </c>
      <c r="O1943">
        <v>5</v>
      </c>
      <c r="P1943">
        <v>10</v>
      </c>
      <c r="Q1943">
        <v>12.788518377118701</v>
      </c>
      <c r="R1943">
        <v>7.9</v>
      </c>
      <c r="T1943" s="358" t="str">
        <f t="shared" si="107"/>
        <v>2005AllSexNon-Maori23Poisoning by gases and vapours</v>
      </c>
      <c r="U1943" s="360">
        <v>2005</v>
      </c>
      <c r="V1943" s="360" t="s">
        <v>17</v>
      </c>
      <c r="W1943" s="360" t="s">
        <v>19</v>
      </c>
      <c r="X1943" s="360">
        <v>23</v>
      </c>
      <c r="Y1943" s="360" t="s">
        <v>46</v>
      </c>
      <c r="Z1943" s="360">
        <v>47</v>
      </c>
      <c r="AA1943" s="360">
        <v>165</v>
      </c>
      <c r="AB1943" s="360">
        <v>28.5</v>
      </c>
    </row>
    <row r="1944" spans="10:28" x14ac:dyDescent="0.2">
      <c r="J1944" s="358" t="str">
        <f t="shared" si="106"/>
        <v>2006FemaleNon-Maori241</v>
      </c>
      <c r="K1944" s="359">
        <v>2006</v>
      </c>
      <c r="L1944" t="s">
        <v>8</v>
      </c>
      <c r="M1944" t="s">
        <v>19</v>
      </c>
      <c r="N1944">
        <v>24</v>
      </c>
      <c r="O1944">
        <v>1</v>
      </c>
      <c r="P1944">
        <v>5</v>
      </c>
      <c r="Q1944">
        <v>4.1460816511223202</v>
      </c>
      <c r="R1944">
        <v>3.6</v>
      </c>
      <c r="T1944" s="358" t="str">
        <f t="shared" si="107"/>
        <v>2005AllSexNon-Maori24Poisoning by gases and vapours</v>
      </c>
      <c r="U1944" s="360">
        <v>2005</v>
      </c>
      <c r="V1944" s="360" t="s">
        <v>17</v>
      </c>
      <c r="W1944" s="360" t="s">
        <v>19</v>
      </c>
      <c r="X1944" s="360">
        <v>24</v>
      </c>
      <c r="Y1944" s="360" t="s">
        <v>46</v>
      </c>
      <c r="Z1944" s="360">
        <v>33</v>
      </c>
      <c r="AA1944" s="360">
        <v>129</v>
      </c>
      <c r="AB1944" s="360">
        <v>25.6</v>
      </c>
    </row>
    <row r="1945" spans="10:28" x14ac:dyDescent="0.2">
      <c r="J1945" s="358" t="str">
        <f t="shared" si="106"/>
        <v>2006FemaleNon-Maori242</v>
      </c>
      <c r="K1945" s="359">
        <v>2006</v>
      </c>
      <c r="L1945" t="s">
        <v>8</v>
      </c>
      <c r="M1945" t="s">
        <v>19</v>
      </c>
      <c r="N1945">
        <v>24</v>
      </c>
      <c r="O1945">
        <v>2</v>
      </c>
      <c r="P1945">
        <v>7</v>
      </c>
      <c r="Q1945">
        <v>6.6554486959286301</v>
      </c>
      <c r="R1945">
        <v>4.9000000000000004</v>
      </c>
      <c r="T1945" s="358" t="str">
        <f t="shared" si="107"/>
        <v>2005AllSexNon-Maori25Poisoning by gases and vapours</v>
      </c>
      <c r="U1945" s="360">
        <v>2005</v>
      </c>
      <c r="V1945" s="360" t="s">
        <v>17</v>
      </c>
      <c r="W1945" s="360" t="s">
        <v>19</v>
      </c>
      <c r="X1945" s="360">
        <v>25</v>
      </c>
      <c r="Y1945" s="360" t="s">
        <v>46</v>
      </c>
      <c r="Z1945" s="360">
        <v>9</v>
      </c>
      <c r="AA1945" s="360">
        <v>46</v>
      </c>
      <c r="AB1945" s="360">
        <v>19.600000000000001</v>
      </c>
    </row>
    <row r="1946" spans="10:28" x14ac:dyDescent="0.2">
      <c r="J1946" s="358" t="str">
        <f t="shared" si="106"/>
        <v>2006FemaleNon-Maori243</v>
      </c>
      <c r="K1946" s="359">
        <v>2006</v>
      </c>
      <c r="L1946" t="s">
        <v>8</v>
      </c>
      <c r="M1946" t="s">
        <v>19</v>
      </c>
      <c r="N1946">
        <v>24</v>
      </c>
      <c r="O1946">
        <v>3</v>
      </c>
      <c r="P1946">
        <v>7</v>
      </c>
      <c r="Q1946">
        <v>7.5707944100083697</v>
      </c>
      <c r="R1946">
        <v>5.6</v>
      </c>
      <c r="T1946" s="358" t="str">
        <f t="shared" si="107"/>
        <v>2005AllSexNon-Maori22Poisoning by solids and liquids</v>
      </c>
      <c r="U1946" s="360">
        <v>2005</v>
      </c>
      <c r="V1946" s="360" t="s">
        <v>17</v>
      </c>
      <c r="W1946" s="360" t="s">
        <v>19</v>
      </c>
      <c r="X1946" s="360">
        <v>22</v>
      </c>
      <c r="Y1946" s="360" t="s">
        <v>47</v>
      </c>
      <c r="Z1946" s="360">
        <v>3</v>
      </c>
      <c r="AA1946" s="360">
        <v>69</v>
      </c>
      <c r="AB1946" s="360">
        <v>4.3</v>
      </c>
    </row>
    <row r="1947" spans="10:28" x14ac:dyDescent="0.2">
      <c r="J1947" s="358" t="str">
        <f t="shared" si="106"/>
        <v>2006FemaleNon-Maori244</v>
      </c>
      <c r="K1947" s="359">
        <v>2006</v>
      </c>
      <c r="L1947" t="s">
        <v>8</v>
      </c>
      <c r="M1947" t="s">
        <v>19</v>
      </c>
      <c r="N1947">
        <v>24</v>
      </c>
      <c r="O1947">
        <v>4</v>
      </c>
      <c r="P1947">
        <v>5</v>
      </c>
      <c r="Q1947">
        <v>6.2679115570889801</v>
      </c>
      <c r="R1947">
        <v>5.5</v>
      </c>
      <c r="T1947" s="358" t="str">
        <f t="shared" si="107"/>
        <v>2005AllSexNon-Maori23Poisoning by solids and liquids</v>
      </c>
      <c r="U1947" s="360">
        <v>2005</v>
      </c>
      <c r="V1947" s="360" t="s">
        <v>17</v>
      </c>
      <c r="W1947" s="360" t="s">
        <v>19</v>
      </c>
      <c r="X1947" s="360">
        <v>23</v>
      </c>
      <c r="Y1947" s="360" t="s">
        <v>47</v>
      </c>
      <c r="Z1947" s="360">
        <v>19</v>
      </c>
      <c r="AA1947" s="360">
        <v>165</v>
      </c>
      <c r="AB1947" s="360">
        <v>11.5</v>
      </c>
    </row>
    <row r="1948" spans="10:28" x14ac:dyDescent="0.2">
      <c r="J1948" s="358" t="str">
        <f t="shared" si="106"/>
        <v>2006FemaleNon-Maori245</v>
      </c>
      <c r="K1948" s="359">
        <v>2006</v>
      </c>
      <c r="L1948" t="s">
        <v>8</v>
      </c>
      <c r="M1948" t="s">
        <v>19</v>
      </c>
      <c r="N1948">
        <v>24</v>
      </c>
      <c r="O1948">
        <v>5</v>
      </c>
      <c r="P1948">
        <v>3</v>
      </c>
      <c r="Q1948">
        <v>5.1094037806704096</v>
      </c>
      <c r="R1948">
        <v>5.8</v>
      </c>
      <c r="T1948" s="358" t="str">
        <f t="shared" si="107"/>
        <v>2005AllSexNon-Maori24Poisoning by solids and liquids</v>
      </c>
      <c r="U1948" s="360">
        <v>2005</v>
      </c>
      <c r="V1948" s="360" t="s">
        <v>17</v>
      </c>
      <c r="W1948" s="360" t="s">
        <v>19</v>
      </c>
      <c r="X1948" s="360">
        <v>24</v>
      </c>
      <c r="Y1948" s="360" t="s">
        <v>47</v>
      </c>
      <c r="Z1948" s="360">
        <v>21</v>
      </c>
      <c r="AA1948" s="360">
        <v>129</v>
      </c>
      <c r="AB1948" s="360">
        <v>16.3</v>
      </c>
    </row>
    <row r="1949" spans="10:28" x14ac:dyDescent="0.2">
      <c r="J1949" s="358" t="str">
        <f t="shared" si="106"/>
        <v>2006FemaleNon-Maori251</v>
      </c>
      <c r="K1949" s="359">
        <v>2006</v>
      </c>
      <c r="L1949" t="s">
        <v>8</v>
      </c>
      <c r="M1949" t="s">
        <v>19</v>
      </c>
      <c r="N1949">
        <v>25</v>
      </c>
      <c r="O1949">
        <v>1</v>
      </c>
      <c r="P1949">
        <v>4</v>
      </c>
      <c r="Q1949">
        <v>7.8312090991668004</v>
      </c>
      <c r="R1949">
        <v>7.7</v>
      </c>
      <c r="T1949" s="358" t="str">
        <f t="shared" si="107"/>
        <v>2005AllSexNon-Maori25Poisoning by solids and liquids</v>
      </c>
      <c r="U1949" s="360">
        <v>2005</v>
      </c>
      <c r="V1949" s="360" t="s">
        <v>17</v>
      </c>
      <c r="W1949" s="360" t="s">
        <v>19</v>
      </c>
      <c r="X1949" s="360">
        <v>25</v>
      </c>
      <c r="Y1949" s="360" t="s">
        <v>47</v>
      </c>
      <c r="Z1949" s="360">
        <v>5</v>
      </c>
      <c r="AA1949" s="360">
        <v>46</v>
      </c>
      <c r="AB1949" s="360">
        <v>10.9</v>
      </c>
    </row>
    <row r="1950" spans="10:28" x14ac:dyDescent="0.2">
      <c r="J1950" s="358" t="str">
        <f t="shared" si="106"/>
        <v>2006FemaleNon-Maori252</v>
      </c>
      <c r="K1950" s="359">
        <v>2006</v>
      </c>
      <c r="L1950" t="s">
        <v>8</v>
      </c>
      <c r="M1950" t="s">
        <v>19</v>
      </c>
      <c r="N1950">
        <v>25</v>
      </c>
      <c r="O1950">
        <v>2</v>
      </c>
      <c r="P1950">
        <v>5</v>
      </c>
      <c r="Q1950">
        <v>8.8255974762958296</v>
      </c>
      <c r="R1950">
        <v>7.7</v>
      </c>
      <c r="T1950" s="358" t="str">
        <f t="shared" si="107"/>
        <v>2005AllSexNon-Maori23Sharp object</v>
      </c>
      <c r="U1950" s="360">
        <v>2005</v>
      </c>
      <c r="V1950" s="360" t="s">
        <v>17</v>
      </c>
      <c r="W1950" s="360" t="s">
        <v>19</v>
      </c>
      <c r="X1950" s="360">
        <v>23</v>
      </c>
      <c r="Y1950" s="360" t="s">
        <v>48</v>
      </c>
      <c r="Z1950" s="360">
        <v>5</v>
      </c>
      <c r="AA1950" s="360">
        <v>165</v>
      </c>
      <c r="AB1950" s="360">
        <v>3</v>
      </c>
    </row>
    <row r="1951" spans="10:28" x14ac:dyDescent="0.2">
      <c r="J1951" s="358" t="str">
        <f t="shared" si="106"/>
        <v>2006FemaleNon-Maori253</v>
      </c>
      <c r="K1951" s="359">
        <v>2006</v>
      </c>
      <c r="L1951" t="s">
        <v>8</v>
      </c>
      <c r="M1951" t="s">
        <v>19</v>
      </c>
      <c r="N1951">
        <v>25</v>
      </c>
      <c r="O1951">
        <v>3</v>
      </c>
      <c r="P1951">
        <v>2</v>
      </c>
      <c r="Q1951">
        <v>3.3657971352345699</v>
      </c>
      <c r="R1951">
        <v>4.7</v>
      </c>
      <c r="T1951" s="358" t="str">
        <f t="shared" si="107"/>
        <v>2005AllSexNon-Maori24Sharp object</v>
      </c>
      <c r="U1951" s="360">
        <v>2005</v>
      </c>
      <c r="V1951" s="360" t="s">
        <v>17</v>
      </c>
      <c r="W1951" s="360" t="s">
        <v>19</v>
      </c>
      <c r="X1951" s="360">
        <v>24</v>
      </c>
      <c r="Y1951" s="360" t="s">
        <v>48</v>
      </c>
      <c r="Z1951" s="360">
        <v>5</v>
      </c>
      <c r="AA1951" s="360">
        <v>129</v>
      </c>
      <c r="AB1951" s="360">
        <v>3.9</v>
      </c>
    </row>
    <row r="1952" spans="10:28" x14ac:dyDescent="0.2">
      <c r="J1952" s="358" t="str">
        <f t="shared" si="106"/>
        <v>2006FemaleNon-Maori254</v>
      </c>
      <c r="K1952" s="359">
        <v>2006</v>
      </c>
      <c r="L1952" t="s">
        <v>8</v>
      </c>
      <c r="M1952" t="s">
        <v>19</v>
      </c>
      <c r="N1952">
        <v>25</v>
      </c>
      <c r="O1952">
        <v>4</v>
      </c>
      <c r="P1952">
        <v>3</v>
      </c>
      <c r="Q1952">
        <v>4.9999470319368502</v>
      </c>
      <c r="R1952">
        <v>5.7</v>
      </c>
      <c r="T1952" s="358" t="str">
        <f t="shared" si="107"/>
        <v>2005AllSexNon-Maori25Sharp object</v>
      </c>
      <c r="U1952" s="360">
        <v>2005</v>
      </c>
      <c r="V1952" s="360" t="s">
        <v>17</v>
      </c>
      <c r="W1952" s="360" t="s">
        <v>19</v>
      </c>
      <c r="X1952" s="360">
        <v>25</v>
      </c>
      <c r="Y1952" s="360" t="s">
        <v>48</v>
      </c>
      <c r="Z1952" s="360">
        <v>1</v>
      </c>
      <c r="AA1952" s="360">
        <v>46</v>
      </c>
      <c r="AB1952" s="360">
        <v>2.2000000000000002</v>
      </c>
    </row>
    <row r="1953" spans="10:28" x14ac:dyDescent="0.2">
      <c r="J1953" s="358" t="str">
        <f t="shared" si="106"/>
        <v>2006FemaleNon-Maori255</v>
      </c>
      <c r="K1953" s="359">
        <v>2006</v>
      </c>
      <c r="L1953" t="s">
        <v>8</v>
      </c>
      <c r="M1953" t="s">
        <v>19</v>
      </c>
      <c r="N1953">
        <v>25</v>
      </c>
      <c r="O1953">
        <v>5</v>
      </c>
      <c r="P1953">
        <v>3</v>
      </c>
      <c r="Q1953">
        <v>7.2276952325815902</v>
      </c>
      <c r="R1953">
        <v>8.1999999999999993</v>
      </c>
      <c r="T1953" s="358" t="str">
        <f t="shared" si="107"/>
        <v>2005AllSexNon-Maori23Submersion (drowning)</v>
      </c>
      <c r="U1953" s="360">
        <v>2005</v>
      </c>
      <c r="V1953" s="360" t="s">
        <v>17</v>
      </c>
      <c r="W1953" s="360" t="s">
        <v>19</v>
      </c>
      <c r="X1953" s="360">
        <v>23</v>
      </c>
      <c r="Y1953" s="360" t="s">
        <v>49</v>
      </c>
      <c r="Z1953" s="360">
        <v>2</v>
      </c>
      <c r="AA1953" s="360">
        <v>165</v>
      </c>
      <c r="AB1953" s="360">
        <v>1.2</v>
      </c>
    </row>
    <row r="1954" spans="10:28" x14ac:dyDescent="0.2">
      <c r="J1954" s="358" t="str">
        <f t="shared" si="106"/>
        <v>2006MaleAllEth211</v>
      </c>
      <c r="K1954" s="359">
        <v>2006</v>
      </c>
      <c r="L1954" t="s">
        <v>20</v>
      </c>
      <c r="M1954" t="s">
        <v>27</v>
      </c>
      <c r="N1954">
        <v>21</v>
      </c>
      <c r="O1954">
        <v>1</v>
      </c>
      <c r="P1954">
        <v>0</v>
      </c>
      <c r="T1954" s="358" t="str">
        <f t="shared" si="107"/>
        <v>2005AllSexNon-Maori24Submersion (drowning)</v>
      </c>
      <c r="U1954" s="360">
        <v>2005</v>
      </c>
      <c r="V1954" s="360" t="s">
        <v>17</v>
      </c>
      <c r="W1954" s="360" t="s">
        <v>19</v>
      </c>
      <c r="X1954" s="360">
        <v>24</v>
      </c>
      <c r="Y1954" s="360" t="s">
        <v>49</v>
      </c>
      <c r="Z1954" s="360">
        <v>6</v>
      </c>
      <c r="AA1954" s="360">
        <v>129</v>
      </c>
      <c r="AB1954" s="360">
        <v>4.7</v>
      </c>
    </row>
    <row r="1955" spans="10:28" x14ac:dyDescent="0.2">
      <c r="J1955" s="358" t="str">
        <f t="shared" si="106"/>
        <v>2006MaleAllEth212</v>
      </c>
      <c r="K1955" s="359">
        <v>2006</v>
      </c>
      <c r="L1955" t="s">
        <v>20</v>
      </c>
      <c r="M1955" t="s">
        <v>27</v>
      </c>
      <c r="N1955">
        <v>21</v>
      </c>
      <c r="O1955">
        <v>2</v>
      </c>
      <c r="P1955">
        <v>1</v>
      </c>
      <c r="T1955" s="358" t="str">
        <f t="shared" si="107"/>
        <v>2005AllSexNon-Maori25Submersion (drowning)</v>
      </c>
      <c r="U1955" s="360">
        <v>2005</v>
      </c>
      <c r="V1955" s="360" t="s">
        <v>17</v>
      </c>
      <c r="W1955" s="360" t="s">
        <v>19</v>
      </c>
      <c r="X1955" s="360">
        <v>25</v>
      </c>
      <c r="Y1955" s="360" t="s">
        <v>49</v>
      </c>
      <c r="Z1955" s="360">
        <v>5</v>
      </c>
      <c r="AA1955" s="360">
        <v>46</v>
      </c>
      <c r="AB1955" s="360">
        <v>10.9</v>
      </c>
    </row>
    <row r="1956" spans="10:28" x14ac:dyDescent="0.2">
      <c r="J1956" s="358" t="str">
        <f t="shared" si="106"/>
        <v>2006MaleAllEth213</v>
      </c>
      <c r="K1956" s="359">
        <v>2006</v>
      </c>
      <c r="L1956" t="s">
        <v>20</v>
      </c>
      <c r="M1956" t="s">
        <v>27</v>
      </c>
      <c r="N1956">
        <v>21</v>
      </c>
      <c r="O1956">
        <v>3</v>
      </c>
      <c r="P1956">
        <v>1</v>
      </c>
      <c r="T1956" s="358" t="str">
        <f t="shared" si="107"/>
        <v>2005FemaleAllEth22Firearms and explosives</v>
      </c>
      <c r="U1956" s="360">
        <v>2005</v>
      </c>
      <c r="V1956" s="360" t="s">
        <v>8</v>
      </c>
      <c r="W1956" s="360" t="s">
        <v>27</v>
      </c>
      <c r="X1956" s="360">
        <v>22</v>
      </c>
      <c r="Y1956" s="360" t="s">
        <v>42</v>
      </c>
      <c r="Z1956" s="360">
        <v>1</v>
      </c>
      <c r="AA1956" s="360">
        <v>25</v>
      </c>
      <c r="AB1956" s="360">
        <v>4</v>
      </c>
    </row>
    <row r="1957" spans="10:28" x14ac:dyDescent="0.2">
      <c r="J1957" s="358" t="str">
        <f t="shared" si="106"/>
        <v>2006MaleAllEth214</v>
      </c>
      <c r="K1957" s="359">
        <v>2006</v>
      </c>
      <c r="L1957" t="s">
        <v>20</v>
      </c>
      <c r="M1957" t="s">
        <v>27</v>
      </c>
      <c r="N1957">
        <v>21</v>
      </c>
      <c r="O1957">
        <v>4</v>
      </c>
      <c r="P1957">
        <v>0</v>
      </c>
      <c r="T1957" s="358" t="str">
        <f t="shared" si="107"/>
        <v>2005FemaleAllEth25Firearms and explosives</v>
      </c>
      <c r="U1957" s="360">
        <v>2005</v>
      </c>
      <c r="V1957" s="360" t="s">
        <v>8</v>
      </c>
      <c r="W1957" s="360" t="s">
        <v>27</v>
      </c>
      <c r="X1957" s="360">
        <v>25</v>
      </c>
      <c r="Y1957" s="360" t="s">
        <v>42</v>
      </c>
      <c r="Z1957" s="360">
        <v>1</v>
      </c>
      <c r="AA1957" s="360">
        <v>16</v>
      </c>
      <c r="AB1957" s="360">
        <v>6.2</v>
      </c>
    </row>
    <row r="1958" spans="10:28" x14ac:dyDescent="0.2">
      <c r="J1958" s="358" t="str">
        <f t="shared" si="106"/>
        <v>2006MaleAllEth215</v>
      </c>
      <c r="K1958" s="359">
        <v>2006</v>
      </c>
      <c r="L1958" t="s">
        <v>20</v>
      </c>
      <c r="M1958" t="s">
        <v>27</v>
      </c>
      <c r="N1958">
        <v>21</v>
      </c>
      <c r="O1958">
        <v>5</v>
      </c>
      <c r="P1958">
        <v>0</v>
      </c>
      <c r="T1958" s="358" t="str">
        <f t="shared" si="107"/>
        <v>2005FemaleAllEth21Hanging, strangulation and suffocation</v>
      </c>
      <c r="U1958" s="360">
        <v>2005</v>
      </c>
      <c r="V1958" s="360" t="s">
        <v>8</v>
      </c>
      <c r="W1958" s="360" t="s">
        <v>27</v>
      </c>
      <c r="X1958" s="360">
        <v>21</v>
      </c>
      <c r="Y1958" s="360" t="s">
        <v>43</v>
      </c>
      <c r="Z1958" s="360">
        <v>2</v>
      </c>
      <c r="AA1958" s="360">
        <v>2</v>
      </c>
      <c r="AB1958" s="360">
        <v>100</v>
      </c>
    </row>
    <row r="1959" spans="10:28" x14ac:dyDescent="0.2">
      <c r="J1959" s="358" t="str">
        <f t="shared" si="106"/>
        <v>2006MaleAllEth221</v>
      </c>
      <c r="K1959" s="359">
        <v>2006</v>
      </c>
      <c r="L1959" t="s">
        <v>20</v>
      </c>
      <c r="M1959" t="s">
        <v>27</v>
      </c>
      <c r="N1959">
        <v>22</v>
      </c>
      <c r="O1959">
        <v>1</v>
      </c>
      <c r="P1959">
        <v>11</v>
      </c>
      <c r="Q1959">
        <v>20.767037185711899</v>
      </c>
      <c r="R1959">
        <v>12.3</v>
      </c>
      <c r="T1959" s="358" t="str">
        <f t="shared" si="107"/>
        <v>2005FemaleAllEth22Hanging, strangulation and suffocation</v>
      </c>
      <c r="U1959" s="360">
        <v>2005</v>
      </c>
      <c r="V1959" s="360" t="s">
        <v>8</v>
      </c>
      <c r="W1959" s="360" t="s">
        <v>27</v>
      </c>
      <c r="X1959" s="360">
        <v>22</v>
      </c>
      <c r="Y1959" s="360" t="s">
        <v>43</v>
      </c>
      <c r="Z1959" s="360">
        <v>19</v>
      </c>
      <c r="AA1959" s="360">
        <v>25</v>
      </c>
      <c r="AB1959" s="360">
        <v>76</v>
      </c>
    </row>
    <row r="1960" spans="10:28" x14ac:dyDescent="0.2">
      <c r="J1960" s="358" t="str">
        <f t="shared" si="106"/>
        <v>2006MaleAllEth222</v>
      </c>
      <c r="K1960" s="359">
        <v>2006</v>
      </c>
      <c r="L1960" t="s">
        <v>20</v>
      </c>
      <c r="M1960" t="s">
        <v>27</v>
      </c>
      <c r="N1960">
        <v>22</v>
      </c>
      <c r="O1960">
        <v>2</v>
      </c>
      <c r="P1960">
        <v>9</v>
      </c>
      <c r="Q1960">
        <v>16.083608277810601</v>
      </c>
      <c r="R1960">
        <v>10.5</v>
      </c>
      <c r="T1960" s="358" t="str">
        <f t="shared" si="107"/>
        <v>2005FemaleAllEth23Hanging, strangulation and suffocation</v>
      </c>
      <c r="U1960" s="360">
        <v>2005</v>
      </c>
      <c r="V1960" s="360" t="s">
        <v>8</v>
      </c>
      <c r="W1960" s="360" t="s">
        <v>27</v>
      </c>
      <c r="X1960" s="360">
        <v>23</v>
      </c>
      <c r="Y1960" s="360" t="s">
        <v>43</v>
      </c>
      <c r="Z1960" s="360">
        <v>27</v>
      </c>
      <c r="AA1960" s="360">
        <v>58</v>
      </c>
      <c r="AB1960" s="360">
        <v>46.6</v>
      </c>
    </row>
    <row r="1961" spans="10:28" x14ac:dyDescent="0.2">
      <c r="J1961" s="358" t="str">
        <f t="shared" si="106"/>
        <v>2006MaleAllEth223</v>
      </c>
      <c r="K1961" s="359">
        <v>2006</v>
      </c>
      <c r="L1961" t="s">
        <v>20</v>
      </c>
      <c r="M1961" t="s">
        <v>27</v>
      </c>
      <c r="N1961">
        <v>22</v>
      </c>
      <c r="O1961">
        <v>3</v>
      </c>
      <c r="P1961">
        <v>17</v>
      </c>
      <c r="Q1961">
        <v>28.565187986802201</v>
      </c>
      <c r="R1961">
        <v>13.6</v>
      </c>
      <c r="T1961" s="358" t="str">
        <f t="shared" si="107"/>
        <v>2005FemaleAllEth24Hanging, strangulation and suffocation</v>
      </c>
      <c r="U1961" s="360">
        <v>2005</v>
      </c>
      <c r="V1961" s="360" t="s">
        <v>8</v>
      </c>
      <c r="W1961" s="360" t="s">
        <v>27</v>
      </c>
      <c r="X1961" s="360">
        <v>24</v>
      </c>
      <c r="Y1961" s="360" t="s">
        <v>43</v>
      </c>
      <c r="Z1961" s="360">
        <v>14</v>
      </c>
      <c r="AA1961" s="360">
        <v>31</v>
      </c>
      <c r="AB1961" s="360">
        <v>45.2</v>
      </c>
    </row>
    <row r="1962" spans="10:28" x14ac:dyDescent="0.2">
      <c r="J1962" s="358" t="str">
        <f t="shared" si="106"/>
        <v>2006MaleAllEth224</v>
      </c>
      <c r="K1962" s="359">
        <v>2006</v>
      </c>
      <c r="L1962" t="s">
        <v>20</v>
      </c>
      <c r="M1962" t="s">
        <v>27</v>
      </c>
      <c r="N1962">
        <v>22</v>
      </c>
      <c r="O1962">
        <v>4</v>
      </c>
      <c r="P1962">
        <v>23</v>
      </c>
      <c r="Q1962">
        <v>35.866690701366899</v>
      </c>
      <c r="R1962">
        <v>14.7</v>
      </c>
      <c r="T1962" s="358" t="str">
        <f t="shared" si="107"/>
        <v>2005FemaleAllEth25Hanging, strangulation and suffocation</v>
      </c>
      <c r="U1962" s="360">
        <v>2005</v>
      </c>
      <c r="V1962" s="360" t="s">
        <v>8</v>
      </c>
      <c r="W1962" s="360" t="s">
        <v>27</v>
      </c>
      <c r="X1962" s="360">
        <v>25</v>
      </c>
      <c r="Y1962" s="360" t="s">
        <v>43</v>
      </c>
      <c r="Z1962" s="360">
        <v>1</v>
      </c>
      <c r="AA1962" s="360">
        <v>16</v>
      </c>
      <c r="AB1962" s="360">
        <v>6.2</v>
      </c>
    </row>
    <row r="1963" spans="10:28" x14ac:dyDescent="0.2">
      <c r="J1963" s="358" t="str">
        <f t="shared" si="106"/>
        <v>2006MaleAllEth225</v>
      </c>
      <c r="K1963" s="359">
        <v>2006</v>
      </c>
      <c r="L1963" t="s">
        <v>20</v>
      </c>
      <c r="M1963" t="s">
        <v>27</v>
      </c>
      <c r="N1963">
        <v>22</v>
      </c>
      <c r="O1963">
        <v>5</v>
      </c>
      <c r="P1963">
        <v>29</v>
      </c>
      <c r="Q1963">
        <v>39.898465233981902</v>
      </c>
      <c r="R1963">
        <v>14.5</v>
      </c>
      <c r="T1963" s="358" t="str">
        <f t="shared" si="107"/>
        <v>2005FemaleAllEth22Jumping from a high place</v>
      </c>
      <c r="U1963" s="360">
        <v>2005</v>
      </c>
      <c r="V1963" s="360" t="s">
        <v>8</v>
      </c>
      <c r="W1963" s="360" t="s">
        <v>27</v>
      </c>
      <c r="X1963" s="360">
        <v>22</v>
      </c>
      <c r="Y1963" s="360" t="s">
        <v>44</v>
      </c>
      <c r="Z1963" s="360">
        <v>1</v>
      </c>
      <c r="AA1963" s="360">
        <v>25</v>
      </c>
      <c r="AB1963" s="360">
        <v>4</v>
      </c>
    </row>
    <row r="1964" spans="10:28" x14ac:dyDescent="0.2">
      <c r="J1964" s="358" t="str">
        <f t="shared" si="106"/>
        <v>2006MaleAllEth231</v>
      </c>
      <c r="K1964" s="359">
        <v>2006</v>
      </c>
      <c r="L1964" t="s">
        <v>20</v>
      </c>
      <c r="M1964" t="s">
        <v>27</v>
      </c>
      <c r="N1964">
        <v>23</v>
      </c>
      <c r="O1964">
        <v>1</v>
      </c>
      <c r="P1964">
        <v>17</v>
      </c>
      <c r="Q1964">
        <v>15.497774796664901</v>
      </c>
      <c r="R1964">
        <v>7.4</v>
      </c>
      <c r="T1964" s="358" t="str">
        <f t="shared" si="107"/>
        <v>2005FemaleAllEth23Jumping from a high place</v>
      </c>
      <c r="U1964" s="360">
        <v>2005</v>
      </c>
      <c r="V1964" s="360" t="s">
        <v>8</v>
      </c>
      <c r="W1964" s="360" t="s">
        <v>27</v>
      </c>
      <c r="X1964" s="360">
        <v>23</v>
      </c>
      <c r="Y1964" s="360" t="s">
        <v>44</v>
      </c>
      <c r="Z1964" s="360">
        <v>3</v>
      </c>
      <c r="AA1964" s="360">
        <v>58</v>
      </c>
      <c r="AB1964" s="360">
        <v>5.2</v>
      </c>
    </row>
    <row r="1965" spans="10:28" x14ac:dyDescent="0.2">
      <c r="J1965" s="358" t="str">
        <f t="shared" si="106"/>
        <v>2006MaleAllEth232</v>
      </c>
      <c r="K1965" s="359">
        <v>2006</v>
      </c>
      <c r="L1965" t="s">
        <v>20</v>
      </c>
      <c r="M1965" t="s">
        <v>27</v>
      </c>
      <c r="N1965">
        <v>23</v>
      </c>
      <c r="O1965">
        <v>2</v>
      </c>
      <c r="P1965">
        <v>26</v>
      </c>
      <c r="Q1965">
        <v>22.244316148086298</v>
      </c>
      <c r="R1965">
        <v>8.6</v>
      </c>
      <c r="T1965" s="358" t="str">
        <f t="shared" si="107"/>
        <v>2005FemaleAllEth22Other</v>
      </c>
      <c r="U1965" s="360">
        <v>2005</v>
      </c>
      <c r="V1965" s="360" t="s">
        <v>8</v>
      </c>
      <c r="W1965" s="360" t="s">
        <v>27</v>
      </c>
      <c r="X1965" s="360">
        <v>22</v>
      </c>
      <c r="Y1965" s="360" t="s">
        <v>45</v>
      </c>
      <c r="Z1965" s="360">
        <v>1</v>
      </c>
      <c r="AA1965" s="360">
        <v>25</v>
      </c>
      <c r="AB1965" s="360">
        <v>4</v>
      </c>
    </row>
    <row r="1966" spans="10:28" x14ac:dyDescent="0.2">
      <c r="J1966" s="358" t="str">
        <f t="shared" si="106"/>
        <v>2006MaleAllEth233</v>
      </c>
      <c r="K1966" s="359">
        <v>2006</v>
      </c>
      <c r="L1966" t="s">
        <v>20</v>
      </c>
      <c r="M1966" t="s">
        <v>27</v>
      </c>
      <c r="N1966">
        <v>23</v>
      </c>
      <c r="O1966">
        <v>3</v>
      </c>
      <c r="P1966">
        <v>23</v>
      </c>
      <c r="Q1966">
        <v>19.470792643601701</v>
      </c>
      <c r="R1966">
        <v>8</v>
      </c>
      <c r="T1966" s="358" t="str">
        <f t="shared" si="107"/>
        <v>2005FemaleAllEth23Other</v>
      </c>
      <c r="U1966" s="360">
        <v>2005</v>
      </c>
      <c r="V1966" s="360" t="s">
        <v>8</v>
      </c>
      <c r="W1966" s="360" t="s">
        <v>27</v>
      </c>
      <c r="X1966" s="360">
        <v>23</v>
      </c>
      <c r="Y1966" s="360" t="s">
        <v>45</v>
      </c>
      <c r="Z1966" s="360">
        <v>2</v>
      </c>
      <c r="AA1966" s="360">
        <v>58</v>
      </c>
      <c r="AB1966" s="360">
        <v>3.4</v>
      </c>
    </row>
    <row r="1967" spans="10:28" x14ac:dyDescent="0.2">
      <c r="J1967" s="358" t="str">
        <f t="shared" si="106"/>
        <v>2006MaleAllEth234</v>
      </c>
      <c r="K1967" s="359">
        <v>2006</v>
      </c>
      <c r="L1967" t="s">
        <v>20</v>
      </c>
      <c r="M1967" t="s">
        <v>27</v>
      </c>
      <c r="N1967">
        <v>23</v>
      </c>
      <c r="O1967">
        <v>4</v>
      </c>
      <c r="P1967">
        <v>29</v>
      </c>
      <c r="Q1967">
        <v>24.956917140651498</v>
      </c>
      <c r="R1967">
        <v>9.1</v>
      </c>
      <c r="T1967" s="358" t="str">
        <f t="shared" si="107"/>
        <v>2005FemaleAllEth25Other</v>
      </c>
      <c r="U1967" s="360">
        <v>2005</v>
      </c>
      <c r="V1967" s="360" t="s">
        <v>8</v>
      </c>
      <c r="W1967" s="360" t="s">
        <v>27</v>
      </c>
      <c r="X1967" s="360">
        <v>25</v>
      </c>
      <c r="Y1967" s="360" t="s">
        <v>45</v>
      </c>
      <c r="Z1967" s="360">
        <v>2</v>
      </c>
      <c r="AA1967" s="360">
        <v>16</v>
      </c>
      <c r="AB1967" s="360">
        <v>12.5</v>
      </c>
    </row>
    <row r="1968" spans="10:28" x14ac:dyDescent="0.2">
      <c r="J1968" s="358" t="str">
        <f t="shared" si="106"/>
        <v>2006MaleAllEth235</v>
      </c>
      <c r="K1968" s="359">
        <v>2006</v>
      </c>
      <c r="L1968" t="s">
        <v>20</v>
      </c>
      <c r="M1968" t="s">
        <v>27</v>
      </c>
      <c r="N1968">
        <v>23</v>
      </c>
      <c r="O1968">
        <v>5</v>
      </c>
      <c r="P1968">
        <v>51</v>
      </c>
      <c r="Q1968">
        <v>47.544847357824203</v>
      </c>
      <c r="R1968">
        <v>13</v>
      </c>
      <c r="T1968" s="358" t="str">
        <f t="shared" si="107"/>
        <v>2005FemaleAllEth22Poisoning by gases and vapours</v>
      </c>
      <c r="U1968" s="360">
        <v>2005</v>
      </c>
      <c r="V1968" s="360" t="s">
        <v>8</v>
      </c>
      <c r="W1968" s="360" t="s">
        <v>27</v>
      </c>
      <c r="X1968" s="360">
        <v>22</v>
      </c>
      <c r="Y1968" s="360" t="s">
        <v>46</v>
      </c>
      <c r="Z1968" s="360">
        <v>1</v>
      </c>
      <c r="AA1968" s="360">
        <v>25</v>
      </c>
      <c r="AB1968" s="360">
        <v>4</v>
      </c>
    </row>
    <row r="1969" spans="10:28" x14ac:dyDescent="0.2">
      <c r="J1969" s="358" t="str">
        <f t="shared" si="106"/>
        <v>2006MaleAllEth241</v>
      </c>
      <c r="K1969" s="359">
        <v>2006</v>
      </c>
      <c r="L1969" t="s">
        <v>20</v>
      </c>
      <c r="M1969" t="s">
        <v>27</v>
      </c>
      <c r="N1969">
        <v>24</v>
      </c>
      <c r="O1969">
        <v>1</v>
      </c>
      <c r="P1969">
        <v>16</v>
      </c>
      <c r="Q1969">
        <v>13.0242766257865</v>
      </c>
      <c r="R1969">
        <v>6.4</v>
      </c>
      <c r="T1969" s="358" t="str">
        <f t="shared" si="107"/>
        <v>2005FemaleAllEth23Poisoning by gases and vapours</v>
      </c>
      <c r="U1969" s="360">
        <v>2005</v>
      </c>
      <c r="V1969" s="360" t="s">
        <v>8</v>
      </c>
      <c r="W1969" s="360" t="s">
        <v>27</v>
      </c>
      <c r="X1969" s="360">
        <v>23</v>
      </c>
      <c r="Y1969" s="360" t="s">
        <v>46</v>
      </c>
      <c r="Z1969" s="360">
        <v>11</v>
      </c>
      <c r="AA1969" s="360">
        <v>58</v>
      </c>
      <c r="AB1969" s="360">
        <v>19</v>
      </c>
    </row>
    <row r="1970" spans="10:28" x14ac:dyDescent="0.2">
      <c r="J1970" s="358" t="str">
        <f t="shared" si="106"/>
        <v>2006MaleAllEth242</v>
      </c>
      <c r="K1970" s="359">
        <v>2006</v>
      </c>
      <c r="L1970" t="s">
        <v>20</v>
      </c>
      <c r="M1970" t="s">
        <v>27</v>
      </c>
      <c r="N1970">
        <v>24</v>
      </c>
      <c r="O1970">
        <v>2</v>
      </c>
      <c r="P1970">
        <v>20</v>
      </c>
      <c r="Q1970">
        <v>18.618971121295399</v>
      </c>
      <c r="R1970">
        <v>8.1999999999999993</v>
      </c>
      <c r="T1970" s="358" t="str">
        <f t="shared" si="107"/>
        <v>2005FemaleAllEth24Poisoning by gases and vapours</v>
      </c>
      <c r="U1970" s="360">
        <v>2005</v>
      </c>
      <c r="V1970" s="360" t="s">
        <v>8</v>
      </c>
      <c r="W1970" s="360" t="s">
        <v>27</v>
      </c>
      <c r="X1970" s="360">
        <v>24</v>
      </c>
      <c r="Y1970" s="360" t="s">
        <v>46</v>
      </c>
      <c r="Z1970" s="360">
        <v>7</v>
      </c>
      <c r="AA1970" s="360">
        <v>31</v>
      </c>
      <c r="AB1970" s="360">
        <v>22.6</v>
      </c>
    </row>
    <row r="1971" spans="10:28" x14ac:dyDescent="0.2">
      <c r="J1971" s="358" t="str">
        <f t="shared" si="106"/>
        <v>2006MaleAllEth243</v>
      </c>
      <c r="K1971" s="359">
        <v>2006</v>
      </c>
      <c r="L1971" t="s">
        <v>20</v>
      </c>
      <c r="M1971" t="s">
        <v>27</v>
      </c>
      <c r="N1971">
        <v>24</v>
      </c>
      <c r="O1971">
        <v>3</v>
      </c>
      <c r="P1971">
        <v>24</v>
      </c>
      <c r="Q1971">
        <v>25.026466774132199</v>
      </c>
      <c r="R1971">
        <v>10</v>
      </c>
      <c r="T1971" s="358" t="str">
        <f t="shared" si="107"/>
        <v>2005FemaleAllEth25Poisoning by gases and vapours</v>
      </c>
      <c r="U1971" s="360">
        <v>2005</v>
      </c>
      <c r="V1971" s="360" t="s">
        <v>8</v>
      </c>
      <c r="W1971" s="360" t="s">
        <v>27</v>
      </c>
      <c r="X1971" s="360">
        <v>25</v>
      </c>
      <c r="Y1971" s="360" t="s">
        <v>46</v>
      </c>
      <c r="Z1971" s="360">
        <v>3</v>
      </c>
      <c r="AA1971" s="360">
        <v>16</v>
      </c>
      <c r="AB1971" s="360">
        <v>18.8</v>
      </c>
    </row>
    <row r="1972" spans="10:28" x14ac:dyDescent="0.2">
      <c r="J1972" s="358" t="str">
        <f t="shared" si="106"/>
        <v>2006MaleAllEth244</v>
      </c>
      <c r="K1972" s="359">
        <v>2006</v>
      </c>
      <c r="L1972" t="s">
        <v>20</v>
      </c>
      <c r="M1972" t="s">
        <v>27</v>
      </c>
      <c r="N1972">
        <v>24</v>
      </c>
      <c r="O1972">
        <v>4</v>
      </c>
      <c r="P1972">
        <v>19</v>
      </c>
      <c r="Q1972">
        <v>21.775060031553199</v>
      </c>
      <c r="R1972">
        <v>9.8000000000000007</v>
      </c>
      <c r="T1972" s="358" t="str">
        <f t="shared" si="107"/>
        <v>2005FemaleAllEth22Poisoning by solids and liquids</v>
      </c>
      <c r="U1972" s="360">
        <v>2005</v>
      </c>
      <c r="V1972" s="360" t="s">
        <v>8</v>
      </c>
      <c r="W1972" s="360" t="s">
        <v>27</v>
      </c>
      <c r="X1972" s="360">
        <v>22</v>
      </c>
      <c r="Y1972" s="360" t="s">
        <v>47</v>
      </c>
      <c r="Z1972" s="360">
        <v>2</v>
      </c>
      <c r="AA1972" s="360">
        <v>25</v>
      </c>
      <c r="AB1972" s="360">
        <v>8</v>
      </c>
    </row>
    <row r="1973" spans="10:28" x14ac:dyDescent="0.2">
      <c r="J1973" s="358" t="str">
        <f t="shared" si="106"/>
        <v>2006MaleAllEth245</v>
      </c>
      <c r="K1973" s="359">
        <v>2006</v>
      </c>
      <c r="L1973" t="s">
        <v>20</v>
      </c>
      <c r="M1973" t="s">
        <v>27</v>
      </c>
      <c r="N1973">
        <v>24</v>
      </c>
      <c r="O1973">
        <v>5</v>
      </c>
      <c r="P1973">
        <v>27</v>
      </c>
      <c r="Q1973">
        <v>34.788926410214899</v>
      </c>
      <c r="R1973">
        <v>13.1</v>
      </c>
      <c r="T1973" s="358" t="str">
        <f t="shared" si="107"/>
        <v>2005FemaleAllEth23Poisoning by solids and liquids</v>
      </c>
      <c r="U1973" s="360">
        <v>2005</v>
      </c>
      <c r="V1973" s="360" t="s">
        <v>8</v>
      </c>
      <c r="W1973" s="360" t="s">
        <v>27</v>
      </c>
      <c r="X1973" s="360">
        <v>23</v>
      </c>
      <c r="Y1973" s="360" t="s">
        <v>47</v>
      </c>
      <c r="Z1973" s="360">
        <v>12</v>
      </c>
      <c r="AA1973" s="360">
        <v>58</v>
      </c>
      <c r="AB1973" s="360">
        <v>20.7</v>
      </c>
    </row>
    <row r="1974" spans="10:28" x14ac:dyDescent="0.2">
      <c r="J1974" s="358" t="str">
        <f t="shared" si="106"/>
        <v>2006MaleAllEth251</v>
      </c>
      <c r="K1974" s="359">
        <v>2006</v>
      </c>
      <c r="L1974" t="s">
        <v>20</v>
      </c>
      <c r="M1974" t="s">
        <v>27</v>
      </c>
      <c r="N1974">
        <v>25</v>
      </c>
      <c r="O1974">
        <v>1</v>
      </c>
      <c r="P1974">
        <v>5</v>
      </c>
      <c r="Q1974">
        <v>10.674785293433899</v>
      </c>
      <c r="R1974">
        <v>9.4</v>
      </c>
      <c r="T1974" s="358" t="str">
        <f t="shared" si="107"/>
        <v>2005FemaleAllEth24Poisoning by solids and liquids</v>
      </c>
      <c r="U1974" s="360">
        <v>2005</v>
      </c>
      <c r="V1974" s="360" t="s">
        <v>8</v>
      </c>
      <c r="W1974" s="360" t="s">
        <v>27</v>
      </c>
      <c r="X1974" s="360">
        <v>24</v>
      </c>
      <c r="Y1974" s="360" t="s">
        <v>47</v>
      </c>
      <c r="Z1974" s="360">
        <v>6</v>
      </c>
      <c r="AA1974" s="360">
        <v>31</v>
      </c>
      <c r="AB1974" s="360">
        <v>19.399999999999999</v>
      </c>
    </row>
    <row r="1975" spans="10:28" x14ac:dyDescent="0.2">
      <c r="J1975" s="358" t="str">
        <f t="shared" si="106"/>
        <v>2006MaleAllEth252</v>
      </c>
      <c r="K1975" s="359">
        <v>2006</v>
      </c>
      <c r="L1975" t="s">
        <v>20</v>
      </c>
      <c r="M1975" t="s">
        <v>27</v>
      </c>
      <c r="N1975">
        <v>25</v>
      </c>
      <c r="O1975">
        <v>2</v>
      </c>
      <c r="P1975">
        <v>9</v>
      </c>
      <c r="Q1975">
        <v>18.838589165452401</v>
      </c>
      <c r="R1975">
        <v>12.3</v>
      </c>
      <c r="T1975" s="358" t="str">
        <f t="shared" si="107"/>
        <v>2005FemaleAllEth25Poisoning by solids and liquids</v>
      </c>
      <c r="U1975" s="360">
        <v>2005</v>
      </c>
      <c r="V1975" s="360" t="s">
        <v>8</v>
      </c>
      <c r="W1975" s="360" t="s">
        <v>27</v>
      </c>
      <c r="X1975" s="360">
        <v>25</v>
      </c>
      <c r="Y1975" s="360" t="s">
        <v>47</v>
      </c>
      <c r="Z1975" s="360">
        <v>4</v>
      </c>
      <c r="AA1975" s="360">
        <v>16</v>
      </c>
      <c r="AB1975" s="360">
        <v>25</v>
      </c>
    </row>
    <row r="1976" spans="10:28" x14ac:dyDescent="0.2">
      <c r="J1976" s="358" t="str">
        <f t="shared" si="106"/>
        <v>2006MaleAllEth253</v>
      </c>
      <c r="K1976" s="359">
        <v>2006</v>
      </c>
      <c r="L1976" t="s">
        <v>20</v>
      </c>
      <c r="M1976" t="s">
        <v>27</v>
      </c>
      <c r="N1976">
        <v>25</v>
      </c>
      <c r="O1976">
        <v>3</v>
      </c>
      <c r="P1976">
        <v>6</v>
      </c>
      <c r="Q1976">
        <v>12.308789247424</v>
      </c>
      <c r="R1976">
        <v>9.8000000000000007</v>
      </c>
      <c r="T1976" s="358" t="str">
        <f t="shared" si="107"/>
        <v>2005FemaleAllEth23Sharp object</v>
      </c>
      <c r="U1976" s="360">
        <v>2005</v>
      </c>
      <c r="V1976" s="360" t="s">
        <v>8</v>
      </c>
      <c r="W1976" s="360" t="s">
        <v>27</v>
      </c>
      <c r="X1976" s="360">
        <v>23</v>
      </c>
      <c r="Y1976" s="360" t="s">
        <v>48</v>
      </c>
      <c r="Z1976" s="360">
        <v>1</v>
      </c>
      <c r="AA1976" s="360">
        <v>58</v>
      </c>
      <c r="AB1976" s="360">
        <v>1.7</v>
      </c>
    </row>
    <row r="1977" spans="10:28" x14ac:dyDescent="0.2">
      <c r="J1977" s="358" t="str">
        <f t="shared" si="106"/>
        <v>2006MaleAllEth254</v>
      </c>
      <c r="K1977" s="359">
        <v>2006</v>
      </c>
      <c r="L1977" t="s">
        <v>20</v>
      </c>
      <c r="M1977" t="s">
        <v>27</v>
      </c>
      <c r="N1977">
        <v>25</v>
      </c>
      <c r="O1977">
        <v>4</v>
      </c>
      <c r="P1977">
        <v>5</v>
      </c>
      <c r="Q1977">
        <v>10.540467083547201</v>
      </c>
      <c r="R1977">
        <v>9.1999999999999993</v>
      </c>
      <c r="T1977" s="358" t="str">
        <f t="shared" si="107"/>
        <v>2005FemaleAllEth24Sharp object</v>
      </c>
      <c r="U1977" s="360">
        <v>2005</v>
      </c>
      <c r="V1977" s="360" t="s">
        <v>8</v>
      </c>
      <c r="W1977" s="360" t="s">
        <v>27</v>
      </c>
      <c r="X1977" s="360">
        <v>24</v>
      </c>
      <c r="Y1977" s="360" t="s">
        <v>48</v>
      </c>
      <c r="Z1977" s="360">
        <v>2</v>
      </c>
      <c r="AA1977" s="360">
        <v>31</v>
      </c>
      <c r="AB1977" s="360">
        <v>6.5</v>
      </c>
    </row>
    <row r="1978" spans="10:28" x14ac:dyDescent="0.2">
      <c r="J1978" s="358" t="str">
        <f t="shared" si="106"/>
        <v>2006MaleAllEth255</v>
      </c>
      <c r="K1978" s="359">
        <v>2006</v>
      </c>
      <c r="L1978" t="s">
        <v>20</v>
      </c>
      <c r="M1978" t="s">
        <v>27</v>
      </c>
      <c r="N1978">
        <v>25</v>
      </c>
      <c r="O1978">
        <v>5</v>
      </c>
      <c r="P1978">
        <v>6</v>
      </c>
      <c r="Q1978">
        <v>15.7337890258674</v>
      </c>
      <c r="R1978">
        <v>12.6</v>
      </c>
      <c r="T1978" s="358" t="str">
        <f t="shared" si="107"/>
        <v>2005FemaleAllEth23Submersion (drowning)</v>
      </c>
      <c r="U1978" s="360">
        <v>2005</v>
      </c>
      <c r="V1978" s="360" t="s">
        <v>8</v>
      </c>
      <c r="W1978" s="360" t="s">
        <v>27</v>
      </c>
      <c r="X1978" s="360">
        <v>23</v>
      </c>
      <c r="Y1978" s="360" t="s">
        <v>49</v>
      </c>
      <c r="Z1978" s="360">
        <v>2</v>
      </c>
      <c r="AA1978" s="360">
        <v>58</v>
      </c>
      <c r="AB1978" s="360">
        <v>3.4</v>
      </c>
    </row>
    <row r="1979" spans="10:28" x14ac:dyDescent="0.2">
      <c r="J1979" s="358" t="str">
        <f t="shared" si="106"/>
        <v>2006MaleMaori211</v>
      </c>
      <c r="K1979" s="359">
        <v>2006</v>
      </c>
      <c r="L1979" t="s">
        <v>20</v>
      </c>
      <c r="M1979" t="s">
        <v>18</v>
      </c>
      <c r="N1979">
        <v>21</v>
      </c>
      <c r="O1979">
        <v>1</v>
      </c>
      <c r="P1979">
        <v>0</v>
      </c>
      <c r="T1979" s="358" t="str">
        <f t="shared" si="107"/>
        <v>2005FemaleAllEth24Submersion (drowning)</v>
      </c>
      <c r="U1979" s="360">
        <v>2005</v>
      </c>
      <c r="V1979" s="360" t="s">
        <v>8</v>
      </c>
      <c r="W1979" s="360" t="s">
        <v>27</v>
      </c>
      <c r="X1979" s="360">
        <v>24</v>
      </c>
      <c r="Y1979" s="360" t="s">
        <v>49</v>
      </c>
      <c r="Z1979" s="360">
        <v>2</v>
      </c>
      <c r="AA1979" s="360">
        <v>31</v>
      </c>
      <c r="AB1979" s="360">
        <v>6.5</v>
      </c>
    </row>
    <row r="1980" spans="10:28" x14ac:dyDescent="0.2">
      <c r="J1980" s="358" t="str">
        <f t="shared" si="106"/>
        <v>2006MaleMaori212</v>
      </c>
      <c r="K1980" s="359">
        <v>2006</v>
      </c>
      <c r="L1980" t="s">
        <v>20</v>
      </c>
      <c r="M1980" t="s">
        <v>18</v>
      </c>
      <c r="N1980">
        <v>21</v>
      </c>
      <c r="O1980">
        <v>2</v>
      </c>
      <c r="P1980">
        <v>0</v>
      </c>
      <c r="T1980" s="358" t="str">
        <f t="shared" si="107"/>
        <v>2005FemaleAllEth25Submersion (drowning)</v>
      </c>
      <c r="U1980" s="360">
        <v>2005</v>
      </c>
      <c r="V1980" s="360" t="s">
        <v>8</v>
      </c>
      <c r="W1980" s="360" t="s">
        <v>27</v>
      </c>
      <c r="X1980" s="360">
        <v>25</v>
      </c>
      <c r="Y1980" s="360" t="s">
        <v>49</v>
      </c>
      <c r="Z1980" s="360">
        <v>5</v>
      </c>
      <c r="AA1980" s="360">
        <v>16</v>
      </c>
      <c r="AB1980" s="360">
        <v>31.2</v>
      </c>
    </row>
    <row r="1981" spans="10:28" x14ac:dyDescent="0.2">
      <c r="J1981" s="358" t="str">
        <f t="shared" si="106"/>
        <v>2006MaleMaori213</v>
      </c>
      <c r="K1981" s="359">
        <v>2006</v>
      </c>
      <c r="L1981" t="s">
        <v>20</v>
      </c>
      <c r="M1981" t="s">
        <v>18</v>
      </c>
      <c r="N1981">
        <v>21</v>
      </c>
      <c r="O1981">
        <v>3</v>
      </c>
      <c r="P1981">
        <v>0</v>
      </c>
      <c r="T1981" s="358" t="str">
        <f t="shared" si="107"/>
        <v>2005FemaleMaori21Hanging, strangulation and suffocation</v>
      </c>
      <c r="U1981" s="360">
        <v>2005</v>
      </c>
      <c r="V1981" s="360" t="s">
        <v>8</v>
      </c>
      <c r="W1981" s="360" t="s">
        <v>18</v>
      </c>
      <c r="X1981" s="360">
        <v>21</v>
      </c>
      <c r="Y1981" s="360" t="s">
        <v>43</v>
      </c>
      <c r="Z1981" s="360">
        <v>2</v>
      </c>
      <c r="AA1981" s="360">
        <v>2</v>
      </c>
      <c r="AB1981" s="360">
        <v>100</v>
      </c>
    </row>
    <row r="1982" spans="10:28" x14ac:dyDescent="0.2">
      <c r="J1982" s="358" t="str">
        <f t="shared" si="106"/>
        <v>2006MaleMaori214</v>
      </c>
      <c r="K1982" s="359">
        <v>2006</v>
      </c>
      <c r="L1982" t="s">
        <v>20</v>
      </c>
      <c r="M1982" t="s">
        <v>18</v>
      </c>
      <c r="N1982">
        <v>21</v>
      </c>
      <c r="O1982">
        <v>4</v>
      </c>
      <c r="P1982">
        <v>0</v>
      </c>
      <c r="T1982" s="358" t="str">
        <f t="shared" si="107"/>
        <v>2005FemaleMaori22Hanging, strangulation and suffocation</v>
      </c>
      <c r="U1982" s="360">
        <v>2005</v>
      </c>
      <c r="V1982" s="360" t="s">
        <v>8</v>
      </c>
      <c r="W1982" s="360" t="s">
        <v>18</v>
      </c>
      <c r="X1982" s="360">
        <v>22</v>
      </c>
      <c r="Y1982" s="360" t="s">
        <v>43</v>
      </c>
      <c r="Z1982" s="360">
        <v>10</v>
      </c>
      <c r="AA1982" s="360">
        <v>11</v>
      </c>
      <c r="AB1982" s="360">
        <v>90.9</v>
      </c>
    </row>
    <row r="1983" spans="10:28" x14ac:dyDescent="0.2">
      <c r="J1983" s="358" t="str">
        <f t="shared" si="106"/>
        <v>2006MaleMaori215</v>
      </c>
      <c r="K1983" s="359">
        <v>2006</v>
      </c>
      <c r="L1983" t="s">
        <v>20</v>
      </c>
      <c r="M1983" t="s">
        <v>18</v>
      </c>
      <c r="N1983">
        <v>21</v>
      </c>
      <c r="O1983">
        <v>5</v>
      </c>
      <c r="P1983">
        <v>0</v>
      </c>
      <c r="T1983" s="358" t="str">
        <f t="shared" si="107"/>
        <v>2005FemaleMaori23Hanging, strangulation and suffocation</v>
      </c>
      <c r="U1983" s="360">
        <v>2005</v>
      </c>
      <c r="V1983" s="360" t="s">
        <v>8</v>
      </c>
      <c r="W1983" s="360" t="s">
        <v>18</v>
      </c>
      <c r="X1983" s="360">
        <v>23</v>
      </c>
      <c r="Y1983" s="360" t="s">
        <v>43</v>
      </c>
      <c r="Z1983" s="360">
        <v>9</v>
      </c>
      <c r="AA1983" s="360">
        <v>12</v>
      </c>
      <c r="AB1983" s="360">
        <v>75</v>
      </c>
    </row>
    <row r="1984" spans="10:28" x14ac:dyDescent="0.2">
      <c r="J1984" s="358" t="str">
        <f t="shared" si="106"/>
        <v>2006MaleMaori221</v>
      </c>
      <c r="K1984" s="359">
        <v>2006</v>
      </c>
      <c r="L1984" t="s">
        <v>20</v>
      </c>
      <c r="M1984" t="s">
        <v>18</v>
      </c>
      <c r="N1984">
        <v>22</v>
      </c>
      <c r="O1984">
        <v>1</v>
      </c>
      <c r="P1984">
        <v>2</v>
      </c>
      <c r="Q1984">
        <v>46.5409585141321</v>
      </c>
      <c r="R1984">
        <v>64.5</v>
      </c>
      <c r="T1984" s="358" t="str">
        <f t="shared" si="107"/>
        <v>2005FemaleMaori24Hanging, strangulation and suffocation</v>
      </c>
      <c r="U1984" s="360">
        <v>2005</v>
      </c>
      <c r="V1984" s="360" t="s">
        <v>8</v>
      </c>
      <c r="W1984" s="360" t="s">
        <v>18</v>
      </c>
      <c r="X1984" s="360">
        <v>24</v>
      </c>
      <c r="Y1984" s="360" t="s">
        <v>43</v>
      </c>
      <c r="Z1984" s="360">
        <v>2</v>
      </c>
      <c r="AA1984" s="360">
        <v>2</v>
      </c>
      <c r="AB1984" s="360">
        <v>100</v>
      </c>
    </row>
    <row r="1985" spans="10:28" x14ac:dyDescent="0.2">
      <c r="J1985" s="358" t="str">
        <f t="shared" si="106"/>
        <v>2006MaleMaori222</v>
      </c>
      <c r="K1985" s="359">
        <v>2006</v>
      </c>
      <c r="L1985" t="s">
        <v>20</v>
      </c>
      <c r="M1985" t="s">
        <v>18</v>
      </c>
      <c r="N1985">
        <v>22</v>
      </c>
      <c r="O1985">
        <v>2</v>
      </c>
      <c r="P1985">
        <v>3</v>
      </c>
      <c r="Q1985">
        <v>47.3307953793637</v>
      </c>
      <c r="R1985">
        <v>53.6</v>
      </c>
      <c r="T1985" s="358" t="str">
        <f t="shared" si="107"/>
        <v>2005FemaleMaori22Jumping from a high place</v>
      </c>
      <c r="U1985" s="360">
        <v>2005</v>
      </c>
      <c r="V1985" s="360" t="s">
        <v>8</v>
      </c>
      <c r="W1985" s="360" t="s">
        <v>18</v>
      </c>
      <c r="X1985" s="360">
        <v>22</v>
      </c>
      <c r="Y1985" s="360" t="s">
        <v>44</v>
      </c>
      <c r="Z1985" s="360">
        <v>1</v>
      </c>
      <c r="AA1985" s="360">
        <v>11</v>
      </c>
      <c r="AB1985" s="360">
        <v>9.1</v>
      </c>
    </row>
    <row r="1986" spans="10:28" x14ac:dyDescent="0.2">
      <c r="J1986" s="358" t="str">
        <f t="shared" si="106"/>
        <v>2006MaleMaori223</v>
      </c>
      <c r="K1986" s="359">
        <v>2006</v>
      </c>
      <c r="L1986" t="s">
        <v>20</v>
      </c>
      <c r="M1986" t="s">
        <v>18</v>
      </c>
      <c r="N1986">
        <v>22</v>
      </c>
      <c r="O1986">
        <v>3</v>
      </c>
      <c r="P1986">
        <v>2</v>
      </c>
      <c r="Q1986">
        <v>21.296310454423601</v>
      </c>
      <c r="R1986">
        <v>29.5</v>
      </c>
      <c r="T1986" s="358" t="str">
        <f t="shared" si="107"/>
        <v>2005FemaleMaori23Poisoning by gases and vapours</v>
      </c>
      <c r="U1986" s="360">
        <v>2005</v>
      </c>
      <c r="V1986" s="360" t="s">
        <v>8</v>
      </c>
      <c r="W1986" s="360" t="s">
        <v>18</v>
      </c>
      <c r="X1986" s="360">
        <v>23</v>
      </c>
      <c r="Y1986" s="360" t="s">
        <v>46</v>
      </c>
      <c r="Z1986" s="360">
        <v>1</v>
      </c>
      <c r="AA1986" s="360">
        <v>12</v>
      </c>
      <c r="AB1986" s="360">
        <v>8.3000000000000007</v>
      </c>
    </row>
    <row r="1987" spans="10:28" x14ac:dyDescent="0.2">
      <c r="J1987" s="358" t="str">
        <f t="shared" si="106"/>
        <v>2006MaleMaori224</v>
      </c>
      <c r="K1987" s="359">
        <v>2006</v>
      </c>
      <c r="L1987" t="s">
        <v>20</v>
      </c>
      <c r="M1987" t="s">
        <v>18</v>
      </c>
      <c r="N1987">
        <v>22</v>
      </c>
      <c r="O1987">
        <v>4</v>
      </c>
      <c r="P1987">
        <v>5</v>
      </c>
      <c r="Q1987">
        <v>36.615698860611097</v>
      </c>
      <c r="R1987">
        <v>32.1</v>
      </c>
      <c r="T1987" s="358" t="str">
        <f t="shared" si="107"/>
        <v>2005FemaleMaori23Poisoning by solids and liquids</v>
      </c>
      <c r="U1987" s="360">
        <v>2005</v>
      </c>
      <c r="V1987" s="360" t="s">
        <v>8</v>
      </c>
      <c r="W1987" s="360" t="s">
        <v>18</v>
      </c>
      <c r="X1987" s="360">
        <v>23</v>
      </c>
      <c r="Y1987" s="360" t="s">
        <v>47</v>
      </c>
      <c r="Z1987" s="360">
        <v>2</v>
      </c>
      <c r="AA1987" s="360">
        <v>12</v>
      </c>
      <c r="AB1987" s="360">
        <v>16.7</v>
      </c>
    </row>
    <row r="1988" spans="10:28" x14ac:dyDescent="0.2">
      <c r="J1988" s="358" t="str">
        <f t="shared" ref="J1988:J2051" si="108">K1988&amp;L1988&amp;M1988&amp;N1988&amp;O1988</f>
        <v>2006MaleMaori225</v>
      </c>
      <c r="K1988" s="359">
        <v>2006</v>
      </c>
      <c r="L1988" t="s">
        <v>20</v>
      </c>
      <c r="M1988" t="s">
        <v>18</v>
      </c>
      <c r="N1988">
        <v>22</v>
      </c>
      <c r="O1988">
        <v>5</v>
      </c>
      <c r="P1988">
        <v>17</v>
      </c>
      <c r="Q1988">
        <v>72.594665064054695</v>
      </c>
      <c r="R1988">
        <v>34.5</v>
      </c>
      <c r="T1988" s="358" t="str">
        <f t="shared" si="107"/>
        <v>2005FemaleNon-Maori22Firearms and explosives</v>
      </c>
      <c r="U1988" s="360">
        <v>2005</v>
      </c>
      <c r="V1988" s="360" t="s">
        <v>8</v>
      </c>
      <c r="W1988" s="360" t="s">
        <v>19</v>
      </c>
      <c r="X1988" s="360">
        <v>22</v>
      </c>
      <c r="Y1988" s="360" t="s">
        <v>42</v>
      </c>
      <c r="Z1988" s="360">
        <v>1</v>
      </c>
      <c r="AA1988" s="360">
        <v>14</v>
      </c>
      <c r="AB1988" s="360">
        <v>7.1</v>
      </c>
    </row>
    <row r="1989" spans="10:28" x14ac:dyDescent="0.2">
      <c r="J1989" s="358" t="str">
        <f t="shared" si="108"/>
        <v>2006MaleMaori231</v>
      </c>
      <c r="K1989" s="359">
        <v>2006</v>
      </c>
      <c r="L1989" t="s">
        <v>20</v>
      </c>
      <c r="M1989" t="s">
        <v>18</v>
      </c>
      <c r="N1989">
        <v>23</v>
      </c>
      <c r="O1989">
        <v>1</v>
      </c>
      <c r="P1989">
        <v>3</v>
      </c>
      <c r="Q1989">
        <v>42.440811272525799</v>
      </c>
      <c r="R1989">
        <v>48</v>
      </c>
      <c r="T1989" s="358" t="str">
        <f t="shared" ref="T1989:T2052" si="109">U1989&amp;V1989&amp;W1989&amp;X1989&amp;Y1989</f>
        <v>2005FemaleNon-Maori25Firearms and explosives</v>
      </c>
      <c r="U1989" s="360">
        <v>2005</v>
      </c>
      <c r="V1989" s="360" t="s">
        <v>8</v>
      </c>
      <c r="W1989" s="360" t="s">
        <v>19</v>
      </c>
      <c r="X1989" s="360">
        <v>25</v>
      </c>
      <c r="Y1989" s="360" t="s">
        <v>42</v>
      </c>
      <c r="Z1989" s="360">
        <v>1</v>
      </c>
      <c r="AA1989" s="360">
        <v>16</v>
      </c>
      <c r="AB1989" s="360">
        <v>6.2</v>
      </c>
    </row>
    <row r="1990" spans="10:28" x14ac:dyDescent="0.2">
      <c r="J1990" s="358" t="str">
        <f t="shared" si="108"/>
        <v>2006MaleMaori232</v>
      </c>
      <c r="K1990" s="359">
        <v>2006</v>
      </c>
      <c r="L1990" t="s">
        <v>20</v>
      </c>
      <c r="M1990" t="s">
        <v>18</v>
      </c>
      <c r="N1990">
        <v>23</v>
      </c>
      <c r="O1990">
        <v>2</v>
      </c>
      <c r="P1990">
        <v>1</v>
      </c>
      <c r="Q1990">
        <v>9.8984507520533604</v>
      </c>
      <c r="R1990">
        <v>19.399999999999999</v>
      </c>
      <c r="T1990" s="358" t="str">
        <f t="shared" si="109"/>
        <v>2005FemaleNon-Maori22Hanging, strangulation and suffocation</v>
      </c>
      <c r="U1990" s="360">
        <v>2005</v>
      </c>
      <c r="V1990" s="360" t="s">
        <v>8</v>
      </c>
      <c r="W1990" s="360" t="s">
        <v>19</v>
      </c>
      <c r="X1990" s="360">
        <v>22</v>
      </c>
      <c r="Y1990" s="360" t="s">
        <v>43</v>
      </c>
      <c r="Z1990" s="360">
        <v>9</v>
      </c>
      <c r="AA1990" s="360">
        <v>14</v>
      </c>
      <c r="AB1990" s="360">
        <v>64.3</v>
      </c>
    </row>
    <row r="1991" spans="10:28" x14ac:dyDescent="0.2">
      <c r="J1991" s="358" t="str">
        <f t="shared" si="108"/>
        <v>2006MaleMaori233</v>
      </c>
      <c r="K1991" s="359">
        <v>2006</v>
      </c>
      <c r="L1991" t="s">
        <v>20</v>
      </c>
      <c r="M1991" t="s">
        <v>18</v>
      </c>
      <c r="N1991">
        <v>23</v>
      </c>
      <c r="O1991">
        <v>3</v>
      </c>
      <c r="P1991">
        <v>5</v>
      </c>
      <c r="Q1991">
        <v>35.857302043096901</v>
      </c>
      <c r="R1991">
        <v>31.4</v>
      </c>
      <c r="T1991" s="358" t="str">
        <f t="shared" si="109"/>
        <v>2005FemaleNon-Maori23Hanging, strangulation and suffocation</v>
      </c>
      <c r="U1991" s="360">
        <v>2005</v>
      </c>
      <c r="V1991" s="360" t="s">
        <v>8</v>
      </c>
      <c r="W1991" s="360" t="s">
        <v>19</v>
      </c>
      <c r="X1991" s="360">
        <v>23</v>
      </c>
      <c r="Y1991" s="360" t="s">
        <v>43</v>
      </c>
      <c r="Z1991" s="360">
        <v>18</v>
      </c>
      <c r="AA1991" s="360">
        <v>46</v>
      </c>
      <c r="AB1991" s="360">
        <v>39.1</v>
      </c>
    </row>
    <row r="1992" spans="10:28" x14ac:dyDescent="0.2">
      <c r="J1992" s="358" t="str">
        <f t="shared" si="108"/>
        <v>2006MaleMaori234</v>
      </c>
      <c r="K1992" s="359">
        <v>2006</v>
      </c>
      <c r="L1992" t="s">
        <v>20</v>
      </c>
      <c r="M1992" t="s">
        <v>18</v>
      </c>
      <c r="N1992">
        <v>23</v>
      </c>
      <c r="O1992">
        <v>4</v>
      </c>
      <c r="P1992">
        <v>11</v>
      </c>
      <c r="Q1992">
        <v>57.543013441036798</v>
      </c>
      <c r="R1992">
        <v>34</v>
      </c>
      <c r="T1992" s="358" t="str">
        <f t="shared" si="109"/>
        <v>2005FemaleNon-Maori24Hanging, strangulation and suffocation</v>
      </c>
      <c r="U1992" s="360">
        <v>2005</v>
      </c>
      <c r="V1992" s="360" t="s">
        <v>8</v>
      </c>
      <c r="W1992" s="360" t="s">
        <v>19</v>
      </c>
      <c r="X1992" s="360">
        <v>24</v>
      </c>
      <c r="Y1992" s="360" t="s">
        <v>43</v>
      </c>
      <c r="Z1992" s="360">
        <v>12</v>
      </c>
      <c r="AA1992" s="360">
        <v>29</v>
      </c>
      <c r="AB1992" s="360">
        <v>41.4</v>
      </c>
    </row>
    <row r="1993" spans="10:28" x14ac:dyDescent="0.2">
      <c r="J1993" s="358" t="str">
        <f t="shared" si="108"/>
        <v>2006MaleMaori235</v>
      </c>
      <c r="K1993" s="359">
        <v>2006</v>
      </c>
      <c r="L1993" t="s">
        <v>20</v>
      </c>
      <c r="M1993" t="s">
        <v>18</v>
      </c>
      <c r="N1993">
        <v>23</v>
      </c>
      <c r="O1993">
        <v>5</v>
      </c>
      <c r="P1993">
        <v>16</v>
      </c>
      <c r="Q1993">
        <v>53.730139220492603</v>
      </c>
      <c r="R1993">
        <v>26.3</v>
      </c>
      <c r="T1993" s="358" t="str">
        <f t="shared" si="109"/>
        <v>2005FemaleNon-Maori25Hanging, strangulation and suffocation</v>
      </c>
      <c r="U1993" s="360">
        <v>2005</v>
      </c>
      <c r="V1993" s="360" t="s">
        <v>8</v>
      </c>
      <c r="W1993" s="360" t="s">
        <v>19</v>
      </c>
      <c r="X1993" s="360">
        <v>25</v>
      </c>
      <c r="Y1993" s="360" t="s">
        <v>43</v>
      </c>
      <c r="Z1993" s="360">
        <v>1</v>
      </c>
      <c r="AA1993" s="360">
        <v>16</v>
      </c>
      <c r="AB1993" s="360">
        <v>6.2</v>
      </c>
    </row>
    <row r="1994" spans="10:28" x14ac:dyDescent="0.2">
      <c r="J1994" s="358" t="str">
        <f t="shared" si="108"/>
        <v>2006MaleMaori241</v>
      </c>
      <c r="K1994" s="359">
        <v>2006</v>
      </c>
      <c r="L1994" t="s">
        <v>20</v>
      </c>
      <c r="M1994" t="s">
        <v>18</v>
      </c>
      <c r="N1994">
        <v>24</v>
      </c>
      <c r="O1994">
        <v>1</v>
      </c>
      <c r="P1994">
        <v>1</v>
      </c>
      <c r="Q1994">
        <v>23.950836155540198</v>
      </c>
      <c r="R1994">
        <v>46.9</v>
      </c>
      <c r="T1994" s="358" t="str">
        <f t="shared" si="109"/>
        <v>2005FemaleNon-Maori23Jumping from a high place</v>
      </c>
      <c r="U1994" s="360">
        <v>2005</v>
      </c>
      <c r="V1994" s="360" t="s">
        <v>8</v>
      </c>
      <c r="W1994" s="360" t="s">
        <v>19</v>
      </c>
      <c r="X1994" s="360">
        <v>23</v>
      </c>
      <c r="Y1994" s="360" t="s">
        <v>44</v>
      </c>
      <c r="Z1994" s="360">
        <v>3</v>
      </c>
      <c r="AA1994" s="360">
        <v>46</v>
      </c>
      <c r="AB1994" s="360">
        <v>6.5</v>
      </c>
    </row>
    <row r="1995" spans="10:28" x14ac:dyDescent="0.2">
      <c r="J1995" s="358" t="str">
        <f t="shared" si="108"/>
        <v>2006MaleMaori242</v>
      </c>
      <c r="K1995" s="359">
        <v>2006</v>
      </c>
      <c r="L1995" t="s">
        <v>20</v>
      </c>
      <c r="M1995" t="s">
        <v>18</v>
      </c>
      <c r="N1995">
        <v>24</v>
      </c>
      <c r="O1995">
        <v>2</v>
      </c>
      <c r="P1995">
        <v>2</v>
      </c>
      <c r="Q1995">
        <v>35.899913189255997</v>
      </c>
      <c r="R1995">
        <v>49.8</v>
      </c>
      <c r="T1995" s="358" t="str">
        <f t="shared" si="109"/>
        <v>2005FemaleNon-Maori22Other</v>
      </c>
      <c r="U1995" s="360">
        <v>2005</v>
      </c>
      <c r="V1995" s="360" t="s">
        <v>8</v>
      </c>
      <c r="W1995" s="360" t="s">
        <v>19</v>
      </c>
      <c r="X1995" s="360">
        <v>22</v>
      </c>
      <c r="Y1995" s="360" t="s">
        <v>45</v>
      </c>
      <c r="Z1995" s="360">
        <v>1</v>
      </c>
      <c r="AA1995" s="360">
        <v>14</v>
      </c>
      <c r="AB1995" s="360">
        <v>7.1</v>
      </c>
    </row>
    <row r="1996" spans="10:28" x14ac:dyDescent="0.2">
      <c r="J1996" s="358" t="str">
        <f t="shared" si="108"/>
        <v>2006MaleMaori243</v>
      </c>
      <c r="K1996" s="359">
        <v>2006</v>
      </c>
      <c r="L1996" t="s">
        <v>20</v>
      </c>
      <c r="M1996" t="s">
        <v>18</v>
      </c>
      <c r="N1996">
        <v>24</v>
      </c>
      <c r="O1996">
        <v>3</v>
      </c>
      <c r="P1996">
        <v>0</v>
      </c>
      <c r="Q1996">
        <v>0</v>
      </c>
      <c r="T1996" s="358" t="str">
        <f t="shared" si="109"/>
        <v>2005FemaleNon-Maori23Other</v>
      </c>
      <c r="U1996" s="360">
        <v>2005</v>
      </c>
      <c r="V1996" s="360" t="s">
        <v>8</v>
      </c>
      <c r="W1996" s="360" t="s">
        <v>19</v>
      </c>
      <c r="X1996" s="360">
        <v>23</v>
      </c>
      <c r="Y1996" s="360" t="s">
        <v>45</v>
      </c>
      <c r="Z1996" s="360">
        <v>2</v>
      </c>
      <c r="AA1996" s="360">
        <v>46</v>
      </c>
      <c r="AB1996" s="360">
        <v>4.3</v>
      </c>
    </row>
    <row r="1997" spans="10:28" x14ac:dyDescent="0.2">
      <c r="J1997" s="358" t="str">
        <f t="shared" si="108"/>
        <v>2006MaleMaori244</v>
      </c>
      <c r="K1997" s="359">
        <v>2006</v>
      </c>
      <c r="L1997" t="s">
        <v>20</v>
      </c>
      <c r="M1997" t="s">
        <v>18</v>
      </c>
      <c r="N1997">
        <v>24</v>
      </c>
      <c r="O1997">
        <v>4</v>
      </c>
      <c r="P1997">
        <v>2</v>
      </c>
      <c r="Q1997">
        <v>18.682524421289699</v>
      </c>
      <c r="R1997">
        <v>25.9</v>
      </c>
      <c r="T1997" s="358" t="str">
        <f t="shared" si="109"/>
        <v>2005FemaleNon-Maori25Other</v>
      </c>
      <c r="U1997" s="360">
        <v>2005</v>
      </c>
      <c r="V1997" s="360" t="s">
        <v>8</v>
      </c>
      <c r="W1997" s="360" t="s">
        <v>19</v>
      </c>
      <c r="X1997" s="360">
        <v>25</v>
      </c>
      <c r="Y1997" s="360" t="s">
        <v>45</v>
      </c>
      <c r="Z1997" s="360">
        <v>2</v>
      </c>
      <c r="AA1997" s="360">
        <v>16</v>
      </c>
      <c r="AB1997" s="360">
        <v>12.5</v>
      </c>
    </row>
    <row r="1998" spans="10:28" x14ac:dyDescent="0.2">
      <c r="J1998" s="358" t="str">
        <f t="shared" si="108"/>
        <v>2006MaleMaori245</v>
      </c>
      <c r="K1998" s="359">
        <v>2006</v>
      </c>
      <c r="L1998" t="s">
        <v>20</v>
      </c>
      <c r="M1998" t="s">
        <v>18</v>
      </c>
      <c r="N1998">
        <v>24</v>
      </c>
      <c r="O1998">
        <v>5</v>
      </c>
      <c r="P1998">
        <v>5</v>
      </c>
      <c r="Q1998">
        <v>27.182157904286001</v>
      </c>
      <c r="R1998">
        <v>23.8</v>
      </c>
      <c r="T1998" s="358" t="str">
        <f t="shared" si="109"/>
        <v>2005FemaleNon-Maori22Poisoning by gases and vapours</v>
      </c>
      <c r="U1998" s="360">
        <v>2005</v>
      </c>
      <c r="V1998" s="360" t="s">
        <v>8</v>
      </c>
      <c r="W1998" s="360" t="s">
        <v>19</v>
      </c>
      <c r="X1998" s="360">
        <v>22</v>
      </c>
      <c r="Y1998" s="360" t="s">
        <v>46</v>
      </c>
      <c r="Z1998" s="360">
        <v>1</v>
      </c>
      <c r="AA1998" s="360">
        <v>14</v>
      </c>
      <c r="AB1998" s="360">
        <v>7.1</v>
      </c>
    </row>
    <row r="1999" spans="10:28" x14ac:dyDescent="0.2">
      <c r="J1999" s="358" t="str">
        <f t="shared" si="108"/>
        <v>2006MaleMaori251</v>
      </c>
      <c r="K1999" s="359">
        <v>2006</v>
      </c>
      <c r="L1999" t="s">
        <v>20</v>
      </c>
      <c r="M1999" t="s">
        <v>18</v>
      </c>
      <c r="N1999">
        <v>25</v>
      </c>
      <c r="O1999">
        <v>1</v>
      </c>
      <c r="P1999">
        <v>0</v>
      </c>
      <c r="Q1999">
        <v>0</v>
      </c>
      <c r="T1999" s="358" t="str">
        <f t="shared" si="109"/>
        <v>2005FemaleNon-Maori23Poisoning by gases and vapours</v>
      </c>
      <c r="U1999" s="360">
        <v>2005</v>
      </c>
      <c r="V1999" s="360" t="s">
        <v>8</v>
      </c>
      <c r="W1999" s="360" t="s">
        <v>19</v>
      </c>
      <c r="X1999" s="360">
        <v>23</v>
      </c>
      <c r="Y1999" s="360" t="s">
        <v>46</v>
      </c>
      <c r="Z1999" s="360">
        <v>10</v>
      </c>
      <c r="AA1999" s="360">
        <v>46</v>
      </c>
      <c r="AB1999" s="360">
        <v>21.7</v>
      </c>
    </row>
    <row r="2000" spans="10:28" x14ac:dyDescent="0.2">
      <c r="J2000" s="358" t="str">
        <f t="shared" si="108"/>
        <v>2006MaleMaori252</v>
      </c>
      <c r="K2000" s="359">
        <v>2006</v>
      </c>
      <c r="L2000" t="s">
        <v>20</v>
      </c>
      <c r="M2000" t="s">
        <v>18</v>
      </c>
      <c r="N2000">
        <v>25</v>
      </c>
      <c r="O2000">
        <v>2</v>
      </c>
      <c r="P2000">
        <v>0</v>
      </c>
      <c r="Q2000">
        <v>0</v>
      </c>
      <c r="T2000" s="358" t="str">
        <f t="shared" si="109"/>
        <v>2005FemaleNon-Maori24Poisoning by gases and vapours</v>
      </c>
      <c r="U2000" s="360">
        <v>2005</v>
      </c>
      <c r="V2000" s="360" t="s">
        <v>8</v>
      </c>
      <c r="W2000" s="360" t="s">
        <v>19</v>
      </c>
      <c r="X2000" s="360">
        <v>24</v>
      </c>
      <c r="Y2000" s="360" t="s">
        <v>46</v>
      </c>
      <c r="Z2000" s="360">
        <v>7</v>
      </c>
      <c r="AA2000" s="360">
        <v>29</v>
      </c>
      <c r="AB2000" s="360">
        <v>24.1</v>
      </c>
    </row>
    <row r="2001" spans="10:28" x14ac:dyDescent="0.2">
      <c r="J2001" s="358" t="str">
        <f t="shared" si="108"/>
        <v>2006MaleMaori253</v>
      </c>
      <c r="K2001" s="359">
        <v>2006</v>
      </c>
      <c r="L2001" t="s">
        <v>20</v>
      </c>
      <c r="M2001" t="s">
        <v>18</v>
      </c>
      <c r="N2001">
        <v>25</v>
      </c>
      <c r="O2001">
        <v>3</v>
      </c>
      <c r="P2001">
        <v>0</v>
      </c>
      <c r="Q2001">
        <v>0</v>
      </c>
      <c r="T2001" s="358" t="str">
        <f t="shared" si="109"/>
        <v>2005FemaleNon-Maori25Poisoning by gases and vapours</v>
      </c>
      <c r="U2001" s="360">
        <v>2005</v>
      </c>
      <c r="V2001" s="360" t="s">
        <v>8</v>
      </c>
      <c r="W2001" s="360" t="s">
        <v>19</v>
      </c>
      <c r="X2001" s="360">
        <v>25</v>
      </c>
      <c r="Y2001" s="360" t="s">
        <v>46</v>
      </c>
      <c r="Z2001" s="360">
        <v>3</v>
      </c>
      <c r="AA2001" s="360">
        <v>16</v>
      </c>
      <c r="AB2001" s="360">
        <v>18.8</v>
      </c>
    </row>
    <row r="2002" spans="10:28" x14ac:dyDescent="0.2">
      <c r="J2002" s="358" t="str">
        <f t="shared" si="108"/>
        <v>2006MaleMaori254</v>
      </c>
      <c r="K2002" s="359">
        <v>2006</v>
      </c>
      <c r="L2002" t="s">
        <v>20</v>
      </c>
      <c r="M2002" t="s">
        <v>18</v>
      </c>
      <c r="N2002">
        <v>25</v>
      </c>
      <c r="O2002">
        <v>4</v>
      </c>
      <c r="P2002">
        <v>0</v>
      </c>
      <c r="Q2002">
        <v>0</v>
      </c>
      <c r="T2002" s="358" t="str">
        <f t="shared" si="109"/>
        <v>2005FemaleNon-Maori22Poisoning by solids and liquids</v>
      </c>
      <c r="U2002" s="360">
        <v>2005</v>
      </c>
      <c r="V2002" s="360" t="s">
        <v>8</v>
      </c>
      <c r="W2002" s="360" t="s">
        <v>19</v>
      </c>
      <c r="X2002" s="360">
        <v>22</v>
      </c>
      <c r="Y2002" s="360" t="s">
        <v>47</v>
      </c>
      <c r="Z2002" s="360">
        <v>2</v>
      </c>
      <c r="AA2002" s="360">
        <v>14</v>
      </c>
      <c r="AB2002" s="360">
        <v>14.3</v>
      </c>
    </row>
    <row r="2003" spans="10:28" x14ac:dyDescent="0.2">
      <c r="J2003" s="358" t="str">
        <f t="shared" si="108"/>
        <v>2006MaleMaori255</v>
      </c>
      <c r="K2003" s="359">
        <v>2006</v>
      </c>
      <c r="L2003" t="s">
        <v>20</v>
      </c>
      <c r="M2003" t="s">
        <v>18</v>
      </c>
      <c r="N2003">
        <v>25</v>
      </c>
      <c r="O2003">
        <v>5</v>
      </c>
      <c r="P2003">
        <v>0</v>
      </c>
      <c r="Q2003">
        <v>0</v>
      </c>
      <c r="T2003" s="358" t="str">
        <f t="shared" si="109"/>
        <v>2005FemaleNon-Maori23Poisoning by solids and liquids</v>
      </c>
      <c r="U2003" s="360">
        <v>2005</v>
      </c>
      <c r="V2003" s="360" t="s">
        <v>8</v>
      </c>
      <c r="W2003" s="360" t="s">
        <v>19</v>
      </c>
      <c r="X2003" s="360">
        <v>23</v>
      </c>
      <c r="Y2003" s="360" t="s">
        <v>47</v>
      </c>
      <c r="Z2003" s="360">
        <v>10</v>
      </c>
      <c r="AA2003" s="360">
        <v>46</v>
      </c>
      <c r="AB2003" s="360">
        <v>21.7</v>
      </c>
    </row>
    <row r="2004" spans="10:28" x14ac:dyDescent="0.2">
      <c r="J2004" s="358" t="str">
        <f t="shared" si="108"/>
        <v>2006MaleNon-Maori211</v>
      </c>
      <c r="K2004" s="359">
        <v>2006</v>
      </c>
      <c r="L2004" t="s">
        <v>20</v>
      </c>
      <c r="M2004" t="s">
        <v>19</v>
      </c>
      <c r="N2004">
        <v>21</v>
      </c>
      <c r="O2004">
        <v>1</v>
      </c>
      <c r="P2004">
        <v>0</v>
      </c>
      <c r="T2004" s="358" t="str">
        <f t="shared" si="109"/>
        <v>2005FemaleNon-Maori24Poisoning by solids and liquids</v>
      </c>
      <c r="U2004" s="360">
        <v>2005</v>
      </c>
      <c r="V2004" s="360" t="s">
        <v>8</v>
      </c>
      <c r="W2004" s="360" t="s">
        <v>19</v>
      </c>
      <c r="X2004" s="360">
        <v>24</v>
      </c>
      <c r="Y2004" s="360" t="s">
        <v>47</v>
      </c>
      <c r="Z2004" s="360">
        <v>6</v>
      </c>
      <c r="AA2004" s="360">
        <v>29</v>
      </c>
      <c r="AB2004" s="360">
        <v>20.7</v>
      </c>
    </row>
    <row r="2005" spans="10:28" x14ac:dyDescent="0.2">
      <c r="J2005" s="358" t="str">
        <f t="shared" si="108"/>
        <v>2006MaleNon-Maori212</v>
      </c>
      <c r="K2005" s="359">
        <v>2006</v>
      </c>
      <c r="L2005" t="s">
        <v>20</v>
      </c>
      <c r="M2005" t="s">
        <v>19</v>
      </c>
      <c r="N2005">
        <v>21</v>
      </c>
      <c r="O2005">
        <v>2</v>
      </c>
      <c r="P2005">
        <v>1</v>
      </c>
      <c r="T2005" s="358" t="str">
        <f t="shared" si="109"/>
        <v>2005FemaleNon-Maori25Poisoning by solids and liquids</v>
      </c>
      <c r="U2005" s="360">
        <v>2005</v>
      </c>
      <c r="V2005" s="360" t="s">
        <v>8</v>
      </c>
      <c r="W2005" s="360" t="s">
        <v>19</v>
      </c>
      <c r="X2005" s="360">
        <v>25</v>
      </c>
      <c r="Y2005" s="360" t="s">
        <v>47</v>
      </c>
      <c r="Z2005" s="360">
        <v>4</v>
      </c>
      <c r="AA2005" s="360">
        <v>16</v>
      </c>
      <c r="AB2005" s="360">
        <v>25</v>
      </c>
    </row>
    <row r="2006" spans="10:28" x14ac:dyDescent="0.2">
      <c r="J2006" s="358" t="str">
        <f t="shared" si="108"/>
        <v>2006MaleNon-Maori213</v>
      </c>
      <c r="K2006" s="359">
        <v>2006</v>
      </c>
      <c r="L2006" t="s">
        <v>20</v>
      </c>
      <c r="M2006" t="s">
        <v>19</v>
      </c>
      <c r="N2006">
        <v>21</v>
      </c>
      <c r="O2006">
        <v>3</v>
      </c>
      <c r="P2006">
        <v>1</v>
      </c>
      <c r="T2006" s="358" t="str">
        <f t="shared" si="109"/>
        <v>2005FemaleNon-Maori23Sharp object</v>
      </c>
      <c r="U2006" s="360">
        <v>2005</v>
      </c>
      <c r="V2006" s="360" t="s">
        <v>8</v>
      </c>
      <c r="W2006" s="360" t="s">
        <v>19</v>
      </c>
      <c r="X2006" s="360">
        <v>23</v>
      </c>
      <c r="Y2006" s="360" t="s">
        <v>48</v>
      </c>
      <c r="Z2006" s="360">
        <v>1</v>
      </c>
      <c r="AA2006" s="360">
        <v>46</v>
      </c>
      <c r="AB2006" s="360">
        <v>2.2000000000000002</v>
      </c>
    </row>
    <row r="2007" spans="10:28" x14ac:dyDescent="0.2">
      <c r="J2007" s="358" t="str">
        <f t="shared" si="108"/>
        <v>2006MaleNon-Maori214</v>
      </c>
      <c r="K2007" s="359">
        <v>2006</v>
      </c>
      <c r="L2007" t="s">
        <v>20</v>
      </c>
      <c r="M2007" t="s">
        <v>19</v>
      </c>
      <c r="N2007">
        <v>21</v>
      </c>
      <c r="O2007">
        <v>4</v>
      </c>
      <c r="P2007">
        <v>0</v>
      </c>
      <c r="T2007" s="358" t="str">
        <f t="shared" si="109"/>
        <v>2005FemaleNon-Maori24Sharp object</v>
      </c>
      <c r="U2007" s="360">
        <v>2005</v>
      </c>
      <c r="V2007" s="360" t="s">
        <v>8</v>
      </c>
      <c r="W2007" s="360" t="s">
        <v>19</v>
      </c>
      <c r="X2007" s="360">
        <v>24</v>
      </c>
      <c r="Y2007" s="360" t="s">
        <v>48</v>
      </c>
      <c r="Z2007" s="360">
        <v>2</v>
      </c>
      <c r="AA2007" s="360">
        <v>29</v>
      </c>
      <c r="AB2007" s="360">
        <v>6.9</v>
      </c>
    </row>
    <row r="2008" spans="10:28" x14ac:dyDescent="0.2">
      <c r="J2008" s="358" t="str">
        <f t="shared" si="108"/>
        <v>2006MaleNon-Maori215</v>
      </c>
      <c r="K2008" s="359">
        <v>2006</v>
      </c>
      <c r="L2008" t="s">
        <v>20</v>
      </c>
      <c r="M2008" t="s">
        <v>19</v>
      </c>
      <c r="N2008">
        <v>21</v>
      </c>
      <c r="O2008">
        <v>5</v>
      </c>
      <c r="P2008">
        <v>0</v>
      </c>
      <c r="T2008" s="358" t="str">
        <f t="shared" si="109"/>
        <v>2005FemaleNon-Maori23Submersion (drowning)</v>
      </c>
      <c r="U2008" s="360">
        <v>2005</v>
      </c>
      <c r="V2008" s="360" t="s">
        <v>8</v>
      </c>
      <c r="W2008" s="360" t="s">
        <v>19</v>
      </c>
      <c r="X2008" s="360">
        <v>23</v>
      </c>
      <c r="Y2008" s="360" t="s">
        <v>49</v>
      </c>
      <c r="Z2008" s="360">
        <v>2</v>
      </c>
      <c r="AA2008" s="360">
        <v>46</v>
      </c>
      <c r="AB2008" s="360">
        <v>4.3</v>
      </c>
    </row>
    <row r="2009" spans="10:28" x14ac:dyDescent="0.2">
      <c r="J2009" s="358" t="str">
        <f t="shared" si="108"/>
        <v>2006MaleNon-Maori221</v>
      </c>
      <c r="K2009" s="359">
        <v>2006</v>
      </c>
      <c r="L2009" t="s">
        <v>20</v>
      </c>
      <c r="M2009" t="s">
        <v>19</v>
      </c>
      <c r="N2009">
        <v>22</v>
      </c>
      <c r="O2009">
        <v>1</v>
      </c>
      <c r="P2009">
        <v>9</v>
      </c>
      <c r="Q2009">
        <v>18.3414446260586</v>
      </c>
      <c r="R2009">
        <v>12</v>
      </c>
      <c r="T2009" s="358" t="str">
        <f t="shared" si="109"/>
        <v>2005FemaleNon-Maori24Submersion (drowning)</v>
      </c>
      <c r="U2009" s="360">
        <v>2005</v>
      </c>
      <c r="V2009" s="360" t="s">
        <v>8</v>
      </c>
      <c r="W2009" s="360" t="s">
        <v>19</v>
      </c>
      <c r="X2009" s="360">
        <v>24</v>
      </c>
      <c r="Y2009" s="360" t="s">
        <v>49</v>
      </c>
      <c r="Z2009" s="360">
        <v>2</v>
      </c>
      <c r="AA2009" s="360">
        <v>29</v>
      </c>
      <c r="AB2009" s="360">
        <v>6.9</v>
      </c>
    </row>
    <row r="2010" spans="10:28" x14ac:dyDescent="0.2">
      <c r="J2010" s="358" t="str">
        <f t="shared" si="108"/>
        <v>2006MaleNon-Maori222</v>
      </c>
      <c r="K2010" s="359">
        <v>2006</v>
      </c>
      <c r="L2010" t="s">
        <v>20</v>
      </c>
      <c r="M2010" t="s">
        <v>19</v>
      </c>
      <c r="N2010">
        <v>22</v>
      </c>
      <c r="O2010">
        <v>2</v>
      </c>
      <c r="P2010">
        <v>6</v>
      </c>
      <c r="Q2010">
        <v>12.0053079834936</v>
      </c>
      <c r="R2010">
        <v>9.6</v>
      </c>
      <c r="T2010" s="358" t="str">
        <f t="shared" si="109"/>
        <v>2005FemaleNon-Maori25Submersion (drowning)</v>
      </c>
      <c r="U2010" s="360">
        <v>2005</v>
      </c>
      <c r="V2010" s="360" t="s">
        <v>8</v>
      </c>
      <c r="W2010" s="360" t="s">
        <v>19</v>
      </c>
      <c r="X2010" s="360">
        <v>25</v>
      </c>
      <c r="Y2010" s="360" t="s">
        <v>49</v>
      </c>
      <c r="Z2010" s="360">
        <v>5</v>
      </c>
      <c r="AA2010" s="360">
        <v>16</v>
      </c>
      <c r="AB2010" s="360">
        <v>31.2</v>
      </c>
    </row>
    <row r="2011" spans="10:28" x14ac:dyDescent="0.2">
      <c r="J2011" s="358" t="str">
        <f t="shared" si="108"/>
        <v>2006MaleNon-Maori223</v>
      </c>
      <c r="K2011" s="359">
        <v>2006</v>
      </c>
      <c r="L2011" t="s">
        <v>20</v>
      </c>
      <c r="M2011" t="s">
        <v>19</v>
      </c>
      <c r="N2011">
        <v>22</v>
      </c>
      <c r="O2011">
        <v>3</v>
      </c>
      <c r="P2011">
        <v>15</v>
      </c>
      <c r="Q2011">
        <v>29.789898146621599</v>
      </c>
      <c r="R2011">
        <v>15.1</v>
      </c>
      <c r="T2011" s="358" t="str">
        <f t="shared" si="109"/>
        <v>2005MaleAllEth22Firearms and explosives</v>
      </c>
      <c r="U2011" s="360">
        <v>2005</v>
      </c>
      <c r="V2011" s="360" t="s">
        <v>20</v>
      </c>
      <c r="W2011" s="360" t="s">
        <v>27</v>
      </c>
      <c r="X2011" s="360">
        <v>22</v>
      </c>
      <c r="Y2011" s="360" t="s">
        <v>42</v>
      </c>
      <c r="Z2011" s="360">
        <v>9</v>
      </c>
      <c r="AA2011" s="360">
        <v>84</v>
      </c>
      <c r="AB2011" s="360">
        <v>10.7</v>
      </c>
    </row>
    <row r="2012" spans="10:28" x14ac:dyDescent="0.2">
      <c r="J2012" s="358" t="str">
        <f t="shared" si="108"/>
        <v>2006MaleNon-Maori224</v>
      </c>
      <c r="K2012" s="359">
        <v>2006</v>
      </c>
      <c r="L2012" t="s">
        <v>20</v>
      </c>
      <c r="M2012" t="s">
        <v>19</v>
      </c>
      <c r="N2012">
        <v>22</v>
      </c>
      <c r="O2012">
        <v>4</v>
      </c>
      <c r="P2012">
        <v>18</v>
      </c>
      <c r="Q2012">
        <v>35.8125916033487</v>
      </c>
      <c r="R2012">
        <v>16.5</v>
      </c>
      <c r="T2012" s="358" t="str">
        <f t="shared" si="109"/>
        <v>2005MaleAllEth23Firearms and explosives</v>
      </c>
      <c r="U2012" s="360">
        <v>2005</v>
      </c>
      <c r="V2012" s="360" t="s">
        <v>20</v>
      </c>
      <c r="W2012" s="360" t="s">
        <v>27</v>
      </c>
      <c r="X2012" s="360">
        <v>23</v>
      </c>
      <c r="Y2012" s="360" t="s">
        <v>42</v>
      </c>
      <c r="Z2012" s="360">
        <v>13</v>
      </c>
      <c r="AA2012" s="360">
        <v>161</v>
      </c>
      <c r="AB2012" s="360">
        <v>8.1</v>
      </c>
    </row>
    <row r="2013" spans="10:28" x14ac:dyDescent="0.2">
      <c r="J2013" s="358" t="str">
        <f t="shared" si="108"/>
        <v>2006MaleNon-Maori225</v>
      </c>
      <c r="K2013" s="359">
        <v>2006</v>
      </c>
      <c r="L2013" t="s">
        <v>20</v>
      </c>
      <c r="M2013" t="s">
        <v>19</v>
      </c>
      <c r="N2013">
        <v>22</v>
      </c>
      <c r="O2013">
        <v>5</v>
      </c>
      <c r="P2013">
        <v>12</v>
      </c>
      <c r="Q2013">
        <v>24.7429737789782</v>
      </c>
      <c r="R2013">
        <v>14</v>
      </c>
      <c r="T2013" s="358" t="str">
        <f t="shared" si="109"/>
        <v>2005MaleAllEth24Firearms and explosives</v>
      </c>
      <c r="U2013" s="360">
        <v>2005</v>
      </c>
      <c r="V2013" s="360" t="s">
        <v>20</v>
      </c>
      <c r="W2013" s="360" t="s">
        <v>27</v>
      </c>
      <c r="X2013" s="360">
        <v>24</v>
      </c>
      <c r="Y2013" s="360" t="s">
        <v>42</v>
      </c>
      <c r="Z2013" s="360">
        <v>14</v>
      </c>
      <c r="AA2013" s="360">
        <v>105</v>
      </c>
      <c r="AB2013" s="360">
        <v>13.3</v>
      </c>
    </row>
    <row r="2014" spans="10:28" x14ac:dyDescent="0.2">
      <c r="J2014" s="358" t="str">
        <f t="shared" si="108"/>
        <v>2006MaleNon-Maori231</v>
      </c>
      <c r="K2014" s="359">
        <v>2006</v>
      </c>
      <c r="L2014" t="s">
        <v>20</v>
      </c>
      <c r="M2014" t="s">
        <v>19</v>
      </c>
      <c r="N2014">
        <v>23</v>
      </c>
      <c r="O2014">
        <v>1</v>
      </c>
      <c r="P2014">
        <v>14</v>
      </c>
      <c r="Q2014">
        <v>13.506953371364</v>
      </c>
      <c r="R2014">
        <v>7.1</v>
      </c>
      <c r="T2014" s="358" t="str">
        <f t="shared" si="109"/>
        <v>2005MaleAllEth25Firearms and explosives</v>
      </c>
      <c r="U2014" s="360">
        <v>2005</v>
      </c>
      <c r="V2014" s="360" t="s">
        <v>20</v>
      </c>
      <c r="W2014" s="360" t="s">
        <v>27</v>
      </c>
      <c r="X2014" s="360">
        <v>25</v>
      </c>
      <c r="Y2014" s="360" t="s">
        <v>42</v>
      </c>
      <c r="Z2014" s="360">
        <v>6</v>
      </c>
      <c r="AA2014" s="360">
        <v>32</v>
      </c>
      <c r="AB2014" s="360">
        <v>18.8</v>
      </c>
    </row>
    <row r="2015" spans="10:28" x14ac:dyDescent="0.2">
      <c r="J2015" s="358" t="str">
        <f t="shared" si="108"/>
        <v>2006MaleNon-Maori232</v>
      </c>
      <c r="K2015" s="359">
        <v>2006</v>
      </c>
      <c r="L2015" t="s">
        <v>20</v>
      </c>
      <c r="M2015" t="s">
        <v>19</v>
      </c>
      <c r="N2015">
        <v>23</v>
      </c>
      <c r="O2015">
        <v>2</v>
      </c>
      <c r="P2015">
        <v>25</v>
      </c>
      <c r="Q2015">
        <v>23.2318060253567</v>
      </c>
      <c r="R2015">
        <v>9.1</v>
      </c>
      <c r="T2015" s="358" t="str">
        <f t="shared" si="109"/>
        <v>2005MaleAllEth21Hanging, strangulation and suffocation</v>
      </c>
      <c r="U2015" s="360">
        <v>2005</v>
      </c>
      <c r="V2015" s="360" t="s">
        <v>20</v>
      </c>
      <c r="W2015" s="360" t="s">
        <v>27</v>
      </c>
      <c r="X2015" s="360">
        <v>21</v>
      </c>
      <c r="Y2015" s="360" t="s">
        <v>43</v>
      </c>
      <c r="Z2015" s="360">
        <v>1</v>
      </c>
      <c r="AA2015" s="360">
        <v>1</v>
      </c>
      <c r="AB2015" s="360">
        <v>100</v>
      </c>
    </row>
    <row r="2016" spans="10:28" x14ac:dyDescent="0.2">
      <c r="J2016" s="358" t="str">
        <f t="shared" si="108"/>
        <v>2006MaleNon-Maori233</v>
      </c>
      <c r="K2016" s="359">
        <v>2006</v>
      </c>
      <c r="L2016" t="s">
        <v>20</v>
      </c>
      <c r="M2016" t="s">
        <v>19</v>
      </c>
      <c r="N2016">
        <v>23</v>
      </c>
      <c r="O2016">
        <v>3</v>
      </c>
      <c r="P2016">
        <v>18</v>
      </c>
      <c r="Q2016">
        <v>17.205074075785902</v>
      </c>
      <c r="R2016">
        <v>7.9</v>
      </c>
      <c r="T2016" s="358" t="str">
        <f t="shared" si="109"/>
        <v>2005MaleAllEth22Hanging, strangulation and suffocation</v>
      </c>
      <c r="U2016" s="360">
        <v>2005</v>
      </c>
      <c r="V2016" s="360" t="s">
        <v>20</v>
      </c>
      <c r="W2016" s="360" t="s">
        <v>27</v>
      </c>
      <c r="X2016" s="360">
        <v>22</v>
      </c>
      <c r="Y2016" s="360" t="s">
        <v>43</v>
      </c>
      <c r="Z2016" s="360">
        <v>60</v>
      </c>
      <c r="AA2016" s="360">
        <v>84</v>
      </c>
      <c r="AB2016" s="360">
        <v>71.400000000000006</v>
      </c>
    </row>
    <row r="2017" spans="10:28" x14ac:dyDescent="0.2">
      <c r="J2017" s="358" t="str">
        <f t="shared" si="108"/>
        <v>2006MaleNon-Maori234</v>
      </c>
      <c r="K2017" s="359">
        <v>2006</v>
      </c>
      <c r="L2017" t="s">
        <v>20</v>
      </c>
      <c r="M2017" t="s">
        <v>19</v>
      </c>
      <c r="N2017">
        <v>23</v>
      </c>
      <c r="O2017">
        <v>4</v>
      </c>
      <c r="P2017">
        <v>18</v>
      </c>
      <c r="Q2017">
        <v>18.639136424097199</v>
      </c>
      <c r="R2017">
        <v>8.6</v>
      </c>
      <c r="T2017" s="358" t="str">
        <f t="shared" si="109"/>
        <v>2005MaleAllEth23Hanging, strangulation and suffocation</v>
      </c>
      <c r="U2017" s="360">
        <v>2005</v>
      </c>
      <c r="V2017" s="360" t="s">
        <v>20</v>
      </c>
      <c r="W2017" s="360" t="s">
        <v>27</v>
      </c>
      <c r="X2017" s="360">
        <v>23</v>
      </c>
      <c r="Y2017" s="360" t="s">
        <v>43</v>
      </c>
      <c r="Z2017" s="360">
        <v>78</v>
      </c>
      <c r="AA2017" s="360">
        <v>161</v>
      </c>
      <c r="AB2017" s="360">
        <v>48.4</v>
      </c>
    </row>
    <row r="2018" spans="10:28" x14ac:dyDescent="0.2">
      <c r="J2018" s="358" t="str">
        <f t="shared" si="108"/>
        <v>2006MaleNon-Maori235</v>
      </c>
      <c r="K2018" s="359">
        <v>2006</v>
      </c>
      <c r="L2018" t="s">
        <v>20</v>
      </c>
      <c r="M2018" t="s">
        <v>19</v>
      </c>
      <c r="N2018">
        <v>23</v>
      </c>
      <c r="O2018">
        <v>5</v>
      </c>
      <c r="P2018">
        <v>35</v>
      </c>
      <c r="Q2018">
        <v>46.236791156897603</v>
      </c>
      <c r="R2018">
        <v>15.3</v>
      </c>
      <c r="T2018" s="358" t="str">
        <f t="shared" si="109"/>
        <v>2005MaleAllEth24Hanging, strangulation and suffocation</v>
      </c>
      <c r="U2018" s="360">
        <v>2005</v>
      </c>
      <c r="V2018" s="360" t="s">
        <v>20</v>
      </c>
      <c r="W2018" s="360" t="s">
        <v>27</v>
      </c>
      <c r="X2018" s="360">
        <v>24</v>
      </c>
      <c r="Y2018" s="360" t="s">
        <v>43</v>
      </c>
      <c r="Z2018" s="360">
        <v>40</v>
      </c>
      <c r="AA2018" s="360">
        <v>105</v>
      </c>
      <c r="AB2018" s="360">
        <v>38.1</v>
      </c>
    </row>
    <row r="2019" spans="10:28" x14ac:dyDescent="0.2">
      <c r="J2019" s="358" t="str">
        <f t="shared" si="108"/>
        <v>2006MaleNon-Maori241</v>
      </c>
      <c r="K2019" s="359">
        <v>2006</v>
      </c>
      <c r="L2019" t="s">
        <v>20</v>
      </c>
      <c r="M2019" t="s">
        <v>19</v>
      </c>
      <c r="N2019">
        <v>24</v>
      </c>
      <c r="O2019">
        <v>1</v>
      </c>
      <c r="P2019">
        <v>15</v>
      </c>
      <c r="Q2019">
        <v>12.5170494458219</v>
      </c>
      <c r="R2019">
        <v>6.3</v>
      </c>
      <c r="T2019" s="358" t="str">
        <f t="shared" si="109"/>
        <v>2005MaleAllEth25Hanging, strangulation and suffocation</v>
      </c>
      <c r="U2019" s="360">
        <v>2005</v>
      </c>
      <c r="V2019" s="360" t="s">
        <v>20</v>
      </c>
      <c r="W2019" s="360" t="s">
        <v>27</v>
      </c>
      <c r="X2019" s="360">
        <v>25</v>
      </c>
      <c r="Y2019" s="360" t="s">
        <v>43</v>
      </c>
      <c r="Z2019" s="360">
        <v>14</v>
      </c>
      <c r="AA2019" s="360">
        <v>32</v>
      </c>
      <c r="AB2019" s="360">
        <v>43.8</v>
      </c>
    </row>
    <row r="2020" spans="10:28" x14ac:dyDescent="0.2">
      <c r="J2020" s="358" t="str">
        <f t="shared" si="108"/>
        <v>2006MaleNon-Maori242</v>
      </c>
      <c r="K2020" s="359">
        <v>2006</v>
      </c>
      <c r="L2020" t="s">
        <v>20</v>
      </c>
      <c r="M2020" t="s">
        <v>19</v>
      </c>
      <c r="N2020">
        <v>24</v>
      </c>
      <c r="O2020">
        <v>2</v>
      </c>
      <c r="P2020">
        <v>18</v>
      </c>
      <c r="Q2020">
        <v>17.552020685395899</v>
      </c>
      <c r="R2020">
        <v>8.1</v>
      </c>
      <c r="T2020" s="358" t="str">
        <f t="shared" si="109"/>
        <v>2005MaleAllEth22Jumping from a high place</v>
      </c>
      <c r="U2020" s="360">
        <v>2005</v>
      </c>
      <c r="V2020" s="360" t="s">
        <v>20</v>
      </c>
      <c r="W2020" s="360" t="s">
        <v>27</v>
      </c>
      <c r="X2020" s="360">
        <v>22</v>
      </c>
      <c r="Y2020" s="360" t="s">
        <v>44</v>
      </c>
      <c r="Z2020" s="360">
        <v>2</v>
      </c>
      <c r="AA2020" s="360">
        <v>84</v>
      </c>
      <c r="AB2020" s="360">
        <v>2.4</v>
      </c>
    </row>
    <row r="2021" spans="10:28" x14ac:dyDescent="0.2">
      <c r="J2021" s="358" t="str">
        <f t="shared" si="108"/>
        <v>2006MaleNon-Maori243</v>
      </c>
      <c r="K2021" s="359">
        <v>2006</v>
      </c>
      <c r="L2021" t="s">
        <v>20</v>
      </c>
      <c r="M2021" t="s">
        <v>19</v>
      </c>
      <c r="N2021">
        <v>24</v>
      </c>
      <c r="O2021">
        <v>3</v>
      </c>
      <c r="P2021">
        <v>24</v>
      </c>
      <c r="Q2021">
        <v>27.186276806313</v>
      </c>
      <c r="R2021">
        <v>10.9</v>
      </c>
      <c r="T2021" s="358" t="str">
        <f t="shared" si="109"/>
        <v>2005MaleAllEth23Jumping from a high place</v>
      </c>
      <c r="U2021" s="360">
        <v>2005</v>
      </c>
      <c r="V2021" s="360" t="s">
        <v>20</v>
      </c>
      <c r="W2021" s="360" t="s">
        <v>27</v>
      </c>
      <c r="X2021" s="360">
        <v>23</v>
      </c>
      <c r="Y2021" s="360" t="s">
        <v>44</v>
      </c>
      <c r="Z2021" s="360">
        <v>4</v>
      </c>
      <c r="AA2021" s="360">
        <v>161</v>
      </c>
      <c r="AB2021" s="360">
        <v>2.5</v>
      </c>
    </row>
    <row r="2022" spans="10:28" x14ac:dyDescent="0.2">
      <c r="J2022" s="358" t="str">
        <f t="shared" si="108"/>
        <v>2006MaleNon-Maori244</v>
      </c>
      <c r="K2022" s="359">
        <v>2006</v>
      </c>
      <c r="L2022" t="s">
        <v>20</v>
      </c>
      <c r="M2022" t="s">
        <v>19</v>
      </c>
      <c r="N2022">
        <v>24</v>
      </c>
      <c r="O2022">
        <v>4</v>
      </c>
      <c r="P2022">
        <v>17</v>
      </c>
      <c r="Q2022">
        <v>22.367568312343298</v>
      </c>
      <c r="R2022">
        <v>10.6</v>
      </c>
      <c r="T2022" s="358" t="str">
        <f t="shared" si="109"/>
        <v>2005MaleAllEth24Jumping from a high place</v>
      </c>
      <c r="U2022" s="360">
        <v>2005</v>
      </c>
      <c r="V2022" s="360" t="s">
        <v>20</v>
      </c>
      <c r="W2022" s="360" t="s">
        <v>27</v>
      </c>
      <c r="X2022" s="360">
        <v>24</v>
      </c>
      <c r="Y2022" s="360" t="s">
        <v>44</v>
      </c>
      <c r="Z2022" s="360">
        <v>3</v>
      </c>
      <c r="AA2022" s="360">
        <v>105</v>
      </c>
      <c r="AB2022" s="360">
        <v>2.9</v>
      </c>
    </row>
    <row r="2023" spans="10:28" x14ac:dyDescent="0.2">
      <c r="J2023" s="358" t="str">
        <f t="shared" si="108"/>
        <v>2006MaleNon-Maori245</v>
      </c>
      <c r="K2023" s="359">
        <v>2006</v>
      </c>
      <c r="L2023" t="s">
        <v>20</v>
      </c>
      <c r="M2023" t="s">
        <v>19</v>
      </c>
      <c r="N2023">
        <v>24</v>
      </c>
      <c r="O2023">
        <v>5</v>
      </c>
      <c r="P2023">
        <v>22</v>
      </c>
      <c r="Q2023">
        <v>38.050154013443098</v>
      </c>
      <c r="R2023">
        <v>15.9</v>
      </c>
      <c r="T2023" s="358" t="str">
        <f t="shared" si="109"/>
        <v>2005MaleAllEth25Jumping from a high place</v>
      </c>
      <c r="U2023" s="360">
        <v>2005</v>
      </c>
      <c r="V2023" s="360" t="s">
        <v>20</v>
      </c>
      <c r="W2023" s="360" t="s">
        <v>27</v>
      </c>
      <c r="X2023" s="360">
        <v>25</v>
      </c>
      <c r="Y2023" s="360" t="s">
        <v>44</v>
      </c>
      <c r="Z2023" s="360">
        <v>2</v>
      </c>
      <c r="AA2023" s="360">
        <v>32</v>
      </c>
      <c r="AB2023" s="360">
        <v>6.2</v>
      </c>
    </row>
    <row r="2024" spans="10:28" x14ac:dyDescent="0.2">
      <c r="J2024" s="358" t="str">
        <f t="shared" si="108"/>
        <v>2006MaleNon-Maori251</v>
      </c>
      <c r="K2024" s="359">
        <v>2006</v>
      </c>
      <c r="L2024" t="s">
        <v>20</v>
      </c>
      <c r="M2024" t="s">
        <v>19</v>
      </c>
      <c r="N2024">
        <v>25</v>
      </c>
      <c r="O2024">
        <v>1</v>
      </c>
      <c r="P2024">
        <v>5</v>
      </c>
      <c r="Q2024">
        <v>10.7122883895609</v>
      </c>
      <c r="R2024">
        <v>9.4</v>
      </c>
      <c r="T2024" s="358" t="str">
        <f t="shared" si="109"/>
        <v>2005MaleAllEth22Other</v>
      </c>
      <c r="U2024" s="360">
        <v>2005</v>
      </c>
      <c r="V2024" s="360" t="s">
        <v>20</v>
      </c>
      <c r="W2024" s="360" t="s">
        <v>27</v>
      </c>
      <c r="X2024" s="360">
        <v>22</v>
      </c>
      <c r="Y2024" s="360" t="s">
        <v>45</v>
      </c>
      <c r="Z2024" s="360">
        <v>3</v>
      </c>
      <c r="AA2024" s="360">
        <v>84</v>
      </c>
      <c r="AB2024" s="360">
        <v>3.6</v>
      </c>
    </row>
    <row r="2025" spans="10:28" x14ac:dyDescent="0.2">
      <c r="J2025" s="358" t="str">
        <f t="shared" si="108"/>
        <v>2006MaleNon-Maori252</v>
      </c>
      <c r="K2025" s="359">
        <v>2006</v>
      </c>
      <c r="L2025" t="s">
        <v>20</v>
      </c>
      <c r="M2025" t="s">
        <v>19</v>
      </c>
      <c r="N2025">
        <v>25</v>
      </c>
      <c r="O2025">
        <v>2</v>
      </c>
      <c r="P2025">
        <v>9</v>
      </c>
      <c r="Q2025">
        <v>19.154106383851701</v>
      </c>
      <c r="R2025">
        <v>12.5</v>
      </c>
      <c r="T2025" s="358" t="str">
        <f t="shared" si="109"/>
        <v>2005MaleAllEth23Other</v>
      </c>
      <c r="U2025" s="360">
        <v>2005</v>
      </c>
      <c r="V2025" s="360" t="s">
        <v>20</v>
      </c>
      <c r="W2025" s="360" t="s">
        <v>27</v>
      </c>
      <c r="X2025" s="360">
        <v>23</v>
      </c>
      <c r="Y2025" s="360" t="s">
        <v>45</v>
      </c>
      <c r="Z2025" s="360">
        <v>4</v>
      </c>
      <c r="AA2025" s="360">
        <v>161</v>
      </c>
      <c r="AB2025" s="360">
        <v>2.5</v>
      </c>
    </row>
    <row r="2026" spans="10:28" x14ac:dyDescent="0.2">
      <c r="J2026" s="358" t="str">
        <f t="shared" si="108"/>
        <v>2006MaleNon-Maori253</v>
      </c>
      <c r="K2026" s="359">
        <v>2006</v>
      </c>
      <c r="L2026" t="s">
        <v>20</v>
      </c>
      <c r="M2026" t="s">
        <v>19</v>
      </c>
      <c r="N2026">
        <v>25</v>
      </c>
      <c r="O2026">
        <v>3</v>
      </c>
      <c r="P2026">
        <v>6</v>
      </c>
      <c r="Q2026">
        <v>12.768579465802601</v>
      </c>
      <c r="R2026">
        <v>10.199999999999999</v>
      </c>
      <c r="T2026" s="358" t="str">
        <f t="shared" si="109"/>
        <v>2005MaleAllEth25Other</v>
      </c>
      <c r="U2026" s="360">
        <v>2005</v>
      </c>
      <c r="V2026" s="360" t="s">
        <v>20</v>
      </c>
      <c r="W2026" s="360" t="s">
        <v>27</v>
      </c>
      <c r="X2026" s="360">
        <v>25</v>
      </c>
      <c r="Y2026" s="360" t="s">
        <v>45</v>
      </c>
      <c r="Z2026" s="360">
        <v>1</v>
      </c>
      <c r="AA2026" s="360">
        <v>32</v>
      </c>
      <c r="AB2026" s="360">
        <v>3.1</v>
      </c>
    </row>
    <row r="2027" spans="10:28" x14ac:dyDescent="0.2">
      <c r="J2027" s="358" t="str">
        <f t="shared" si="108"/>
        <v>2006MaleNon-Maori254</v>
      </c>
      <c r="K2027" s="359">
        <v>2006</v>
      </c>
      <c r="L2027" t="s">
        <v>20</v>
      </c>
      <c r="M2027" t="s">
        <v>19</v>
      </c>
      <c r="N2027">
        <v>25</v>
      </c>
      <c r="O2027">
        <v>4</v>
      </c>
      <c r="P2027">
        <v>5</v>
      </c>
      <c r="Q2027">
        <v>11.261652681546099</v>
      </c>
      <c r="R2027">
        <v>9.9</v>
      </c>
      <c r="T2027" s="358" t="str">
        <f t="shared" si="109"/>
        <v>2005MaleAllEth22Poisoning by gases and vapours</v>
      </c>
      <c r="U2027" s="360">
        <v>2005</v>
      </c>
      <c r="V2027" s="360" t="s">
        <v>20</v>
      </c>
      <c r="W2027" s="360" t="s">
        <v>27</v>
      </c>
      <c r="X2027" s="360">
        <v>22</v>
      </c>
      <c r="Y2027" s="360" t="s">
        <v>46</v>
      </c>
      <c r="Z2027" s="360">
        <v>9</v>
      </c>
      <c r="AA2027" s="360">
        <v>84</v>
      </c>
      <c r="AB2027" s="360">
        <v>10.7</v>
      </c>
    </row>
    <row r="2028" spans="10:28" x14ac:dyDescent="0.2">
      <c r="J2028" s="358" t="str">
        <f t="shared" si="108"/>
        <v>2006MaleNon-Maori255</v>
      </c>
      <c r="K2028" s="359">
        <v>2006</v>
      </c>
      <c r="L2028" t="s">
        <v>20</v>
      </c>
      <c r="M2028" t="s">
        <v>19</v>
      </c>
      <c r="N2028">
        <v>25</v>
      </c>
      <c r="O2028">
        <v>5</v>
      </c>
      <c r="P2028">
        <v>6</v>
      </c>
      <c r="Q2028">
        <v>18.622833137844101</v>
      </c>
      <c r="R2028">
        <v>14.9</v>
      </c>
      <c r="T2028" s="358" t="str">
        <f t="shared" si="109"/>
        <v>2005MaleAllEth23Poisoning by gases and vapours</v>
      </c>
      <c r="U2028" s="360">
        <v>2005</v>
      </c>
      <c r="V2028" s="360" t="s">
        <v>20</v>
      </c>
      <c r="W2028" s="360" t="s">
        <v>27</v>
      </c>
      <c r="X2028" s="360">
        <v>23</v>
      </c>
      <c r="Y2028" s="360" t="s">
        <v>46</v>
      </c>
      <c r="Z2028" s="360">
        <v>46</v>
      </c>
      <c r="AA2028" s="360">
        <v>161</v>
      </c>
      <c r="AB2028" s="360">
        <v>28.6</v>
      </c>
    </row>
    <row r="2029" spans="10:28" x14ac:dyDescent="0.2">
      <c r="J2029" s="358" t="str">
        <f t="shared" si="108"/>
        <v>2007AllSexAllEth211</v>
      </c>
      <c r="K2029" s="359">
        <v>2007</v>
      </c>
      <c r="L2029" t="s">
        <v>17</v>
      </c>
      <c r="M2029" t="s">
        <v>27</v>
      </c>
      <c r="N2029">
        <v>21</v>
      </c>
      <c r="O2029">
        <v>1</v>
      </c>
      <c r="P2029">
        <v>0</v>
      </c>
      <c r="T2029" s="358" t="str">
        <f t="shared" si="109"/>
        <v>2005MaleAllEth24Poisoning by gases and vapours</v>
      </c>
      <c r="U2029" s="360">
        <v>2005</v>
      </c>
      <c r="V2029" s="360" t="s">
        <v>20</v>
      </c>
      <c r="W2029" s="360" t="s">
        <v>27</v>
      </c>
      <c r="X2029" s="360">
        <v>24</v>
      </c>
      <c r="Y2029" s="360" t="s">
        <v>46</v>
      </c>
      <c r="Z2029" s="360">
        <v>26</v>
      </c>
      <c r="AA2029" s="360">
        <v>105</v>
      </c>
      <c r="AB2029" s="360">
        <v>24.8</v>
      </c>
    </row>
    <row r="2030" spans="10:28" x14ac:dyDescent="0.2">
      <c r="J2030" s="358" t="str">
        <f t="shared" si="108"/>
        <v>2007AllSexAllEth212</v>
      </c>
      <c r="K2030" s="359">
        <v>2007</v>
      </c>
      <c r="L2030" t="s">
        <v>17</v>
      </c>
      <c r="M2030" t="s">
        <v>27</v>
      </c>
      <c r="N2030">
        <v>21</v>
      </c>
      <c r="O2030">
        <v>2</v>
      </c>
      <c r="P2030">
        <v>0</v>
      </c>
      <c r="T2030" s="358" t="str">
        <f t="shared" si="109"/>
        <v>2005MaleAllEth25Poisoning by gases and vapours</v>
      </c>
      <c r="U2030" s="360">
        <v>2005</v>
      </c>
      <c r="V2030" s="360" t="s">
        <v>20</v>
      </c>
      <c r="W2030" s="360" t="s">
        <v>27</v>
      </c>
      <c r="X2030" s="360">
        <v>25</v>
      </c>
      <c r="Y2030" s="360" t="s">
        <v>46</v>
      </c>
      <c r="Z2030" s="360">
        <v>7</v>
      </c>
      <c r="AA2030" s="360">
        <v>32</v>
      </c>
      <c r="AB2030" s="360">
        <v>21.9</v>
      </c>
    </row>
    <row r="2031" spans="10:28" x14ac:dyDescent="0.2">
      <c r="J2031" s="358" t="str">
        <f t="shared" si="108"/>
        <v>2007AllSexAllEth213</v>
      </c>
      <c r="K2031" s="359">
        <v>2007</v>
      </c>
      <c r="L2031" t="s">
        <v>17</v>
      </c>
      <c r="M2031" t="s">
        <v>27</v>
      </c>
      <c r="N2031">
        <v>21</v>
      </c>
      <c r="O2031">
        <v>3</v>
      </c>
      <c r="P2031">
        <v>1</v>
      </c>
      <c r="T2031" s="358" t="str">
        <f t="shared" si="109"/>
        <v>2005MaleAllEth22Poisoning by solids and liquids</v>
      </c>
      <c r="U2031" s="360">
        <v>2005</v>
      </c>
      <c r="V2031" s="360" t="s">
        <v>20</v>
      </c>
      <c r="W2031" s="360" t="s">
        <v>27</v>
      </c>
      <c r="X2031" s="360">
        <v>22</v>
      </c>
      <c r="Y2031" s="360" t="s">
        <v>47</v>
      </c>
      <c r="Z2031" s="360">
        <v>1</v>
      </c>
      <c r="AA2031" s="360">
        <v>84</v>
      </c>
      <c r="AB2031" s="360">
        <v>1.2</v>
      </c>
    </row>
    <row r="2032" spans="10:28" x14ac:dyDescent="0.2">
      <c r="J2032" s="358" t="str">
        <f t="shared" si="108"/>
        <v>2007AllSexAllEth214</v>
      </c>
      <c r="K2032" s="359">
        <v>2007</v>
      </c>
      <c r="L2032" t="s">
        <v>17</v>
      </c>
      <c r="M2032" t="s">
        <v>27</v>
      </c>
      <c r="N2032">
        <v>21</v>
      </c>
      <c r="O2032">
        <v>4</v>
      </c>
      <c r="P2032">
        <v>0</v>
      </c>
      <c r="T2032" s="358" t="str">
        <f t="shared" si="109"/>
        <v>2005MaleAllEth23Poisoning by solids and liquids</v>
      </c>
      <c r="U2032" s="360">
        <v>2005</v>
      </c>
      <c r="V2032" s="360" t="s">
        <v>20</v>
      </c>
      <c r="W2032" s="360" t="s">
        <v>27</v>
      </c>
      <c r="X2032" s="360">
        <v>23</v>
      </c>
      <c r="Y2032" s="360" t="s">
        <v>47</v>
      </c>
      <c r="Z2032" s="360">
        <v>10</v>
      </c>
      <c r="AA2032" s="360">
        <v>161</v>
      </c>
      <c r="AB2032" s="360">
        <v>6.2</v>
      </c>
    </row>
    <row r="2033" spans="10:28" x14ac:dyDescent="0.2">
      <c r="J2033" s="358" t="str">
        <f t="shared" si="108"/>
        <v>2007AllSexAllEth215</v>
      </c>
      <c r="K2033" s="359">
        <v>2007</v>
      </c>
      <c r="L2033" t="s">
        <v>17</v>
      </c>
      <c r="M2033" t="s">
        <v>27</v>
      </c>
      <c r="N2033">
        <v>21</v>
      </c>
      <c r="O2033">
        <v>5</v>
      </c>
      <c r="P2033">
        <v>1</v>
      </c>
      <c r="T2033" s="358" t="str">
        <f t="shared" si="109"/>
        <v>2005MaleAllEth24Poisoning by solids and liquids</v>
      </c>
      <c r="U2033" s="360">
        <v>2005</v>
      </c>
      <c r="V2033" s="360" t="s">
        <v>20</v>
      </c>
      <c r="W2033" s="360" t="s">
        <v>27</v>
      </c>
      <c r="X2033" s="360">
        <v>24</v>
      </c>
      <c r="Y2033" s="360" t="s">
        <v>47</v>
      </c>
      <c r="Z2033" s="360">
        <v>15</v>
      </c>
      <c r="AA2033" s="360">
        <v>105</v>
      </c>
      <c r="AB2033" s="360">
        <v>14.3</v>
      </c>
    </row>
    <row r="2034" spans="10:28" x14ac:dyDescent="0.2">
      <c r="J2034" s="358" t="str">
        <f t="shared" si="108"/>
        <v>2007AllSexAllEth221</v>
      </c>
      <c r="K2034" s="359">
        <v>2007</v>
      </c>
      <c r="L2034" t="s">
        <v>17</v>
      </c>
      <c r="M2034" t="s">
        <v>27</v>
      </c>
      <c r="N2034">
        <v>22</v>
      </c>
      <c r="O2034">
        <v>1</v>
      </c>
      <c r="P2034">
        <v>12</v>
      </c>
      <c r="Q2034">
        <v>11.780941947049399</v>
      </c>
      <c r="R2034">
        <v>6.7</v>
      </c>
      <c r="T2034" s="358" t="str">
        <f t="shared" si="109"/>
        <v>2005MaleAllEth25Poisoning by solids and liquids</v>
      </c>
      <c r="U2034" s="360">
        <v>2005</v>
      </c>
      <c r="V2034" s="360" t="s">
        <v>20</v>
      </c>
      <c r="W2034" s="360" t="s">
        <v>27</v>
      </c>
      <c r="X2034" s="360">
        <v>25</v>
      </c>
      <c r="Y2034" s="360" t="s">
        <v>47</v>
      </c>
      <c r="Z2034" s="360">
        <v>1</v>
      </c>
      <c r="AA2034" s="360">
        <v>32</v>
      </c>
      <c r="AB2034" s="360">
        <v>3.1</v>
      </c>
    </row>
    <row r="2035" spans="10:28" x14ac:dyDescent="0.2">
      <c r="J2035" s="358" t="str">
        <f t="shared" si="108"/>
        <v>2007AllSexAllEth222</v>
      </c>
      <c r="K2035" s="359">
        <v>2007</v>
      </c>
      <c r="L2035" t="s">
        <v>17</v>
      </c>
      <c r="M2035" t="s">
        <v>27</v>
      </c>
      <c r="N2035">
        <v>22</v>
      </c>
      <c r="O2035">
        <v>2</v>
      </c>
      <c r="P2035">
        <v>11</v>
      </c>
      <c r="Q2035">
        <v>10.156028828145599</v>
      </c>
      <c r="R2035">
        <v>6</v>
      </c>
      <c r="T2035" s="358" t="str">
        <f t="shared" si="109"/>
        <v>2005MaleAllEth23Sharp object</v>
      </c>
      <c r="U2035" s="360">
        <v>2005</v>
      </c>
      <c r="V2035" s="360" t="s">
        <v>20</v>
      </c>
      <c r="W2035" s="360" t="s">
        <v>27</v>
      </c>
      <c r="X2035" s="360">
        <v>23</v>
      </c>
      <c r="Y2035" s="360" t="s">
        <v>48</v>
      </c>
      <c r="Z2035" s="360">
        <v>6</v>
      </c>
      <c r="AA2035" s="360">
        <v>161</v>
      </c>
      <c r="AB2035" s="360">
        <v>3.7</v>
      </c>
    </row>
    <row r="2036" spans="10:28" x14ac:dyDescent="0.2">
      <c r="J2036" s="358" t="str">
        <f t="shared" si="108"/>
        <v>2007AllSexAllEth223</v>
      </c>
      <c r="K2036" s="359">
        <v>2007</v>
      </c>
      <c r="L2036" t="s">
        <v>17</v>
      </c>
      <c r="M2036" t="s">
        <v>27</v>
      </c>
      <c r="N2036">
        <v>22</v>
      </c>
      <c r="O2036">
        <v>3</v>
      </c>
      <c r="P2036">
        <v>21</v>
      </c>
      <c r="Q2036">
        <v>17.939118145817702</v>
      </c>
      <c r="R2036">
        <v>7.7</v>
      </c>
      <c r="T2036" s="358" t="str">
        <f t="shared" si="109"/>
        <v>2005MaleAllEth24Sharp object</v>
      </c>
      <c r="U2036" s="360">
        <v>2005</v>
      </c>
      <c r="V2036" s="360" t="s">
        <v>20</v>
      </c>
      <c r="W2036" s="360" t="s">
        <v>27</v>
      </c>
      <c r="X2036" s="360">
        <v>24</v>
      </c>
      <c r="Y2036" s="360" t="s">
        <v>48</v>
      </c>
      <c r="Z2036" s="360">
        <v>3</v>
      </c>
      <c r="AA2036" s="360">
        <v>105</v>
      </c>
      <c r="AB2036" s="360">
        <v>2.9</v>
      </c>
    </row>
    <row r="2037" spans="10:28" x14ac:dyDescent="0.2">
      <c r="J2037" s="358" t="str">
        <f t="shared" si="108"/>
        <v>2007AllSexAllEth224</v>
      </c>
      <c r="K2037" s="359">
        <v>2007</v>
      </c>
      <c r="L2037" t="s">
        <v>17</v>
      </c>
      <c r="M2037" t="s">
        <v>27</v>
      </c>
      <c r="N2037">
        <v>22</v>
      </c>
      <c r="O2037">
        <v>4</v>
      </c>
      <c r="P2037">
        <v>20</v>
      </c>
      <c r="Q2037">
        <v>15.5687798971916</v>
      </c>
      <c r="R2037">
        <v>6.8</v>
      </c>
      <c r="T2037" s="358" t="str">
        <f t="shared" si="109"/>
        <v>2005MaleAllEth25Sharp object</v>
      </c>
      <c r="U2037" s="360">
        <v>2005</v>
      </c>
      <c r="V2037" s="360" t="s">
        <v>20</v>
      </c>
      <c r="W2037" s="360" t="s">
        <v>27</v>
      </c>
      <c r="X2037" s="360">
        <v>25</v>
      </c>
      <c r="Y2037" s="360" t="s">
        <v>48</v>
      </c>
      <c r="Z2037" s="360">
        <v>1</v>
      </c>
      <c r="AA2037" s="360">
        <v>32</v>
      </c>
      <c r="AB2037" s="360">
        <v>3.1</v>
      </c>
    </row>
    <row r="2038" spans="10:28" x14ac:dyDescent="0.2">
      <c r="J2038" s="358" t="str">
        <f t="shared" si="108"/>
        <v>2007AllSexAllEth225</v>
      </c>
      <c r="K2038" s="359">
        <v>2007</v>
      </c>
      <c r="L2038" t="s">
        <v>17</v>
      </c>
      <c r="M2038" t="s">
        <v>27</v>
      </c>
      <c r="N2038">
        <v>22</v>
      </c>
      <c r="O2038">
        <v>5</v>
      </c>
      <c r="P2038">
        <v>27</v>
      </c>
      <c r="Q2038">
        <v>18.026957145990401</v>
      </c>
      <c r="R2038">
        <v>6.8</v>
      </c>
      <c r="T2038" s="358" t="str">
        <f t="shared" si="109"/>
        <v>2005MaleAllEth24Submersion (drowning)</v>
      </c>
      <c r="U2038" s="360">
        <v>2005</v>
      </c>
      <c r="V2038" s="360" t="s">
        <v>20</v>
      </c>
      <c r="W2038" s="360" t="s">
        <v>27</v>
      </c>
      <c r="X2038" s="360">
        <v>24</v>
      </c>
      <c r="Y2038" s="360" t="s">
        <v>49</v>
      </c>
      <c r="Z2038" s="360">
        <v>4</v>
      </c>
      <c r="AA2038" s="360">
        <v>105</v>
      </c>
      <c r="AB2038" s="360">
        <v>3.8</v>
      </c>
    </row>
    <row r="2039" spans="10:28" x14ac:dyDescent="0.2">
      <c r="J2039" s="358" t="str">
        <f t="shared" si="108"/>
        <v>2007AllSexAllEth231</v>
      </c>
      <c r="K2039" s="359">
        <v>2007</v>
      </c>
      <c r="L2039" t="s">
        <v>17</v>
      </c>
      <c r="M2039" t="s">
        <v>27</v>
      </c>
      <c r="N2039">
        <v>23</v>
      </c>
      <c r="O2039">
        <v>1</v>
      </c>
      <c r="P2039">
        <v>28</v>
      </c>
      <c r="Q2039">
        <v>12.149812140638801</v>
      </c>
      <c r="R2039">
        <v>4.5</v>
      </c>
      <c r="T2039" s="358" t="str">
        <f t="shared" si="109"/>
        <v>2005MaleMaori22Firearms and explosives</v>
      </c>
      <c r="U2039" s="360">
        <v>2005</v>
      </c>
      <c r="V2039" s="360" t="s">
        <v>20</v>
      </c>
      <c r="W2039" s="360" t="s">
        <v>18</v>
      </c>
      <c r="X2039" s="360">
        <v>22</v>
      </c>
      <c r="Y2039" s="360" t="s">
        <v>42</v>
      </c>
      <c r="Z2039" s="360">
        <v>1</v>
      </c>
      <c r="AA2039" s="360">
        <v>29</v>
      </c>
      <c r="AB2039" s="360">
        <v>3.4</v>
      </c>
    </row>
    <row r="2040" spans="10:28" x14ac:dyDescent="0.2">
      <c r="J2040" s="358" t="str">
        <f t="shared" si="108"/>
        <v>2007AllSexAllEth232</v>
      </c>
      <c r="K2040" s="359">
        <v>2007</v>
      </c>
      <c r="L2040" t="s">
        <v>17</v>
      </c>
      <c r="M2040" t="s">
        <v>27</v>
      </c>
      <c r="N2040">
        <v>23</v>
      </c>
      <c r="O2040">
        <v>2</v>
      </c>
      <c r="P2040">
        <v>31</v>
      </c>
      <c r="Q2040">
        <v>12.7894311448789</v>
      </c>
      <c r="R2040">
        <v>4.5</v>
      </c>
      <c r="T2040" s="358" t="str">
        <f t="shared" si="109"/>
        <v>2005MaleMaori23Firearms and explosives</v>
      </c>
      <c r="U2040" s="360">
        <v>2005</v>
      </c>
      <c r="V2040" s="360" t="s">
        <v>20</v>
      </c>
      <c r="W2040" s="360" t="s">
        <v>18</v>
      </c>
      <c r="X2040" s="360">
        <v>23</v>
      </c>
      <c r="Y2040" s="360" t="s">
        <v>42</v>
      </c>
      <c r="Z2040" s="360">
        <v>3</v>
      </c>
      <c r="AA2040" s="360">
        <v>42</v>
      </c>
      <c r="AB2040" s="360">
        <v>7.1</v>
      </c>
    </row>
    <row r="2041" spans="10:28" x14ac:dyDescent="0.2">
      <c r="J2041" s="358" t="str">
        <f t="shared" si="108"/>
        <v>2007AllSexAllEth233</v>
      </c>
      <c r="K2041" s="359">
        <v>2007</v>
      </c>
      <c r="L2041" t="s">
        <v>17</v>
      </c>
      <c r="M2041" t="s">
        <v>27</v>
      </c>
      <c r="N2041">
        <v>23</v>
      </c>
      <c r="O2041">
        <v>3</v>
      </c>
      <c r="P2041">
        <v>43</v>
      </c>
      <c r="Q2041">
        <v>17.7327187488089</v>
      </c>
      <c r="R2041">
        <v>5.3</v>
      </c>
      <c r="T2041" s="358" t="str">
        <f t="shared" si="109"/>
        <v>2005MaleMaori24Firearms and explosives</v>
      </c>
      <c r="U2041" s="360">
        <v>2005</v>
      </c>
      <c r="V2041" s="360" t="s">
        <v>20</v>
      </c>
      <c r="W2041" s="360" t="s">
        <v>18</v>
      </c>
      <c r="X2041" s="360">
        <v>24</v>
      </c>
      <c r="Y2041" s="360" t="s">
        <v>42</v>
      </c>
      <c r="Z2041" s="360">
        <v>3</v>
      </c>
      <c r="AA2041" s="360">
        <v>5</v>
      </c>
      <c r="AB2041" s="360">
        <v>60</v>
      </c>
    </row>
    <row r="2042" spans="10:28" x14ac:dyDescent="0.2">
      <c r="J2042" s="358" t="str">
        <f t="shared" si="108"/>
        <v>2007AllSexAllEth234</v>
      </c>
      <c r="K2042" s="359">
        <v>2007</v>
      </c>
      <c r="L2042" t="s">
        <v>17</v>
      </c>
      <c r="M2042" t="s">
        <v>27</v>
      </c>
      <c r="N2042">
        <v>23</v>
      </c>
      <c r="O2042">
        <v>4</v>
      </c>
      <c r="P2042">
        <v>43</v>
      </c>
      <c r="Q2042">
        <v>18.059075582843999</v>
      </c>
      <c r="R2042">
        <v>5.4</v>
      </c>
      <c r="T2042" s="358" t="str">
        <f t="shared" si="109"/>
        <v>2005MaleMaori22Hanging, strangulation and suffocation</v>
      </c>
      <c r="U2042" s="360">
        <v>2005</v>
      </c>
      <c r="V2042" s="360" t="s">
        <v>20</v>
      </c>
      <c r="W2042" s="360" t="s">
        <v>18</v>
      </c>
      <c r="X2042" s="360">
        <v>22</v>
      </c>
      <c r="Y2042" s="360" t="s">
        <v>43</v>
      </c>
      <c r="Z2042" s="360">
        <v>26</v>
      </c>
      <c r="AA2042" s="360">
        <v>29</v>
      </c>
      <c r="AB2042" s="360">
        <v>89.7</v>
      </c>
    </row>
    <row r="2043" spans="10:28" x14ac:dyDescent="0.2">
      <c r="J2043" s="358" t="str">
        <f t="shared" si="108"/>
        <v>2007AllSexAllEth235</v>
      </c>
      <c r="K2043" s="359">
        <v>2007</v>
      </c>
      <c r="L2043" t="s">
        <v>17</v>
      </c>
      <c r="M2043" t="s">
        <v>27</v>
      </c>
      <c r="N2043">
        <v>23</v>
      </c>
      <c r="O2043">
        <v>5</v>
      </c>
      <c r="P2043">
        <v>58</v>
      </c>
      <c r="Q2043">
        <v>25.915722478530501</v>
      </c>
      <c r="R2043">
        <v>6.7</v>
      </c>
      <c r="T2043" s="358" t="str">
        <f t="shared" si="109"/>
        <v>2005MaleMaori23Hanging, strangulation and suffocation</v>
      </c>
      <c r="U2043" s="360">
        <v>2005</v>
      </c>
      <c r="V2043" s="360" t="s">
        <v>20</v>
      </c>
      <c r="W2043" s="360" t="s">
        <v>18</v>
      </c>
      <c r="X2043" s="360">
        <v>23</v>
      </c>
      <c r="Y2043" s="360" t="s">
        <v>43</v>
      </c>
      <c r="Z2043" s="360">
        <v>27</v>
      </c>
      <c r="AA2043" s="360">
        <v>42</v>
      </c>
      <c r="AB2043" s="360">
        <v>64.3</v>
      </c>
    </row>
    <row r="2044" spans="10:28" x14ac:dyDescent="0.2">
      <c r="J2044" s="358" t="str">
        <f t="shared" si="108"/>
        <v>2007AllSexAllEth241</v>
      </c>
      <c r="K2044" s="359">
        <v>2007</v>
      </c>
      <c r="L2044" t="s">
        <v>17</v>
      </c>
      <c r="M2044" t="s">
        <v>27</v>
      </c>
      <c r="N2044">
        <v>24</v>
      </c>
      <c r="O2044">
        <v>1</v>
      </c>
      <c r="P2044">
        <v>20</v>
      </c>
      <c r="Q2044">
        <v>7.9149757874847104</v>
      </c>
      <c r="R2044">
        <v>3.5</v>
      </c>
      <c r="T2044" s="358" t="str">
        <f t="shared" si="109"/>
        <v>2005MaleMaori24Hanging, strangulation and suffocation</v>
      </c>
      <c r="U2044" s="360">
        <v>2005</v>
      </c>
      <c r="V2044" s="360" t="s">
        <v>20</v>
      </c>
      <c r="W2044" s="360" t="s">
        <v>18</v>
      </c>
      <c r="X2044" s="360">
        <v>24</v>
      </c>
      <c r="Y2044" s="360" t="s">
        <v>43</v>
      </c>
      <c r="Z2044" s="360">
        <v>2</v>
      </c>
      <c r="AA2044" s="360">
        <v>5</v>
      </c>
      <c r="AB2044" s="360">
        <v>40</v>
      </c>
    </row>
    <row r="2045" spans="10:28" x14ac:dyDescent="0.2">
      <c r="J2045" s="358" t="str">
        <f t="shared" si="108"/>
        <v>2007AllSexAllEth242</v>
      </c>
      <c r="K2045" s="359">
        <v>2007</v>
      </c>
      <c r="L2045" t="s">
        <v>17</v>
      </c>
      <c r="M2045" t="s">
        <v>27</v>
      </c>
      <c r="N2045">
        <v>24</v>
      </c>
      <c r="O2045">
        <v>2</v>
      </c>
      <c r="P2045">
        <v>22</v>
      </c>
      <c r="Q2045">
        <v>9.8596506814562996</v>
      </c>
      <c r="R2045">
        <v>4.0999999999999996</v>
      </c>
      <c r="T2045" s="358" t="str">
        <f t="shared" si="109"/>
        <v>2005MaleMaori25Hanging, strangulation and suffocation</v>
      </c>
      <c r="U2045" s="360">
        <v>2005</v>
      </c>
      <c r="V2045" s="360" t="s">
        <v>20</v>
      </c>
      <c r="W2045" s="360" t="s">
        <v>18</v>
      </c>
      <c r="X2045" s="360">
        <v>25</v>
      </c>
      <c r="Y2045" s="360" t="s">
        <v>43</v>
      </c>
      <c r="Z2045" s="360">
        <v>1</v>
      </c>
      <c r="AA2045" s="360">
        <v>2</v>
      </c>
      <c r="AB2045" s="360">
        <v>50</v>
      </c>
    </row>
    <row r="2046" spans="10:28" x14ac:dyDescent="0.2">
      <c r="J2046" s="358" t="str">
        <f t="shared" si="108"/>
        <v>2007AllSexAllEth243</v>
      </c>
      <c r="K2046" s="359">
        <v>2007</v>
      </c>
      <c r="L2046" t="s">
        <v>17</v>
      </c>
      <c r="M2046" t="s">
        <v>27</v>
      </c>
      <c r="N2046">
        <v>24</v>
      </c>
      <c r="O2046">
        <v>3</v>
      </c>
      <c r="P2046">
        <v>34</v>
      </c>
      <c r="Q2046">
        <v>16.898953744977302</v>
      </c>
      <c r="R2046">
        <v>5.7</v>
      </c>
      <c r="T2046" s="358" t="str">
        <f t="shared" si="109"/>
        <v>2005MaleMaori22Jumping from a high place</v>
      </c>
      <c r="U2046" s="360">
        <v>2005</v>
      </c>
      <c r="V2046" s="360" t="s">
        <v>20</v>
      </c>
      <c r="W2046" s="360" t="s">
        <v>18</v>
      </c>
      <c r="X2046" s="360">
        <v>22</v>
      </c>
      <c r="Y2046" s="360" t="s">
        <v>44</v>
      </c>
      <c r="Z2046" s="360">
        <v>1</v>
      </c>
      <c r="AA2046" s="360">
        <v>29</v>
      </c>
      <c r="AB2046" s="360">
        <v>3.4</v>
      </c>
    </row>
    <row r="2047" spans="10:28" x14ac:dyDescent="0.2">
      <c r="J2047" s="358" t="str">
        <f t="shared" si="108"/>
        <v>2007AllSexAllEth244</v>
      </c>
      <c r="K2047" s="359">
        <v>2007</v>
      </c>
      <c r="L2047" t="s">
        <v>17</v>
      </c>
      <c r="M2047" t="s">
        <v>27</v>
      </c>
      <c r="N2047">
        <v>24</v>
      </c>
      <c r="O2047">
        <v>4</v>
      </c>
      <c r="P2047">
        <v>31</v>
      </c>
      <c r="Q2047">
        <v>16.8574199864481</v>
      </c>
      <c r="R2047">
        <v>5.9</v>
      </c>
      <c r="T2047" s="358" t="str">
        <f t="shared" si="109"/>
        <v>2005MaleMaori22Other</v>
      </c>
      <c r="U2047" s="360">
        <v>2005</v>
      </c>
      <c r="V2047" s="360" t="s">
        <v>20</v>
      </c>
      <c r="W2047" s="360" t="s">
        <v>18</v>
      </c>
      <c r="X2047" s="360">
        <v>22</v>
      </c>
      <c r="Y2047" s="360" t="s">
        <v>45</v>
      </c>
      <c r="Z2047" s="360">
        <v>1</v>
      </c>
      <c r="AA2047" s="360">
        <v>29</v>
      </c>
      <c r="AB2047" s="360">
        <v>3.4</v>
      </c>
    </row>
    <row r="2048" spans="10:28" x14ac:dyDescent="0.2">
      <c r="J2048" s="358" t="str">
        <f t="shared" si="108"/>
        <v>2007AllSexAllEth245</v>
      </c>
      <c r="K2048" s="359">
        <v>2007</v>
      </c>
      <c r="L2048" t="s">
        <v>17</v>
      </c>
      <c r="M2048" t="s">
        <v>27</v>
      </c>
      <c r="N2048">
        <v>24</v>
      </c>
      <c r="O2048">
        <v>5</v>
      </c>
      <c r="P2048">
        <v>27</v>
      </c>
      <c r="Q2048">
        <v>16.499475182030999</v>
      </c>
      <c r="R2048">
        <v>6.2</v>
      </c>
      <c r="T2048" s="358" t="str">
        <f t="shared" si="109"/>
        <v>2005MaleMaori23Poisoning by gases and vapours</v>
      </c>
      <c r="U2048" s="360">
        <v>2005</v>
      </c>
      <c r="V2048" s="360" t="s">
        <v>20</v>
      </c>
      <c r="W2048" s="360" t="s">
        <v>18</v>
      </c>
      <c r="X2048" s="360">
        <v>23</v>
      </c>
      <c r="Y2048" s="360" t="s">
        <v>46</v>
      </c>
      <c r="Z2048" s="360">
        <v>9</v>
      </c>
      <c r="AA2048" s="360">
        <v>42</v>
      </c>
      <c r="AB2048" s="360">
        <v>21.4</v>
      </c>
    </row>
    <row r="2049" spans="10:28" x14ac:dyDescent="0.2">
      <c r="J2049" s="358" t="str">
        <f t="shared" si="108"/>
        <v>2007AllSexAllEth251</v>
      </c>
      <c r="K2049" s="359">
        <v>2007</v>
      </c>
      <c r="L2049" t="s">
        <v>17</v>
      </c>
      <c r="M2049" t="s">
        <v>27</v>
      </c>
      <c r="N2049">
        <v>25</v>
      </c>
      <c r="O2049">
        <v>1</v>
      </c>
      <c r="P2049">
        <v>9</v>
      </c>
      <c r="Q2049">
        <v>8.9156128849945198</v>
      </c>
      <c r="R2049">
        <v>5.8</v>
      </c>
      <c r="T2049" s="358" t="str">
        <f t="shared" si="109"/>
        <v>2005MaleMaori25Poisoning by gases and vapours</v>
      </c>
      <c r="U2049" s="360">
        <v>2005</v>
      </c>
      <c r="V2049" s="360" t="s">
        <v>20</v>
      </c>
      <c r="W2049" s="360" t="s">
        <v>18</v>
      </c>
      <c r="X2049" s="360">
        <v>25</v>
      </c>
      <c r="Y2049" s="360" t="s">
        <v>46</v>
      </c>
      <c r="Z2049" s="360">
        <v>1</v>
      </c>
      <c r="AA2049" s="360">
        <v>2</v>
      </c>
      <c r="AB2049" s="360">
        <v>50</v>
      </c>
    </row>
    <row r="2050" spans="10:28" x14ac:dyDescent="0.2">
      <c r="J2050" s="358" t="str">
        <f t="shared" si="108"/>
        <v>2007AllSexAllEth252</v>
      </c>
      <c r="K2050" s="359">
        <v>2007</v>
      </c>
      <c r="L2050" t="s">
        <v>17</v>
      </c>
      <c r="M2050" t="s">
        <v>27</v>
      </c>
      <c r="N2050">
        <v>25</v>
      </c>
      <c r="O2050">
        <v>2</v>
      </c>
      <c r="P2050">
        <v>10</v>
      </c>
      <c r="Q2050">
        <v>9.2347855074547596</v>
      </c>
      <c r="R2050">
        <v>5.7</v>
      </c>
      <c r="T2050" s="358" t="str">
        <f t="shared" si="109"/>
        <v>2005MaleMaori23Poisoning by solids and liquids</v>
      </c>
      <c r="U2050" s="360">
        <v>2005</v>
      </c>
      <c r="V2050" s="360" t="s">
        <v>20</v>
      </c>
      <c r="W2050" s="360" t="s">
        <v>18</v>
      </c>
      <c r="X2050" s="360">
        <v>23</v>
      </c>
      <c r="Y2050" s="360" t="s">
        <v>47</v>
      </c>
      <c r="Z2050" s="360">
        <v>1</v>
      </c>
      <c r="AA2050" s="360">
        <v>42</v>
      </c>
      <c r="AB2050" s="360">
        <v>2.4</v>
      </c>
    </row>
    <row r="2051" spans="10:28" x14ac:dyDescent="0.2">
      <c r="J2051" s="358" t="str">
        <f t="shared" si="108"/>
        <v>2007AllSexAllEth253</v>
      </c>
      <c r="K2051" s="359">
        <v>2007</v>
      </c>
      <c r="L2051" t="s">
        <v>17</v>
      </c>
      <c r="M2051" t="s">
        <v>27</v>
      </c>
      <c r="N2051">
        <v>25</v>
      </c>
      <c r="O2051">
        <v>3</v>
      </c>
      <c r="P2051">
        <v>7</v>
      </c>
      <c r="Q2051">
        <v>6.1920360643504297</v>
      </c>
      <c r="R2051">
        <v>4.5999999999999996</v>
      </c>
      <c r="T2051" s="358" t="str">
        <f t="shared" si="109"/>
        <v>2005MaleMaori23Sharp object</v>
      </c>
      <c r="U2051" s="360">
        <v>2005</v>
      </c>
      <c r="V2051" s="360" t="s">
        <v>20</v>
      </c>
      <c r="W2051" s="360" t="s">
        <v>18</v>
      </c>
      <c r="X2051" s="360">
        <v>23</v>
      </c>
      <c r="Y2051" s="360" t="s">
        <v>48</v>
      </c>
      <c r="Z2051" s="360">
        <v>2</v>
      </c>
      <c r="AA2051" s="360">
        <v>42</v>
      </c>
      <c r="AB2051" s="360">
        <v>4.8</v>
      </c>
    </row>
    <row r="2052" spans="10:28" x14ac:dyDescent="0.2">
      <c r="J2052" s="358" t="str">
        <f t="shared" ref="J2052:J2115" si="110">K2052&amp;L2052&amp;M2052&amp;N2052&amp;O2052</f>
        <v>2007AllSexAllEth254</v>
      </c>
      <c r="K2052" s="359">
        <v>2007</v>
      </c>
      <c r="L2052" t="s">
        <v>17</v>
      </c>
      <c r="M2052" t="s">
        <v>27</v>
      </c>
      <c r="N2052">
        <v>25</v>
      </c>
      <c r="O2052">
        <v>4</v>
      </c>
      <c r="P2052">
        <v>15</v>
      </c>
      <c r="Q2052">
        <v>13.154865748729501</v>
      </c>
      <c r="R2052">
        <v>6.7</v>
      </c>
      <c r="T2052" s="358" t="str">
        <f t="shared" si="109"/>
        <v>2005MaleNon-Maori22Firearms and explosives</v>
      </c>
      <c r="U2052" s="360">
        <v>2005</v>
      </c>
      <c r="V2052" s="360" t="s">
        <v>20</v>
      </c>
      <c r="W2052" s="360" t="s">
        <v>19</v>
      </c>
      <c r="X2052" s="360">
        <v>22</v>
      </c>
      <c r="Y2052" s="360" t="s">
        <v>42</v>
      </c>
      <c r="Z2052" s="360">
        <v>8</v>
      </c>
      <c r="AA2052" s="360">
        <v>55</v>
      </c>
      <c r="AB2052" s="360">
        <v>14.5</v>
      </c>
    </row>
    <row r="2053" spans="10:28" x14ac:dyDescent="0.2">
      <c r="J2053" s="358" t="str">
        <f t="shared" si="110"/>
        <v>2007AllSexAllEth255</v>
      </c>
      <c r="K2053" s="359">
        <v>2007</v>
      </c>
      <c r="L2053" t="s">
        <v>17</v>
      </c>
      <c r="M2053" t="s">
        <v>27</v>
      </c>
      <c r="N2053">
        <v>25</v>
      </c>
      <c r="O2053">
        <v>5</v>
      </c>
      <c r="P2053">
        <v>8</v>
      </c>
      <c r="Q2053">
        <v>8.9935310698840407</v>
      </c>
      <c r="R2053">
        <v>6.2</v>
      </c>
      <c r="T2053" s="358" t="str">
        <f t="shared" ref="T2053:T2116" si="111">U2053&amp;V2053&amp;W2053&amp;X2053&amp;Y2053</f>
        <v>2005MaleNon-Maori23Firearms and explosives</v>
      </c>
      <c r="U2053" s="360">
        <v>2005</v>
      </c>
      <c r="V2053" s="360" t="s">
        <v>20</v>
      </c>
      <c r="W2053" s="360" t="s">
        <v>19</v>
      </c>
      <c r="X2053" s="360">
        <v>23</v>
      </c>
      <c r="Y2053" s="360" t="s">
        <v>42</v>
      </c>
      <c r="Z2053" s="360">
        <v>10</v>
      </c>
      <c r="AA2053" s="360">
        <v>119</v>
      </c>
      <c r="AB2053" s="360">
        <v>8.4</v>
      </c>
    </row>
    <row r="2054" spans="10:28" x14ac:dyDescent="0.2">
      <c r="J2054" s="358" t="str">
        <f t="shared" si="110"/>
        <v>2007AllSexMaori211</v>
      </c>
      <c r="K2054" s="359">
        <v>2007</v>
      </c>
      <c r="L2054" t="s">
        <v>17</v>
      </c>
      <c r="M2054" t="s">
        <v>18</v>
      </c>
      <c r="N2054">
        <v>21</v>
      </c>
      <c r="O2054">
        <v>1</v>
      </c>
      <c r="P2054">
        <v>0</v>
      </c>
      <c r="T2054" s="358" t="str">
        <f t="shared" si="111"/>
        <v>2005MaleNon-Maori24Firearms and explosives</v>
      </c>
      <c r="U2054" s="360">
        <v>2005</v>
      </c>
      <c r="V2054" s="360" t="s">
        <v>20</v>
      </c>
      <c r="W2054" s="360" t="s">
        <v>19</v>
      </c>
      <c r="X2054" s="360">
        <v>24</v>
      </c>
      <c r="Y2054" s="360" t="s">
        <v>42</v>
      </c>
      <c r="Z2054" s="360">
        <v>11</v>
      </c>
      <c r="AA2054" s="360">
        <v>100</v>
      </c>
      <c r="AB2054" s="360">
        <v>11</v>
      </c>
    </row>
    <row r="2055" spans="10:28" x14ac:dyDescent="0.2">
      <c r="J2055" s="358" t="str">
        <f t="shared" si="110"/>
        <v>2007AllSexMaori212</v>
      </c>
      <c r="K2055" s="359">
        <v>2007</v>
      </c>
      <c r="L2055" t="s">
        <v>17</v>
      </c>
      <c r="M2055" t="s">
        <v>18</v>
      </c>
      <c r="N2055">
        <v>21</v>
      </c>
      <c r="O2055">
        <v>2</v>
      </c>
      <c r="P2055">
        <v>0</v>
      </c>
      <c r="T2055" s="358" t="str">
        <f t="shared" si="111"/>
        <v>2005MaleNon-Maori25Firearms and explosives</v>
      </c>
      <c r="U2055" s="360">
        <v>2005</v>
      </c>
      <c r="V2055" s="360" t="s">
        <v>20</v>
      </c>
      <c r="W2055" s="360" t="s">
        <v>19</v>
      </c>
      <c r="X2055" s="360">
        <v>25</v>
      </c>
      <c r="Y2055" s="360" t="s">
        <v>42</v>
      </c>
      <c r="Z2055" s="360">
        <v>6</v>
      </c>
      <c r="AA2055" s="360">
        <v>30</v>
      </c>
      <c r="AB2055" s="360">
        <v>20</v>
      </c>
    </row>
    <row r="2056" spans="10:28" x14ac:dyDescent="0.2">
      <c r="J2056" s="358" t="str">
        <f t="shared" si="110"/>
        <v>2007AllSexMaori213</v>
      </c>
      <c r="K2056" s="359">
        <v>2007</v>
      </c>
      <c r="L2056" t="s">
        <v>17</v>
      </c>
      <c r="M2056" t="s">
        <v>18</v>
      </c>
      <c r="N2056">
        <v>21</v>
      </c>
      <c r="O2056">
        <v>3</v>
      </c>
      <c r="P2056">
        <v>0</v>
      </c>
      <c r="T2056" s="358" t="str">
        <f t="shared" si="111"/>
        <v>2005MaleNon-Maori21Hanging, strangulation and suffocation</v>
      </c>
      <c r="U2056" s="360">
        <v>2005</v>
      </c>
      <c r="V2056" s="360" t="s">
        <v>20</v>
      </c>
      <c r="W2056" s="360" t="s">
        <v>19</v>
      </c>
      <c r="X2056" s="360">
        <v>21</v>
      </c>
      <c r="Y2056" s="360" t="s">
        <v>43</v>
      </c>
      <c r="Z2056" s="360">
        <v>1</v>
      </c>
      <c r="AA2056" s="360">
        <v>1</v>
      </c>
      <c r="AB2056" s="360">
        <v>100</v>
      </c>
    </row>
    <row r="2057" spans="10:28" x14ac:dyDescent="0.2">
      <c r="J2057" s="358" t="str">
        <f t="shared" si="110"/>
        <v>2007AllSexMaori214</v>
      </c>
      <c r="K2057" s="359">
        <v>2007</v>
      </c>
      <c r="L2057" t="s">
        <v>17</v>
      </c>
      <c r="M2057" t="s">
        <v>18</v>
      </c>
      <c r="N2057">
        <v>21</v>
      </c>
      <c r="O2057">
        <v>4</v>
      </c>
      <c r="P2057">
        <v>0</v>
      </c>
      <c r="T2057" s="358" t="str">
        <f t="shared" si="111"/>
        <v>2005MaleNon-Maori22Hanging, strangulation and suffocation</v>
      </c>
      <c r="U2057" s="360">
        <v>2005</v>
      </c>
      <c r="V2057" s="360" t="s">
        <v>20</v>
      </c>
      <c r="W2057" s="360" t="s">
        <v>19</v>
      </c>
      <c r="X2057" s="360">
        <v>22</v>
      </c>
      <c r="Y2057" s="360" t="s">
        <v>43</v>
      </c>
      <c r="Z2057" s="360">
        <v>34</v>
      </c>
      <c r="AA2057" s="360">
        <v>55</v>
      </c>
      <c r="AB2057" s="360">
        <v>61.8</v>
      </c>
    </row>
    <row r="2058" spans="10:28" x14ac:dyDescent="0.2">
      <c r="J2058" s="358" t="str">
        <f t="shared" si="110"/>
        <v>2007AllSexMaori215</v>
      </c>
      <c r="K2058" s="359">
        <v>2007</v>
      </c>
      <c r="L2058" t="s">
        <v>17</v>
      </c>
      <c r="M2058" t="s">
        <v>18</v>
      </c>
      <c r="N2058">
        <v>21</v>
      </c>
      <c r="O2058">
        <v>5</v>
      </c>
      <c r="P2058">
        <v>1</v>
      </c>
      <c r="T2058" s="358" t="str">
        <f t="shared" si="111"/>
        <v>2005MaleNon-Maori23Hanging, strangulation and suffocation</v>
      </c>
      <c r="U2058" s="360">
        <v>2005</v>
      </c>
      <c r="V2058" s="360" t="s">
        <v>20</v>
      </c>
      <c r="W2058" s="360" t="s">
        <v>19</v>
      </c>
      <c r="X2058" s="360">
        <v>23</v>
      </c>
      <c r="Y2058" s="360" t="s">
        <v>43</v>
      </c>
      <c r="Z2058" s="360">
        <v>51</v>
      </c>
      <c r="AA2058" s="360">
        <v>119</v>
      </c>
      <c r="AB2058" s="360">
        <v>42.9</v>
      </c>
    </row>
    <row r="2059" spans="10:28" x14ac:dyDescent="0.2">
      <c r="J2059" s="358" t="str">
        <f t="shared" si="110"/>
        <v>2007AllSexMaori221</v>
      </c>
      <c r="K2059" s="359">
        <v>2007</v>
      </c>
      <c r="L2059" t="s">
        <v>17</v>
      </c>
      <c r="M2059" t="s">
        <v>18</v>
      </c>
      <c r="N2059">
        <v>22</v>
      </c>
      <c r="O2059">
        <v>1</v>
      </c>
      <c r="P2059">
        <v>3</v>
      </c>
      <c r="Q2059">
        <v>35.495573476049998</v>
      </c>
      <c r="R2059">
        <v>40.200000000000003</v>
      </c>
      <c r="T2059" s="358" t="str">
        <f t="shared" si="111"/>
        <v>2005MaleNon-Maori24Hanging, strangulation and suffocation</v>
      </c>
      <c r="U2059" s="360">
        <v>2005</v>
      </c>
      <c r="V2059" s="360" t="s">
        <v>20</v>
      </c>
      <c r="W2059" s="360" t="s">
        <v>19</v>
      </c>
      <c r="X2059" s="360">
        <v>24</v>
      </c>
      <c r="Y2059" s="360" t="s">
        <v>43</v>
      </c>
      <c r="Z2059" s="360">
        <v>38</v>
      </c>
      <c r="AA2059" s="360">
        <v>100</v>
      </c>
      <c r="AB2059" s="360">
        <v>38</v>
      </c>
    </row>
    <row r="2060" spans="10:28" x14ac:dyDescent="0.2">
      <c r="J2060" s="358" t="str">
        <f t="shared" si="110"/>
        <v>2007AllSexMaori222</v>
      </c>
      <c r="K2060" s="359">
        <v>2007</v>
      </c>
      <c r="L2060" t="s">
        <v>17</v>
      </c>
      <c r="M2060" t="s">
        <v>18</v>
      </c>
      <c r="N2060">
        <v>22</v>
      </c>
      <c r="O2060">
        <v>2</v>
      </c>
      <c r="P2060">
        <v>2</v>
      </c>
      <c r="Q2060">
        <v>15.9372230149845</v>
      </c>
      <c r="R2060">
        <v>22.1</v>
      </c>
      <c r="T2060" s="358" t="str">
        <f t="shared" si="111"/>
        <v>2005MaleNon-Maori25Hanging, strangulation and suffocation</v>
      </c>
      <c r="U2060" s="360">
        <v>2005</v>
      </c>
      <c r="V2060" s="360" t="s">
        <v>20</v>
      </c>
      <c r="W2060" s="360" t="s">
        <v>19</v>
      </c>
      <c r="X2060" s="360">
        <v>25</v>
      </c>
      <c r="Y2060" s="360" t="s">
        <v>43</v>
      </c>
      <c r="Z2060" s="360">
        <v>13</v>
      </c>
      <c r="AA2060" s="360">
        <v>30</v>
      </c>
      <c r="AB2060" s="360">
        <v>43.3</v>
      </c>
    </row>
    <row r="2061" spans="10:28" x14ac:dyDescent="0.2">
      <c r="J2061" s="358" t="str">
        <f t="shared" si="110"/>
        <v>2007AllSexMaori223</v>
      </c>
      <c r="K2061" s="359">
        <v>2007</v>
      </c>
      <c r="L2061" t="s">
        <v>17</v>
      </c>
      <c r="M2061" t="s">
        <v>18</v>
      </c>
      <c r="N2061">
        <v>22</v>
      </c>
      <c r="O2061">
        <v>3</v>
      </c>
      <c r="P2061">
        <v>8</v>
      </c>
      <c r="Q2061">
        <v>42.031629551761696</v>
      </c>
      <c r="R2061">
        <v>29.1</v>
      </c>
      <c r="T2061" s="358" t="str">
        <f t="shared" si="111"/>
        <v>2005MaleNon-Maori22Jumping from a high place</v>
      </c>
      <c r="U2061" s="360">
        <v>2005</v>
      </c>
      <c r="V2061" s="360" t="s">
        <v>20</v>
      </c>
      <c r="W2061" s="360" t="s">
        <v>19</v>
      </c>
      <c r="X2061" s="360">
        <v>22</v>
      </c>
      <c r="Y2061" s="360" t="s">
        <v>44</v>
      </c>
      <c r="Z2061" s="360">
        <v>1</v>
      </c>
      <c r="AA2061" s="360">
        <v>55</v>
      </c>
      <c r="AB2061" s="360">
        <v>1.8</v>
      </c>
    </row>
    <row r="2062" spans="10:28" x14ac:dyDescent="0.2">
      <c r="J2062" s="358" t="str">
        <f t="shared" si="110"/>
        <v>2007AllSexMaori224</v>
      </c>
      <c r="K2062" s="359">
        <v>2007</v>
      </c>
      <c r="L2062" t="s">
        <v>17</v>
      </c>
      <c r="M2062" t="s">
        <v>18</v>
      </c>
      <c r="N2062">
        <v>22</v>
      </c>
      <c r="O2062">
        <v>4</v>
      </c>
      <c r="P2062">
        <v>6</v>
      </c>
      <c r="Q2062">
        <v>21.253167884060598</v>
      </c>
      <c r="R2062">
        <v>17</v>
      </c>
      <c r="T2062" s="358" t="str">
        <f t="shared" si="111"/>
        <v>2005MaleNon-Maori23Jumping from a high place</v>
      </c>
      <c r="U2062" s="360">
        <v>2005</v>
      </c>
      <c r="V2062" s="360" t="s">
        <v>20</v>
      </c>
      <c r="W2062" s="360" t="s">
        <v>19</v>
      </c>
      <c r="X2062" s="360">
        <v>23</v>
      </c>
      <c r="Y2062" s="360" t="s">
        <v>44</v>
      </c>
      <c r="Z2062" s="360">
        <v>4</v>
      </c>
      <c r="AA2062" s="360">
        <v>119</v>
      </c>
      <c r="AB2062" s="360">
        <v>3.4</v>
      </c>
    </row>
    <row r="2063" spans="10:28" x14ac:dyDescent="0.2">
      <c r="J2063" s="358" t="str">
        <f t="shared" si="110"/>
        <v>2007AllSexMaori225</v>
      </c>
      <c r="K2063" s="359">
        <v>2007</v>
      </c>
      <c r="L2063" t="s">
        <v>17</v>
      </c>
      <c r="M2063" t="s">
        <v>18</v>
      </c>
      <c r="N2063">
        <v>22</v>
      </c>
      <c r="O2063">
        <v>5</v>
      </c>
      <c r="P2063">
        <v>14</v>
      </c>
      <c r="Q2063">
        <v>28.143739464997601</v>
      </c>
      <c r="R2063">
        <v>14.7</v>
      </c>
      <c r="T2063" s="358" t="str">
        <f t="shared" si="111"/>
        <v>2005MaleNon-Maori24Jumping from a high place</v>
      </c>
      <c r="U2063" s="360">
        <v>2005</v>
      </c>
      <c r="V2063" s="360" t="s">
        <v>20</v>
      </c>
      <c r="W2063" s="360" t="s">
        <v>19</v>
      </c>
      <c r="X2063" s="360">
        <v>24</v>
      </c>
      <c r="Y2063" s="360" t="s">
        <v>44</v>
      </c>
      <c r="Z2063" s="360">
        <v>3</v>
      </c>
      <c r="AA2063" s="360">
        <v>100</v>
      </c>
      <c r="AB2063" s="360">
        <v>3</v>
      </c>
    </row>
    <row r="2064" spans="10:28" x14ac:dyDescent="0.2">
      <c r="J2064" s="358" t="str">
        <f t="shared" si="110"/>
        <v>2007AllSexMaori231</v>
      </c>
      <c r="K2064" s="359">
        <v>2007</v>
      </c>
      <c r="L2064" t="s">
        <v>17</v>
      </c>
      <c r="M2064" t="s">
        <v>18</v>
      </c>
      <c r="N2064">
        <v>23</v>
      </c>
      <c r="O2064">
        <v>1</v>
      </c>
      <c r="P2064">
        <v>4</v>
      </c>
      <c r="Q2064">
        <v>28.770562300577701</v>
      </c>
      <c r="R2064">
        <v>28.2</v>
      </c>
      <c r="T2064" s="358" t="str">
        <f t="shared" si="111"/>
        <v>2005MaleNon-Maori25Jumping from a high place</v>
      </c>
      <c r="U2064" s="360">
        <v>2005</v>
      </c>
      <c r="V2064" s="360" t="s">
        <v>20</v>
      </c>
      <c r="W2064" s="360" t="s">
        <v>19</v>
      </c>
      <c r="X2064" s="360">
        <v>25</v>
      </c>
      <c r="Y2064" s="360" t="s">
        <v>44</v>
      </c>
      <c r="Z2064" s="360">
        <v>2</v>
      </c>
      <c r="AA2064" s="360">
        <v>30</v>
      </c>
      <c r="AB2064" s="360">
        <v>6.7</v>
      </c>
    </row>
    <row r="2065" spans="10:28" x14ac:dyDescent="0.2">
      <c r="J2065" s="358" t="str">
        <f t="shared" si="110"/>
        <v>2007AllSexMaori232</v>
      </c>
      <c r="K2065" s="359">
        <v>2007</v>
      </c>
      <c r="L2065" t="s">
        <v>17</v>
      </c>
      <c r="M2065" t="s">
        <v>18</v>
      </c>
      <c r="N2065">
        <v>23</v>
      </c>
      <c r="O2065">
        <v>2</v>
      </c>
      <c r="P2065">
        <v>4</v>
      </c>
      <c r="Q2065">
        <v>19.821350853676101</v>
      </c>
      <c r="R2065">
        <v>19.399999999999999</v>
      </c>
      <c r="T2065" s="358" t="str">
        <f t="shared" si="111"/>
        <v>2005MaleNon-Maori22Other</v>
      </c>
      <c r="U2065" s="360">
        <v>2005</v>
      </c>
      <c r="V2065" s="360" t="s">
        <v>20</v>
      </c>
      <c r="W2065" s="360" t="s">
        <v>19</v>
      </c>
      <c r="X2065" s="360">
        <v>22</v>
      </c>
      <c r="Y2065" s="360" t="s">
        <v>45</v>
      </c>
      <c r="Z2065" s="360">
        <v>2</v>
      </c>
      <c r="AA2065" s="360">
        <v>55</v>
      </c>
      <c r="AB2065" s="360">
        <v>3.6</v>
      </c>
    </row>
    <row r="2066" spans="10:28" x14ac:dyDescent="0.2">
      <c r="J2066" s="358" t="str">
        <f t="shared" si="110"/>
        <v>2007AllSexMaori233</v>
      </c>
      <c r="K2066" s="359">
        <v>2007</v>
      </c>
      <c r="L2066" t="s">
        <v>17</v>
      </c>
      <c r="M2066" t="s">
        <v>18</v>
      </c>
      <c r="N2066">
        <v>23</v>
      </c>
      <c r="O2066">
        <v>3</v>
      </c>
      <c r="P2066">
        <v>9</v>
      </c>
      <c r="Q2066">
        <v>31.922454576816101</v>
      </c>
      <c r="R2066">
        <v>20.9</v>
      </c>
      <c r="T2066" s="358" t="str">
        <f t="shared" si="111"/>
        <v>2005MaleNon-Maori23Other</v>
      </c>
      <c r="U2066" s="360">
        <v>2005</v>
      </c>
      <c r="V2066" s="360" t="s">
        <v>20</v>
      </c>
      <c r="W2066" s="360" t="s">
        <v>19</v>
      </c>
      <c r="X2066" s="360">
        <v>23</v>
      </c>
      <c r="Y2066" s="360" t="s">
        <v>45</v>
      </c>
      <c r="Z2066" s="360">
        <v>4</v>
      </c>
      <c r="AA2066" s="360">
        <v>119</v>
      </c>
      <c r="AB2066" s="360">
        <v>3.4</v>
      </c>
    </row>
    <row r="2067" spans="10:28" x14ac:dyDescent="0.2">
      <c r="J2067" s="358" t="str">
        <f t="shared" si="110"/>
        <v>2007AllSexMaori234</v>
      </c>
      <c r="K2067" s="359">
        <v>2007</v>
      </c>
      <c r="L2067" t="s">
        <v>17</v>
      </c>
      <c r="M2067" t="s">
        <v>18</v>
      </c>
      <c r="N2067">
        <v>23</v>
      </c>
      <c r="O2067">
        <v>4</v>
      </c>
      <c r="P2067">
        <v>8</v>
      </c>
      <c r="Q2067">
        <v>19.831245113748601</v>
      </c>
      <c r="R2067">
        <v>13.7</v>
      </c>
      <c r="T2067" s="358" t="str">
        <f t="shared" si="111"/>
        <v>2005MaleNon-Maori25Other</v>
      </c>
      <c r="U2067" s="360">
        <v>2005</v>
      </c>
      <c r="V2067" s="360" t="s">
        <v>20</v>
      </c>
      <c r="W2067" s="360" t="s">
        <v>19</v>
      </c>
      <c r="X2067" s="360">
        <v>25</v>
      </c>
      <c r="Y2067" s="360" t="s">
        <v>45</v>
      </c>
      <c r="Z2067" s="360">
        <v>1</v>
      </c>
      <c r="AA2067" s="360">
        <v>30</v>
      </c>
      <c r="AB2067" s="360">
        <v>3.3</v>
      </c>
    </row>
    <row r="2068" spans="10:28" x14ac:dyDescent="0.2">
      <c r="J2068" s="358" t="str">
        <f t="shared" si="110"/>
        <v>2007AllSexMaori235</v>
      </c>
      <c r="K2068" s="359">
        <v>2007</v>
      </c>
      <c r="L2068" t="s">
        <v>17</v>
      </c>
      <c r="M2068" t="s">
        <v>18</v>
      </c>
      <c r="N2068">
        <v>23</v>
      </c>
      <c r="O2068">
        <v>5</v>
      </c>
      <c r="P2068">
        <v>24</v>
      </c>
      <c r="Q2068">
        <v>36.1212201163207</v>
      </c>
      <c r="R2068">
        <v>14.5</v>
      </c>
      <c r="T2068" s="358" t="str">
        <f t="shared" si="111"/>
        <v>2005MaleNon-Maori22Poisoning by gases and vapours</v>
      </c>
      <c r="U2068" s="360">
        <v>2005</v>
      </c>
      <c r="V2068" s="360" t="s">
        <v>20</v>
      </c>
      <c r="W2068" s="360" t="s">
        <v>19</v>
      </c>
      <c r="X2068" s="360">
        <v>22</v>
      </c>
      <c r="Y2068" s="360" t="s">
        <v>46</v>
      </c>
      <c r="Z2068" s="360">
        <v>9</v>
      </c>
      <c r="AA2068" s="360">
        <v>55</v>
      </c>
      <c r="AB2068" s="360">
        <v>16.399999999999999</v>
      </c>
    </row>
    <row r="2069" spans="10:28" x14ac:dyDescent="0.2">
      <c r="J2069" s="358" t="str">
        <f t="shared" si="110"/>
        <v>2007AllSexMaori241</v>
      </c>
      <c r="K2069" s="359">
        <v>2007</v>
      </c>
      <c r="L2069" t="s">
        <v>17</v>
      </c>
      <c r="M2069" t="s">
        <v>18</v>
      </c>
      <c r="N2069">
        <v>24</v>
      </c>
      <c r="O2069">
        <v>1</v>
      </c>
      <c r="P2069">
        <v>2</v>
      </c>
      <c r="Q2069">
        <v>23.052187596518099</v>
      </c>
      <c r="R2069">
        <v>31.9</v>
      </c>
      <c r="T2069" s="358" t="str">
        <f t="shared" si="111"/>
        <v>2005MaleNon-Maori23Poisoning by gases and vapours</v>
      </c>
      <c r="U2069" s="360">
        <v>2005</v>
      </c>
      <c r="V2069" s="360" t="s">
        <v>20</v>
      </c>
      <c r="W2069" s="360" t="s">
        <v>19</v>
      </c>
      <c r="X2069" s="360">
        <v>23</v>
      </c>
      <c r="Y2069" s="360" t="s">
        <v>46</v>
      </c>
      <c r="Z2069" s="360">
        <v>37</v>
      </c>
      <c r="AA2069" s="360">
        <v>119</v>
      </c>
      <c r="AB2069" s="360">
        <v>31.1</v>
      </c>
    </row>
    <row r="2070" spans="10:28" x14ac:dyDescent="0.2">
      <c r="J2070" s="358" t="str">
        <f t="shared" si="110"/>
        <v>2007AllSexMaori242</v>
      </c>
      <c r="K2070" s="359">
        <v>2007</v>
      </c>
      <c r="L2070" t="s">
        <v>17</v>
      </c>
      <c r="M2070" t="s">
        <v>18</v>
      </c>
      <c r="N2070">
        <v>24</v>
      </c>
      <c r="O2070">
        <v>2</v>
      </c>
      <c r="P2070">
        <v>0</v>
      </c>
      <c r="Q2070">
        <v>0</v>
      </c>
      <c r="T2070" s="358" t="str">
        <f t="shared" si="111"/>
        <v>2005MaleNon-Maori24Poisoning by gases and vapours</v>
      </c>
      <c r="U2070" s="360">
        <v>2005</v>
      </c>
      <c r="V2070" s="360" t="s">
        <v>20</v>
      </c>
      <c r="W2070" s="360" t="s">
        <v>19</v>
      </c>
      <c r="X2070" s="360">
        <v>24</v>
      </c>
      <c r="Y2070" s="360" t="s">
        <v>46</v>
      </c>
      <c r="Z2070" s="360">
        <v>26</v>
      </c>
      <c r="AA2070" s="360">
        <v>100</v>
      </c>
      <c r="AB2070" s="360">
        <v>26</v>
      </c>
    </row>
    <row r="2071" spans="10:28" x14ac:dyDescent="0.2">
      <c r="J2071" s="358" t="str">
        <f t="shared" si="110"/>
        <v>2007AllSexMaori243</v>
      </c>
      <c r="K2071" s="359">
        <v>2007</v>
      </c>
      <c r="L2071" t="s">
        <v>17</v>
      </c>
      <c r="M2071" t="s">
        <v>18</v>
      </c>
      <c r="N2071">
        <v>24</v>
      </c>
      <c r="O2071">
        <v>3</v>
      </c>
      <c r="P2071">
        <v>0</v>
      </c>
      <c r="Q2071">
        <v>0</v>
      </c>
      <c r="T2071" s="358" t="str">
        <f t="shared" si="111"/>
        <v>2005MaleNon-Maori25Poisoning by gases and vapours</v>
      </c>
      <c r="U2071" s="360">
        <v>2005</v>
      </c>
      <c r="V2071" s="360" t="s">
        <v>20</v>
      </c>
      <c r="W2071" s="360" t="s">
        <v>19</v>
      </c>
      <c r="X2071" s="360">
        <v>25</v>
      </c>
      <c r="Y2071" s="360" t="s">
        <v>46</v>
      </c>
      <c r="Z2071" s="360">
        <v>6</v>
      </c>
      <c r="AA2071" s="360">
        <v>30</v>
      </c>
      <c r="AB2071" s="360">
        <v>20</v>
      </c>
    </row>
    <row r="2072" spans="10:28" x14ac:dyDescent="0.2">
      <c r="J2072" s="358" t="str">
        <f t="shared" si="110"/>
        <v>2007AllSexMaori244</v>
      </c>
      <c r="K2072" s="359">
        <v>2007</v>
      </c>
      <c r="L2072" t="s">
        <v>17</v>
      </c>
      <c r="M2072" t="s">
        <v>18</v>
      </c>
      <c r="N2072">
        <v>24</v>
      </c>
      <c r="O2072">
        <v>4</v>
      </c>
      <c r="P2072">
        <v>2</v>
      </c>
      <c r="Q2072">
        <v>8.4844782497086797</v>
      </c>
      <c r="R2072">
        <v>11.8</v>
      </c>
      <c r="T2072" s="358" t="str">
        <f t="shared" si="111"/>
        <v>2005MaleNon-Maori22Poisoning by solids and liquids</v>
      </c>
      <c r="U2072" s="360">
        <v>2005</v>
      </c>
      <c r="V2072" s="360" t="s">
        <v>20</v>
      </c>
      <c r="W2072" s="360" t="s">
        <v>19</v>
      </c>
      <c r="X2072" s="360">
        <v>22</v>
      </c>
      <c r="Y2072" s="360" t="s">
        <v>47</v>
      </c>
      <c r="Z2072" s="360">
        <v>1</v>
      </c>
      <c r="AA2072" s="360">
        <v>55</v>
      </c>
      <c r="AB2072" s="360">
        <v>1.8</v>
      </c>
    </row>
    <row r="2073" spans="10:28" x14ac:dyDescent="0.2">
      <c r="J2073" s="358" t="str">
        <f t="shared" si="110"/>
        <v>2007AllSexMaori245</v>
      </c>
      <c r="K2073" s="359">
        <v>2007</v>
      </c>
      <c r="L2073" t="s">
        <v>17</v>
      </c>
      <c r="M2073" t="s">
        <v>18</v>
      </c>
      <c r="N2073">
        <v>24</v>
      </c>
      <c r="O2073">
        <v>5</v>
      </c>
      <c r="P2073">
        <v>8</v>
      </c>
      <c r="Q2073">
        <v>19.1507617932992</v>
      </c>
      <c r="R2073">
        <v>13.3</v>
      </c>
      <c r="T2073" s="358" t="str">
        <f t="shared" si="111"/>
        <v>2005MaleNon-Maori23Poisoning by solids and liquids</v>
      </c>
      <c r="U2073" s="360">
        <v>2005</v>
      </c>
      <c r="V2073" s="360" t="s">
        <v>20</v>
      </c>
      <c r="W2073" s="360" t="s">
        <v>19</v>
      </c>
      <c r="X2073" s="360">
        <v>23</v>
      </c>
      <c r="Y2073" s="360" t="s">
        <v>47</v>
      </c>
      <c r="Z2073" s="360">
        <v>9</v>
      </c>
      <c r="AA2073" s="360">
        <v>119</v>
      </c>
      <c r="AB2073" s="360">
        <v>7.6</v>
      </c>
    </row>
    <row r="2074" spans="10:28" x14ac:dyDescent="0.2">
      <c r="J2074" s="358" t="str">
        <f t="shared" si="110"/>
        <v>2007AllSexMaori251</v>
      </c>
      <c r="K2074" s="359">
        <v>2007</v>
      </c>
      <c r="L2074" t="s">
        <v>17</v>
      </c>
      <c r="M2074" t="s">
        <v>18</v>
      </c>
      <c r="N2074">
        <v>25</v>
      </c>
      <c r="O2074">
        <v>1</v>
      </c>
      <c r="P2074">
        <v>0</v>
      </c>
      <c r="Q2074">
        <v>0</v>
      </c>
      <c r="T2074" s="358" t="str">
        <f t="shared" si="111"/>
        <v>2005MaleNon-Maori24Poisoning by solids and liquids</v>
      </c>
      <c r="U2074" s="360">
        <v>2005</v>
      </c>
      <c r="V2074" s="360" t="s">
        <v>20</v>
      </c>
      <c r="W2074" s="360" t="s">
        <v>19</v>
      </c>
      <c r="X2074" s="360">
        <v>24</v>
      </c>
      <c r="Y2074" s="360" t="s">
        <v>47</v>
      </c>
      <c r="Z2074" s="360">
        <v>15</v>
      </c>
      <c r="AA2074" s="360">
        <v>100</v>
      </c>
      <c r="AB2074" s="360">
        <v>15</v>
      </c>
    </row>
    <row r="2075" spans="10:28" x14ac:dyDescent="0.2">
      <c r="J2075" s="358" t="str">
        <f t="shared" si="110"/>
        <v>2007AllSexMaori252</v>
      </c>
      <c r="K2075" s="359">
        <v>2007</v>
      </c>
      <c r="L2075" t="s">
        <v>17</v>
      </c>
      <c r="M2075" t="s">
        <v>18</v>
      </c>
      <c r="N2075">
        <v>25</v>
      </c>
      <c r="O2075">
        <v>2</v>
      </c>
      <c r="P2075">
        <v>0</v>
      </c>
      <c r="Q2075">
        <v>0</v>
      </c>
      <c r="T2075" s="358" t="str">
        <f t="shared" si="111"/>
        <v>2005MaleNon-Maori25Poisoning by solids and liquids</v>
      </c>
      <c r="U2075" s="360">
        <v>2005</v>
      </c>
      <c r="V2075" s="360" t="s">
        <v>20</v>
      </c>
      <c r="W2075" s="360" t="s">
        <v>19</v>
      </c>
      <c r="X2075" s="360">
        <v>25</v>
      </c>
      <c r="Y2075" s="360" t="s">
        <v>47</v>
      </c>
      <c r="Z2075" s="360">
        <v>1</v>
      </c>
      <c r="AA2075" s="360">
        <v>30</v>
      </c>
      <c r="AB2075" s="360">
        <v>3.3</v>
      </c>
    </row>
    <row r="2076" spans="10:28" x14ac:dyDescent="0.2">
      <c r="J2076" s="358" t="str">
        <f t="shared" si="110"/>
        <v>2007AllSexMaori253</v>
      </c>
      <c r="K2076" s="359">
        <v>2007</v>
      </c>
      <c r="L2076" t="s">
        <v>17</v>
      </c>
      <c r="M2076" t="s">
        <v>18</v>
      </c>
      <c r="N2076">
        <v>25</v>
      </c>
      <c r="O2076">
        <v>3</v>
      </c>
      <c r="P2076">
        <v>1</v>
      </c>
      <c r="Q2076">
        <v>23.8204475388434</v>
      </c>
      <c r="R2076">
        <v>46.7</v>
      </c>
      <c r="T2076" s="358" t="str">
        <f t="shared" si="111"/>
        <v>2005MaleNon-Maori23Sharp object</v>
      </c>
      <c r="U2076" s="360">
        <v>2005</v>
      </c>
      <c r="V2076" s="360" t="s">
        <v>20</v>
      </c>
      <c r="W2076" s="360" t="s">
        <v>19</v>
      </c>
      <c r="X2076" s="360">
        <v>23</v>
      </c>
      <c r="Y2076" s="360" t="s">
        <v>48</v>
      </c>
      <c r="Z2076" s="360">
        <v>4</v>
      </c>
      <c r="AA2076" s="360">
        <v>119</v>
      </c>
      <c r="AB2076" s="360">
        <v>3.4</v>
      </c>
    </row>
    <row r="2077" spans="10:28" x14ac:dyDescent="0.2">
      <c r="J2077" s="358" t="str">
        <f t="shared" si="110"/>
        <v>2007AllSexMaori254</v>
      </c>
      <c r="K2077" s="359">
        <v>2007</v>
      </c>
      <c r="L2077" t="s">
        <v>17</v>
      </c>
      <c r="M2077" t="s">
        <v>18</v>
      </c>
      <c r="N2077">
        <v>25</v>
      </c>
      <c r="O2077">
        <v>4</v>
      </c>
      <c r="P2077">
        <v>0</v>
      </c>
      <c r="Q2077">
        <v>0</v>
      </c>
      <c r="T2077" s="358" t="str">
        <f t="shared" si="111"/>
        <v>2005MaleNon-Maori24Sharp object</v>
      </c>
      <c r="U2077" s="360">
        <v>2005</v>
      </c>
      <c r="V2077" s="360" t="s">
        <v>20</v>
      </c>
      <c r="W2077" s="360" t="s">
        <v>19</v>
      </c>
      <c r="X2077" s="360">
        <v>24</v>
      </c>
      <c r="Y2077" s="360" t="s">
        <v>48</v>
      </c>
      <c r="Z2077" s="360">
        <v>3</v>
      </c>
      <c r="AA2077" s="360">
        <v>100</v>
      </c>
      <c r="AB2077" s="360">
        <v>3</v>
      </c>
    </row>
    <row r="2078" spans="10:28" x14ac:dyDescent="0.2">
      <c r="J2078" s="358" t="str">
        <f t="shared" si="110"/>
        <v>2007AllSexMaori255</v>
      </c>
      <c r="K2078" s="359">
        <v>2007</v>
      </c>
      <c r="L2078" t="s">
        <v>17</v>
      </c>
      <c r="M2078" t="s">
        <v>18</v>
      </c>
      <c r="N2078">
        <v>25</v>
      </c>
      <c r="O2078">
        <v>5</v>
      </c>
      <c r="P2078">
        <v>0</v>
      </c>
      <c r="Q2078">
        <v>0</v>
      </c>
      <c r="T2078" s="358" t="str">
        <f t="shared" si="111"/>
        <v>2005MaleNon-Maori25Sharp object</v>
      </c>
      <c r="U2078" s="360">
        <v>2005</v>
      </c>
      <c r="V2078" s="360" t="s">
        <v>20</v>
      </c>
      <c r="W2078" s="360" t="s">
        <v>19</v>
      </c>
      <c r="X2078" s="360">
        <v>25</v>
      </c>
      <c r="Y2078" s="360" t="s">
        <v>48</v>
      </c>
      <c r="Z2078" s="360">
        <v>1</v>
      </c>
      <c r="AA2078" s="360">
        <v>30</v>
      </c>
      <c r="AB2078" s="360">
        <v>3.3</v>
      </c>
    </row>
    <row r="2079" spans="10:28" x14ac:dyDescent="0.2">
      <c r="J2079" s="358" t="str">
        <f t="shared" si="110"/>
        <v>2007AllSexNon-Maori211</v>
      </c>
      <c r="K2079" s="359">
        <v>2007</v>
      </c>
      <c r="L2079" t="s">
        <v>17</v>
      </c>
      <c r="M2079" t="s">
        <v>19</v>
      </c>
      <c r="N2079">
        <v>21</v>
      </c>
      <c r="O2079">
        <v>1</v>
      </c>
      <c r="P2079">
        <v>0</v>
      </c>
      <c r="T2079" s="358" t="str">
        <f t="shared" si="111"/>
        <v>2005MaleNon-Maori24Submersion (drowning)</v>
      </c>
      <c r="U2079" s="360">
        <v>2005</v>
      </c>
      <c r="V2079" s="360" t="s">
        <v>20</v>
      </c>
      <c r="W2079" s="360" t="s">
        <v>19</v>
      </c>
      <c r="X2079" s="360">
        <v>24</v>
      </c>
      <c r="Y2079" s="360" t="s">
        <v>49</v>
      </c>
      <c r="Z2079" s="360">
        <v>4</v>
      </c>
      <c r="AA2079" s="360">
        <v>100</v>
      </c>
      <c r="AB2079" s="360">
        <v>4</v>
      </c>
    </row>
    <row r="2080" spans="10:28" x14ac:dyDescent="0.2">
      <c r="J2080" s="358" t="str">
        <f t="shared" si="110"/>
        <v>2007AllSexNon-Maori212</v>
      </c>
      <c r="K2080" s="359">
        <v>2007</v>
      </c>
      <c r="L2080" t="s">
        <v>17</v>
      </c>
      <c r="M2080" t="s">
        <v>19</v>
      </c>
      <c r="N2080">
        <v>21</v>
      </c>
      <c r="O2080">
        <v>2</v>
      </c>
      <c r="P2080">
        <v>0</v>
      </c>
      <c r="T2080" s="358" t="str">
        <f t="shared" si="111"/>
        <v>2006AllSexAllEth22Firearms and explosives</v>
      </c>
      <c r="U2080" s="360">
        <v>2006</v>
      </c>
      <c r="V2080" s="360" t="s">
        <v>17</v>
      </c>
      <c r="W2080" s="360" t="s">
        <v>27</v>
      </c>
      <c r="X2080" s="360">
        <v>22</v>
      </c>
      <c r="Y2080" s="360" t="s">
        <v>42</v>
      </c>
      <c r="Z2080" s="360">
        <v>6</v>
      </c>
      <c r="AA2080" s="360">
        <v>119</v>
      </c>
      <c r="AB2080" s="360">
        <v>5</v>
      </c>
    </row>
    <row r="2081" spans="10:28" x14ac:dyDescent="0.2">
      <c r="J2081" s="358" t="str">
        <f t="shared" si="110"/>
        <v>2007AllSexNon-Maori213</v>
      </c>
      <c r="K2081" s="359">
        <v>2007</v>
      </c>
      <c r="L2081" t="s">
        <v>17</v>
      </c>
      <c r="M2081" t="s">
        <v>19</v>
      </c>
      <c r="N2081">
        <v>21</v>
      </c>
      <c r="O2081">
        <v>3</v>
      </c>
      <c r="P2081">
        <v>1</v>
      </c>
      <c r="T2081" s="358" t="str">
        <f t="shared" si="111"/>
        <v>2006AllSexAllEth23Firearms and explosives</v>
      </c>
      <c r="U2081" s="360">
        <v>2006</v>
      </c>
      <c r="V2081" s="360" t="s">
        <v>17</v>
      </c>
      <c r="W2081" s="360" t="s">
        <v>27</v>
      </c>
      <c r="X2081" s="360">
        <v>23</v>
      </c>
      <c r="Y2081" s="360" t="s">
        <v>42</v>
      </c>
      <c r="Z2081" s="360">
        <v>16</v>
      </c>
      <c r="AA2081" s="360">
        <v>207</v>
      </c>
      <c r="AB2081" s="360">
        <v>7.7</v>
      </c>
    </row>
    <row r="2082" spans="10:28" x14ac:dyDescent="0.2">
      <c r="J2082" s="358" t="str">
        <f t="shared" si="110"/>
        <v>2007AllSexNon-Maori214</v>
      </c>
      <c r="K2082" s="359">
        <v>2007</v>
      </c>
      <c r="L2082" t="s">
        <v>17</v>
      </c>
      <c r="M2082" t="s">
        <v>19</v>
      </c>
      <c r="N2082">
        <v>21</v>
      </c>
      <c r="O2082">
        <v>4</v>
      </c>
      <c r="P2082">
        <v>0</v>
      </c>
      <c r="T2082" s="358" t="str">
        <f t="shared" si="111"/>
        <v>2006AllSexAllEth24Firearms and explosives</v>
      </c>
      <c r="U2082" s="360">
        <v>2006</v>
      </c>
      <c r="V2082" s="360" t="s">
        <v>17</v>
      </c>
      <c r="W2082" s="360" t="s">
        <v>27</v>
      </c>
      <c r="X2082" s="360">
        <v>24</v>
      </c>
      <c r="Y2082" s="360" t="s">
        <v>42</v>
      </c>
      <c r="Z2082" s="360">
        <v>21</v>
      </c>
      <c r="AA2082" s="360">
        <v>141</v>
      </c>
      <c r="AB2082" s="360">
        <v>14.9</v>
      </c>
    </row>
    <row r="2083" spans="10:28" x14ac:dyDescent="0.2">
      <c r="J2083" s="358" t="str">
        <f t="shared" si="110"/>
        <v>2007AllSexNon-Maori215</v>
      </c>
      <c r="K2083" s="359">
        <v>2007</v>
      </c>
      <c r="L2083" t="s">
        <v>17</v>
      </c>
      <c r="M2083" t="s">
        <v>19</v>
      </c>
      <c r="N2083">
        <v>21</v>
      </c>
      <c r="O2083">
        <v>5</v>
      </c>
      <c r="P2083">
        <v>0</v>
      </c>
      <c r="T2083" s="358" t="str">
        <f t="shared" si="111"/>
        <v>2006AllSexAllEth25Firearms and explosives</v>
      </c>
      <c r="U2083" s="360">
        <v>2006</v>
      </c>
      <c r="V2083" s="360" t="s">
        <v>17</v>
      </c>
      <c r="W2083" s="360" t="s">
        <v>27</v>
      </c>
      <c r="X2083" s="360">
        <v>25</v>
      </c>
      <c r="Y2083" s="360" t="s">
        <v>42</v>
      </c>
      <c r="Z2083" s="360">
        <v>5</v>
      </c>
      <c r="AA2083" s="360">
        <v>51</v>
      </c>
      <c r="AB2083" s="360">
        <v>9.8000000000000007</v>
      </c>
    </row>
    <row r="2084" spans="10:28" x14ac:dyDescent="0.2">
      <c r="J2084" s="358" t="str">
        <f t="shared" si="110"/>
        <v>2007AllSexNon-Maori221</v>
      </c>
      <c r="K2084" s="359">
        <v>2007</v>
      </c>
      <c r="L2084" t="s">
        <v>17</v>
      </c>
      <c r="M2084" t="s">
        <v>19</v>
      </c>
      <c r="N2084">
        <v>22</v>
      </c>
      <c r="O2084">
        <v>1</v>
      </c>
      <c r="P2084">
        <v>9</v>
      </c>
      <c r="Q2084">
        <v>9.6046457308933704</v>
      </c>
      <c r="R2084">
        <v>6.3</v>
      </c>
      <c r="T2084" s="358" t="str">
        <f t="shared" si="111"/>
        <v>2006AllSexAllEth21Hanging, strangulation and suffocation</v>
      </c>
      <c r="U2084" s="360">
        <v>2006</v>
      </c>
      <c r="V2084" s="360" t="s">
        <v>17</v>
      </c>
      <c r="W2084" s="360" t="s">
        <v>27</v>
      </c>
      <c r="X2084" s="360">
        <v>21</v>
      </c>
      <c r="Y2084" s="360" t="s">
        <v>43</v>
      </c>
      <c r="Z2084" s="360">
        <v>6</v>
      </c>
      <c r="AA2084" s="360">
        <v>6</v>
      </c>
      <c r="AB2084" s="360">
        <v>100</v>
      </c>
    </row>
    <row r="2085" spans="10:28" x14ac:dyDescent="0.2">
      <c r="J2085" s="358" t="str">
        <f t="shared" si="110"/>
        <v>2007AllSexNon-Maori222</v>
      </c>
      <c r="K2085" s="359">
        <v>2007</v>
      </c>
      <c r="L2085" t="s">
        <v>17</v>
      </c>
      <c r="M2085" t="s">
        <v>19</v>
      </c>
      <c r="N2085">
        <v>22</v>
      </c>
      <c r="O2085">
        <v>2</v>
      </c>
      <c r="P2085">
        <v>9</v>
      </c>
      <c r="Q2085">
        <v>9.3631439506761094</v>
      </c>
      <c r="R2085">
        <v>6.1</v>
      </c>
      <c r="T2085" s="358" t="str">
        <f t="shared" si="111"/>
        <v>2006AllSexAllEth22Hanging, strangulation and suffocation</v>
      </c>
      <c r="U2085" s="360">
        <v>2006</v>
      </c>
      <c r="V2085" s="360" t="s">
        <v>17</v>
      </c>
      <c r="W2085" s="360" t="s">
        <v>27</v>
      </c>
      <c r="X2085" s="360">
        <v>22</v>
      </c>
      <c r="Y2085" s="360" t="s">
        <v>43</v>
      </c>
      <c r="Z2085" s="360">
        <v>89</v>
      </c>
      <c r="AA2085" s="360">
        <v>119</v>
      </c>
      <c r="AB2085" s="360">
        <v>74.8</v>
      </c>
    </row>
    <row r="2086" spans="10:28" x14ac:dyDescent="0.2">
      <c r="J2086" s="358" t="str">
        <f t="shared" si="110"/>
        <v>2007AllSexNon-Maori223</v>
      </c>
      <c r="K2086" s="359">
        <v>2007</v>
      </c>
      <c r="L2086" t="s">
        <v>17</v>
      </c>
      <c r="M2086" t="s">
        <v>19</v>
      </c>
      <c r="N2086">
        <v>22</v>
      </c>
      <c r="O2086">
        <v>3</v>
      </c>
      <c r="P2086">
        <v>13</v>
      </c>
      <c r="Q2086">
        <v>13.2220635212195</v>
      </c>
      <c r="R2086">
        <v>7.2</v>
      </c>
      <c r="T2086" s="358" t="str">
        <f t="shared" si="111"/>
        <v>2006AllSexAllEth23Hanging, strangulation and suffocation</v>
      </c>
      <c r="U2086" s="360">
        <v>2006</v>
      </c>
      <c r="V2086" s="360" t="s">
        <v>17</v>
      </c>
      <c r="W2086" s="360" t="s">
        <v>27</v>
      </c>
      <c r="X2086" s="360">
        <v>23</v>
      </c>
      <c r="Y2086" s="360" t="s">
        <v>43</v>
      </c>
      <c r="Z2086" s="360">
        <v>115</v>
      </c>
      <c r="AA2086" s="360">
        <v>207</v>
      </c>
      <c r="AB2086" s="360">
        <v>55.6</v>
      </c>
    </row>
    <row r="2087" spans="10:28" x14ac:dyDescent="0.2">
      <c r="J2087" s="358" t="str">
        <f t="shared" si="110"/>
        <v>2007AllSexNon-Maori224</v>
      </c>
      <c r="K2087" s="359">
        <v>2007</v>
      </c>
      <c r="L2087" t="s">
        <v>17</v>
      </c>
      <c r="M2087" t="s">
        <v>19</v>
      </c>
      <c r="N2087">
        <v>22</v>
      </c>
      <c r="O2087">
        <v>4</v>
      </c>
      <c r="P2087">
        <v>14</v>
      </c>
      <c r="Q2087">
        <v>14.006478342998101</v>
      </c>
      <c r="R2087">
        <v>7.3</v>
      </c>
      <c r="T2087" s="358" t="str">
        <f t="shared" si="111"/>
        <v>2006AllSexAllEth24Hanging, strangulation and suffocation</v>
      </c>
      <c r="U2087" s="360">
        <v>2006</v>
      </c>
      <c r="V2087" s="360" t="s">
        <v>17</v>
      </c>
      <c r="W2087" s="360" t="s">
        <v>27</v>
      </c>
      <c r="X2087" s="360">
        <v>24</v>
      </c>
      <c r="Y2087" s="360" t="s">
        <v>43</v>
      </c>
      <c r="Z2087" s="360">
        <v>56</v>
      </c>
      <c r="AA2087" s="360">
        <v>141</v>
      </c>
      <c r="AB2087" s="360">
        <v>39.700000000000003</v>
      </c>
    </row>
    <row r="2088" spans="10:28" x14ac:dyDescent="0.2">
      <c r="J2088" s="358" t="str">
        <f t="shared" si="110"/>
        <v>2007AllSexNon-Maori225</v>
      </c>
      <c r="K2088" s="359">
        <v>2007</v>
      </c>
      <c r="L2088" t="s">
        <v>17</v>
      </c>
      <c r="M2088" t="s">
        <v>19</v>
      </c>
      <c r="N2088">
        <v>22</v>
      </c>
      <c r="O2088">
        <v>5</v>
      </c>
      <c r="P2088">
        <v>13</v>
      </c>
      <c r="Q2088">
        <v>13.0824809226105</v>
      </c>
      <c r="R2088">
        <v>7.1</v>
      </c>
      <c r="T2088" s="358" t="str">
        <f t="shared" si="111"/>
        <v>2006AllSexAllEth25Hanging, strangulation and suffocation</v>
      </c>
      <c r="U2088" s="360">
        <v>2006</v>
      </c>
      <c r="V2088" s="360" t="s">
        <v>17</v>
      </c>
      <c r="W2088" s="360" t="s">
        <v>27</v>
      </c>
      <c r="X2088" s="360">
        <v>25</v>
      </c>
      <c r="Y2088" s="360" t="s">
        <v>43</v>
      </c>
      <c r="Z2088" s="360">
        <v>20</v>
      </c>
      <c r="AA2088" s="360">
        <v>51</v>
      </c>
      <c r="AB2088" s="360">
        <v>39.200000000000003</v>
      </c>
    </row>
    <row r="2089" spans="10:28" x14ac:dyDescent="0.2">
      <c r="J2089" s="358" t="str">
        <f t="shared" si="110"/>
        <v>2007AllSexNon-Maori231</v>
      </c>
      <c r="K2089" s="359">
        <v>2007</v>
      </c>
      <c r="L2089" t="s">
        <v>17</v>
      </c>
      <c r="M2089" t="s">
        <v>19</v>
      </c>
      <c r="N2089">
        <v>23</v>
      </c>
      <c r="O2089">
        <v>1</v>
      </c>
      <c r="P2089">
        <v>24</v>
      </c>
      <c r="Q2089">
        <v>10.995768262458199</v>
      </c>
      <c r="R2089">
        <v>4.4000000000000004</v>
      </c>
      <c r="T2089" s="358" t="str">
        <f t="shared" si="111"/>
        <v>2006AllSexAllEth22Jumping from a high place</v>
      </c>
      <c r="U2089" s="360">
        <v>2006</v>
      </c>
      <c r="V2089" s="360" t="s">
        <v>17</v>
      </c>
      <c r="W2089" s="360" t="s">
        <v>27</v>
      </c>
      <c r="X2089" s="360">
        <v>22</v>
      </c>
      <c r="Y2089" s="360" t="s">
        <v>44</v>
      </c>
      <c r="Z2089" s="360">
        <v>3</v>
      </c>
      <c r="AA2089" s="360">
        <v>119</v>
      </c>
      <c r="AB2089" s="360">
        <v>2.5</v>
      </c>
    </row>
    <row r="2090" spans="10:28" x14ac:dyDescent="0.2">
      <c r="J2090" s="358" t="str">
        <f t="shared" si="110"/>
        <v>2007AllSexNon-Maori232</v>
      </c>
      <c r="K2090" s="359">
        <v>2007</v>
      </c>
      <c r="L2090" t="s">
        <v>17</v>
      </c>
      <c r="M2090" t="s">
        <v>19</v>
      </c>
      <c r="N2090">
        <v>23</v>
      </c>
      <c r="O2090">
        <v>2</v>
      </c>
      <c r="P2090">
        <v>27</v>
      </c>
      <c r="Q2090">
        <v>12.0759491949447</v>
      </c>
      <c r="R2090">
        <v>4.5999999999999996</v>
      </c>
      <c r="T2090" s="358" t="str">
        <f t="shared" si="111"/>
        <v>2006AllSexAllEth23Jumping from a high place</v>
      </c>
      <c r="U2090" s="360">
        <v>2006</v>
      </c>
      <c r="V2090" s="360" t="s">
        <v>17</v>
      </c>
      <c r="W2090" s="360" t="s">
        <v>27</v>
      </c>
      <c r="X2090" s="360">
        <v>23</v>
      </c>
      <c r="Y2090" s="360" t="s">
        <v>44</v>
      </c>
      <c r="Z2090" s="360">
        <v>4</v>
      </c>
      <c r="AA2090" s="360">
        <v>207</v>
      </c>
      <c r="AB2090" s="360">
        <v>1.9</v>
      </c>
    </row>
    <row r="2091" spans="10:28" x14ac:dyDescent="0.2">
      <c r="J2091" s="358" t="str">
        <f t="shared" si="110"/>
        <v>2007AllSexNon-Maori233</v>
      </c>
      <c r="K2091" s="359">
        <v>2007</v>
      </c>
      <c r="L2091" t="s">
        <v>17</v>
      </c>
      <c r="M2091" t="s">
        <v>19</v>
      </c>
      <c r="N2091">
        <v>23</v>
      </c>
      <c r="O2091">
        <v>3</v>
      </c>
      <c r="P2091">
        <v>34</v>
      </c>
      <c r="Q2091">
        <v>15.8114108373465</v>
      </c>
      <c r="R2091">
        <v>5.3</v>
      </c>
      <c r="T2091" s="358" t="str">
        <f t="shared" si="111"/>
        <v>2006AllSexAllEth24Jumping from a high place</v>
      </c>
      <c r="U2091" s="360">
        <v>2006</v>
      </c>
      <c r="V2091" s="360" t="s">
        <v>17</v>
      </c>
      <c r="W2091" s="360" t="s">
        <v>27</v>
      </c>
      <c r="X2091" s="360">
        <v>24</v>
      </c>
      <c r="Y2091" s="360" t="s">
        <v>44</v>
      </c>
      <c r="Z2091" s="360">
        <v>1</v>
      </c>
      <c r="AA2091" s="360">
        <v>141</v>
      </c>
      <c r="AB2091" s="360">
        <v>0.7</v>
      </c>
    </row>
    <row r="2092" spans="10:28" x14ac:dyDescent="0.2">
      <c r="J2092" s="358" t="str">
        <f t="shared" si="110"/>
        <v>2007AllSexNon-Maori234</v>
      </c>
      <c r="K2092" s="359">
        <v>2007</v>
      </c>
      <c r="L2092" t="s">
        <v>17</v>
      </c>
      <c r="M2092" t="s">
        <v>19</v>
      </c>
      <c r="N2092">
        <v>23</v>
      </c>
      <c r="O2092">
        <v>4</v>
      </c>
      <c r="P2092">
        <v>35</v>
      </c>
      <c r="Q2092">
        <v>17.762446576773399</v>
      </c>
      <c r="R2092">
        <v>5.9</v>
      </c>
      <c r="T2092" s="358" t="str">
        <f t="shared" si="111"/>
        <v>2006AllSexAllEth25Jumping from a high place</v>
      </c>
      <c r="U2092" s="360">
        <v>2006</v>
      </c>
      <c r="V2092" s="360" t="s">
        <v>17</v>
      </c>
      <c r="W2092" s="360" t="s">
        <v>27</v>
      </c>
      <c r="X2092" s="360">
        <v>25</v>
      </c>
      <c r="Y2092" s="360" t="s">
        <v>44</v>
      </c>
      <c r="Z2092" s="360">
        <v>2</v>
      </c>
      <c r="AA2092" s="360">
        <v>51</v>
      </c>
      <c r="AB2092" s="360">
        <v>3.9</v>
      </c>
    </row>
    <row r="2093" spans="10:28" x14ac:dyDescent="0.2">
      <c r="J2093" s="358" t="str">
        <f t="shared" si="110"/>
        <v>2007AllSexNon-Maori235</v>
      </c>
      <c r="K2093" s="359">
        <v>2007</v>
      </c>
      <c r="L2093" t="s">
        <v>17</v>
      </c>
      <c r="M2093" t="s">
        <v>19</v>
      </c>
      <c r="N2093">
        <v>23</v>
      </c>
      <c r="O2093">
        <v>5</v>
      </c>
      <c r="P2093">
        <v>34</v>
      </c>
      <c r="Q2093">
        <v>22.0450258366565</v>
      </c>
      <c r="R2093">
        <v>7.4</v>
      </c>
      <c r="T2093" s="358" t="str">
        <f t="shared" si="111"/>
        <v>2006AllSexAllEth22Other</v>
      </c>
      <c r="U2093" s="360">
        <v>2006</v>
      </c>
      <c r="V2093" s="360" t="s">
        <v>17</v>
      </c>
      <c r="W2093" s="360" t="s">
        <v>27</v>
      </c>
      <c r="X2093" s="360">
        <v>22</v>
      </c>
      <c r="Y2093" s="360" t="s">
        <v>45</v>
      </c>
      <c r="Z2093" s="360">
        <v>4</v>
      </c>
      <c r="AA2093" s="360">
        <v>119</v>
      </c>
      <c r="AB2093" s="360">
        <v>3.4</v>
      </c>
    </row>
    <row r="2094" spans="10:28" x14ac:dyDescent="0.2">
      <c r="J2094" s="358" t="str">
        <f t="shared" si="110"/>
        <v>2007AllSexNon-Maori241</v>
      </c>
      <c r="K2094" s="359">
        <v>2007</v>
      </c>
      <c r="L2094" t="s">
        <v>17</v>
      </c>
      <c r="M2094" t="s">
        <v>19</v>
      </c>
      <c r="N2094">
        <v>24</v>
      </c>
      <c r="O2094">
        <v>1</v>
      </c>
      <c r="P2094">
        <v>18</v>
      </c>
      <c r="Q2094">
        <v>7.3272168797743502</v>
      </c>
      <c r="R2094">
        <v>3.4</v>
      </c>
      <c r="T2094" s="358" t="str">
        <f t="shared" si="111"/>
        <v>2006AllSexAllEth23Other</v>
      </c>
      <c r="U2094" s="360">
        <v>2006</v>
      </c>
      <c r="V2094" s="360" t="s">
        <v>17</v>
      </c>
      <c r="W2094" s="360" t="s">
        <v>27</v>
      </c>
      <c r="X2094" s="360">
        <v>23</v>
      </c>
      <c r="Y2094" s="360" t="s">
        <v>45</v>
      </c>
      <c r="Z2094" s="360">
        <v>9</v>
      </c>
      <c r="AA2094" s="360">
        <v>207</v>
      </c>
      <c r="AB2094" s="360">
        <v>4.3</v>
      </c>
    </row>
    <row r="2095" spans="10:28" x14ac:dyDescent="0.2">
      <c r="J2095" s="358" t="str">
        <f t="shared" si="110"/>
        <v>2007AllSexNon-Maori242</v>
      </c>
      <c r="K2095" s="359">
        <v>2007</v>
      </c>
      <c r="L2095" t="s">
        <v>17</v>
      </c>
      <c r="M2095" t="s">
        <v>19</v>
      </c>
      <c r="N2095">
        <v>24</v>
      </c>
      <c r="O2095">
        <v>2</v>
      </c>
      <c r="P2095">
        <v>22</v>
      </c>
      <c r="Q2095">
        <v>10.352897098554299</v>
      </c>
      <c r="R2095">
        <v>4.3</v>
      </c>
      <c r="T2095" s="358" t="str">
        <f t="shared" si="111"/>
        <v>2006AllSexAllEth24Other</v>
      </c>
      <c r="U2095" s="360">
        <v>2006</v>
      </c>
      <c r="V2095" s="360" t="s">
        <v>17</v>
      </c>
      <c r="W2095" s="360" t="s">
        <v>27</v>
      </c>
      <c r="X2095" s="360">
        <v>24</v>
      </c>
      <c r="Y2095" s="360" t="s">
        <v>45</v>
      </c>
      <c r="Z2095" s="360">
        <v>5</v>
      </c>
      <c r="AA2095" s="360">
        <v>141</v>
      </c>
      <c r="AB2095" s="360">
        <v>3.5</v>
      </c>
    </row>
    <row r="2096" spans="10:28" x14ac:dyDescent="0.2">
      <c r="J2096" s="358" t="str">
        <f t="shared" si="110"/>
        <v>2007AllSexNon-Maori243</v>
      </c>
      <c r="K2096" s="359">
        <v>2007</v>
      </c>
      <c r="L2096" t="s">
        <v>17</v>
      </c>
      <c r="M2096" t="s">
        <v>19</v>
      </c>
      <c r="N2096">
        <v>24</v>
      </c>
      <c r="O2096">
        <v>3</v>
      </c>
      <c r="P2096">
        <v>34</v>
      </c>
      <c r="Q2096">
        <v>18.3741442659563</v>
      </c>
      <c r="R2096">
        <v>6.2</v>
      </c>
      <c r="T2096" s="358" t="str">
        <f t="shared" si="111"/>
        <v>2006AllSexAllEth25Other</v>
      </c>
      <c r="U2096" s="360">
        <v>2006</v>
      </c>
      <c r="V2096" s="360" t="s">
        <v>17</v>
      </c>
      <c r="W2096" s="360" t="s">
        <v>27</v>
      </c>
      <c r="X2096" s="360">
        <v>25</v>
      </c>
      <c r="Y2096" s="360" t="s">
        <v>45</v>
      </c>
      <c r="Z2096" s="360">
        <v>4</v>
      </c>
      <c r="AA2096" s="360">
        <v>51</v>
      </c>
      <c r="AB2096" s="360">
        <v>7.8</v>
      </c>
    </row>
    <row r="2097" spans="10:28" x14ac:dyDescent="0.2">
      <c r="J2097" s="358" t="str">
        <f t="shared" si="110"/>
        <v>2007AllSexNon-Maori244</v>
      </c>
      <c r="K2097" s="359">
        <v>2007</v>
      </c>
      <c r="L2097" t="s">
        <v>17</v>
      </c>
      <c r="M2097" t="s">
        <v>19</v>
      </c>
      <c r="N2097">
        <v>24</v>
      </c>
      <c r="O2097">
        <v>4</v>
      </c>
      <c r="P2097">
        <v>29</v>
      </c>
      <c r="Q2097">
        <v>18.162306085007302</v>
      </c>
      <c r="R2097">
        <v>6.6</v>
      </c>
      <c r="T2097" s="358" t="str">
        <f t="shared" si="111"/>
        <v>2006AllSexAllEth22Poisoning by gases and vapours</v>
      </c>
      <c r="U2097" s="360">
        <v>2006</v>
      </c>
      <c r="V2097" s="360" t="s">
        <v>17</v>
      </c>
      <c r="W2097" s="360" t="s">
        <v>27</v>
      </c>
      <c r="X2097" s="360">
        <v>22</v>
      </c>
      <c r="Y2097" s="360" t="s">
        <v>46</v>
      </c>
      <c r="Z2097" s="360">
        <v>12</v>
      </c>
      <c r="AA2097" s="360">
        <v>119</v>
      </c>
      <c r="AB2097" s="360">
        <v>10.1</v>
      </c>
    </row>
    <row r="2098" spans="10:28" x14ac:dyDescent="0.2">
      <c r="J2098" s="358" t="str">
        <f t="shared" si="110"/>
        <v>2007AllSexNon-Maori245</v>
      </c>
      <c r="K2098" s="359">
        <v>2007</v>
      </c>
      <c r="L2098" t="s">
        <v>17</v>
      </c>
      <c r="M2098" t="s">
        <v>19</v>
      </c>
      <c r="N2098">
        <v>24</v>
      </c>
      <c r="O2098">
        <v>5</v>
      </c>
      <c r="P2098">
        <v>19</v>
      </c>
      <c r="Q2098">
        <v>15.862987900948299</v>
      </c>
      <c r="R2098">
        <v>7.1</v>
      </c>
      <c r="T2098" s="358" t="str">
        <f t="shared" si="111"/>
        <v>2006AllSexAllEth23Poisoning by gases and vapours</v>
      </c>
      <c r="U2098" s="360">
        <v>2006</v>
      </c>
      <c r="V2098" s="360" t="s">
        <v>17</v>
      </c>
      <c r="W2098" s="360" t="s">
        <v>27</v>
      </c>
      <c r="X2098" s="360">
        <v>23</v>
      </c>
      <c r="Y2098" s="360" t="s">
        <v>46</v>
      </c>
      <c r="Z2098" s="360">
        <v>33</v>
      </c>
      <c r="AA2098" s="360">
        <v>207</v>
      </c>
      <c r="AB2098" s="360">
        <v>15.9</v>
      </c>
    </row>
    <row r="2099" spans="10:28" x14ac:dyDescent="0.2">
      <c r="J2099" s="358" t="str">
        <f t="shared" si="110"/>
        <v>2007AllSexNon-Maori251</v>
      </c>
      <c r="K2099" s="359">
        <v>2007</v>
      </c>
      <c r="L2099" t="s">
        <v>17</v>
      </c>
      <c r="M2099" t="s">
        <v>19</v>
      </c>
      <c r="N2099">
        <v>25</v>
      </c>
      <c r="O2099">
        <v>1</v>
      </c>
      <c r="P2099">
        <v>9</v>
      </c>
      <c r="Q2099">
        <v>8.9742263168178802</v>
      </c>
      <c r="R2099">
        <v>5.9</v>
      </c>
      <c r="T2099" s="358" t="str">
        <f t="shared" si="111"/>
        <v>2006AllSexAllEth24Poisoning by gases and vapours</v>
      </c>
      <c r="U2099" s="360">
        <v>2006</v>
      </c>
      <c r="V2099" s="360" t="s">
        <v>17</v>
      </c>
      <c r="W2099" s="360" t="s">
        <v>27</v>
      </c>
      <c r="X2099" s="360">
        <v>24</v>
      </c>
      <c r="Y2099" s="360" t="s">
        <v>46</v>
      </c>
      <c r="Z2099" s="360">
        <v>30</v>
      </c>
      <c r="AA2099" s="360">
        <v>141</v>
      </c>
      <c r="AB2099" s="360">
        <v>21.3</v>
      </c>
    </row>
    <row r="2100" spans="10:28" x14ac:dyDescent="0.2">
      <c r="J2100" s="358" t="str">
        <f t="shared" si="110"/>
        <v>2007AllSexNon-Maori252</v>
      </c>
      <c r="K2100" s="359">
        <v>2007</v>
      </c>
      <c r="L2100" t="s">
        <v>17</v>
      </c>
      <c r="M2100" t="s">
        <v>19</v>
      </c>
      <c r="N2100">
        <v>25</v>
      </c>
      <c r="O2100">
        <v>2</v>
      </c>
      <c r="P2100">
        <v>10</v>
      </c>
      <c r="Q2100">
        <v>9.4073326894532201</v>
      </c>
      <c r="R2100">
        <v>5.8</v>
      </c>
      <c r="T2100" s="358" t="str">
        <f t="shared" si="111"/>
        <v>2006AllSexAllEth25Poisoning by gases and vapours</v>
      </c>
      <c r="U2100" s="360">
        <v>2006</v>
      </c>
      <c r="V2100" s="360" t="s">
        <v>17</v>
      </c>
      <c r="W2100" s="360" t="s">
        <v>27</v>
      </c>
      <c r="X2100" s="360">
        <v>25</v>
      </c>
      <c r="Y2100" s="360" t="s">
        <v>46</v>
      </c>
      <c r="Z2100" s="360">
        <v>12</v>
      </c>
      <c r="AA2100" s="360">
        <v>51</v>
      </c>
      <c r="AB2100" s="360">
        <v>23.5</v>
      </c>
    </row>
    <row r="2101" spans="10:28" x14ac:dyDescent="0.2">
      <c r="J2101" s="358" t="str">
        <f t="shared" si="110"/>
        <v>2007AllSexNon-Maori253</v>
      </c>
      <c r="K2101" s="359">
        <v>2007</v>
      </c>
      <c r="L2101" t="s">
        <v>17</v>
      </c>
      <c r="M2101" t="s">
        <v>19</v>
      </c>
      <c r="N2101">
        <v>25</v>
      </c>
      <c r="O2101">
        <v>3</v>
      </c>
      <c r="P2101">
        <v>6</v>
      </c>
      <c r="Q2101">
        <v>5.5003888293562797</v>
      </c>
      <c r="R2101">
        <v>4.4000000000000004</v>
      </c>
      <c r="T2101" s="358" t="str">
        <f t="shared" si="111"/>
        <v>2006AllSexAllEth22Poisoning by solids and liquids</v>
      </c>
      <c r="U2101" s="360">
        <v>2006</v>
      </c>
      <c r="V2101" s="360" t="s">
        <v>17</v>
      </c>
      <c r="W2101" s="360" t="s">
        <v>27</v>
      </c>
      <c r="X2101" s="360">
        <v>22</v>
      </c>
      <c r="Y2101" s="360" t="s">
        <v>47</v>
      </c>
      <c r="Z2101" s="360">
        <v>3</v>
      </c>
      <c r="AA2101" s="360">
        <v>119</v>
      </c>
      <c r="AB2101" s="360">
        <v>2.5</v>
      </c>
    </row>
    <row r="2102" spans="10:28" x14ac:dyDescent="0.2">
      <c r="J2102" s="358" t="str">
        <f t="shared" si="110"/>
        <v>2007AllSexNon-Maori254</v>
      </c>
      <c r="K2102" s="359">
        <v>2007</v>
      </c>
      <c r="L2102" t="s">
        <v>17</v>
      </c>
      <c r="M2102" t="s">
        <v>19</v>
      </c>
      <c r="N2102">
        <v>25</v>
      </c>
      <c r="O2102">
        <v>4</v>
      </c>
      <c r="P2102">
        <v>15</v>
      </c>
      <c r="Q2102">
        <v>14.015795748509101</v>
      </c>
      <c r="R2102">
        <v>7.1</v>
      </c>
      <c r="T2102" s="358" t="str">
        <f t="shared" si="111"/>
        <v>2006AllSexAllEth23Poisoning by solids and liquids</v>
      </c>
      <c r="U2102" s="360">
        <v>2006</v>
      </c>
      <c r="V2102" s="360" t="s">
        <v>17</v>
      </c>
      <c r="W2102" s="360" t="s">
        <v>27</v>
      </c>
      <c r="X2102" s="360">
        <v>23</v>
      </c>
      <c r="Y2102" s="360" t="s">
        <v>47</v>
      </c>
      <c r="Z2102" s="360">
        <v>21</v>
      </c>
      <c r="AA2102" s="360">
        <v>207</v>
      </c>
      <c r="AB2102" s="360">
        <v>10.1</v>
      </c>
    </row>
    <row r="2103" spans="10:28" x14ac:dyDescent="0.2">
      <c r="J2103" s="358" t="str">
        <f t="shared" si="110"/>
        <v>2007AllSexNon-Maori255</v>
      </c>
      <c r="K2103" s="359">
        <v>2007</v>
      </c>
      <c r="L2103" t="s">
        <v>17</v>
      </c>
      <c r="M2103" t="s">
        <v>19</v>
      </c>
      <c r="N2103">
        <v>25</v>
      </c>
      <c r="O2103">
        <v>5</v>
      </c>
      <c r="P2103">
        <v>8</v>
      </c>
      <c r="Q2103">
        <v>10.564202141182401</v>
      </c>
      <c r="R2103">
        <v>7.3</v>
      </c>
      <c r="T2103" s="358" t="str">
        <f t="shared" si="111"/>
        <v>2006AllSexAllEth24Poisoning by solids and liquids</v>
      </c>
      <c r="U2103" s="360">
        <v>2006</v>
      </c>
      <c r="V2103" s="360" t="s">
        <v>17</v>
      </c>
      <c r="W2103" s="360" t="s">
        <v>27</v>
      </c>
      <c r="X2103" s="360">
        <v>24</v>
      </c>
      <c r="Y2103" s="360" t="s">
        <v>47</v>
      </c>
      <c r="Z2103" s="360">
        <v>21</v>
      </c>
      <c r="AA2103" s="360">
        <v>141</v>
      </c>
      <c r="AB2103" s="360">
        <v>14.9</v>
      </c>
    </row>
    <row r="2104" spans="10:28" x14ac:dyDescent="0.2">
      <c r="J2104" s="358" t="str">
        <f t="shared" si="110"/>
        <v>2007FemaleAllEth211</v>
      </c>
      <c r="K2104" s="359">
        <v>2007</v>
      </c>
      <c r="L2104" t="s">
        <v>8</v>
      </c>
      <c r="M2104" t="s">
        <v>27</v>
      </c>
      <c r="N2104">
        <v>21</v>
      </c>
      <c r="O2104">
        <v>1</v>
      </c>
      <c r="P2104">
        <v>0</v>
      </c>
      <c r="T2104" s="358" t="str">
        <f t="shared" si="111"/>
        <v>2006AllSexAllEth25Poisoning by solids and liquids</v>
      </c>
      <c r="U2104" s="360">
        <v>2006</v>
      </c>
      <c r="V2104" s="360" t="s">
        <v>17</v>
      </c>
      <c r="W2104" s="360" t="s">
        <v>27</v>
      </c>
      <c r="X2104" s="360">
        <v>25</v>
      </c>
      <c r="Y2104" s="360" t="s">
        <v>47</v>
      </c>
      <c r="Z2104" s="360">
        <v>4</v>
      </c>
      <c r="AA2104" s="360">
        <v>51</v>
      </c>
      <c r="AB2104" s="360">
        <v>7.8</v>
      </c>
    </row>
    <row r="2105" spans="10:28" x14ac:dyDescent="0.2">
      <c r="J2105" s="358" t="str">
        <f t="shared" si="110"/>
        <v>2007FemaleAllEth212</v>
      </c>
      <c r="K2105" s="359">
        <v>2007</v>
      </c>
      <c r="L2105" t="s">
        <v>8</v>
      </c>
      <c r="M2105" t="s">
        <v>27</v>
      </c>
      <c r="N2105">
        <v>21</v>
      </c>
      <c r="O2105">
        <v>2</v>
      </c>
      <c r="P2105">
        <v>0</v>
      </c>
      <c r="T2105" s="358" t="str">
        <f t="shared" si="111"/>
        <v>2006AllSexAllEth22Sharp object</v>
      </c>
      <c r="U2105" s="360">
        <v>2006</v>
      </c>
      <c r="V2105" s="360" t="s">
        <v>17</v>
      </c>
      <c r="W2105" s="360" t="s">
        <v>27</v>
      </c>
      <c r="X2105" s="360">
        <v>22</v>
      </c>
      <c r="Y2105" s="360" t="s">
        <v>48</v>
      </c>
      <c r="Z2105" s="360">
        <v>1</v>
      </c>
      <c r="AA2105" s="360">
        <v>119</v>
      </c>
      <c r="AB2105" s="360">
        <v>0.8</v>
      </c>
    </row>
    <row r="2106" spans="10:28" x14ac:dyDescent="0.2">
      <c r="J2106" s="358" t="str">
        <f t="shared" si="110"/>
        <v>2007FemaleAllEth213</v>
      </c>
      <c r="K2106" s="359">
        <v>2007</v>
      </c>
      <c r="L2106" t="s">
        <v>8</v>
      </c>
      <c r="M2106" t="s">
        <v>27</v>
      </c>
      <c r="N2106">
        <v>21</v>
      </c>
      <c r="O2106">
        <v>3</v>
      </c>
      <c r="P2106">
        <v>0</v>
      </c>
      <c r="T2106" s="358" t="str">
        <f t="shared" si="111"/>
        <v>2006AllSexAllEth23Sharp object</v>
      </c>
      <c r="U2106" s="360">
        <v>2006</v>
      </c>
      <c r="V2106" s="360" t="s">
        <v>17</v>
      </c>
      <c r="W2106" s="360" t="s">
        <v>27</v>
      </c>
      <c r="X2106" s="360">
        <v>23</v>
      </c>
      <c r="Y2106" s="360" t="s">
        <v>48</v>
      </c>
      <c r="Z2106" s="360">
        <v>7</v>
      </c>
      <c r="AA2106" s="360">
        <v>207</v>
      </c>
      <c r="AB2106" s="360">
        <v>3.4</v>
      </c>
    </row>
    <row r="2107" spans="10:28" x14ac:dyDescent="0.2">
      <c r="J2107" s="358" t="str">
        <f t="shared" si="110"/>
        <v>2007FemaleAllEth214</v>
      </c>
      <c r="K2107" s="359">
        <v>2007</v>
      </c>
      <c r="L2107" t="s">
        <v>8</v>
      </c>
      <c r="M2107" t="s">
        <v>27</v>
      </c>
      <c r="N2107">
        <v>21</v>
      </c>
      <c r="O2107">
        <v>4</v>
      </c>
      <c r="P2107">
        <v>0</v>
      </c>
      <c r="T2107" s="358" t="str">
        <f t="shared" si="111"/>
        <v>2006AllSexAllEth24Sharp object</v>
      </c>
      <c r="U2107" s="360">
        <v>2006</v>
      </c>
      <c r="V2107" s="360" t="s">
        <v>17</v>
      </c>
      <c r="W2107" s="360" t="s">
        <v>27</v>
      </c>
      <c r="X2107" s="360">
        <v>24</v>
      </c>
      <c r="Y2107" s="360" t="s">
        <v>48</v>
      </c>
      <c r="Z2107" s="360">
        <v>3</v>
      </c>
      <c r="AA2107" s="360">
        <v>141</v>
      </c>
      <c r="AB2107" s="360">
        <v>2.1</v>
      </c>
    </row>
    <row r="2108" spans="10:28" x14ac:dyDescent="0.2">
      <c r="J2108" s="358" t="str">
        <f t="shared" si="110"/>
        <v>2007FemaleAllEth215</v>
      </c>
      <c r="K2108" s="359">
        <v>2007</v>
      </c>
      <c r="L2108" t="s">
        <v>8</v>
      </c>
      <c r="M2108" t="s">
        <v>27</v>
      </c>
      <c r="N2108">
        <v>21</v>
      </c>
      <c r="O2108">
        <v>5</v>
      </c>
      <c r="P2108">
        <v>1</v>
      </c>
      <c r="T2108" s="358" t="str">
        <f t="shared" si="111"/>
        <v>2006AllSexAllEth25Sharp object</v>
      </c>
      <c r="U2108" s="360">
        <v>2006</v>
      </c>
      <c r="V2108" s="360" t="s">
        <v>17</v>
      </c>
      <c r="W2108" s="360" t="s">
        <v>27</v>
      </c>
      <c r="X2108" s="360">
        <v>25</v>
      </c>
      <c r="Y2108" s="360" t="s">
        <v>48</v>
      </c>
      <c r="Z2108" s="360">
        <v>2</v>
      </c>
      <c r="AA2108" s="360">
        <v>51</v>
      </c>
      <c r="AB2108" s="360">
        <v>3.9</v>
      </c>
    </row>
    <row r="2109" spans="10:28" x14ac:dyDescent="0.2">
      <c r="J2109" s="358" t="str">
        <f t="shared" si="110"/>
        <v>2007FemaleAllEth221</v>
      </c>
      <c r="K2109" s="359">
        <v>2007</v>
      </c>
      <c r="L2109" t="s">
        <v>8</v>
      </c>
      <c r="M2109" t="s">
        <v>27</v>
      </c>
      <c r="N2109">
        <v>22</v>
      </c>
      <c r="O2109">
        <v>1</v>
      </c>
      <c r="P2109">
        <v>2</v>
      </c>
      <c r="Q2109">
        <v>4.0905035536096799</v>
      </c>
      <c r="R2109">
        <v>5.7</v>
      </c>
      <c r="T2109" s="358" t="str">
        <f t="shared" si="111"/>
        <v>2006AllSexAllEth22Submersion (drowning)</v>
      </c>
      <c r="U2109" s="360">
        <v>2006</v>
      </c>
      <c r="V2109" s="360" t="s">
        <v>17</v>
      </c>
      <c r="W2109" s="360" t="s">
        <v>27</v>
      </c>
      <c r="X2109" s="360">
        <v>22</v>
      </c>
      <c r="Y2109" s="360" t="s">
        <v>49</v>
      </c>
      <c r="Z2109" s="360">
        <v>1</v>
      </c>
      <c r="AA2109" s="360">
        <v>119</v>
      </c>
      <c r="AB2109" s="360">
        <v>0.8</v>
      </c>
    </row>
    <row r="2110" spans="10:28" x14ac:dyDescent="0.2">
      <c r="J2110" s="358" t="str">
        <f t="shared" si="110"/>
        <v>2007FemaleAllEth222</v>
      </c>
      <c r="K2110" s="359">
        <v>2007</v>
      </c>
      <c r="L2110" t="s">
        <v>8</v>
      </c>
      <c r="M2110" t="s">
        <v>27</v>
      </c>
      <c r="N2110">
        <v>22</v>
      </c>
      <c r="O2110">
        <v>2</v>
      </c>
      <c r="P2110">
        <v>3</v>
      </c>
      <c r="Q2110">
        <v>5.7259584861502404</v>
      </c>
      <c r="R2110">
        <v>6.5</v>
      </c>
      <c r="T2110" s="358" t="str">
        <f t="shared" si="111"/>
        <v>2006AllSexAllEth23Submersion (drowning)</v>
      </c>
      <c r="U2110" s="360">
        <v>2006</v>
      </c>
      <c r="V2110" s="360" t="s">
        <v>17</v>
      </c>
      <c r="W2110" s="360" t="s">
        <v>27</v>
      </c>
      <c r="X2110" s="360">
        <v>23</v>
      </c>
      <c r="Y2110" s="360" t="s">
        <v>49</v>
      </c>
      <c r="Z2110" s="360">
        <v>2</v>
      </c>
      <c r="AA2110" s="360">
        <v>207</v>
      </c>
      <c r="AB2110" s="360">
        <v>1</v>
      </c>
    </row>
    <row r="2111" spans="10:28" x14ac:dyDescent="0.2">
      <c r="J2111" s="358" t="str">
        <f t="shared" si="110"/>
        <v>2007FemaleAllEth223</v>
      </c>
      <c r="K2111" s="359">
        <v>2007</v>
      </c>
      <c r="L2111" t="s">
        <v>8</v>
      </c>
      <c r="M2111" t="s">
        <v>27</v>
      </c>
      <c r="N2111">
        <v>22</v>
      </c>
      <c r="O2111">
        <v>3</v>
      </c>
      <c r="P2111">
        <v>7</v>
      </c>
      <c r="Q2111">
        <v>12.147655043612399</v>
      </c>
      <c r="R2111">
        <v>9</v>
      </c>
      <c r="T2111" s="358" t="str">
        <f t="shared" si="111"/>
        <v>2006AllSexAllEth24Submersion (drowning)</v>
      </c>
      <c r="U2111" s="360">
        <v>2006</v>
      </c>
      <c r="V2111" s="360" t="s">
        <v>17</v>
      </c>
      <c r="W2111" s="360" t="s">
        <v>27</v>
      </c>
      <c r="X2111" s="360">
        <v>24</v>
      </c>
      <c r="Y2111" s="360" t="s">
        <v>49</v>
      </c>
      <c r="Z2111" s="360">
        <v>4</v>
      </c>
      <c r="AA2111" s="360">
        <v>141</v>
      </c>
      <c r="AB2111" s="360">
        <v>2.8</v>
      </c>
    </row>
    <row r="2112" spans="10:28" x14ac:dyDescent="0.2">
      <c r="J2112" s="358" t="str">
        <f t="shared" si="110"/>
        <v>2007FemaleAllEth224</v>
      </c>
      <c r="K2112" s="359">
        <v>2007</v>
      </c>
      <c r="L2112" t="s">
        <v>8</v>
      </c>
      <c r="M2112" t="s">
        <v>27</v>
      </c>
      <c r="N2112">
        <v>22</v>
      </c>
      <c r="O2112">
        <v>4</v>
      </c>
      <c r="P2112">
        <v>5</v>
      </c>
      <c r="Q2112">
        <v>7.7604419491821899</v>
      </c>
      <c r="R2112">
        <v>6.8</v>
      </c>
      <c r="T2112" s="358" t="str">
        <f t="shared" si="111"/>
        <v>2006AllSexAllEth25Submersion (drowning)</v>
      </c>
      <c r="U2112" s="360">
        <v>2006</v>
      </c>
      <c r="V2112" s="360" t="s">
        <v>17</v>
      </c>
      <c r="W2112" s="360" t="s">
        <v>27</v>
      </c>
      <c r="X2112" s="360">
        <v>25</v>
      </c>
      <c r="Y2112" s="360" t="s">
        <v>49</v>
      </c>
      <c r="Z2112" s="360">
        <v>2</v>
      </c>
      <c r="AA2112" s="360">
        <v>51</v>
      </c>
      <c r="AB2112" s="360">
        <v>3.9</v>
      </c>
    </row>
    <row r="2113" spans="10:28" x14ac:dyDescent="0.2">
      <c r="J2113" s="358" t="str">
        <f t="shared" si="110"/>
        <v>2007FemaleAllEth225</v>
      </c>
      <c r="K2113" s="359">
        <v>2007</v>
      </c>
      <c r="L2113" t="s">
        <v>8</v>
      </c>
      <c r="M2113" t="s">
        <v>27</v>
      </c>
      <c r="N2113">
        <v>22</v>
      </c>
      <c r="O2113">
        <v>5</v>
      </c>
      <c r="P2113">
        <v>6</v>
      </c>
      <c r="Q2113">
        <v>7.7750744929985398</v>
      </c>
      <c r="R2113">
        <v>6.2</v>
      </c>
      <c r="T2113" s="358" t="str">
        <f t="shared" si="111"/>
        <v>2006AllSexMaori23Firearms and explosives</v>
      </c>
      <c r="U2113" s="360">
        <v>2006</v>
      </c>
      <c r="V2113" s="360" t="s">
        <v>17</v>
      </c>
      <c r="W2113" s="360" t="s">
        <v>18</v>
      </c>
      <c r="X2113" s="360">
        <v>23</v>
      </c>
      <c r="Y2113" s="360" t="s">
        <v>42</v>
      </c>
      <c r="Z2113" s="360">
        <v>5</v>
      </c>
      <c r="AA2113" s="360">
        <v>54</v>
      </c>
      <c r="AB2113" s="360">
        <v>9.3000000000000007</v>
      </c>
    </row>
    <row r="2114" spans="10:28" x14ac:dyDescent="0.2">
      <c r="J2114" s="358" t="str">
        <f t="shared" si="110"/>
        <v>2007FemaleAllEth231</v>
      </c>
      <c r="K2114" s="359">
        <v>2007</v>
      </c>
      <c r="L2114" t="s">
        <v>8</v>
      </c>
      <c r="M2114" t="s">
        <v>27</v>
      </c>
      <c r="N2114">
        <v>23</v>
      </c>
      <c r="O2114">
        <v>1</v>
      </c>
      <c r="P2114">
        <v>6</v>
      </c>
      <c r="Q2114">
        <v>4.9466176206989498</v>
      </c>
      <c r="R2114">
        <v>4</v>
      </c>
      <c r="T2114" s="358" t="str">
        <f t="shared" si="111"/>
        <v>2006AllSexMaori24Firearms and explosives</v>
      </c>
      <c r="U2114" s="360">
        <v>2006</v>
      </c>
      <c r="V2114" s="360" t="s">
        <v>17</v>
      </c>
      <c r="W2114" s="360" t="s">
        <v>18</v>
      </c>
      <c r="X2114" s="360">
        <v>24</v>
      </c>
      <c r="Y2114" s="360" t="s">
        <v>42</v>
      </c>
      <c r="Z2114" s="360">
        <v>1</v>
      </c>
      <c r="AA2114" s="360">
        <v>12</v>
      </c>
      <c r="AB2114" s="360">
        <v>8.3000000000000007</v>
      </c>
    </row>
    <row r="2115" spans="10:28" x14ac:dyDescent="0.2">
      <c r="J2115" s="358" t="str">
        <f t="shared" si="110"/>
        <v>2007FemaleAllEth232</v>
      </c>
      <c r="K2115" s="359">
        <v>2007</v>
      </c>
      <c r="L2115" t="s">
        <v>8</v>
      </c>
      <c r="M2115" t="s">
        <v>27</v>
      </c>
      <c r="N2115">
        <v>23</v>
      </c>
      <c r="O2115">
        <v>2</v>
      </c>
      <c r="P2115">
        <v>11</v>
      </c>
      <c r="Q2115">
        <v>8.7285265156838499</v>
      </c>
      <c r="R2115">
        <v>5.2</v>
      </c>
      <c r="T2115" s="358" t="str">
        <f t="shared" si="111"/>
        <v>2006AllSexMaori21Hanging, strangulation and suffocation</v>
      </c>
      <c r="U2115" s="360">
        <v>2006</v>
      </c>
      <c r="V2115" s="360" t="s">
        <v>17</v>
      </c>
      <c r="W2115" s="360" t="s">
        <v>18</v>
      </c>
      <c r="X2115" s="360">
        <v>21</v>
      </c>
      <c r="Y2115" s="360" t="s">
        <v>43</v>
      </c>
      <c r="Z2115" s="360">
        <v>4</v>
      </c>
      <c r="AA2115" s="360">
        <v>4</v>
      </c>
      <c r="AB2115" s="360">
        <v>100</v>
      </c>
    </row>
    <row r="2116" spans="10:28" x14ac:dyDescent="0.2">
      <c r="J2116" s="358" t="str">
        <f t="shared" ref="J2116:J2179" si="112">K2116&amp;L2116&amp;M2116&amp;N2116&amp;O2116</f>
        <v>2007FemaleAllEth233</v>
      </c>
      <c r="K2116" s="359">
        <v>2007</v>
      </c>
      <c r="L2116" t="s">
        <v>8</v>
      </c>
      <c r="M2116" t="s">
        <v>27</v>
      </c>
      <c r="N2116">
        <v>23</v>
      </c>
      <c r="O2116">
        <v>3</v>
      </c>
      <c r="P2116">
        <v>9</v>
      </c>
      <c r="Q2116">
        <v>7.2100150813369703</v>
      </c>
      <c r="R2116">
        <v>4.7</v>
      </c>
      <c r="T2116" s="358" t="str">
        <f t="shared" si="111"/>
        <v>2006AllSexMaori22Hanging, strangulation and suffocation</v>
      </c>
      <c r="U2116" s="360">
        <v>2006</v>
      </c>
      <c r="V2116" s="360" t="s">
        <v>17</v>
      </c>
      <c r="W2116" s="360" t="s">
        <v>18</v>
      </c>
      <c r="X2116" s="360">
        <v>22</v>
      </c>
      <c r="Y2116" s="360" t="s">
        <v>43</v>
      </c>
      <c r="Z2116" s="360">
        <v>36</v>
      </c>
      <c r="AA2116" s="360">
        <v>37</v>
      </c>
      <c r="AB2116" s="360">
        <v>97.3</v>
      </c>
    </row>
    <row r="2117" spans="10:28" x14ac:dyDescent="0.2">
      <c r="J2117" s="358" t="str">
        <f t="shared" si="112"/>
        <v>2007FemaleAllEth234</v>
      </c>
      <c r="K2117" s="359">
        <v>2007</v>
      </c>
      <c r="L2117" t="s">
        <v>8</v>
      </c>
      <c r="M2117" t="s">
        <v>27</v>
      </c>
      <c r="N2117">
        <v>23</v>
      </c>
      <c r="O2117">
        <v>4</v>
      </c>
      <c r="P2117">
        <v>8</v>
      </c>
      <c r="Q2117">
        <v>6.5399292798158699</v>
      </c>
      <c r="R2117">
        <v>4.5</v>
      </c>
      <c r="T2117" s="358" t="str">
        <f t="shared" ref="T2117:T2180" si="113">U2117&amp;V2117&amp;W2117&amp;X2117&amp;Y2117</f>
        <v>2006AllSexMaori23Hanging, strangulation and suffocation</v>
      </c>
      <c r="U2117" s="360">
        <v>2006</v>
      </c>
      <c r="V2117" s="360" t="s">
        <v>17</v>
      </c>
      <c r="W2117" s="360" t="s">
        <v>18</v>
      </c>
      <c r="X2117" s="360">
        <v>23</v>
      </c>
      <c r="Y2117" s="360" t="s">
        <v>43</v>
      </c>
      <c r="Z2117" s="360">
        <v>36</v>
      </c>
      <c r="AA2117" s="360">
        <v>54</v>
      </c>
      <c r="AB2117" s="360">
        <v>66.7</v>
      </c>
    </row>
    <row r="2118" spans="10:28" x14ac:dyDescent="0.2">
      <c r="J2118" s="358" t="str">
        <f t="shared" si="112"/>
        <v>2007FemaleAllEth235</v>
      </c>
      <c r="K2118" s="359">
        <v>2007</v>
      </c>
      <c r="L2118" t="s">
        <v>8</v>
      </c>
      <c r="M2118" t="s">
        <v>27</v>
      </c>
      <c r="N2118">
        <v>23</v>
      </c>
      <c r="O2118">
        <v>5</v>
      </c>
      <c r="P2118">
        <v>13</v>
      </c>
      <c r="Q2118">
        <v>11.1235100456199</v>
      </c>
      <c r="R2118">
        <v>6</v>
      </c>
      <c r="T2118" s="358" t="str">
        <f t="shared" si="113"/>
        <v>2006AllSexMaori24Hanging, strangulation and suffocation</v>
      </c>
      <c r="U2118" s="360">
        <v>2006</v>
      </c>
      <c r="V2118" s="360" t="s">
        <v>17</v>
      </c>
      <c r="W2118" s="360" t="s">
        <v>18</v>
      </c>
      <c r="X2118" s="360">
        <v>24</v>
      </c>
      <c r="Y2118" s="360" t="s">
        <v>43</v>
      </c>
      <c r="Z2118" s="360">
        <v>5</v>
      </c>
      <c r="AA2118" s="360">
        <v>12</v>
      </c>
      <c r="AB2118" s="360">
        <v>41.7</v>
      </c>
    </row>
    <row r="2119" spans="10:28" x14ac:dyDescent="0.2">
      <c r="J2119" s="358" t="str">
        <f t="shared" si="112"/>
        <v>2007FemaleAllEth241</v>
      </c>
      <c r="K2119" s="359">
        <v>2007</v>
      </c>
      <c r="L2119" t="s">
        <v>8</v>
      </c>
      <c r="M2119" t="s">
        <v>27</v>
      </c>
      <c r="N2119">
        <v>24</v>
      </c>
      <c r="O2119">
        <v>1</v>
      </c>
      <c r="P2119">
        <v>6</v>
      </c>
      <c r="Q2119">
        <v>4.7285644763480503</v>
      </c>
      <c r="R2119">
        <v>3.8</v>
      </c>
      <c r="T2119" s="358" t="str">
        <f t="shared" si="113"/>
        <v>2006AllSexMaori23Jumping from a high place</v>
      </c>
      <c r="U2119" s="360">
        <v>2006</v>
      </c>
      <c r="V2119" s="360" t="s">
        <v>17</v>
      </c>
      <c r="W2119" s="360" t="s">
        <v>18</v>
      </c>
      <c r="X2119" s="360">
        <v>23</v>
      </c>
      <c r="Y2119" s="360" t="s">
        <v>44</v>
      </c>
      <c r="Z2119" s="360">
        <v>1</v>
      </c>
      <c r="AA2119" s="360">
        <v>54</v>
      </c>
      <c r="AB2119" s="360">
        <v>1.9</v>
      </c>
    </row>
    <row r="2120" spans="10:28" x14ac:dyDescent="0.2">
      <c r="J2120" s="358" t="str">
        <f t="shared" si="112"/>
        <v>2007FemaleAllEth242</v>
      </c>
      <c r="K2120" s="359">
        <v>2007</v>
      </c>
      <c r="L2120" t="s">
        <v>8</v>
      </c>
      <c r="M2120" t="s">
        <v>27</v>
      </c>
      <c r="N2120">
        <v>24</v>
      </c>
      <c r="O2120">
        <v>2</v>
      </c>
      <c r="P2120">
        <v>6</v>
      </c>
      <c r="Q2120">
        <v>5.30450580544065</v>
      </c>
      <c r="R2120">
        <v>4.2</v>
      </c>
      <c r="T2120" s="358" t="str">
        <f t="shared" si="113"/>
        <v>2006AllSexMaori23Other</v>
      </c>
      <c r="U2120" s="360">
        <v>2006</v>
      </c>
      <c r="V2120" s="360" t="s">
        <v>17</v>
      </c>
      <c r="W2120" s="360" t="s">
        <v>18</v>
      </c>
      <c r="X2120" s="360">
        <v>23</v>
      </c>
      <c r="Y2120" s="360" t="s">
        <v>45</v>
      </c>
      <c r="Z2120" s="360">
        <v>3</v>
      </c>
      <c r="AA2120" s="360">
        <v>54</v>
      </c>
      <c r="AB2120" s="360">
        <v>5.6</v>
      </c>
    </row>
    <row r="2121" spans="10:28" x14ac:dyDescent="0.2">
      <c r="J2121" s="358" t="str">
        <f t="shared" si="112"/>
        <v>2007FemaleAllEth243</v>
      </c>
      <c r="K2121" s="359">
        <v>2007</v>
      </c>
      <c r="L2121" t="s">
        <v>8</v>
      </c>
      <c r="M2121" t="s">
        <v>27</v>
      </c>
      <c r="N2121">
        <v>24</v>
      </c>
      <c r="O2121">
        <v>3</v>
      </c>
      <c r="P2121">
        <v>9</v>
      </c>
      <c r="Q2121">
        <v>8.74240203936791</v>
      </c>
      <c r="R2121">
        <v>5.7</v>
      </c>
      <c r="T2121" s="358" t="str">
        <f t="shared" si="113"/>
        <v>2006AllSexMaori24Other</v>
      </c>
      <c r="U2121" s="360">
        <v>2006</v>
      </c>
      <c r="V2121" s="360" t="s">
        <v>17</v>
      </c>
      <c r="W2121" s="360" t="s">
        <v>18</v>
      </c>
      <c r="X2121" s="360">
        <v>24</v>
      </c>
      <c r="Y2121" s="360" t="s">
        <v>45</v>
      </c>
      <c r="Z2121" s="360">
        <v>1</v>
      </c>
      <c r="AA2121" s="360">
        <v>12</v>
      </c>
      <c r="AB2121" s="360">
        <v>8.3000000000000007</v>
      </c>
    </row>
    <row r="2122" spans="10:28" x14ac:dyDescent="0.2">
      <c r="J2122" s="358" t="str">
        <f t="shared" si="112"/>
        <v>2007FemaleAllEth244</v>
      </c>
      <c r="K2122" s="359">
        <v>2007</v>
      </c>
      <c r="L2122" t="s">
        <v>8</v>
      </c>
      <c r="M2122" t="s">
        <v>27</v>
      </c>
      <c r="N2122">
        <v>24</v>
      </c>
      <c r="O2122">
        <v>4</v>
      </c>
      <c r="P2122">
        <v>8</v>
      </c>
      <c r="Q2122">
        <v>8.4655682046022491</v>
      </c>
      <c r="R2122">
        <v>5.9</v>
      </c>
      <c r="T2122" s="358" t="str">
        <f t="shared" si="113"/>
        <v>2006AllSexMaori22Poisoning by gases and vapours</v>
      </c>
      <c r="U2122" s="360">
        <v>2006</v>
      </c>
      <c r="V2122" s="360" t="s">
        <v>17</v>
      </c>
      <c r="W2122" s="360" t="s">
        <v>18</v>
      </c>
      <c r="X2122" s="360">
        <v>22</v>
      </c>
      <c r="Y2122" s="360" t="s">
        <v>46</v>
      </c>
      <c r="Z2122" s="360">
        <v>1</v>
      </c>
      <c r="AA2122" s="360">
        <v>37</v>
      </c>
      <c r="AB2122" s="360">
        <v>2.7</v>
      </c>
    </row>
    <row r="2123" spans="10:28" x14ac:dyDescent="0.2">
      <c r="J2123" s="358" t="str">
        <f t="shared" si="112"/>
        <v>2007FemaleAllEth245</v>
      </c>
      <c r="K2123" s="359">
        <v>2007</v>
      </c>
      <c r="L2123" t="s">
        <v>8</v>
      </c>
      <c r="M2123" t="s">
        <v>27</v>
      </c>
      <c r="N2123">
        <v>24</v>
      </c>
      <c r="O2123">
        <v>5</v>
      </c>
      <c r="P2123">
        <v>7</v>
      </c>
      <c r="Q2123">
        <v>8.3211264483627794</v>
      </c>
      <c r="R2123">
        <v>6.2</v>
      </c>
      <c r="T2123" s="358" t="str">
        <f t="shared" si="113"/>
        <v>2006AllSexMaori23Poisoning by gases and vapours</v>
      </c>
      <c r="U2123" s="360">
        <v>2006</v>
      </c>
      <c r="V2123" s="360" t="s">
        <v>17</v>
      </c>
      <c r="W2123" s="360" t="s">
        <v>18</v>
      </c>
      <c r="X2123" s="360">
        <v>23</v>
      </c>
      <c r="Y2123" s="360" t="s">
        <v>46</v>
      </c>
      <c r="Z2123" s="360">
        <v>5</v>
      </c>
      <c r="AA2123" s="360">
        <v>54</v>
      </c>
      <c r="AB2123" s="360">
        <v>9.3000000000000007</v>
      </c>
    </row>
    <row r="2124" spans="10:28" x14ac:dyDescent="0.2">
      <c r="J2124" s="358" t="str">
        <f t="shared" si="112"/>
        <v>2007FemaleAllEth251</v>
      </c>
      <c r="K2124" s="359">
        <v>2007</v>
      </c>
      <c r="L2124" t="s">
        <v>8</v>
      </c>
      <c r="M2124" t="s">
        <v>27</v>
      </c>
      <c r="N2124">
        <v>25</v>
      </c>
      <c r="O2124">
        <v>1</v>
      </c>
      <c r="P2124">
        <v>3</v>
      </c>
      <c r="Q2124">
        <v>5.6981667416019297</v>
      </c>
      <c r="R2124">
        <v>6.4</v>
      </c>
      <c r="T2124" s="358" t="str">
        <f t="shared" si="113"/>
        <v>2006AllSexMaori25Poisoning by gases and vapours</v>
      </c>
      <c r="U2124" s="360">
        <v>2006</v>
      </c>
      <c r="V2124" s="360" t="s">
        <v>17</v>
      </c>
      <c r="W2124" s="360" t="s">
        <v>18</v>
      </c>
      <c r="X2124" s="360">
        <v>25</v>
      </c>
      <c r="Y2124" s="360" t="s">
        <v>46</v>
      </c>
      <c r="Z2124" s="360">
        <v>1</v>
      </c>
      <c r="AA2124" s="360">
        <v>1</v>
      </c>
      <c r="AB2124" s="360">
        <v>100</v>
      </c>
    </row>
    <row r="2125" spans="10:28" x14ac:dyDescent="0.2">
      <c r="J2125" s="358" t="str">
        <f t="shared" si="112"/>
        <v>2007FemaleAllEth252</v>
      </c>
      <c r="K2125" s="359">
        <v>2007</v>
      </c>
      <c r="L2125" t="s">
        <v>8</v>
      </c>
      <c r="M2125" t="s">
        <v>27</v>
      </c>
      <c r="N2125">
        <v>25</v>
      </c>
      <c r="O2125">
        <v>2</v>
      </c>
      <c r="P2125">
        <v>1</v>
      </c>
      <c r="Q2125">
        <v>1.6946820880606399</v>
      </c>
      <c r="R2125">
        <v>3.3</v>
      </c>
      <c r="T2125" s="358" t="str">
        <f t="shared" si="113"/>
        <v>2006AllSexMaori23Poisoning by solids and liquids</v>
      </c>
      <c r="U2125" s="360">
        <v>2006</v>
      </c>
      <c r="V2125" s="360" t="s">
        <v>17</v>
      </c>
      <c r="W2125" s="360" t="s">
        <v>18</v>
      </c>
      <c r="X2125" s="360">
        <v>23</v>
      </c>
      <c r="Y2125" s="360" t="s">
        <v>47</v>
      </c>
      <c r="Z2125" s="360">
        <v>2</v>
      </c>
      <c r="AA2125" s="360">
        <v>54</v>
      </c>
      <c r="AB2125" s="360">
        <v>3.7</v>
      </c>
    </row>
    <row r="2126" spans="10:28" x14ac:dyDescent="0.2">
      <c r="J2126" s="358" t="str">
        <f t="shared" si="112"/>
        <v>2007FemaleAllEth253</v>
      </c>
      <c r="K2126" s="359">
        <v>2007</v>
      </c>
      <c r="L2126" t="s">
        <v>8</v>
      </c>
      <c r="M2126" t="s">
        <v>27</v>
      </c>
      <c r="N2126">
        <v>25</v>
      </c>
      <c r="O2126">
        <v>3</v>
      </c>
      <c r="P2126">
        <v>0</v>
      </c>
      <c r="Q2126">
        <v>0</v>
      </c>
      <c r="T2126" s="358" t="str">
        <f t="shared" si="113"/>
        <v>2006AllSexMaori24Poisoning by solids and liquids</v>
      </c>
      <c r="U2126" s="360">
        <v>2006</v>
      </c>
      <c r="V2126" s="360" t="s">
        <v>17</v>
      </c>
      <c r="W2126" s="360" t="s">
        <v>18</v>
      </c>
      <c r="X2126" s="360">
        <v>24</v>
      </c>
      <c r="Y2126" s="360" t="s">
        <v>47</v>
      </c>
      <c r="Z2126" s="360">
        <v>3</v>
      </c>
      <c r="AA2126" s="360">
        <v>12</v>
      </c>
      <c r="AB2126" s="360">
        <v>25</v>
      </c>
    </row>
    <row r="2127" spans="10:28" x14ac:dyDescent="0.2">
      <c r="J2127" s="358" t="str">
        <f t="shared" si="112"/>
        <v>2007FemaleAllEth254</v>
      </c>
      <c r="K2127" s="359">
        <v>2007</v>
      </c>
      <c r="L2127" t="s">
        <v>8</v>
      </c>
      <c r="M2127" t="s">
        <v>27</v>
      </c>
      <c r="N2127">
        <v>25</v>
      </c>
      <c r="O2127">
        <v>4</v>
      </c>
      <c r="P2127">
        <v>1</v>
      </c>
      <c r="Q2127">
        <v>1.5367436264322101</v>
      </c>
      <c r="R2127">
        <v>3</v>
      </c>
      <c r="T2127" s="358" t="str">
        <f t="shared" si="113"/>
        <v>2006AllSexMaori23Sharp object</v>
      </c>
      <c r="U2127" s="360">
        <v>2006</v>
      </c>
      <c r="V2127" s="360" t="s">
        <v>17</v>
      </c>
      <c r="W2127" s="360" t="s">
        <v>18</v>
      </c>
      <c r="X2127" s="360">
        <v>23</v>
      </c>
      <c r="Y2127" s="360" t="s">
        <v>48</v>
      </c>
      <c r="Z2127" s="360">
        <v>2</v>
      </c>
      <c r="AA2127" s="360">
        <v>54</v>
      </c>
      <c r="AB2127" s="360">
        <v>3.7</v>
      </c>
    </row>
    <row r="2128" spans="10:28" x14ac:dyDescent="0.2">
      <c r="J2128" s="358" t="str">
        <f t="shared" si="112"/>
        <v>2007FemaleAllEth255</v>
      </c>
      <c r="K2128" s="359">
        <v>2007</v>
      </c>
      <c r="L2128" t="s">
        <v>8</v>
      </c>
      <c r="M2128" t="s">
        <v>27</v>
      </c>
      <c r="N2128">
        <v>25</v>
      </c>
      <c r="O2128">
        <v>5</v>
      </c>
      <c r="P2128">
        <v>3</v>
      </c>
      <c r="Q2128">
        <v>6.0475017489803697</v>
      </c>
      <c r="R2128">
        <v>6.8</v>
      </c>
      <c r="T2128" s="358" t="str">
        <f t="shared" si="113"/>
        <v>2006AllSexMaori24Sharp object</v>
      </c>
      <c r="U2128" s="360">
        <v>2006</v>
      </c>
      <c r="V2128" s="360" t="s">
        <v>17</v>
      </c>
      <c r="W2128" s="360" t="s">
        <v>18</v>
      </c>
      <c r="X2128" s="360">
        <v>24</v>
      </c>
      <c r="Y2128" s="360" t="s">
        <v>48</v>
      </c>
      <c r="Z2128" s="360">
        <v>1</v>
      </c>
      <c r="AA2128" s="360">
        <v>12</v>
      </c>
      <c r="AB2128" s="360">
        <v>8.3000000000000007</v>
      </c>
    </row>
    <row r="2129" spans="10:28" x14ac:dyDescent="0.2">
      <c r="J2129" s="358" t="str">
        <f t="shared" si="112"/>
        <v>2007FemaleMaori211</v>
      </c>
      <c r="K2129" s="359">
        <v>2007</v>
      </c>
      <c r="L2129" t="s">
        <v>8</v>
      </c>
      <c r="M2129" t="s">
        <v>18</v>
      </c>
      <c r="N2129">
        <v>21</v>
      </c>
      <c r="O2129">
        <v>1</v>
      </c>
      <c r="P2129">
        <v>0</v>
      </c>
      <c r="T2129" s="358" t="str">
        <f t="shared" si="113"/>
        <v>2006AllSexMaori24Submersion (drowning)</v>
      </c>
      <c r="U2129" s="360">
        <v>2006</v>
      </c>
      <c r="V2129" s="360" t="s">
        <v>17</v>
      </c>
      <c r="W2129" s="360" t="s">
        <v>18</v>
      </c>
      <c r="X2129" s="360">
        <v>24</v>
      </c>
      <c r="Y2129" s="360" t="s">
        <v>49</v>
      </c>
      <c r="Z2129" s="360">
        <v>1</v>
      </c>
      <c r="AA2129" s="360">
        <v>12</v>
      </c>
      <c r="AB2129" s="360">
        <v>8.3000000000000007</v>
      </c>
    </row>
    <row r="2130" spans="10:28" x14ac:dyDescent="0.2">
      <c r="J2130" s="358" t="str">
        <f t="shared" si="112"/>
        <v>2007FemaleMaori212</v>
      </c>
      <c r="K2130" s="359">
        <v>2007</v>
      </c>
      <c r="L2130" t="s">
        <v>8</v>
      </c>
      <c r="M2130" t="s">
        <v>18</v>
      </c>
      <c r="N2130">
        <v>21</v>
      </c>
      <c r="O2130">
        <v>2</v>
      </c>
      <c r="P2130">
        <v>0</v>
      </c>
      <c r="T2130" s="358" t="str">
        <f t="shared" si="113"/>
        <v>2006AllSexNon-Maori22Firearms and explosives</v>
      </c>
      <c r="U2130" s="360">
        <v>2006</v>
      </c>
      <c r="V2130" s="360" t="s">
        <v>17</v>
      </c>
      <c r="W2130" s="360" t="s">
        <v>19</v>
      </c>
      <c r="X2130" s="360">
        <v>22</v>
      </c>
      <c r="Y2130" s="360" t="s">
        <v>42</v>
      </c>
      <c r="Z2130" s="360">
        <v>6</v>
      </c>
      <c r="AA2130" s="360">
        <v>82</v>
      </c>
      <c r="AB2130" s="360">
        <v>7.3</v>
      </c>
    </row>
    <row r="2131" spans="10:28" x14ac:dyDescent="0.2">
      <c r="J2131" s="358" t="str">
        <f t="shared" si="112"/>
        <v>2007FemaleMaori213</v>
      </c>
      <c r="K2131" s="359">
        <v>2007</v>
      </c>
      <c r="L2131" t="s">
        <v>8</v>
      </c>
      <c r="M2131" t="s">
        <v>18</v>
      </c>
      <c r="N2131">
        <v>21</v>
      </c>
      <c r="O2131">
        <v>3</v>
      </c>
      <c r="P2131">
        <v>0</v>
      </c>
      <c r="T2131" s="358" t="str">
        <f t="shared" si="113"/>
        <v>2006AllSexNon-Maori23Firearms and explosives</v>
      </c>
      <c r="U2131" s="360">
        <v>2006</v>
      </c>
      <c r="V2131" s="360" t="s">
        <v>17</v>
      </c>
      <c r="W2131" s="360" t="s">
        <v>19</v>
      </c>
      <c r="X2131" s="360">
        <v>23</v>
      </c>
      <c r="Y2131" s="360" t="s">
        <v>42</v>
      </c>
      <c r="Z2131" s="360">
        <v>11</v>
      </c>
      <c r="AA2131" s="360">
        <v>153</v>
      </c>
      <c r="AB2131" s="360">
        <v>7.2</v>
      </c>
    </row>
    <row r="2132" spans="10:28" x14ac:dyDescent="0.2">
      <c r="J2132" s="358" t="str">
        <f t="shared" si="112"/>
        <v>2007FemaleMaori214</v>
      </c>
      <c r="K2132" s="359">
        <v>2007</v>
      </c>
      <c r="L2132" t="s">
        <v>8</v>
      </c>
      <c r="M2132" t="s">
        <v>18</v>
      </c>
      <c r="N2132">
        <v>21</v>
      </c>
      <c r="O2132">
        <v>4</v>
      </c>
      <c r="P2132">
        <v>0</v>
      </c>
      <c r="T2132" s="358" t="str">
        <f t="shared" si="113"/>
        <v>2006AllSexNon-Maori24Firearms and explosives</v>
      </c>
      <c r="U2132" s="360">
        <v>2006</v>
      </c>
      <c r="V2132" s="360" t="s">
        <v>17</v>
      </c>
      <c r="W2132" s="360" t="s">
        <v>19</v>
      </c>
      <c r="X2132" s="360">
        <v>24</v>
      </c>
      <c r="Y2132" s="360" t="s">
        <v>42</v>
      </c>
      <c r="Z2132" s="360">
        <v>20</v>
      </c>
      <c r="AA2132" s="360">
        <v>129</v>
      </c>
      <c r="AB2132" s="360">
        <v>15.5</v>
      </c>
    </row>
    <row r="2133" spans="10:28" x14ac:dyDescent="0.2">
      <c r="J2133" s="358" t="str">
        <f t="shared" si="112"/>
        <v>2007FemaleMaori215</v>
      </c>
      <c r="K2133" s="359">
        <v>2007</v>
      </c>
      <c r="L2133" t="s">
        <v>8</v>
      </c>
      <c r="M2133" t="s">
        <v>18</v>
      </c>
      <c r="N2133">
        <v>21</v>
      </c>
      <c r="O2133">
        <v>5</v>
      </c>
      <c r="P2133">
        <v>1</v>
      </c>
      <c r="T2133" s="358" t="str">
        <f t="shared" si="113"/>
        <v>2006AllSexNon-Maori25Firearms and explosives</v>
      </c>
      <c r="U2133" s="360">
        <v>2006</v>
      </c>
      <c r="V2133" s="360" t="s">
        <v>17</v>
      </c>
      <c r="W2133" s="360" t="s">
        <v>19</v>
      </c>
      <c r="X2133" s="360">
        <v>25</v>
      </c>
      <c r="Y2133" s="360" t="s">
        <v>42</v>
      </c>
      <c r="Z2133" s="360">
        <v>5</v>
      </c>
      <c r="AA2133" s="360">
        <v>50</v>
      </c>
      <c r="AB2133" s="360">
        <v>10</v>
      </c>
    </row>
    <row r="2134" spans="10:28" x14ac:dyDescent="0.2">
      <c r="J2134" s="358" t="str">
        <f t="shared" si="112"/>
        <v>2007FemaleMaori221</v>
      </c>
      <c r="K2134" s="359">
        <v>2007</v>
      </c>
      <c r="L2134" t="s">
        <v>8</v>
      </c>
      <c r="M2134" t="s">
        <v>18</v>
      </c>
      <c r="N2134">
        <v>22</v>
      </c>
      <c r="O2134">
        <v>1</v>
      </c>
      <c r="P2134">
        <v>0</v>
      </c>
      <c r="Q2134">
        <v>0</v>
      </c>
      <c r="T2134" s="358" t="str">
        <f t="shared" si="113"/>
        <v>2006AllSexNon-Maori21Hanging, strangulation and suffocation</v>
      </c>
      <c r="U2134" s="360">
        <v>2006</v>
      </c>
      <c r="V2134" s="360" t="s">
        <v>17</v>
      </c>
      <c r="W2134" s="360" t="s">
        <v>19</v>
      </c>
      <c r="X2134" s="360">
        <v>21</v>
      </c>
      <c r="Y2134" s="360" t="s">
        <v>43</v>
      </c>
      <c r="Z2134" s="360">
        <v>2</v>
      </c>
      <c r="AA2134" s="360">
        <v>2</v>
      </c>
      <c r="AB2134" s="360">
        <v>100</v>
      </c>
    </row>
    <row r="2135" spans="10:28" x14ac:dyDescent="0.2">
      <c r="J2135" s="358" t="str">
        <f t="shared" si="112"/>
        <v>2007FemaleMaori222</v>
      </c>
      <c r="K2135" s="359">
        <v>2007</v>
      </c>
      <c r="L2135" t="s">
        <v>8</v>
      </c>
      <c r="M2135" t="s">
        <v>18</v>
      </c>
      <c r="N2135">
        <v>22</v>
      </c>
      <c r="O2135">
        <v>2</v>
      </c>
      <c r="P2135">
        <v>1</v>
      </c>
      <c r="Q2135">
        <v>16.383182553178699</v>
      </c>
      <c r="R2135">
        <v>32.1</v>
      </c>
      <c r="T2135" s="358" t="str">
        <f t="shared" si="113"/>
        <v>2006AllSexNon-Maori22Hanging, strangulation and suffocation</v>
      </c>
      <c r="U2135" s="360">
        <v>2006</v>
      </c>
      <c r="V2135" s="360" t="s">
        <v>17</v>
      </c>
      <c r="W2135" s="360" t="s">
        <v>19</v>
      </c>
      <c r="X2135" s="360">
        <v>22</v>
      </c>
      <c r="Y2135" s="360" t="s">
        <v>43</v>
      </c>
      <c r="Z2135" s="360">
        <v>53</v>
      </c>
      <c r="AA2135" s="360">
        <v>82</v>
      </c>
      <c r="AB2135" s="360">
        <v>64.599999999999994</v>
      </c>
    </row>
    <row r="2136" spans="10:28" x14ac:dyDescent="0.2">
      <c r="J2136" s="358" t="str">
        <f t="shared" si="112"/>
        <v>2007FemaleMaori223</v>
      </c>
      <c r="K2136" s="359">
        <v>2007</v>
      </c>
      <c r="L2136" t="s">
        <v>8</v>
      </c>
      <c r="M2136" t="s">
        <v>18</v>
      </c>
      <c r="N2136">
        <v>22</v>
      </c>
      <c r="O2136">
        <v>3</v>
      </c>
      <c r="P2136">
        <v>4</v>
      </c>
      <c r="Q2136">
        <v>42.173625825274598</v>
      </c>
      <c r="R2136">
        <v>41.3</v>
      </c>
      <c r="T2136" s="358" t="str">
        <f t="shared" si="113"/>
        <v>2006AllSexNon-Maori23Hanging, strangulation and suffocation</v>
      </c>
      <c r="U2136" s="360">
        <v>2006</v>
      </c>
      <c r="V2136" s="360" t="s">
        <v>17</v>
      </c>
      <c r="W2136" s="360" t="s">
        <v>19</v>
      </c>
      <c r="X2136" s="360">
        <v>23</v>
      </c>
      <c r="Y2136" s="360" t="s">
        <v>43</v>
      </c>
      <c r="Z2136" s="360">
        <v>79</v>
      </c>
      <c r="AA2136" s="360">
        <v>153</v>
      </c>
      <c r="AB2136" s="360">
        <v>51.6</v>
      </c>
    </row>
    <row r="2137" spans="10:28" x14ac:dyDescent="0.2">
      <c r="J2137" s="358" t="str">
        <f t="shared" si="112"/>
        <v>2007FemaleMaori224</v>
      </c>
      <c r="K2137" s="359">
        <v>2007</v>
      </c>
      <c r="L2137" t="s">
        <v>8</v>
      </c>
      <c r="M2137" t="s">
        <v>18</v>
      </c>
      <c r="N2137">
        <v>22</v>
      </c>
      <c r="O2137">
        <v>4</v>
      </c>
      <c r="P2137">
        <v>1</v>
      </c>
      <c r="Q2137">
        <v>6.97297812943183</v>
      </c>
      <c r="R2137">
        <v>13.7</v>
      </c>
      <c r="T2137" s="358" t="str">
        <f t="shared" si="113"/>
        <v>2006AllSexNon-Maori24Hanging, strangulation and suffocation</v>
      </c>
      <c r="U2137" s="360">
        <v>2006</v>
      </c>
      <c r="V2137" s="360" t="s">
        <v>17</v>
      </c>
      <c r="W2137" s="360" t="s">
        <v>19</v>
      </c>
      <c r="X2137" s="360">
        <v>24</v>
      </c>
      <c r="Y2137" s="360" t="s">
        <v>43</v>
      </c>
      <c r="Z2137" s="360">
        <v>51</v>
      </c>
      <c r="AA2137" s="360">
        <v>129</v>
      </c>
      <c r="AB2137" s="360">
        <v>39.5</v>
      </c>
    </row>
    <row r="2138" spans="10:28" x14ac:dyDescent="0.2">
      <c r="J2138" s="358" t="str">
        <f t="shared" si="112"/>
        <v>2007FemaleMaori225</v>
      </c>
      <c r="K2138" s="359">
        <v>2007</v>
      </c>
      <c r="L2138" t="s">
        <v>8</v>
      </c>
      <c r="M2138" t="s">
        <v>18</v>
      </c>
      <c r="N2138">
        <v>22</v>
      </c>
      <c r="O2138">
        <v>5</v>
      </c>
      <c r="P2138">
        <v>4</v>
      </c>
      <c r="Q2138">
        <v>15.4394721916496</v>
      </c>
      <c r="R2138">
        <v>15.1</v>
      </c>
      <c r="T2138" s="358" t="str">
        <f t="shared" si="113"/>
        <v>2006AllSexNon-Maori25Hanging, strangulation and suffocation</v>
      </c>
      <c r="U2138" s="360">
        <v>2006</v>
      </c>
      <c r="V2138" s="360" t="s">
        <v>17</v>
      </c>
      <c r="W2138" s="360" t="s">
        <v>19</v>
      </c>
      <c r="X2138" s="360">
        <v>25</v>
      </c>
      <c r="Y2138" s="360" t="s">
        <v>43</v>
      </c>
      <c r="Z2138" s="360">
        <v>20</v>
      </c>
      <c r="AA2138" s="360">
        <v>50</v>
      </c>
      <c r="AB2138" s="360">
        <v>40</v>
      </c>
    </row>
    <row r="2139" spans="10:28" x14ac:dyDescent="0.2">
      <c r="J2139" s="358" t="str">
        <f t="shared" si="112"/>
        <v>2007FemaleMaori231</v>
      </c>
      <c r="K2139" s="359">
        <v>2007</v>
      </c>
      <c r="L2139" t="s">
        <v>8</v>
      </c>
      <c r="M2139" t="s">
        <v>18</v>
      </c>
      <c r="N2139">
        <v>23</v>
      </c>
      <c r="O2139">
        <v>1</v>
      </c>
      <c r="P2139">
        <v>0</v>
      </c>
      <c r="Q2139">
        <v>0</v>
      </c>
      <c r="T2139" s="358" t="str">
        <f t="shared" si="113"/>
        <v>2006AllSexNon-Maori22Jumping from a high place</v>
      </c>
      <c r="U2139" s="360">
        <v>2006</v>
      </c>
      <c r="V2139" s="360" t="s">
        <v>17</v>
      </c>
      <c r="W2139" s="360" t="s">
        <v>19</v>
      </c>
      <c r="X2139" s="360">
        <v>22</v>
      </c>
      <c r="Y2139" s="360" t="s">
        <v>44</v>
      </c>
      <c r="Z2139" s="360">
        <v>3</v>
      </c>
      <c r="AA2139" s="360">
        <v>82</v>
      </c>
      <c r="AB2139" s="360">
        <v>3.7</v>
      </c>
    </row>
    <row r="2140" spans="10:28" x14ac:dyDescent="0.2">
      <c r="J2140" s="358" t="str">
        <f t="shared" si="112"/>
        <v>2007FemaleMaori232</v>
      </c>
      <c r="K2140" s="359">
        <v>2007</v>
      </c>
      <c r="L2140" t="s">
        <v>8</v>
      </c>
      <c r="M2140" t="s">
        <v>18</v>
      </c>
      <c r="N2140">
        <v>23</v>
      </c>
      <c r="O2140">
        <v>2</v>
      </c>
      <c r="P2140">
        <v>1</v>
      </c>
      <c r="Q2140">
        <v>9.8380909091312496</v>
      </c>
      <c r="R2140">
        <v>19.3</v>
      </c>
      <c r="T2140" s="358" t="str">
        <f t="shared" si="113"/>
        <v>2006AllSexNon-Maori23Jumping from a high place</v>
      </c>
      <c r="U2140" s="360">
        <v>2006</v>
      </c>
      <c r="V2140" s="360" t="s">
        <v>17</v>
      </c>
      <c r="W2140" s="360" t="s">
        <v>19</v>
      </c>
      <c r="X2140" s="360">
        <v>23</v>
      </c>
      <c r="Y2140" s="360" t="s">
        <v>44</v>
      </c>
      <c r="Z2140" s="360">
        <v>3</v>
      </c>
      <c r="AA2140" s="360">
        <v>153</v>
      </c>
      <c r="AB2140" s="360">
        <v>2</v>
      </c>
    </row>
    <row r="2141" spans="10:28" x14ac:dyDescent="0.2">
      <c r="J2141" s="358" t="str">
        <f t="shared" si="112"/>
        <v>2007FemaleMaori233</v>
      </c>
      <c r="K2141" s="359">
        <v>2007</v>
      </c>
      <c r="L2141" t="s">
        <v>8</v>
      </c>
      <c r="M2141" t="s">
        <v>18</v>
      </c>
      <c r="N2141">
        <v>23</v>
      </c>
      <c r="O2141">
        <v>3</v>
      </c>
      <c r="P2141">
        <v>2</v>
      </c>
      <c r="Q2141">
        <v>13.928201700448501</v>
      </c>
      <c r="R2141">
        <v>19.3</v>
      </c>
      <c r="T2141" s="358" t="str">
        <f t="shared" si="113"/>
        <v>2006AllSexNon-Maori24Jumping from a high place</v>
      </c>
      <c r="U2141" s="360">
        <v>2006</v>
      </c>
      <c r="V2141" s="360" t="s">
        <v>17</v>
      </c>
      <c r="W2141" s="360" t="s">
        <v>19</v>
      </c>
      <c r="X2141" s="360">
        <v>24</v>
      </c>
      <c r="Y2141" s="360" t="s">
        <v>44</v>
      </c>
      <c r="Z2141" s="360">
        <v>1</v>
      </c>
      <c r="AA2141" s="360">
        <v>129</v>
      </c>
      <c r="AB2141" s="360">
        <v>0.8</v>
      </c>
    </row>
    <row r="2142" spans="10:28" x14ac:dyDescent="0.2">
      <c r="J2142" s="358" t="str">
        <f t="shared" si="112"/>
        <v>2007FemaleMaori234</v>
      </c>
      <c r="K2142" s="359">
        <v>2007</v>
      </c>
      <c r="L2142" t="s">
        <v>8</v>
      </c>
      <c r="M2142" t="s">
        <v>18</v>
      </c>
      <c r="N2142">
        <v>23</v>
      </c>
      <c r="O2142">
        <v>4</v>
      </c>
      <c r="P2142">
        <v>2</v>
      </c>
      <c r="Q2142">
        <v>9.3664477170173797</v>
      </c>
      <c r="R2142">
        <v>13</v>
      </c>
      <c r="T2142" s="358" t="str">
        <f t="shared" si="113"/>
        <v>2006AllSexNon-Maori25Jumping from a high place</v>
      </c>
      <c r="U2142" s="360">
        <v>2006</v>
      </c>
      <c r="V2142" s="360" t="s">
        <v>17</v>
      </c>
      <c r="W2142" s="360" t="s">
        <v>19</v>
      </c>
      <c r="X2142" s="360">
        <v>25</v>
      </c>
      <c r="Y2142" s="360" t="s">
        <v>44</v>
      </c>
      <c r="Z2142" s="360">
        <v>2</v>
      </c>
      <c r="AA2142" s="360">
        <v>50</v>
      </c>
      <c r="AB2142" s="360">
        <v>4</v>
      </c>
    </row>
    <row r="2143" spans="10:28" x14ac:dyDescent="0.2">
      <c r="J2143" s="358" t="str">
        <f t="shared" si="112"/>
        <v>2007FemaleMaori235</v>
      </c>
      <c r="K2143" s="359">
        <v>2007</v>
      </c>
      <c r="L2143" t="s">
        <v>8</v>
      </c>
      <c r="M2143" t="s">
        <v>18</v>
      </c>
      <c r="N2143">
        <v>23</v>
      </c>
      <c r="O2143">
        <v>5</v>
      </c>
      <c r="P2143">
        <v>6</v>
      </c>
      <c r="Q2143">
        <v>16.302923650396501</v>
      </c>
      <c r="R2143">
        <v>13</v>
      </c>
      <c r="T2143" s="358" t="str">
        <f t="shared" si="113"/>
        <v>2006AllSexNon-Maori22Other</v>
      </c>
      <c r="U2143" s="360">
        <v>2006</v>
      </c>
      <c r="V2143" s="360" t="s">
        <v>17</v>
      </c>
      <c r="W2143" s="360" t="s">
        <v>19</v>
      </c>
      <c r="X2143" s="360">
        <v>22</v>
      </c>
      <c r="Y2143" s="360" t="s">
        <v>45</v>
      </c>
      <c r="Z2143" s="360">
        <v>4</v>
      </c>
      <c r="AA2143" s="360">
        <v>82</v>
      </c>
      <c r="AB2143" s="360">
        <v>4.9000000000000004</v>
      </c>
    </row>
    <row r="2144" spans="10:28" x14ac:dyDescent="0.2">
      <c r="J2144" s="358" t="str">
        <f t="shared" si="112"/>
        <v>2007FemaleMaori241</v>
      </c>
      <c r="K2144" s="359">
        <v>2007</v>
      </c>
      <c r="L2144" t="s">
        <v>8</v>
      </c>
      <c r="M2144" t="s">
        <v>18</v>
      </c>
      <c r="N2144">
        <v>24</v>
      </c>
      <c r="O2144">
        <v>1</v>
      </c>
      <c r="P2144">
        <v>0</v>
      </c>
      <c r="Q2144">
        <v>0</v>
      </c>
      <c r="T2144" s="358" t="str">
        <f t="shared" si="113"/>
        <v>2006AllSexNon-Maori23Other</v>
      </c>
      <c r="U2144" s="360">
        <v>2006</v>
      </c>
      <c r="V2144" s="360" t="s">
        <v>17</v>
      </c>
      <c r="W2144" s="360" t="s">
        <v>19</v>
      </c>
      <c r="X2144" s="360">
        <v>23</v>
      </c>
      <c r="Y2144" s="360" t="s">
        <v>45</v>
      </c>
      <c r="Z2144" s="360">
        <v>6</v>
      </c>
      <c r="AA2144" s="360">
        <v>153</v>
      </c>
      <c r="AB2144" s="360">
        <v>3.9</v>
      </c>
    </row>
    <row r="2145" spans="10:28" x14ac:dyDescent="0.2">
      <c r="J2145" s="358" t="str">
        <f t="shared" si="112"/>
        <v>2007FemaleMaori242</v>
      </c>
      <c r="K2145" s="359">
        <v>2007</v>
      </c>
      <c r="L2145" t="s">
        <v>8</v>
      </c>
      <c r="M2145" t="s">
        <v>18</v>
      </c>
      <c r="N2145">
        <v>24</v>
      </c>
      <c r="O2145">
        <v>2</v>
      </c>
      <c r="P2145">
        <v>0</v>
      </c>
      <c r="Q2145">
        <v>0</v>
      </c>
      <c r="T2145" s="358" t="str">
        <f t="shared" si="113"/>
        <v>2006AllSexNon-Maori24Other</v>
      </c>
      <c r="U2145" s="360">
        <v>2006</v>
      </c>
      <c r="V2145" s="360" t="s">
        <v>17</v>
      </c>
      <c r="W2145" s="360" t="s">
        <v>19</v>
      </c>
      <c r="X2145" s="360">
        <v>24</v>
      </c>
      <c r="Y2145" s="360" t="s">
        <v>45</v>
      </c>
      <c r="Z2145" s="360">
        <v>4</v>
      </c>
      <c r="AA2145" s="360">
        <v>129</v>
      </c>
      <c r="AB2145" s="360">
        <v>3.1</v>
      </c>
    </row>
    <row r="2146" spans="10:28" x14ac:dyDescent="0.2">
      <c r="J2146" s="358" t="str">
        <f t="shared" si="112"/>
        <v>2007FemaleMaori243</v>
      </c>
      <c r="K2146" s="359">
        <v>2007</v>
      </c>
      <c r="L2146" t="s">
        <v>8</v>
      </c>
      <c r="M2146" t="s">
        <v>18</v>
      </c>
      <c r="N2146">
        <v>24</v>
      </c>
      <c r="O2146">
        <v>3</v>
      </c>
      <c r="P2146">
        <v>0</v>
      </c>
      <c r="Q2146">
        <v>0</v>
      </c>
      <c r="T2146" s="358" t="str">
        <f t="shared" si="113"/>
        <v>2006AllSexNon-Maori25Other</v>
      </c>
      <c r="U2146" s="360">
        <v>2006</v>
      </c>
      <c r="V2146" s="360" t="s">
        <v>17</v>
      </c>
      <c r="W2146" s="360" t="s">
        <v>19</v>
      </c>
      <c r="X2146" s="360">
        <v>25</v>
      </c>
      <c r="Y2146" s="360" t="s">
        <v>45</v>
      </c>
      <c r="Z2146" s="360">
        <v>4</v>
      </c>
      <c r="AA2146" s="360">
        <v>50</v>
      </c>
      <c r="AB2146" s="360">
        <v>8</v>
      </c>
    </row>
    <row r="2147" spans="10:28" x14ac:dyDescent="0.2">
      <c r="J2147" s="358" t="str">
        <f t="shared" si="112"/>
        <v>2007FemaleMaori244</v>
      </c>
      <c r="K2147" s="359">
        <v>2007</v>
      </c>
      <c r="L2147" t="s">
        <v>8</v>
      </c>
      <c r="M2147" t="s">
        <v>18</v>
      </c>
      <c r="N2147">
        <v>24</v>
      </c>
      <c r="O2147">
        <v>4</v>
      </c>
      <c r="P2147">
        <v>1</v>
      </c>
      <c r="Q2147">
        <v>8.0561989995626302</v>
      </c>
      <c r="R2147">
        <v>15.8</v>
      </c>
      <c r="T2147" s="358" t="str">
        <f t="shared" si="113"/>
        <v>2006AllSexNon-Maori22Poisoning by gases and vapours</v>
      </c>
      <c r="U2147" s="360">
        <v>2006</v>
      </c>
      <c r="V2147" s="360" t="s">
        <v>17</v>
      </c>
      <c r="W2147" s="360" t="s">
        <v>19</v>
      </c>
      <c r="X2147" s="360">
        <v>22</v>
      </c>
      <c r="Y2147" s="360" t="s">
        <v>46</v>
      </c>
      <c r="Z2147" s="360">
        <v>11</v>
      </c>
      <c r="AA2147" s="360">
        <v>82</v>
      </c>
      <c r="AB2147" s="360">
        <v>13.4</v>
      </c>
    </row>
    <row r="2148" spans="10:28" x14ac:dyDescent="0.2">
      <c r="J2148" s="358" t="str">
        <f t="shared" si="112"/>
        <v>2007FemaleMaori245</v>
      </c>
      <c r="K2148" s="359">
        <v>2007</v>
      </c>
      <c r="L2148" t="s">
        <v>8</v>
      </c>
      <c r="M2148" t="s">
        <v>18</v>
      </c>
      <c r="N2148">
        <v>24</v>
      </c>
      <c r="O2148">
        <v>5</v>
      </c>
      <c r="P2148">
        <v>0</v>
      </c>
      <c r="Q2148">
        <v>0</v>
      </c>
      <c r="T2148" s="358" t="str">
        <f t="shared" si="113"/>
        <v>2006AllSexNon-Maori23Poisoning by gases and vapours</v>
      </c>
      <c r="U2148" s="360">
        <v>2006</v>
      </c>
      <c r="V2148" s="360" t="s">
        <v>17</v>
      </c>
      <c r="W2148" s="360" t="s">
        <v>19</v>
      </c>
      <c r="X2148" s="360">
        <v>23</v>
      </c>
      <c r="Y2148" s="360" t="s">
        <v>46</v>
      </c>
      <c r="Z2148" s="360">
        <v>28</v>
      </c>
      <c r="AA2148" s="360">
        <v>153</v>
      </c>
      <c r="AB2148" s="360">
        <v>18.3</v>
      </c>
    </row>
    <row r="2149" spans="10:28" x14ac:dyDescent="0.2">
      <c r="J2149" s="358" t="str">
        <f t="shared" si="112"/>
        <v>2007FemaleMaori251</v>
      </c>
      <c r="K2149" s="359">
        <v>2007</v>
      </c>
      <c r="L2149" t="s">
        <v>8</v>
      </c>
      <c r="M2149" t="s">
        <v>18</v>
      </c>
      <c r="N2149">
        <v>25</v>
      </c>
      <c r="O2149">
        <v>1</v>
      </c>
      <c r="P2149">
        <v>0</v>
      </c>
      <c r="Q2149">
        <v>0</v>
      </c>
      <c r="T2149" s="358" t="str">
        <f t="shared" si="113"/>
        <v>2006AllSexNon-Maori24Poisoning by gases and vapours</v>
      </c>
      <c r="U2149" s="360">
        <v>2006</v>
      </c>
      <c r="V2149" s="360" t="s">
        <v>17</v>
      </c>
      <c r="W2149" s="360" t="s">
        <v>19</v>
      </c>
      <c r="X2149" s="360">
        <v>24</v>
      </c>
      <c r="Y2149" s="360" t="s">
        <v>46</v>
      </c>
      <c r="Z2149" s="360">
        <v>30</v>
      </c>
      <c r="AA2149" s="360">
        <v>129</v>
      </c>
      <c r="AB2149" s="360">
        <v>23.3</v>
      </c>
    </row>
    <row r="2150" spans="10:28" x14ac:dyDescent="0.2">
      <c r="J2150" s="358" t="str">
        <f t="shared" si="112"/>
        <v>2007FemaleMaori252</v>
      </c>
      <c r="K2150" s="359">
        <v>2007</v>
      </c>
      <c r="L2150" t="s">
        <v>8</v>
      </c>
      <c r="M2150" t="s">
        <v>18</v>
      </c>
      <c r="N2150">
        <v>25</v>
      </c>
      <c r="O2150">
        <v>2</v>
      </c>
      <c r="P2150">
        <v>0</v>
      </c>
      <c r="Q2150">
        <v>0</v>
      </c>
      <c r="T2150" s="358" t="str">
        <f t="shared" si="113"/>
        <v>2006AllSexNon-Maori25Poisoning by gases and vapours</v>
      </c>
      <c r="U2150" s="360">
        <v>2006</v>
      </c>
      <c r="V2150" s="360" t="s">
        <v>17</v>
      </c>
      <c r="W2150" s="360" t="s">
        <v>19</v>
      </c>
      <c r="X2150" s="360">
        <v>25</v>
      </c>
      <c r="Y2150" s="360" t="s">
        <v>46</v>
      </c>
      <c r="Z2150" s="360">
        <v>11</v>
      </c>
      <c r="AA2150" s="360">
        <v>50</v>
      </c>
      <c r="AB2150" s="360">
        <v>22</v>
      </c>
    </row>
    <row r="2151" spans="10:28" x14ac:dyDescent="0.2">
      <c r="J2151" s="358" t="str">
        <f t="shared" si="112"/>
        <v>2007FemaleMaori253</v>
      </c>
      <c r="K2151" s="359">
        <v>2007</v>
      </c>
      <c r="L2151" t="s">
        <v>8</v>
      </c>
      <c r="M2151" t="s">
        <v>18</v>
      </c>
      <c r="N2151">
        <v>25</v>
      </c>
      <c r="O2151">
        <v>3</v>
      </c>
      <c r="P2151">
        <v>0</v>
      </c>
      <c r="Q2151">
        <v>0</v>
      </c>
      <c r="T2151" s="358" t="str">
        <f t="shared" si="113"/>
        <v>2006AllSexNon-Maori22Poisoning by solids and liquids</v>
      </c>
      <c r="U2151" s="360">
        <v>2006</v>
      </c>
      <c r="V2151" s="360" t="s">
        <v>17</v>
      </c>
      <c r="W2151" s="360" t="s">
        <v>19</v>
      </c>
      <c r="X2151" s="360">
        <v>22</v>
      </c>
      <c r="Y2151" s="360" t="s">
        <v>47</v>
      </c>
      <c r="Z2151" s="360">
        <v>3</v>
      </c>
      <c r="AA2151" s="360">
        <v>82</v>
      </c>
      <c r="AB2151" s="360">
        <v>3.7</v>
      </c>
    </row>
    <row r="2152" spans="10:28" x14ac:dyDescent="0.2">
      <c r="J2152" s="358" t="str">
        <f t="shared" si="112"/>
        <v>2007FemaleMaori254</v>
      </c>
      <c r="K2152" s="359">
        <v>2007</v>
      </c>
      <c r="L2152" t="s">
        <v>8</v>
      </c>
      <c r="M2152" t="s">
        <v>18</v>
      </c>
      <c r="N2152">
        <v>25</v>
      </c>
      <c r="O2152">
        <v>4</v>
      </c>
      <c r="P2152">
        <v>0</v>
      </c>
      <c r="Q2152">
        <v>0</v>
      </c>
      <c r="T2152" s="358" t="str">
        <f t="shared" si="113"/>
        <v>2006AllSexNon-Maori23Poisoning by solids and liquids</v>
      </c>
      <c r="U2152" s="360">
        <v>2006</v>
      </c>
      <c r="V2152" s="360" t="s">
        <v>17</v>
      </c>
      <c r="W2152" s="360" t="s">
        <v>19</v>
      </c>
      <c r="X2152" s="360">
        <v>23</v>
      </c>
      <c r="Y2152" s="360" t="s">
        <v>47</v>
      </c>
      <c r="Z2152" s="360">
        <v>19</v>
      </c>
      <c r="AA2152" s="360">
        <v>153</v>
      </c>
      <c r="AB2152" s="360">
        <v>12.4</v>
      </c>
    </row>
    <row r="2153" spans="10:28" x14ac:dyDescent="0.2">
      <c r="J2153" s="358" t="str">
        <f t="shared" si="112"/>
        <v>2007FemaleMaori255</v>
      </c>
      <c r="K2153" s="359">
        <v>2007</v>
      </c>
      <c r="L2153" t="s">
        <v>8</v>
      </c>
      <c r="M2153" t="s">
        <v>18</v>
      </c>
      <c r="N2153">
        <v>25</v>
      </c>
      <c r="O2153">
        <v>5</v>
      </c>
      <c r="P2153">
        <v>0</v>
      </c>
      <c r="Q2153">
        <v>0</v>
      </c>
      <c r="T2153" s="358" t="str">
        <f t="shared" si="113"/>
        <v>2006AllSexNon-Maori24Poisoning by solids and liquids</v>
      </c>
      <c r="U2153" s="360">
        <v>2006</v>
      </c>
      <c r="V2153" s="360" t="s">
        <v>17</v>
      </c>
      <c r="W2153" s="360" t="s">
        <v>19</v>
      </c>
      <c r="X2153" s="360">
        <v>24</v>
      </c>
      <c r="Y2153" s="360" t="s">
        <v>47</v>
      </c>
      <c r="Z2153" s="360">
        <v>18</v>
      </c>
      <c r="AA2153" s="360">
        <v>129</v>
      </c>
      <c r="AB2153" s="360">
        <v>14</v>
      </c>
    </row>
    <row r="2154" spans="10:28" x14ac:dyDescent="0.2">
      <c r="J2154" s="358" t="str">
        <f t="shared" si="112"/>
        <v>2007FemaleNon-Maori211</v>
      </c>
      <c r="K2154" s="359">
        <v>2007</v>
      </c>
      <c r="L2154" t="s">
        <v>8</v>
      </c>
      <c r="M2154" t="s">
        <v>19</v>
      </c>
      <c r="N2154">
        <v>21</v>
      </c>
      <c r="O2154">
        <v>1</v>
      </c>
      <c r="P2154">
        <v>0</v>
      </c>
      <c r="T2154" s="358" t="str">
        <f t="shared" si="113"/>
        <v>2006AllSexNon-Maori25Poisoning by solids and liquids</v>
      </c>
      <c r="U2154" s="360">
        <v>2006</v>
      </c>
      <c r="V2154" s="360" t="s">
        <v>17</v>
      </c>
      <c r="W2154" s="360" t="s">
        <v>19</v>
      </c>
      <c r="X2154" s="360">
        <v>25</v>
      </c>
      <c r="Y2154" s="360" t="s">
        <v>47</v>
      </c>
      <c r="Z2154" s="360">
        <v>4</v>
      </c>
      <c r="AA2154" s="360">
        <v>50</v>
      </c>
      <c r="AB2154" s="360">
        <v>8</v>
      </c>
    </row>
    <row r="2155" spans="10:28" x14ac:dyDescent="0.2">
      <c r="J2155" s="358" t="str">
        <f t="shared" si="112"/>
        <v>2007FemaleNon-Maori212</v>
      </c>
      <c r="K2155" s="359">
        <v>2007</v>
      </c>
      <c r="L2155" t="s">
        <v>8</v>
      </c>
      <c r="M2155" t="s">
        <v>19</v>
      </c>
      <c r="N2155">
        <v>21</v>
      </c>
      <c r="O2155">
        <v>2</v>
      </c>
      <c r="P2155">
        <v>0</v>
      </c>
      <c r="T2155" s="358" t="str">
        <f t="shared" si="113"/>
        <v>2006AllSexNon-Maori22Sharp object</v>
      </c>
      <c r="U2155" s="360">
        <v>2006</v>
      </c>
      <c r="V2155" s="360" t="s">
        <v>17</v>
      </c>
      <c r="W2155" s="360" t="s">
        <v>19</v>
      </c>
      <c r="X2155" s="360">
        <v>22</v>
      </c>
      <c r="Y2155" s="360" t="s">
        <v>48</v>
      </c>
      <c r="Z2155" s="360">
        <v>1</v>
      </c>
      <c r="AA2155" s="360">
        <v>82</v>
      </c>
      <c r="AB2155" s="360">
        <v>1.2</v>
      </c>
    </row>
    <row r="2156" spans="10:28" x14ac:dyDescent="0.2">
      <c r="J2156" s="358" t="str">
        <f t="shared" si="112"/>
        <v>2007FemaleNon-Maori213</v>
      </c>
      <c r="K2156" s="359">
        <v>2007</v>
      </c>
      <c r="L2156" t="s">
        <v>8</v>
      </c>
      <c r="M2156" t="s">
        <v>19</v>
      </c>
      <c r="N2156">
        <v>21</v>
      </c>
      <c r="O2156">
        <v>3</v>
      </c>
      <c r="P2156">
        <v>0</v>
      </c>
      <c r="T2156" s="358" t="str">
        <f t="shared" si="113"/>
        <v>2006AllSexNon-Maori23Sharp object</v>
      </c>
      <c r="U2156" s="360">
        <v>2006</v>
      </c>
      <c r="V2156" s="360" t="s">
        <v>17</v>
      </c>
      <c r="W2156" s="360" t="s">
        <v>19</v>
      </c>
      <c r="X2156" s="360">
        <v>23</v>
      </c>
      <c r="Y2156" s="360" t="s">
        <v>48</v>
      </c>
      <c r="Z2156" s="360">
        <v>5</v>
      </c>
      <c r="AA2156" s="360">
        <v>153</v>
      </c>
      <c r="AB2156" s="360">
        <v>3.3</v>
      </c>
    </row>
    <row r="2157" spans="10:28" x14ac:dyDescent="0.2">
      <c r="J2157" s="358" t="str">
        <f t="shared" si="112"/>
        <v>2007FemaleNon-Maori214</v>
      </c>
      <c r="K2157" s="359">
        <v>2007</v>
      </c>
      <c r="L2157" t="s">
        <v>8</v>
      </c>
      <c r="M2157" t="s">
        <v>19</v>
      </c>
      <c r="N2157">
        <v>21</v>
      </c>
      <c r="O2157">
        <v>4</v>
      </c>
      <c r="P2157">
        <v>0</v>
      </c>
      <c r="T2157" s="358" t="str">
        <f t="shared" si="113"/>
        <v>2006AllSexNon-Maori24Sharp object</v>
      </c>
      <c r="U2157" s="360">
        <v>2006</v>
      </c>
      <c r="V2157" s="360" t="s">
        <v>17</v>
      </c>
      <c r="W2157" s="360" t="s">
        <v>19</v>
      </c>
      <c r="X2157" s="360">
        <v>24</v>
      </c>
      <c r="Y2157" s="360" t="s">
        <v>48</v>
      </c>
      <c r="Z2157" s="360">
        <v>2</v>
      </c>
      <c r="AA2157" s="360">
        <v>129</v>
      </c>
      <c r="AB2157" s="360">
        <v>1.6</v>
      </c>
    </row>
    <row r="2158" spans="10:28" x14ac:dyDescent="0.2">
      <c r="J2158" s="358" t="str">
        <f t="shared" si="112"/>
        <v>2007FemaleNon-Maori215</v>
      </c>
      <c r="K2158" s="359">
        <v>2007</v>
      </c>
      <c r="L2158" t="s">
        <v>8</v>
      </c>
      <c r="M2158" t="s">
        <v>19</v>
      </c>
      <c r="N2158">
        <v>21</v>
      </c>
      <c r="O2158">
        <v>5</v>
      </c>
      <c r="P2158">
        <v>0</v>
      </c>
      <c r="T2158" s="358" t="str">
        <f t="shared" si="113"/>
        <v>2006AllSexNon-Maori25Sharp object</v>
      </c>
      <c r="U2158" s="360">
        <v>2006</v>
      </c>
      <c r="V2158" s="360" t="s">
        <v>17</v>
      </c>
      <c r="W2158" s="360" t="s">
        <v>19</v>
      </c>
      <c r="X2158" s="360">
        <v>25</v>
      </c>
      <c r="Y2158" s="360" t="s">
        <v>48</v>
      </c>
      <c r="Z2158" s="360">
        <v>2</v>
      </c>
      <c r="AA2158" s="360">
        <v>50</v>
      </c>
      <c r="AB2158" s="360">
        <v>4</v>
      </c>
    </row>
    <row r="2159" spans="10:28" x14ac:dyDescent="0.2">
      <c r="J2159" s="358" t="str">
        <f t="shared" si="112"/>
        <v>2007FemaleNon-Maori221</v>
      </c>
      <c r="K2159" s="359">
        <v>2007</v>
      </c>
      <c r="L2159" t="s">
        <v>8</v>
      </c>
      <c r="M2159" t="s">
        <v>19</v>
      </c>
      <c r="N2159">
        <v>22</v>
      </c>
      <c r="O2159">
        <v>1</v>
      </c>
      <c r="P2159">
        <v>2</v>
      </c>
      <c r="Q2159">
        <v>4.4471175324715402</v>
      </c>
      <c r="R2159">
        <v>6.2</v>
      </c>
      <c r="T2159" s="358" t="str">
        <f t="shared" si="113"/>
        <v>2006AllSexNon-Maori22Submersion (drowning)</v>
      </c>
      <c r="U2159" s="360">
        <v>2006</v>
      </c>
      <c r="V2159" s="360" t="s">
        <v>17</v>
      </c>
      <c r="W2159" s="360" t="s">
        <v>19</v>
      </c>
      <c r="X2159" s="360">
        <v>22</v>
      </c>
      <c r="Y2159" s="360" t="s">
        <v>49</v>
      </c>
      <c r="Z2159" s="360">
        <v>1</v>
      </c>
      <c r="AA2159" s="360">
        <v>82</v>
      </c>
      <c r="AB2159" s="360">
        <v>1.2</v>
      </c>
    </row>
    <row r="2160" spans="10:28" x14ac:dyDescent="0.2">
      <c r="J2160" s="358" t="str">
        <f t="shared" si="112"/>
        <v>2007FemaleNon-Maori222</v>
      </c>
      <c r="K2160" s="359">
        <v>2007</v>
      </c>
      <c r="L2160" t="s">
        <v>8</v>
      </c>
      <c r="M2160" t="s">
        <v>19</v>
      </c>
      <c r="N2160">
        <v>22</v>
      </c>
      <c r="O2160">
        <v>2</v>
      </c>
      <c r="P2160">
        <v>2</v>
      </c>
      <c r="Q2160">
        <v>4.3029624286742703</v>
      </c>
      <c r="R2160">
        <v>6</v>
      </c>
      <c r="T2160" s="358" t="str">
        <f t="shared" si="113"/>
        <v>2006AllSexNon-Maori23Submersion (drowning)</v>
      </c>
      <c r="U2160" s="360">
        <v>2006</v>
      </c>
      <c r="V2160" s="360" t="s">
        <v>17</v>
      </c>
      <c r="W2160" s="360" t="s">
        <v>19</v>
      </c>
      <c r="X2160" s="360">
        <v>23</v>
      </c>
      <c r="Y2160" s="360" t="s">
        <v>49</v>
      </c>
      <c r="Z2160" s="360">
        <v>2</v>
      </c>
      <c r="AA2160" s="360">
        <v>153</v>
      </c>
      <c r="AB2160" s="360">
        <v>1.3</v>
      </c>
    </row>
    <row r="2161" spans="10:28" x14ac:dyDescent="0.2">
      <c r="J2161" s="358" t="str">
        <f t="shared" si="112"/>
        <v>2007FemaleNon-Maori223</v>
      </c>
      <c r="K2161" s="359">
        <v>2007</v>
      </c>
      <c r="L2161" t="s">
        <v>8</v>
      </c>
      <c r="M2161" t="s">
        <v>19</v>
      </c>
      <c r="N2161">
        <v>22</v>
      </c>
      <c r="O2161">
        <v>3</v>
      </c>
      <c r="P2161">
        <v>3</v>
      </c>
      <c r="Q2161">
        <v>6.2106859762397999</v>
      </c>
      <c r="R2161">
        <v>7</v>
      </c>
      <c r="T2161" s="358" t="str">
        <f t="shared" si="113"/>
        <v>2006AllSexNon-Maori24Submersion (drowning)</v>
      </c>
      <c r="U2161" s="360">
        <v>2006</v>
      </c>
      <c r="V2161" s="360" t="s">
        <v>17</v>
      </c>
      <c r="W2161" s="360" t="s">
        <v>19</v>
      </c>
      <c r="X2161" s="360">
        <v>24</v>
      </c>
      <c r="Y2161" s="360" t="s">
        <v>49</v>
      </c>
      <c r="Z2161" s="360">
        <v>3</v>
      </c>
      <c r="AA2161" s="360">
        <v>129</v>
      </c>
      <c r="AB2161" s="360">
        <v>2.2999999999999998</v>
      </c>
    </row>
    <row r="2162" spans="10:28" x14ac:dyDescent="0.2">
      <c r="J2162" s="358" t="str">
        <f t="shared" si="112"/>
        <v>2007FemaleNon-Maori224</v>
      </c>
      <c r="K2162" s="359">
        <v>2007</v>
      </c>
      <c r="L2162" t="s">
        <v>8</v>
      </c>
      <c r="M2162" t="s">
        <v>19</v>
      </c>
      <c r="N2162">
        <v>22</v>
      </c>
      <c r="O2162">
        <v>4</v>
      </c>
      <c r="P2162">
        <v>4</v>
      </c>
      <c r="Q2162">
        <v>8.0086528718434007</v>
      </c>
      <c r="R2162">
        <v>7.8</v>
      </c>
      <c r="T2162" s="358" t="str">
        <f t="shared" si="113"/>
        <v>2006AllSexNon-Maori25Submersion (drowning)</v>
      </c>
      <c r="U2162" s="360">
        <v>2006</v>
      </c>
      <c r="V2162" s="360" t="s">
        <v>17</v>
      </c>
      <c r="W2162" s="360" t="s">
        <v>19</v>
      </c>
      <c r="X2162" s="360">
        <v>25</v>
      </c>
      <c r="Y2162" s="360" t="s">
        <v>49</v>
      </c>
      <c r="Z2162" s="360">
        <v>2</v>
      </c>
      <c r="AA2162" s="360">
        <v>50</v>
      </c>
      <c r="AB2162" s="360">
        <v>4</v>
      </c>
    </row>
    <row r="2163" spans="10:28" x14ac:dyDescent="0.2">
      <c r="J2163" s="358" t="str">
        <f t="shared" si="112"/>
        <v>2007FemaleNon-Maori225</v>
      </c>
      <c r="K2163" s="359">
        <v>2007</v>
      </c>
      <c r="L2163" t="s">
        <v>8</v>
      </c>
      <c r="M2163" t="s">
        <v>19</v>
      </c>
      <c r="N2163">
        <v>22</v>
      </c>
      <c r="O2163">
        <v>5</v>
      </c>
      <c r="P2163">
        <v>2</v>
      </c>
      <c r="Q2163">
        <v>3.93100137923392</v>
      </c>
      <c r="R2163">
        <v>5.4</v>
      </c>
      <c r="T2163" s="358" t="str">
        <f t="shared" si="113"/>
        <v>2006FemaleAllEth22Firearms and explosives</v>
      </c>
      <c r="U2163" s="360">
        <v>2006</v>
      </c>
      <c r="V2163" s="360" t="s">
        <v>8</v>
      </c>
      <c r="W2163" s="360" t="s">
        <v>27</v>
      </c>
      <c r="X2163" s="360">
        <v>22</v>
      </c>
      <c r="Y2163" s="360" t="s">
        <v>42</v>
      </c>
      <c r="Z2163" s="360">
        <v>1</v>
      </c>
      <c r="AA2163" s="360">
        <v>24</v>
      </c>
      <c r="AB2163" s="360">
        <v>4.2</v>
      </c>
    </row>
    <row r="2164" spans="10:28" x14ac:dyDescent="0.2">
      <c r="J2164" s="358" t="str">
        <f t="shared" si="112"/>
        <v>2007FemaleNon-Maori231</v>
      </c>
      <c r="K2164" s="359">
        <v>2007</v>
      </c>
      <c r="L2164" t="s">
        <v>8</v>
      </c>
      <c r="M2164" t="s">
        <v>19</v>
      </c>
      <c r="N2164">
        <v>23</v>
      </c>
      <c r="O2164">
        <v>1</v>
      </c>
      <c r="P2164">
        <v>6</v>
      </c>
      <c r="Q2164">
        <v>5.19996486291606</v>
      </c>
      <c r="R2164">
        <v>4.2</v>
      </c>
      <c r="T2164" s="358" t="str">
        <f t="shared" si="113"/>
        <v>2006FemaleAllEth23Firearms and explosives</v>
      </c>
      <c r="U2164" s="360">
        <v>2006</v>
      </c>
      <c r="V2164" s="360" t="s">
        <v>8</v>
      </c>
      <c r="W2164" s="360" t="s">
        <v>27</v>
      </c>
      <c r="X2164" s="360">
        <v>23</v>
      </c>
      <c r="Y2164" s="360" t="s">
        <v>42</v>
      </c>
      <c r="Z2164" s="360">
        <v>2</v>
      </c>
      <c r="AA2164" s="360">
        <v>60</v>
      </c>
      <c r="AB2164" s="360">
        <v>3.3</v>
      </c>
    </row>
    <row r="2165" spans="10:28" x14ac:dyDescent="0.2">
      <c r="J2165" s="358" t="str">
        <f t="shared" si="112"/>
        <v>2007FemaleNon-Maori232</v>
      </c>
      <c r="K2165" s="359">
        <v>2007</v>
      </c>
      <c r="L2165" t="s">
        <v>8</v>
      </c>
      <c r="M2165" t="s">
        <v>19</v>
      </c>
      <c r="N2165">
        <v>23</v>
      </c>
      <c r="O2165">
        <v>2</v>
      </c>
      <c r="P2165">
        <v>10</v>
      </c>
      <c r="Q2165">
        <v>8.5761959076571799</v>
      </c>
      <c r="R2165">
        <v>5.3</v>
      </c>
      <c r="T2165" s="358" t="str">
        <f t="shared" si="113"/>
        <v>2006FemaleAllEth24Firearms and explosives</v>
      </c>
      <c r="U2165" s="360">
        <v>2006</v>
      </c>
      <c r="V2165" s="360" t="s">
        <v>8</v>
      </c>
      <c r="W2165" s="360" t="s">
        <v>27</v>
      </c>
      <c r="X2165" s="360">
        <v>24</v>
      </c>
      <c r="Y2165" s="360" t="s">
        <v>42</v>
      </c>
      <c r="Z2165" s="360">
        <v>3</v>
      </c>
      <c r="AA2165" s="360">
        <v>31</v>
      </c>
      <c r="AB2165" s="360">
        <v>9.6999999999999993</v>
      </c>
    </row>
    <row r="2166" spans="10:28" x14ac:dyDescent="0.2">
      <c r="J2166" s="358" t="str">
        <f t="shared" si="112"/>
        <v>2007FemaleNon-Maori233</v>
      </c>
      <c r="K2166" s="359">
        <v>2007</v>
      </c>
      <c r="L2166" t="s">
        <v>8</v>
      </c>
      <c r="M2166" t="s">
        <v>19</v>
      </c>
      <c r="N2166">
        <v>23</v>
      </c>
      <c r="O2166">
        <v>3</v>
      </c>
      <c r="P2166">
        <v>7</v>
      </c>
      <c r="Q2166">
        <v>6.3169976168452804</v>
      </c>
      <c r="R2166">
        <v>4.7</v>
      </c>
      <c r="T2166" s="358" t="str">
        <f t="shared" si="113"/>
        <v>2006FemaleAllEth21Hanging, strangulation and suffocation</v>
      </c>
      <c r="U2166" s="360">
        <v>2006</v>
      </c>
      <c r="V2166" s="360" t="s">
        <v>8</v>
      </c>
      <c r="W2166" s="360" t="s">
        <v>27</v>
      </c>
      <c r="X2166" s="360">
        <v>21</v>
      </c>
      <c r="Y2166" s="360" t="s">
        <v>43</v>
      </c>
      <c r="Z2166" s="360">
        <v>4</v>
      </c>
      <c r="AA2166" s="360">
        <v>4</v>
      </c>
      <c r="AB2166" s="360">
        <v>100</v>
      </c>
    </row>
    <row r="2167" spans="10:28" x14ac:dyDescent="0.2">
      <c r="J2167" s="358" t="str">
        <f t="shared" si="112"/>
        <v>2007FemaleNon-Maori234</v>
      </c>
      <c r="K2167" s="359">
        <v>2007</v>
      </c>
      <c r="L2167" t="s">
        <v>8</v>
      </c>
      <c r="M2167" t="s">
        <v>19</v>
      </c>
      <c r="N2167">
        <v>23</v>
      </c>
      <c r="O2167">
        <v>4</v>
      </c>
      <c r="P2167">
        <v>6</v>
      </c>
      <c r="Q2167">
        <v>5.9654306589360804</v>
      </c>
      <c r="R2167">
        <v>4.8</v>
      </c>
      <c r="T2167" s="358" t="str">
        <f t="shared" si="113"/>
        <v>2006FemaleAllEth22Hanging, strangulation and suffocation</v>
      </c>
      <c r="U2167" s="360">
        <v>2006</v>
      </c>
      <c r="V2167" s="360" t="s">
        <v>8</v>
      </c>
      <c r="W2167" s="360" t="s">
        <v>27</v>
      </c>
      <c r="X2167" s="360">
        <v>22</v>
      </c>
      <c r="Y2167" s="360" t="s">
        <v>43</v>
      </c>
      <c r="Z2167" s="360">
        <v>19</v>
      </c>
      <c r="AA2167" s="360">
        <v>24</v>
      </c>
      <c r="AB2167" s="360">
        <v>79.2</v>
      </c>
    </row>
    <row r="2168" spans="10:28" x14ac:dyDescent="0.2">
      <c r="J2168" s="358" t="str">
        <f t="shared" si="112"/>
        <v>2007FemaleNon-Maori235</v>
      </c>
      <c r="K2168" s="359">
        <v>2007</v>
      </c>
      <c r="L2168" t="s">
        <v>8</v>
      </c>
      <c r="M2168" t="s">
        <v>19</v>
      </c>
      <c r="N2168">
        <v>23</v>
      </c>
      <c r="O2168">
        <v>5</v>
      </c>
      <c r="P2168">
        <v>7</v>
      </c>
      <c r="Q2168">
        <v>8.9284392878069099</v>
      </c>
      <c r="R2168">
        <v>6.6</v>
      </c>
      <c r="T2168" s="358" t="str">
        <f t="shared" si="113"/>
        <v>2006FemaleAllEth23Hanging, strangulation and suffocation</v>
      </c>
      <c r="U2168" s="360">
        <v>2006</v>
      </c>
      <c r="V2168" s="360" t="s">
        <v>8</v>
      </c>
      <c r="W2168" s="360" t="s">
        <v>27</v>
      </c>
      <c r="X2168" s="360">
        <v>23</v>
      </c>
      <c r="Y2168" s="360" t="s">
        <v>43</v>
      </c>
      <c r="Z2168" s="360">
        <v>31</v>
      </c>
      <c r="AA2168" s="360">
        <v>60</v>
      </c>
      <c r="AB2168" s="360">
        <v>51.7</v>
      </c>
    </row>
    <row r="2169" spans="10:28" x14ac:dyDescent="0.2">
      <c r="J2169" s="358" t="str">
        <f t="shared" si="112"/>
        <v>2007FemaleNon-Maori241</v>
      </c>
      <c r="K2169" s="359">
        <v>2007</v>
      </c>
      <c r="L2169" t="s">
        <v>8</v>
      </c>
      <c r="M2169" t="s">
        <v>19</v>
      </c>
      <c r="N2169">
        <v>24</v>
      </c>
      <c r="O2169">
        <v>1</v>
      </c>
      <c r="P2169">
        <v>6</v>
      </c>
      <c r="Q2169">
        <v>4.8637580619030798</v>
      </c>
      <c r="R2169">
        <v>3.9</v>
      </c>
      <c r="T2169" s="358" t="str">
        <f t="shared" si="113"/>
        <v>2006FemaleAllEth24Hanging, strangulation and suffocation</v>
      </c>
      <c r="U2169" s="360">
        <v>2006</v>
      </c>
      <c r="V2169" s="360" t="s">
        <v>8</v>
      </c>
      <c r="W2169" s="360" t="s">
        <v>27</v>
      </c>
      <c r="X2169" s="360">
        <v>24</v>
      </c>
      <c r="Y2169" s="360" t="s">
        <v>43</v>
      </c>
      <c r="Z2169" s="360">
        <v>12</v>
      </c>
      <c r="AA2169" s="360">
        <v>31</v>
      </c>
      <c r="AB2169" s="360">
        <v>38.700000000000003</v>
      </c>
    </row>
    <row r="2170" spans="10:28" x14ac:dyDescent="0.2">
      <c r="J2170" s="358" t="str">
        <f t="shared" si="112"/>
        <v>2007FemaleNon-Maori242</v>
      </c>
      <c r="K2170" s="359">
        <v>2007</v>
      </c>
      <c r="L2170" t="s">
        <v>8</v>
      </c>
      <c r="M2170" t="s">
        <v>19</v>
      </c>
      <c r="N2170">
        <v>24</v>
      </c>
      <c r="O2170">
        <v>2</v>
      </c>
      <c r="P2170">
        <v>6</v>
      </c>
      <c r="Q2170">
        <v>5.5699001469908698</v>
      </c>
      <c r="R2170">
        <v>4.5</v>
      </c>
      <c r="T2170" s="358" t="str">
        <f t="shared" si="113"/>
        <v>2006FemaleAllEth25Hanging, strangulation and suffocation</v>
      </c>
      <c r="U2170" s="360">
        <v>2006</v>
      </c>
      <c r="V2170" s="360" t="s">
        <v>8</v>
      </c>
      <c r="W2170" s="360" t="s">
        <v>27</v>
      </c>
      <c r="X2170" s="360">
        <v>25</v>
      </c>
      <c r="Y2170" s="360" t="s">
        <v>43</v>
      </c>
      <c r="Z2170" s="360">
        <v>8</v>
      </c>
      <c r="AA2170" s="360">
        <v>18</v>
      </c>
      <c r="AB2170" s="360">
        <v>44.4</v>
      </c>
    </row>
    <row r="2171" spans="10:28" x14ac:dyDescent="0.2">
      <c r="J2171" s="358" t="str">
        <f t="shared" si="112"/>
        <v>2007FemaleNon-Maori243</v>
      </c>
      <c r="K2171" s="359">
        <v>2007</v>
      </c>
      <c r="L2171" t="s">
        <v>8</v>
      </c>
      <c r="M2171" t="s">
        <v>19</v>
      </c>
      <c r="N2171">
        <v>24</v>
      </c>
      <c r="O2171">
        <v>3</v>
      </c>
      <c r="P2171">
        <v>9</v>
      </c>
      <c r="Q2171">
        <v>9.4956884270675506</v>
      </c>
      <c r="R2171">
        <v>6.2</v>
      </c>
      <c r="T2171" s="358" t="str">
        <f t="shared" si="113"/>
        <v>2006FemaleAllEth23Jumping from a high place</v>
      </c>
      <c r="U2171" s="360">
        <v>2006</v>
      </c>
      <c r="V2171" s="360" t="s">
        <v>8</v>
      </c>
      <c r="W2171" s="360" t="s">
        <v>27</v>
      </c>
      <c r="X2171" s="360">
        <v>23</v>
      </c>
      <c r="Y2171" s="360" t="s">
        <v>44</v>
      </c>
      <c r="Z2171" s="360">
        <v>2</v>
      </c>
      <c r="AA2171" s="360">
        <v>60</v>
      </c>
      <c r="AB2171" s="360">
        <v>3.3</v>
      </c>
    </row>
    <row r="2172" spans="10:28" x14ac:dyDescent="0.2">
      <c r="J2172" s="358" t="str">
        <f t="shared" si="112"/>
        <v>2007FemaleNon-Maori244</v>
      </c>
      <c r="K2172" s="359">
        <v>2007</v>
      </c>
      <c r="L2172" t="s">
        <v>8</v>
      </c>
      <c r="M2172" t="s">
        <v>19</v>
      </c>
      <c r="N2172">
        <v>24</v>
      </c>
      <c r="O2172">
        <v>4</v>
      </c>
      <c r="P2172">
        <v>7</v>
      </c>
      <c r="Q2172">
        <v>8.5501696598585095</v>
      </c>
      <c r="R2172">
        <v>6.3</v>
      </c>
      <c r="T2172" s="358" t="str">
        <f t="shared" si="113"/>
        <v>2006FemaleAllEth25Jumping from a high place</v>
      </c>
      <c r="U2172" s="360">
        <v>2006</v>
      </c>
      <c r="V2172" s="360" t="s">
        <v>8</v>
      </c>
      <c r="W2172" s="360" t="s">
        <v>27</v>
      </c>
      <c r="X2172" s="360">
        <v>25</v>
      </c>
      <c r="Y2172" s="360" t="s">
        <v>44</v>
      </c>
      <c r="Z2172" s="360">
        <v>2</v>
      </c>
      <c r="AA2172" s="360">
        <v>18</v>
      </c>
      <c r="AB2172" s="360">
        <v>11.1</v>
      </c>
    </row>
    <row r="2173" spans="10:28" x14ac:dyDescent="0.2">
      <c r="J2173" s="358" t="str">
        <f t="shared" si="112"/>
        <v>2007FemaleNon-Maori245</v>
      </c>
      <c r="K2173" s="359">
        <v>2007</v>
      </c>
      <c r="L2173" t="s">
        <v>8</v>
      </c>
      <c r="M2173" t="s">
        <v>19</v>
      </c>
      <c r="N2173">
        <v>24</v>
      </c>
      <c r="O2173">
        <v>5</v>
      </c>
      <c r="P2173">
        <v>7</v>
      </c>
      <c r="Q2173">
        <v>11.582277598072601</v>
      </c>
      <c r="R2173">
        <v>8.6</v>
      </c>
      <c r="T2173" s="358" t="str">
        <f t="shared" si="113"/>
        <v>2006FemaleAllEth23Other</v>
      </c>
      <c r="U2173" s="360">
        <v>2006</v>
      </c>
      <c r="V2173" s="360" t="s">
        <v>8</v>
      </c>
      <c r="W2173" s="360" t="s">
        <v>27</v>
      </c>
      <c r="X2173" s="360">
        <v>23</v>
      </c>
      <c r="Y2173" s="360" t="s">
        <v>45</v>
      </c>
      <c r="Z2173" s="360">
        <v>3</v>
      </c>
      <c r="AA2173" s="360">
        <v>60</v>
      </c>
      <c r="AB2173" s="360">
        <v>5</v>
      </c>
    </row>
    <row r="2174" spans="10:28" x14ac:dyDescent="0.2">
      <c r="J2174" s="358" t="str">
        <f t="shared" si="112"/>
        <v>2007FemaleNon-Maori251</v>
      </c>
      <c r="K2174" s="359">
        <v>2007</v>
      </c>
      <c r="L2174" t="s">
        <v>8</v>
      </c>
      <c r="M2174" t="s">
        <v>19</v>
      </c>
      <c r="N2174">
        <v>25</v>
      </c>
      <c r="O2174">
        <v>1</v>
      </c>
      <c r="P2174">
        <v>3</v>
      </c>
      <c r="Q2174">
        <v>5.7445457709296104</v>
      </c>
      <c r="R2174">
        <v>6.5</v>
      </c>
      <c r="T2174" s="358" t="str">
        <f t="shared" si="113"/>
        <v>2006FemaleAllEth24Other</v>
      </c>
      <c r="U2174" s="360">
        <v>2006</v>
      </c>
      <c r="V2174" s="360" t="s">
        <v>8</v>
      </c>
      <c r="W2174" s="360" t="s">
        <v>27</v>
      </c>
      <c r="X2174" s="360">
        <v>24</v>
      </c>
      <c r="Y2174" s="360" t="s">
        <v>45</v>
      </c>
      <c r="Z2174" s="360">
        <v>1</v>
      </c>
      <c r="AA2174" s="360">
        <v>31</v>
      </c>
      <c r="AB2174" s="360">
        <v>3.2</v>
      </c>
    </row>
    <row r="2175" spans="10:28" x14ac:dyDescent="0.2">
      <c r="J2175" s="358" t="str">
        <f t="shared" si="112"/>
        <v>2007FemaleNon-Maori252</v>
      </c>
      <c r="K2175" s="359">
        <v>2007</v>
      </c>
      <c r="L2175" t="s">
        <v>8</v>
      </c>
      <c r="M2175" t="s">
        <v>19</v>
      </c>
      <c r="N2175">
        <v>25</v>
      </c>
      <c r="O2175">
        <v>2</v>
      </c>
      <c r="P2175">
        <v>1</v>
      </c>
      <c r="Q2175">
        <v>1.7277404681051101</v>
      </c>
      <c r="R2175">
        <v>3.4</v>
      </c>
      <c r="T2175" s="358" t="str">
        <f t="shared" si="113"/>
        <v>2006FemaleAllEth25Other</v>
      </c>
      <c r="U2175" s="360">
        <v>2006</v>
      </c>
      <c r="V2175" s="360" t="s">
        <v>8</v>
      </c>
      <c r="W2175" s="360" t="s">
        <v>27</v>
      </c>
      <c r="X2175" s="360">
        <v>25</v>
      </c>
      <c r="Y2175" s="360" t="s">
        <v>45</v>
      </c>
      <c r="Z2175" s="360">
        <v>1</v>
      </c>
      <c r="AA2175" s="360">
        <v>18</v>
      </c>
      <c r="AB2175" s="360">
        <v>5.6</v>
      </c>
    </row>
    <row r="2176" spans="10:28" x14ac:dyDescent="0.2">
      <c r="J2176" s="358" t="str">
        <f t="shared" si="112"/>
        <v>2007FemaleNon-Maori253</v>
      </c>
      <c r="K2176" s="359">
        <v>2007</v>
      </c>
      <c r="L2176" t="s">
        <v>8</v>
      </c>
      <c r="M2176" t="s">
        <v>19</v>
      </c>
      <c r="N2176">
        <v>25</v>
      </c>
      <c r="O2176">
        <v>3</v>
      </c>
      <c r="P2176">
        <v>0</v>
      </c>
      <c r="Q2176">
        <v>0</v>
      </c>
      <c r="T2176" s="358" t="str">
        <f t="shared" si="113"/>
        <v>2006FemaleAllEth22Poisoning by gases and vapours</v>
      </c>
      <c r="U2176" s="360">
        <v>2006</v>
      </c>
      <c r="V2176" s="360" t="s">
        <v>8</v>
      </c>
      <c r="W2176" s="360" t="s">
        <v>27</v>
      </c>
      <c r="X2176" s="360">
        <v>22</v>
      </c>
      <c r="Y2176" s="360" t="s">
        <v>46</v>
      </c>
      <c r="Z2176" s="360">
        <v>2</v>
      </c>
      <c r="AA2176" s="360">
        <v>24</v>
      </c>
      <c r="AB2176" s="360">
        <v>8.3000000000000007</v>
      </c>
    </row>
    <row r="2177" spans="10:28" x14ac:dyDescent="0.2">
      <c r="J2177" s="358" t="str">
        <f t="shared" si="112"/>
        <v>2007FemaleNon-Maori254</v>
      </c>
      <c r="K2177" s="359">
        <v>2007</v>
      </c>
      <c r="L2177" t="s">
        <v>8</v>
      </c>
      <c r="M2177" t="s">
        <v>19</v>
      </c>
      <c r="N2177">
        <v>25</v>
      </c>
      <c r="O2177">
        <v>4</v>
      </c>
      <c r="P2177">
        <v>1</v>
      </c>
      <c r="Q2177">
        <v>1.63364519901368</v>
      </c>
      <c r="R2177">
        <v>3.2</v>
      </c>
      <c r="T2177" s="358" t="str">
        <f t="shared" si="113"/>
        <v>2006FemaleAllEth23Poisoning by gases and vapours</v>
      </c>
      <c r="U2177" s="360">
        <v>2006</v>
      </c>
      <c r="V2177" s="360" t="s">
        <v>8</v>
      </c>
      <c r="W2177" s="360" t="s">
        <v>27</v>
      </c>
      <c r="X2177" s="360">
        <v>23</v>
      </c>
      <c r="Y2177" s="360" t="s">
        <v>46</v>
      </c>
      <c r="Z2177" s="360">
        <v>9</v>
      </c>
      <c r="AA2177" s="360">
        <v>60</v>
      </c>
      <c r="AB2177" s="360">
        <v>15</v>
      </c>
    </row>
    <row r="2178" spans="10:28" x14ac:dyDescent="0.2">
      <c r="J2178" s="358" t="str">
        <f t="shared" si="112"/>
        <v>2007FemaleNon-Maori255</v>
      </c>
      <c r="K2178" s="359">
        <v>2007</v>
      </c>
      <c r="L2178" t="s">
        <v>8</v>
      </c>
      <c r="M2178" t="s">
        <v>19</v>
      </c>
      <c r="N2178">
        <v>25</v>
      </c>
      <c r="O2178">
        <v>5</v>
      </c>
      <c r="P2178">
        <v>3</v>
      </c>
      <c r="Q2178">
        <v>7.0736288001433296</v>
      </c>
      <c r="R2178">
        <v>8</v>
      </c>
      <c r="T2178" s="358" t="str">
        <f t="shared" si="113"/>
        <v>2006FemaleAllEth24Poisoning by gases and vapours</v>
      </c>
      <c r="U2178" s="360">
        <v>2006</v>
      </c>
      <c r="V2178" s="360" t="s">
        <v>8</v>
      </c>
      <c r="W2178" s="360" t="s">
        <v>27</v>
      </c>
      <c r="X2178" s="360">
        <v>24</v>
      </c>
      <c r="Y2178" s="360" t="s">
        <v>46</v>
      </c>
      <c r="Z2178" s="360">
        <v>6</v>
      </c>
      <c r="AA2178" s="360">
        <v>31</v>
      </c>
      <c r="AB2178" s="360">
        <v>19.399999999999999</v>
      </c>
    </row>
    <row r="2179" spans="10:28" x14ac:dyDescent="0.2">
      <c r="J2179" s="358" t="str">
        <f t="shared" si="112"/>
        <v>2007MaleAllEth211</v>
      </c>
      <c r="K2179" s="359">
        <v>2007</v>
      </c>
      <c r="L2179" t="s">
        <v>20</v>
      </c>
      <c r="M2179" t="s">
        <v>27</v>
      </c>
      <c r="N2179">
        <v>21</v>
      </c>
      <c r="O2179">
        <v>1</v>
      </c>
      <c r="P2179">
        <v>0</v>
      </c>
      <c r="T2179" s="358" t="str">
        <f t="shared" si="113"/>
        <v>2006FemaleAllEth25Poisoning by gases and vapours</v>
      </c>
      <c r="U2179" s="360">
        <v>2006</v>
      </c>
      <c r="V2179" s="360" t="s">
        <v>8</v>
      </c>
      <c r="W2179" s="360" t="s">
        <v>27</v>
      </c>
      <c r="X2179" s="360">
        <v>25</v>
      </c>
      <c r="Y2179" s="360" t="s">
        <v>46</v>
      </c>
      <c r="Z2179" s="360">
        <v>3</v>
      </c>
      <c r="AA2179" s="360">
        <v>18</v>
      </c>
      <c r="AB2179" s="360">
        <v>16.7</v>
      </c>
    </row>
    <row r="2180" spans="10:28" x14ac:dyDescent="0.2">
      <c r="J2180" s="358" t="str">
        <f t="shared" ref="J2180:J2243" si="114">K2180&amp;L2180&amp;M2180&amp;N2180&amp;O2180</f>
        <v>2007MaleAllEth212</v>
      </c>
      <c r="K2180" s="359">
        <v>2007</v>
      </c>
      <c r="L2180" t="s">
        <v>20</v>
      </c>
      <c r="M2180" t="s">
        <v>27</v>
      </c>
      <c r="N2180">
        <v>21</v>
      </c>
      <c r="O2180">
        <v>2</v>
      </c>
      <c r="P2180">
        <v>0</v>
      </c>
      <c r="T2180" s="358" t="str">
        <f t="shared" si="113"/>
        <v>2006FemaleAllEth22Poisoning by solids and liquids</v>
      </c>
      <c r="U2180" s="360">
        <v>2006</v>
      </c>
      <c r="V2180" s="360" t="s">
        <v>8</v>
      </c>
      <c r="W2180" s="360" t="s">
        <v>27</v>
      </c>
      <c r="X2180" s="360">
        <v>22</v>
      </c>
      <c r="Y2180" s="360" t="s">
        <v>47</v>
      </c>
      <c r="Z2180" s="360">
        <v>2</v>
      </c>
      <c r="AA2180" s="360">
        <v>24</v>
      </c>
      <c r="AB2180" s="360">
        <v>8.3000000000000007</v>
      </c>
    </row>
    <row r="2181" spans="10:28" x14ac:dyDescent="0.2">
      <c r="J2181" s="358" t="str">
        <f t="shared" si="114"/>
        <v>2007MaleAllEth213</v>
      </c>
      <c r="K2181" s="359">
        <v>2007</v>
      </c>
      <c r="L2181" t="s">
        <v>20</v>
      </c>
      <c r="M2181" t="s">
        <v>27</v>
      </c>
      <c r="N2181">
        <v>21</v>
      </c>
      <c r="O2181">
        <v>3</v>
      </c>
      <c r="P2181">
        <v>1</v>
      </c>
      <c r="T2181" s="358" t="str">
        <f t="shared" ref="T2181:T2244" si="115">U2181&amp;V2181&amp;W2181&amp;X2181&amp;Y2181</f>
        <v>2006FemaleAllEth23Poisoning by solids and liquids</v>
      </c>
      <c r="U2181" s="360">
        <v>2006</v>
      </c>
      <c r="V2181" s="360" t="s">
        <v>8</v>
      </c>
      <c r="W2181" s="360" t="s">
        <v>27</v>
      </c>
      <c r="X2181" s="360">
        <v>23</v>
      </c>
      <c r="Y2181" s="360" t="s">
        <v>47</v>
      </c>
      <c r="Z2181" s="360">
        <v>12</v>
      </c>
      <c r="AA2181" s="360">
        <v>60</v>
      </c>
      <c r="AB2181" s="360">
        <v>20</v>
      </c>
    </row>
    <row r="2182" spans="10:28" x14ac:dyDescent="0.2">
      <c r="J2182" s="358" t="str">
        <f t="shared" si="114"/>
        <v>2007MaleAllEth214</v>
      </c>
      <c r="K2182" s="359">
        <v>2007</v>
      </c>
      <c r="L2182" t="s">
        <v>20</v>
      </c>
      <c r="M2182" t="s">
        <v>27</v>
      </c>
      <c r="N2182">
        <v>21</v>
      </c>
      <c r="O2182">
        <v>4</v>
      </c>
      <c r="P2182">
        <v>0</v>
      </c>
      <c r="T2182" s="358" t="str">
        <f t="shared" si="115"/>
        <v>2006FemaleAllEth24Poisoning by solids and liquids</v>
      </c>
      <c r="U2182" s="360">
        <v>2006</v>
      </c>
      <c r="V2182" s="360" t="s">
        <v>8</v>
      </c>
      <c r="W2182" s="360" t="s">
        <v>27</v>
      </c>
      <c r="X2182" s="360">
        <v>24</v>
      </c>
      <c r="Y2182" s="360" t="s">
        <v>47</v>
      </c>
      <c r="Z2182" s="360">
        <v>8</v>
      </c>
      <c r="AA2182" s="360">
        <v>31</v>
      </c>
      <c r="AB2182" s="360">
        <v>25.8</v>
      </c>
    </row>
    <row r="2183" spans="10:28" x14ac:dyDescent="0.2">
      <c r="J2183" s="358" t="str">
        <f t="shared" si="114"/>
        <v>2007MaleAllEth215</v>
      </c>
      <c r="K2183" s="359">
        <v>2007</v>
      </c>
      <c r="L2183" t="s">
        <v>20</v>
      </c>
      <c r="M2183" t="s">
        <v>27</v>
      </c>
      <c r="N2183">
        <v>21</v>
      </c>
      <c r="O2183">
        <v>5</v>
      </c>
      <c r="P2183">
        <v>0</v>
      </c>
      <c r="T2183" s="358" t="str">
        <f t="shared" si="115"/>
        <v>2006FemaleAllEth25Poisoning by solids and liquids</v>
      </c>
      <c r="U2183" s="360">
        <v>2006</v>
      </c>
      <c r="V2183" s="360" t="s">
        <v>8</v>
      </c>
      <c r="W2183" s="360" t="s">
        <v>27</v>
      </c>
      <c r="X2183" s="360">
        <v>25</v>
      </c>
      <c r="Y2183" s="360" t="s">
        <v>47</v>
      </c>
      <c r="Z2183" s="360">
        <v>3</v>
      </c>
      <c r="AA2183" s="360">
        <v>18</v>
      </c>
      <c r="AB2183" s="360">
        <v>16.7</v>
      </c>
    </row>
    <row r="2184" spans="10:28" x14ac:dyDescent="0.2">
      <c r="J2184" s="358" t="str">
        <f t="shared" si="114"/>
        <v>2007MaleAllEth221</v>
      </c>
      <c r="K2184" s="359">
        <v>2007</v>
      </c>
      <c r="L2184" t="s">
        <v>20</v>
      </c>
      <c r="M2184" t="s">
        <v>27</v>
      </c>
      <c r="N2184">
        <v>22</v>
      </c>
      <c r="O2184">
        <v>1</v>
      </c>
      <c r="P2184">
        <v>10</v>
      </c>
      <c r="Q2184">
        <v>18.879210028383</v>
      </c>
      <c r="R2184">
        <v>11.7</v>
      </c>
      <c r="T2184" s="358" t="str">
        <f t="shared" si="115"/>
        <v>2006FemaleAllEth23Sharp object</v>
      </c>
      <c r="U2184" s="360">
        <v>2006</v>
      </c>
      <c r="V2184" s="360" t="s">
        <v>8</v>
      </c>
      <c r="W2184" s="360" t="s">
        <v>27</v>
      </c>
      <c r="X2184" s="360">
        <v>23</v>
      </c>
      <c r="Y2184" s="360" t="s">
        <v>48</v>
      </c>
      <c r="Z2184" s="360">
        <v>1</v>
      </c>
      <c r="AA2184" s="360">
        <v>60</v>
      </c>
      <c r="AB2184" s="360">
        <v>1.7</v>
      </c>
    </row>
    <row r="2185" spans="10:28" x14ac:dyDescent="0.2">
      <c r="J2185" s="358" t="str">
        <f t="shared" si="114"/>
        <v>2007MaleAllEth222</v>
      </c>
      <c r="K2185" s="359">
        <v>2007</v>
      </c>
      <c r="L2185" t="s">
        <v>20</v>
      </c>
      <c r="M2185" t="s">
        <v>27</v>
      </c>
      <c r="N2185">
        <v>22</v>
      </c>
      <c r="O2185">
        <v>2</v>
      </c>
      <c r="P2185">
        <v>8</v>
      </c>
      <c r="Q2185">
        <v>14.3068632434926</v>
      </c>
      <c r="R2185">
        <v>9.9</v>
      </c>
      <c r="T2185" s="358" t="str">
        <f t="shared" si="115"/>
        <v>2006FemaleAllEth24Submersion (drowning)</v>
      </c>
      <c r="U2185" s="360">
        <v>2006</v>
      </c>
      <c r="V2185" s="360" t="s">
        <v>8</v>
      </c>
      <c r="W2185" s="360" t="s">
        <v>27</v>
      </c>
      <c r="X2185" s="360">
        <v>24</v>
      </c>
      <c r="Y2185" s="360" t="s">
        <v>49</v>
      </c>
      <c r="Z2185" s="360">
        <v>1</v>
      </c>
      <c r="AA2185" s="360">
        <v>31</v>
      </c>
      <c r="AB2185" s="360">
        <v>3.2</v>
      </c>
    </row>
    <row r="2186" spans="10:28" x14ac:dyDescent="0.2">
      <c r="J2186" s="358" t="str">
        <f t="shared" si="114"/>
        <v>2007MaleAllEth223</v>
      </c>
      <c r="K2186" s="359">
        <v>2007</v>
      </c>
      <c r="L2186" t="s">
        <v>20</v>
      </c>
      <c r="M2186" t="s">
        <v>27</v>
      </c>
      <c r="N2186">
        <v>22</v>
      </c>
      <c r="O2186">
        <v>3</v>
      </c>
      <c r="P2186">
        <v>14</v>
      </c>
      <c r="Q2186">
        <v>23.554051956752499</v>
      </c>
      <c r="R2186">
        <v>12.3</v>
      </c>
      <c r="T2186" s="358" t="str">
        <f t="shared" si="115"/>
        <v>2006FemaleAllEth25Submersion (drowning)</v>
      </c>
      <c r="U2186" s="360">
        <v>2006</v>
      </c>
      <c r="V2186" s="360" t="s">
        <v>8</v>
      </c>
      <c r="W2186" s="360" t="s">
        <v>27</v>
      </c>
      <c r="X2186" s="360">
        <v>25</v>
      </c>
      <c r="Y2186" s="360" t="s">
        <v>49</v>
      </c>
      <c r="Z2186" s="360">
        <v>1</v>
      </c>
      <c r="AA2186" s="360">
        <v>18</v>
      </c>
      <c r="AB2186" s="360">
        <v>5.6</v>
      </c>
    </row>
    <row r="2187" spans="10:28" x14ac:dyDescent="0.2">
      <c r="J2187" s="358" t="str">
        <f t="shared" si="114"/>
        <v>2007MaleAllEth224</v>
      </c>
      <c r="K2187" s="359">
        <v>2007</v>
      </c>
      <c r="L2187" t="s">
        <v>20</v>
      </c>
      <c r="M2187" t="s">
        <v>27</v>
      </c>
      <c r="N2187">
        <v>22</v>
      </c>
      <c r="O2187">
        <v>4</v>
      </c>
      <c r="P2187">
        <v>15</v>
      </c>
      <c r="Q2187">
        <v>23.427936660870301</v>
      </c>
      <c r="R2187">
        <v>11.9</v>
      </c>
      <c r="T2187" s="358" t="str">
        <f t="shared" si="115"/>
        <v>2006FemaleMaori21Hanging, strangulation and suffocation</v>
      </c>
      <c r="U2187" s="360">
        <v>2006</v>
      </c>
      <c r="V2187" s="360" t="s">
        <v>8</v>
      </c>
      <c r="W2187" s="360" t="s">
        <v>18</v>
      </c>
      <c r="X2187" s="360">
        <v>21</v>
      </c>
      <c r="Y2187" s="360" t="s">
        <v>43</v>
      </c>
      <c r="Z2187" s="360">
        <v>4</v>
      </c>
      <c r="AA2187" s="360">
        <v>4</v>
      </c>
      <c r="AB2187" s="360">
        <v>100</v>
      </c>
    </row>
    <row r="2188" spans="10:28" x14ac:dyDescent="0.2">
      <c r="J2188" s="358" t="str">
        <f t="shared" si="114"/>
        <v>2007MaleAllEth225</v>
      </c>
      <c r="K2188" s="359">
        <v>2007</v>
      </c>
      <c r="L2188" t="s">
        <v>20</v>
      </c>
      <c r="M2188" t="s">
        <v>27</v>
      </c>
      <c r="N2188">
        <v>22</v>
      </c>
      <c r="O2188">
        <v>5</v>
      </c>
      <c r="P2188">
        <v>21</v>
      </c>
      <c r="Q2188">
        <v>28.925387899850001</v>
      </c>
      <c r="R2188">
        <v>12.4</v>
      </c>
      <c r="T2188" s="358" t="str">
        <f t="shared" si="115"/>
        <v>2006FemaleMaori22Hanging, strangulation and suffocation</v>
      </c>
      <c r="U2188" s="360">
        <v>2006</v>
      </c>
      <c r="V2188" s="360" t="s">
        <v>8</v>
      </c>
      <c r="W2188" s="360" t="s">
        <v>18</v>
      </c>
      <c r="X2188" s="360">
        <v>22</v>
      </c>
      <c r="Y2188" s="360" t="s">
        <v>43</v>
      </c>
      <c r="Z2188" s="360">
        <v>8</v>
      </c>
      <c r="AA2188" s="360">
        <v>8</v>
      </c>
      <c r="AB2188" s="360">
        <v>100</v>
      </c>
    </row>
    <row r="2189" spans="10:28" x14ac:dyDescent="0.2">
      <c r="J2189" s="358" t="str">
        <f t="shared" si="114"/>
        <v>2007MaleAllEth231</v>
      </c>
      <c r="K2189" s="359">
        <v>2007</v>
      </c>
      <c r="L2189" t="s">
        <v>20</v>
      </c>
      <c r="M2189" t="s">
        <v>27</v>
      </c>
      <c r="N2189">
        <v>23</v>
      </c>
      <c r="O2189">
        <v>1</v>
      </c>
      <c r="P2189">
        <v>22</v>
      </c>
      <c r="Q2189">
        <v>20.157859706002501</v>
      </c>
      <c r="R2189">
        <v>8.4</v>
      </c>
      <c r="T2189" s="358" t="str">
        <f t="shared" si="115"/>
        <v>2006FemaleMaori23Hanging, strangulation and suffocation</v>
      </c>
      <c r="U2189" s="360">
        <v>2006</v>
      </c>
      <c r="V2189" s="360" t="s">
        <v>8</v>
      </c>
      <c r="W2189" s="360" t="s">
        <v>18</v>
      </c>
      <c r="X2189" s="360">
        <v>23</v>
      </c>
      <c r="Y2189" s="360" t="s">
        <v>43</v>
      </c>
      <c r="Z2189" s="360">
        <v>11</v>
      </c>
      <c r="AA2189" s="360">
        <v>18</v>
      </c>
      <c r="AB2189" s="360">
        <v>61.1</v>
      </c>
    </row>
    <row r="2190" spans="10:28" x14ac:dyDescent="0.2">
      <c r="J2190" s="358" t="str">
        <f t="shared" si="114"/>
        <v>2007MaleAllEth232</v>
      </c>
      <c r="K2190" s="359">
        <v>2007</v>
      </c>
      <c r="L2190" t="s">
        <v>20</v>
      </c>
      <c r="M2190" t="s">
        <v>27</v>
      </c>
      <c r="N2190">
        <v>23</v>
      </c>
      <c r="O2190">
        <v>2</v>
      </c>
      <c r="P2190">
        <v>20</v>
      </c>
      <c r="Q2190">
        <v>17.187325367741501</v>
      </c>
      <c r="R2190">
        <v>7.5</v>
      </c>
      <c r="T2190" s="358" t="str">
        <f t="shared" si="115"/>
        <v>2006FemaleMaori24Hanging, strangulation and suffocation</v>
      </c>
      <c r="U2190" s="360">
        <v>2006</v>
      </c>
      <c r="V2190" s="360" t="s">
        <v>8</v>
      </c>
      <c r="W2190" s="360" t="s">
        <v>18</v>
      </c>
      <c r="X2190" s="360">
        <v>24</v>
      </c>
      <c r="Y2190" s="360" t="s">
        <v>43</v>
      </c>
      <c r="Z2190" s="360">
        <v>1</v>
      </c>
      <c r="AA2190" s="360">
        <v>2</v>
      </c>
      <c r="AB2190" s="360">
        <v>50</v>
      </c>
    </row>
    <row r="2191" spans="10:28" x14ac:dyDescent="0.2">
      <c r="J2191" s="358" t="str">
        <f t="shared" si="114"/>
        <v>2007MaleAllEth233</v>
      </c>
      <c r="K2191" s="359">
        <v>2007</v>
      </c>
      <c r="L2191" t="s">
        <v>20</v>
      </c>
      <c r="M2191" t="s">
        <v>27</v>
      </c>
      <c r="N2191">
        <v>23</v>
      </c>
      <c r="O2191">
        <v>3</v>
      </c>
      <c r="P2191">
        <v>34</v>
      </c>
      <c r="Q2191">
        <v>28.894668382857699</v>
      </c>
      <c r="R2191">
        <v>9.6999999999999993</v>
      </c>
      <c r="T2191" s="358" t="str">
        <f t="shared" si="115"/>
        <v>2006FemaleMaori23Jumping from a high place</v>
      </c>
      <c r="U2191" s="360">
        <v>2006</v>
      </c>
      <c r="V2191" s="360" t="s">
        <v>8</v>
      </c>
      <c r="W2191" s="360" t="s">
        <v>18</v>
      </c>
      <c r="X2191" s="360">
        <v>23</v>
      </c>
      <c r="Y2191" s="360" t="s">
        <v>44</v>
      </c>
      <c r="Z2191" s="360">
        <v>1</v>
      </c>
      <c r="AA2191" s="360">
        <v>18</v>
      </c>
      <c r="AB2191" s="360">
        <v>5.6</v>
      </c>
    </row>
    <row r="2192" spans="10:28" x14ac:dyDescent="0.2">
      <c r="J2192" s="358" t="str">
        <f t="shared" si="114"/>
        <v>2007MaleAllEth234</v>
      </c>
      <c r="K2192" s="359">
        <v>2007</v>
      </c>
      <c r="L2192" t="s">
        <v>20</v>
      </c>
      <c r="M2192" t="s">
        <v>27</v>
      </c>
      <c r="N2192">
        <v>23</v>
      </c>
      <c r="O2192">
        <v>4</v>
      </c>
      <c r="P2192">
        <v>35</v>
      </c>
      <c r="Q2192">
        <v>30.227006216958799</v>
      </c>
      <c r="R2192">
        <v>10</v>
      </c>
      <c r="T2192" s="358" t="str">
        <f t="shared" si="115"/>
        <v>2006FemaleMaori23Other</v>
      </c>
      <c r="U2192" s="360">
        <v>2006</v>
      </c>
      <c r="V2192" s="360" t="s">
        <v>8</v>
      </c>
      <c r="W2192" s="360" t="s">
        <v>18</v>
      </c>
      <c r="X2192" s="360">
        <v>23</v>
      </c>
      <c r="Y2192" s="360" t="s">
        <v>45</v>
      </c>
      <c r="Z2192" s="360">
        <v>2</v>
      </c>
      <c r="AA2192" s="360">
        <v>18</v>
      </c>
      <c r="AB2192" s="360">
        <v>11.1</v>
      </c>
    </row>
    <row r="2193" spans="10:28" x14ac:dyDescent="0.2">
      <c r="J2193" s="358" t="str">
        <f t="shared" si="114"/>
        <v>2007MaleAllEth235</v>
      </c>
      <c r="K2193" s="359">
        <v>2007</v>
      </c>
      <c r="L2193" t="s">
        <v>20</v>
      </c>
      <c r="M2193" t="s">
        <v>27</v>
      </c>
      <c r="N2193">
        <v>23</v>
      </c>
      <c r="O2193">
        <v>5</v>
      </c>
      <c r="P2193">
        <v>45</v>
      </c>
      <c r="Q2193">
        <v>42.088585676561003</v>
      </c>
      <c r="R2193">
        <v>12.3</v>
      </c>
      <c r="T2193" s="358" t="str">
        <f t="shared" si="115"/>
        <v>2006FemaleMaori23Poisoning by gases and vapours</v>
      </c>
      <c r="U2193" s="360">
        <v>2006</v>
      </c>
      <c r="V2193" s="360" t="s">
        <v>8</v>
      </c>
      <c r="W2193" s="360" t="s">
        <v>18</v>
      </c>
      <c r="X2193" s="360">
        <v>23</v>
      </c>
      <c r="Y2193" s="360" t="s">
        <v>46</v>
      </c>
      <c r="Z2193" s="360">
        <v>3</v>
      </c>
      <c r="AA2193" s="360">
        <v>18</v>
      </c>
      <c r="AB2193" s="360">
        <v>16.7</v>
      </c>
    </row>
    <row r="2194" spans="10:28" x14ac:dyDescent="0.2">
      <c r="J2194" s="358" t="str">
        <f t="shared" si="114"/>
        <v>2007MaleAllEth241</v>
      </c>
      <c r="K2194" s="359">
        <v>2007</v>
      </c>
      <c r="L2194" t="s">
        <v>20</v>
      </c>
      <c r="M2194" t="s">
        <v>27</v>
      </c>
      <c r="N2194">
        <v>24</v>
      </c>
      <c r="O2194">
        <v>1</v>
      </c>
      <c r="P2194">
        <v>14</v>
      </c>
      <c r="Q2194">
        <v>11.128610576686199</v>
      </c>
      <c r="R2194">
        <v>5.8</v>
      </c>
      <c r="T2194" s="358" t="str">
        <f t="shared" si="115"/>
        <v>2006FemaleMaori25Poisoning by gases and vapours</v>
      </c>
      <c r="U2194" s="360">
        <v>2006</v>
      </c>
      <c r="V2194" s="360" t="s">
        <v>8</v>
      </c>
      <c r="W2194" s="360" t="s">
        <v>18</v>
      </c>
      <c r="X2194" s="360">
        <v>25</v>
      </c>
      <c r="Y2194" s="360" t="s">
        <v>46</v>
      </c>
      <c r="Z2194" s="360">
        <v>1</v>
      </c>
      <c r="AA2194" s="360">
        <v>1</v>
      </c>
      <c r="AB2194" s="360">
        <v>100</v>
      </c>
    </row>
    <row r="2195" spans="10:28" x14ac:dyDescent="0.2">
      <c r="J2195" s="358" t="str">
        <f t="shared" si="114"/>
        <v>2007MaleAllEth242</v>
      </c>
      <c r="K2195" s="359">
        <v>2007</v>
      </c>
      <c r="L2195" t="s">
        <v>20</v>
      </c>
      <c r="M2195" t="s">
        <v>27</v>
      </c>
      <c r="N2195">
        <v>24</v>
      </c>
      <c r="O2195">
        <v>2</v>
      </c>
      <c r="P2195">
        <v>16</v>
      </c>
      <c r="Q2195">
        <v>14.542549118426299</v>
      </c>
      <c r="R2195">
        <v>7.1</v>
      </c>
      <c r="T2195" s="358" t="str">
        <f t="shared" si="115"/>
        <v>2006FemaleMaori23Poisoning by solids and liquids</v>
      </c>
      <c r="U2195" s="360">
        <v>2006</v>
      </c>
      <c r="V2195" s="360" t="s">
        <v>8</v>
      </c>
      <c r="W2195" s="360" t="s">
        <v>18</v>
      </c>
      <c r="X2195" s="360">
        <v>23</v>
      </c>
      <c r="Y2195" s="360" t="s">
        <v>47</v>
      </c>
      <c r="Z2195" s="360">
        <v>1</v>
      </c>
      <c r="AA2195" s="360">
        <v>18</v>
      </c>
      <c r="AB2195" s="360">
        <v>5.6</v>
      </c>
    </row>
    <row r="2196" spans="10:28" x14ac:dyDescent="0.2">
      <c r="J2196" s="358" t="str">
        <f t="shared" si="114"/>
        <v>2007MaleAllEth243</v>
      </c>
      <c r="K2196" s="359">
        <v>2007</v>
      </c>
      <c r="L2196" t="s">
        <v>20</v>
      </c>
      <c r="M2196" t="s">
        <v>27</v>
      </c>
      <c r="N2196">
        <v>24</v>
      </c>
      <c r="O2196">
        <v>3</v>
      </c>
      <c r="P2196">
        <v>25</v>
      </c>
      <c r="Q2196">
        <v>25.4460587634794</v>
      </c>
      <c r="R2196">
        <v>10</v>
      </c>
      <c r="T2196" s="358" t="str">
        <f t="shared" si="115"/>
        <v>2006FemaleMaori24Poisoning by solids and liquids</v>
      </c>
      <c r="U2196" s="360">
        <v>2006</v>
      </c>
      <c r="V2196" s="360" t="s">
        <v>8</v>
      </c>
      <c r="W2196" s="360" t="s">
        <v>18</v>
      </c>
      <c r="X2196" s="360">
        <v>24</v>
      </c>
      <c r="Y2196" s="360" t="s">
        <v>47</v>
      </c>
      <c r="Z2196" s="360">
        <v>1</v>
      </c>
      <c r="AA2196" s="360">
        <v>2</v>
      </c>
      <c r="AB2196" s="360">
        <v>50</v>
      </c>
    </row>
    <row r="2197" spans="10:28" x14ac:dyDescent="0.2">
      <c r="J2197" s="358" t="str">
        <f t="shared" si="114"/>
        <v>2007MaleAllEth244</v>
      </c>
      <c r="K2197" s="359">
        <v>2007</v>
      </c>
      <c r="L2197" t="s">
        <v>20</v>
      </c>
      <c r="M2197" t="s">
        <v>27</v>
      </c>
      <c r="N2197">
        <v>24</v>
      </c>
      <c r="O2197">
        <v>4</v>
      </c>
      <c r="P2197">
        <v>23</v>
      </c>
      <c r="Q2197">
        <v>25.728480943438299</v>
      </c>
      <c r="R2197">
        <v>10.5</v>
      </c>
      <c r="T2197" s="358" t="str">
        <f t="shared" si="115"/>
        <v>2006FemaleNon-Maori22Firearms and explosives</v>
      </c>
      <c r="U2197" s="360">
        <v>2006</v>
      </c>
      <c r="V2197" s="360" t="s">
        <v>8</v>
      </c>
      <c r="W2197" s="360" t="s">
        <v>19</v>
      </c>
      <c r="X2197" s="360">
        <v>22</v>
      </c>
      <c r="Y2197" s="360" t="s">
        <v>42</v>
      </c>
      <c r="Z2197" s="360">
        <v>1</v>
      </c>
      <c r="AA2197" s="360">
        <v>16</v>
      </c>
      <c r="AB2197" s="360">
        <v>6.2</v>
      </c>
    </row>
    <row r="2198" spans="10:28" x14ac:dyDescent="0.2">
      <c r="J2198" s="358" t="str">
        <f t="shared" si="114"/>
        <v>2007MaleAllEth245</v>
      </c>
      <c r="K2198" s="359">
        <v>2007</v>
      </c>
      <c r="L2198" t="s">
        <v>20</v>
      </c>
      <c r="M2198" t="s">
        <v>27</v>
      </c>
      <c r="N2198">
        <v>24</v>
      </c>
      <c r="O2198">
        <v>5</v>
      </c>
      <c r="P2198">
        <v>20</v>
      </c>
      <c r="Q2198">
        <v>25.152797491832899</v>
      </c>
      <c r="R2198">
        <v>11</v>
      </c>
      <c r="T2198" s="358" t="str">
        <f t="shared" si="115"/>
        <v>2006FemaleNon-Maori23Firearms and explosives</v>
      </c>
      <c r="U2198" s="360">
        <v>2006</v>
      </c>
      <c r="V2198" s="360" t="s">
        <v>8</v>
      </c>
      <c r="W2198" s="360" t="s">
        <v>19</v>
      </c>
      <c r="X2198" s="360">
        <v>23</v>
      </c>
      <c r="Y2198" s="360" t="s">
        <v>42</v>
      </c>
      <c r="Z2198" s="360">
        <v>2</v>
      </c>
      <c r="AA2198" s="360">
        <v>42</v>
      </c>
      <c r="AB2198" s="360">
        <v>4.8</v>
      </c>
    </row>
    <row r="2199" spans="10:28" x14ac:dyDescent="0.2">
      <c r="J2199" s="358" t="str">
        <f t="shared" si="114"/>
        <v>2007MaleAllEth251</v>
      </c>
      <c r="K2199" s="359">
        <v>2007</v>
      </c>
      <c r="L2199" t="s">
        <v>20</v>
      </c>
      <c r="M2199" t="s">
        <v>27</v>
      </c>
      <c r="N2199">
        <v>25</v>
      </c>
      <c r="O2199">
        <v>1</v>
      </c>
      <c r="P2199">
        <v>6</v>
      </c>
      <c r="Q2199">
        <v>12.413046320853599</v>
      </c>
      <c r="R2199">
        <v>9.9</v>
      </c>
      <c r="T2199" s="358" t="str">
        <f t="shared" si="115"/>
        <v>2006FemaleNon-Maori24Firearms and explosives</v>
      </c>
      <c r="U2199" s="360">
        <v>2006</v>
      </c>
      <c r="V2199" s="360" t="s">
        <v>8</v>
      </c>
      <c r="W2199" s="360" t="s">
        <v>19</v>
      </c>
      <c r="X2199" s="360">
        <v>24</v>
      </c>
      <c r="Y2199" s="360" t="s">
        <v>42</v>
      </c>
      <c r="Z2199" s="360">
        <v>3</v>
      </c>
      <c r="AA2199" s="360">
        <v>29</v>
      </c>
      <c r="AB2199" s="360">
        <v>10.3</v>
      </c>
    </row>
    <row r="2200" spans="10:28" x14ac:dyDescent="0.2">
      <c r="J2200" s="358" t="str">
        <f t="shared" si="114"/>
        <v>2007MaleAllEth252</v>
      </c>
      <c r="K2200" s="359">
        <v>2007</v>
      </c>
      <c r="L2200" t="s">
        <v>20</v>
      </c>
      <c r="M2200" t="s">
        <v>27</v>
      </c>
      <c r="N2200">
        <v>25</v>
      </c>
      <c r="O2200">
        <v>2</v>
      </c>
      <c r="P2200">
        <v>9</v>
      </c>
      <c r="Q2200">
        <v>18.257392877986899</v>
      </c>
      <c r="R2200">
        <v>11.9</v>
      </c>
      <c r="T2200" s="358" t="str">
        <f t="shared" si="115"/>
        <v>2006FemaleNon-Maori22Hanging, strangulation and suffocation</v>
      </c>
      <c r="U2200" s="360">
        <v>2006</v>
      </c>
      <c r="V2200" s="360" t="s">
        <v>8</v>
      </c>
      <c r="W2200" s="360" t="s">
        <v>19</v>
      </c>
      <c r="X2200" s="360">
        <v>22</v>
      </c>
      <c r="Y2200" s="360" t="s">
        <v>43</v>
      </c>
      <c r="Z2200" s="360">
        <v>11</v>
      </c>
      <c r="AA2200" s="360">
        <v>16</v>
      </c>
      <c r="AB2200" s="360">
        <v>68.8</v>
      </c>
    </row>
    <row r="2201" spans="10:28" x14ac:dyDescent="0.2">
      <c r="J2201" s="358" t="str">
        <f t="shared" si="114"/>
        <v>2007MaleAllEth253</v>
      </c>
      <c r="K2201" s="359">
        <v>2007</v>
      </c>
      <c r="L2201" t="s">
        <v>20</v>
      </c>
      <c r="M2201" t="s">
        <v>27</v>
      </c>
      <c r="N2201">
        <v>25</v>
      </c>
      <c r="O2201">
        <v>3</v>
      </c>
      <c r="P2201">
        <v>7</v>
      </c>
      <c r="Q2201">
        <v>13.9182927815911</v>
      </c>
      <c r="R2201">
        <v>10.3</v>
      </c>
      <c r="T2201" s="358" t="str">
        <f t="shared" si="115"/>
        <v>2006FemaleNon-Maori23Hanging, strangulation and suffocation</v>
      </c>
      <c r="U2201" s="360">
        <v>2006</v>
      </c>
      <c r="V2201" s="360" t="s">
        <v>8</v>
      </c>
      <c r="W2201" s="360" t="s">
        <v>19</v>
      </c>
      <c r="X2201" s="360">
        <v>23</v>
      </c>
      <c r="Y2201" s="360" t="s">
        <v>43</v>
      </c>
      <c r="Z2201" s="360">
        <v>20</v>
      </c>
      <c r="AA2201" s="360">
        <v>42</v>
      </c>
      <c r="AB2201" s="360">
        <v>47.6</v>
      </c>
    </row>
    <row r="2202" spans="10:28" x14ac:dyDescent="0.2">
      <c r="J2202" s="358" t="str">
        <f t="shared" si="114"/>
        <v>2007MaleAllEth254</v>
      </c>
      <c r="K2202" s="359">
        <v>2007</v>
      </c>
      <c r="L2202" t="s">
        <v>20</v>
      </c>
      <c r="M2202" t="s">
        <v>27</v>
      </c>
      <c r="N2202">
        <v>25</v>
      </c>
      <c r="O2202">
        <v>4</v>
      </c>
      <c r="P2202">
        <v>14</v>
      </c>
      <c r="Q2202">
        <v>28.607007106949499</v>
      </c>
      <c r="R2202">
        <v>15</v>
      </c>
      <c r="T2202" s="358" t="str">
        <f t="shared" si="115"/>
        <v>2006FemaleNon-Maori24Hanging, strangulation and suffocation</v>
      </c>
      <c r="U2202" s="360">
        <v>2006</v>
      </c>
      <c r="V2202" s="360" t="s">
        <v>8</v>
      </c>
      <c r="W2202" s="360" t="s">
        <v>19</v>
      </c>
      <c r="X2202" s="360">
        <v>24</v>
      </c>
      <c r="Y2202" s="360" t="s">
        <v>43</v>
      </c>
      <c r="Z2202" s="360">
        <v>11</v>
      </c>
      <c r="AA2202" s="360">
        <v>29</v>
      </c>
      <c r="AB2202" s="360">
        <v>37.9</v>
      </c>
    </row>
    <row r="2203" spans="10:28" x14ac:dyDescent="0.2">
      <c r="J2203" s="358" t="str">
        <f t="shared" si="114"/>
        <v>2007MaleAllEth255</v>
      </c>
      <c r="K2203" s="359">
        <v>2007</v>
      </c>
      <c r="L2203" t="s">
        <v>20</v>
      </c>
      <c r="M2203" t="s">
        <v>27</v>
      </c>
      <c r="N2203">
        <v>25</v>
      </c>
      <c r="O2203">
        <v>5</v>
      </c>
      <c r="P2203">
        <v>5</v>
      </c>
      <c r="Q2203">
        <v>12.7077475178034</v>
      </c>
      <c r="R2203">
        <v>11.1</v>
      </c>
      <c r="T2203" s="358" t="str">
        <f t="shared" si="115"/>
        <v>2006FemaleNon-Maori25Hanging, strangulation and suffocation</v>
      </c>
      <c r="U2203" s="360">
        <v>2006</v>
      </c>
      <c r="V2203" s="360" t="s">
        <v>8</v>
      </c>
      <c r="W2203" s="360" t="s">
        <v>19</v>
      </c>
      <c r="X2203" s="360">
        <v>25</v>
      </c>
      <c r="Y2203" s="360" t="s">
        <v>43</v>
      </c>
      <c r="Z2203" s="360">
        <v>8</v>
      </c>
      <c r="AA2203" s="360">
        <v>17</v>
      </c>
      <c r="AB2203" s="360">
        <v>47.1</v>
      </c>
    </row>
    <row r="2204" spans="10:28" x14ac:dyDescent="0.2">
      <c r="J2204" s="358" t="str">
        <f t="shared" si="114"/>
        <v>2007MaleMaori211</v>
      </c>
      <c r="K2204" s="359">
        <v>2007</v>
      </c>
      <c r="L2204" t="s">
        <v>20</v>
      </c>
      <c r="M2204" t="s">
        <v>18</v>
      </c>
      <c r="N2204">
        <v>21</v>
      </c>
      <c r="O2204">
        <v>1</v>
      </c>
      <c r="P2204">
        <v>0</v>
      </c>
      <c r="T2204" s="358" t="str">
        <f t="shared" si="115"/>
        <v>2006FemaleNon-Maori23Jumping from a high place</v>
      </c>
      <c r="U2204" s="360">
        <v>2006</v>
      </c>
      <c r="V2204" s="360" t="s">
        <v>8</v>
      </c>
      <c r="W2204" s="360" t="s">
        <v>19</v>
      </c>
      <c r="X2204" s="360">
        <v>23</v>
      </c>
      <c r="Y2204" s="360" t="s">
        <v>44</v>
      </c>
      <c r="Z2204" s="360">
        <v>1</v>
      </c>
      <c r="AA2204" s="360">
        <v>42</v>
      </c>
      <c r="AB2204" s="360">
        <v>2.4</v>
      </c>
    </row>
    <row r="2205" spans="10:28" x14ac:dyDescent="0.2">
      <c r="J2205" s="358" t="str">
        <f t="shared" si="114"/>
        <v>2007MaleMaori212</v>
      </c>
      <c r="K2205" s="359">
        <v>2007</v>
      </c>
      <c r="L2205" t="s">
        <v>20</v>
      </c>
      <c r="M2205" t="s">
        <v>18</v>
      </c>
      <c r="N2205">
        <v>21</v>
      </c>
      <c r="O2205">
        <v>2</v>
      </c>
      <c r="P2205">
        <v>0</v>
      </c>
      <c r="T2205" s="358" t="str">
        <f t="shared" si="115"/>
        <v>2006FemaleNon-Maori25Jumping from a high place</v>
      </c>
      <c r="U2205" s="360">
        <v>2006</v>
      </c>
      <c r="V2205" s="360" t="s">
        <v>8</v>
      </c>
      <c r="W2205" s="360" t="s">
        <v>19</v>
      </c>
      <c r="X2205" s="360">
        <v>25</v>
      </c>
      <c r="Y2205" s="360" t="s">
        <v>44</v>
      </c>
      <c r="Z2205" s="360">
        <v>2</v>
      </c>
      <c r="AA2205" s="360">
        <v>17</v>
      </c>
      <c r="AB2205" s="360">
        <v>11.8</v>
      </c>
    </row>
    <row r="2206" spans="10:28" x14ac:dyDescent="0.2">
      <c r="J2206" s="358" t="str">
        <f t="shared" si="114"/>
        <v>2007MaleMaori213</v>
      </c>
      <c r="K2206" s="359">
        <v>2007</v>
      </c>
      <c r="L2206" t="s">
        <v>20</v>
      </c>
      <c r="M2206" t="s">
        <v>18</v>
      </c>
      <c r="N2206">
        <v>21</v>
      </c>
      <c r="O2206">
        <v>3</v>
      </c>
      <c r="P2206">
        <v>0</v>
      </c>
      <c r="T2206" s="358" t="str">
        <f t="shared" si="115"/>
        <v>2006FemaleNon-Maori23Other</v>
      </c>
      <c r="U2206" s="360">
        <v>2006</v>
      </c>
      <c r="V2206" s="360" t="s">
        <v>8</v>
      </c>
      <c r="W2206" s="360" t="s">
        <v>19</v>
      </c>
      <c r="X2206" s="360">
        <v>23</v>
      </c>
      <c r="Y2206" s="360" t="s">
        <v>45</v>
      </c>
      <c r="Z2206" s="360">
        <v>1</v>
      </c>
      <c r="AA2206" s="360">
        <v>42</v>
      </c>
      <c r="AB2206" s="360">
        <v>2.4</v>
      </c>
    </row>
    <row r="2207" spans="10:28" x14ac:dyDescent="0.2">
      <c r="J2207" s="358" t="str">
        <f t="shared" si="114"/>
        <v>2007MaleMaori214</v>
      </c>
      <c r="K2207" s="359">
        <v>2007</v>
      </c>
      <c r="L2207" t="s">
        <v>20</v>
      </c>
      <c r="M2207" t="s">
        <v>18</v>
      </c>
      <c r="N2207">
        <v>21</v>
      </c>
      <c r="O2207">
        <v>4</v>
      </c>
      <c r="P2207">
        <v>0</v>
      </c>
      <c r="T2207" s="358" t="str">
        <f t="shared" si="115"/>
        <v>2006FemaleNon-Maori24Other</v>
      </c>
      <c r="U2207" s="360">
        <v>2006</v>
      </c>
      <c r="V2207" s="360" t="s">
        <v>8</v>
      </c>
      <c r="W2207" s="360" t="s">
        <v>19</v>
      </c>
      <c r="X2207" s="360">
        <v>24</v>
      </c>
      <c r="Y2207" s="360" t="s">
        <v>45</v>
      </c>
      <c r="Z2207" s="360">
        <v>1</v>
      </c>
      <c r="AA2207" s="360">
        <v>29</v>
      </c>
      <c r="AB2207" s="360">
        <v>3.4</v>
      </c>
    </row>
    <row r="2208" spans="10:28" x14ac:dyDescent="0.2">
      <c r="J2208" s="358" t="str">
        <f t="shared" si="114"/>
        <v>2007MaleMaori215</v>
      </c>
      <c r="K2208" s="359">
        <v>2007</v>
      </c>
      <c r="L2208" t="s">
        <v>20</v>
      </c>
      <c r="M2208" t="s">
        <v>18</v>
      </c>
      <c r="N2208">
        <v>21</v>
      </c>
      <c r="O2208">
        <v>5</v>
      </c>
      <c r="P2208">
        <v>0</v>
      </c>
      <c r="T2208" s="358" t="str">
        <f t="shared" si="115"/>
        <v>2006FemaleNon-Maori25Other</v>
      </c>
      <c r="U2208" s="360">
        <v>2006</v>
      </c>
      <c r="V2208" s="360" t="s">
        <v>8</v>
      </c>
      <c r="W2208" s="360" t="s">
        <v>19</v>
      </c>
      <c r="X2208" s="360">
        <v>25</v>
      </c>
      <c r="Y2208" s="360" t="s">
        <v>45</v>
      </c>
      <c r="Z2208" s="360">
        <v>1</v>
      </c>
      <c r="AA2208" s="360">
        <v>17</v>
      </c>
      <c r="AB2208" s="360">
        <v>5.9</v>
      </c>
    </row>
    <row r="2209" spans="10:28" x14ac:dyDescent="0.2">
      <c r="J2209" s="358" t="str">
        <f t="shared" si="114"/>
        <v>2007MaleMaori221</v>
      </c>
      <c r="K2209" s="359">
        <v>2007</v>
      </c>
      <c r="L2209" t="s">
        <v>20</v>
      </c>
      <c r="M2209" t="s">
        <v>18</v>
      </c>
      <c r="N2209">
        <v>22</v>
      </c>
      <c r="O2209">
        <v>1</v>
      </c>
      <c r="P2209">
        <v>3</v>
      </c>
      <c r="Q2209">
        <v>68.643343177849601</v>
      </c>
      <c r="R2209">
        <v>77.7</v>
      </c>
      <c r="T2209" s="358" t="str">
        <f t="shared" si="115"/>
        <v>2006FemaleNon-Maori22Poisoning by gases and vapours</v>
      </c>
      <c r="U2209" s="360">
        <v>2006</v>
      </c>
      <c r="V2209" s="360" t="s">
        <v>8</v>
      </c>
      <c r="W2209" s="360" t="s">
        <v>19</v>
      </c>
      <c r="X2209" s="360">
        <v>22</v>
      </c>
      <c r="Y2209" s="360" t="s">
        <v>46</v>
      </c>
      <c r="Z2209" s="360">
        <v>2</v>
      </c>
      <c r="AA2209" s="360">
        <v>16</v>
      </c>
      <c r="AB2209" s="360">
        <v>12.5</v>
      </c>
    </row>
    <row r="2210" spans="10:28" x14ac:dyDescent="0.2">
      <c r="J2210" s="358" t="str">
        <f t="shared" si="114"/>
        <v>2007MaleMaori222</v>
      </c>
      <c r="K2210" s="359">
        <v>2007</v>
      </c>
      <c r="L2210" t="s">
        <v>20</v>
      </c>
      <c r="M2210" t="s">
        <v>18</v>
      </c>
      <c r="N2210">
        <v>22</v>
      </c>
      <c r="O2210">
        <v>2</v>
      </c>
      <c r="P2210">
        <v>1</v>
      </c>
      <c r="Q2210">
        <v>15.5114029644732</v>
      </c>
      <c r="R2210">
        <v>30.4</v>
      </c>
      <c r="T2210" s="358" t="str">
        <f t="shared" si="115"/>
        <v>2006FemaleNon-Maori23Poisoning by gases and vapours</v>
      </c>
      <c r="U2210" s="360">
        <v>2006</v>
      </c>
      <c r="V2210" s="360" t="s">
        <v>8</v>
      </c>
      <c r="W2210" s="360" t="s">
        <v>19</v>
      </c>
      <c r="X2210" s="360">
        <v>23</v>
      </c>
      <c r="Y2210" s="360" t="s">
        <v>46</v>
      </c>
      <c r="Z2210" s="360">
        <v>6</v>
      </c>
      <c r="AA2210" s="360">
        <v>42</v>
      </c>
      <c r="AB2210" s="360">
        <v>14.3</v>
      </c>
    </row>
    <row r="2211" spans="10:28" x14ac:dyDescent="0.2">
      <c r="J2211" s="358" t="str">
        <f t="shared" si="114"/>
        <v>2007MaleMaori223</v>
      </c>
      <c r="K2211" s="359">
        <v>2007</v>
      </c>
      <c r="L2211" t="s">
        <v>20</v>
      </c>
      <c r="M2211" t="s">
        <v>18</v>
      </c>
      <c r="N2211">
        <v>22</v>
      </c>
      <c r="O2211">
        <v>3</v>
      </c>
      <c r="P2211">
        <v>4</v>
      </c>
      <c r="Q2211">
        <v>41.870044463942797</v>
      </c>
      <c r="R2211">
        <v>41</v>
      </c>
      <c r="T2211" s="358" t="str">
        <f t="shared" si="115"/>
        <v>2006FemaleNon-Maori24Poisoning by gases and vapours</v>
      </c>
      <c r="U2211" s="360">
        <v>2006</v>
      </c>
      <c r="V2211" s="360" t="s">
        <v>8</v>
      </c>
      <c r="W2211" s="360" t="s">
        <v>19</v>
      </c>
      <c r="X2211" s="360">
        <v>24</v>
      </c>
      <c r="Y2211" s="360" t="s">
        <v>46</v>
      </c>
      <c r="Z2211" s="360">
        <v>6</v>
      </c>
      <c r="AA2211" s="360">
        <v>29</v>
      </c>
      <c r="AB2211" s="360">
        <v>20.7</v>
      </c>
    </row>
    <row r="2212" spans="10:28" x14ac:dyDescent="0.2">
      <c r="J2212" s="358" t="str">
        <f t="shared" si="114"/>
        <v>2007MaleMaori224</v>
      </c>
      <c r="K2212" s="359">
        <v>2007</v>
      </c>
      <c r="L2212" t="s">
        <v>20</v>
      </c>
      <c r="M2212" t="s">
        <v>18</v>
      </c>
      <c r="N2212">
        <v>22</v>
      </c>
      <c r="O2212">
        <v>4</v>
      </c>
      <c r="P2212">
        <v>5</v>
      </c>
      <c r="Q2212">
        <v>35.995134550397701</v>
      </c>
      <c r="R2212">
        <v>31.6</v>
      </c>
      <c r="T2212" s="358" t="str">
        <f t="shared" si="115"/>
        <v>2006FemaleNon-Maori25Poisoning by gases and vapours</v>
      </c>
      <c r="U2212" s="360">
        <v>2006</v>
      </c>
      <c r="V2212" s="360" t="s">
        <v>8</v>
      </c>
      <c r="W2212" s="360" t="s">
        <v>19</v>
      </c>
      <c r="X2212" s="360">
        <v>25</v>
      </c>
      <c r="Y2212" s="360" t="s">
        <v>46</v>
      </c>
      <c r="Z2212" s="360">
        <v>2</v>
      </c>
      <c r="AA2212" s="360">
        <v>17</v>
      </c>
      <c r="AB2212" s="360">
        <v>11.8</v>
      </c>
    </row>
    <row r="2213" spans="10:28" x14ac:dyDescent="0.2">
      <c r="J2213" s="358" t="str">
        <f t="shared" si="114"/>
        <v>2007MaleMaori225</v>
      </c>
      <c r="K2213" s="359">
        <v>2007</v>
      </c>
      <c r="L2213" t="s">
        <v>20</v>
      </c>
      <c r="M2213" t="s">
        <v>18</v>
      </c>
      <c r="N2213">
        <v>22</v>
      </c>
      <c r="O2213">
        <v>5</v>
      </c>
      <c r="P2213">
        <v>10</v>
      </c>
      <c r="Q2213">
        <v>41.984034857144003</v>
      </c>
      <c r="R2213">
        <v>26</v>
      </c>
      <c r="T2213" s="358" t="str">
        <f t="shared" si="115"/>
        <v>2006FemaleNon-Maori22Poisoning by solids and liquids</v>
      </c>
      <c r="U2213" s="360">
        <v>2006</v>
      </c>
      <c r="V2213" s="360" t="s">
        <v>8</v>
      </c>
      <c r="W2213" s="360" t="s">
        <v>19</v>
      </c>
      <c r="X2213" s="360">
        <v>22</v>
      </c>
      <c r="Y2213" s="360" t="s">
        <v>47</v>
      </c>
      <c r="Z2213" s="360">
        <v>2</v>
      </c>
      <c r="AA2213" s="360">
        <v>16</v>
      </c>
      <c r="AB2213" s="360">
        <v>12.5</v>
      </c>
    </row>
    <row r="2214" spans="10:28" x14ac:dyDescent="0.2">
      <c r="J2214" s="358" t="str">
        <f t="shared" si="114"/>
        <v>2007MaleMaori231</v>
      </c>
      <c r="K2214" s="359">
        <v>2007</v>
      </c>
      <c r="L2214" t="s">
        <v>20</v>
      </c>
      <c r="M2214" t="s">
        <v>18</v>
      </c>
      <c r="N2214">
        <v>23</v>
      </c>
      <c r="O2214">
        <v>1</v>
      </c>
      <c r="P2214">
        <v>4</v>
      </c>
      <c r="Q2214">
        <v>56.909891248672501</v>
      </c>
      <c r="R2214">
        <v>55.8</v>
      </c>
      <c r="T2214" s="358" t="str">
        <f t="shared" si="115"/>
        <v>2006FemaleNon-Maori23Poisoning by solids and liquids</v>
      </c>
      <c r="U2214" s="360">
        <v>2006</v>
      </c>
      <c r="V2214" s="360" t="s">
        <v>8</v>
      </c>
      <c r="W2214" s="360" t="s">
        <v>19</v>
      </c>
      <c r="X2214" s="360">
        <v>23</v>
      </c>
      <c r="Y2214" s="360" t="s">
        <v>47</v>
      </c>
      <c r="Z2214" s="360">
        <v>11</v>
      </c>
      <c r="AA2214" s="360">
        <v>42</v>
      </c>
      <c r="AB2214" s="360">
        <v>26.2</v>
      </c>
    </row>
    <row r="2215" spans="10:28" x14ac:dyDescent="0.2">
      <c r="J2215" s="358" t="str">
        <f t="shared" si="114"/>
        <v>2007MaleMaori232</v>
      </c>
      <c r="K2215" s="359">
        <v>2007</v>
      </c>
      <c r="L2215" t="s">
        <v>20</v>
      </c>
      <c r="M2215" t="s">
        <v>18</v>
      </c>
      <c r="N2215">
        <v>23</v>
      </c>
      <c r="O2215">
        <v>2</v>
      </c>
      <c r="P2215">
        <v>3</v>
      </c>
      <c r="Q2215">
        <v>29.885622339781399</v>
      </c>
      <c r="R2215">
        <v>33.799999999999997</v>
      </c>
      <c r="T2215" s="358" t="str">
        <f t="shared" si="115"/>
        <v>2006FemaleNon-Maori24Poisoning by solids and liquids</v>
      </c>
      <c r="U2215" s="360">
        <v>2006</v>
      </c>
      <c r="V2215" s="360" t="s">
        <v>8</v>
      </c>
      <c r="W2215" s="360" t="s">
        <v>19</v>
      </c>
      <c r="X2215" s="360">
        <v>24</v>
      </c>
      <c r="Y2215" s="360" t="s">
        <v>47</v>
      </c>
      <c r="Z2215" s="360">
        <v>7</v>
      </c>
      <c r="AA2215" s="360">
        <v>29</v>
      </c>
      <c r="AB2215" s="360">
        <v>24.1</v>
      </c>
    </row>
    <row r="2216" spans="10:28" x14ac:dyDescent="0.2">
      <c r="J2216" s="358" t="str">
        <f t="shared" si="114"/>
        <v>2007MaleMaori233</v>
      </c>
      <c r="K2216" s="359">
        <v>2007</v>
      </c>
      <c r="L2216" t="s">
        <v>20</v>
      </c>
      <c r="M2216" t="s">
        <v>18</v>
      </c>
      <c r="N2216">
        <v>23</v>
      </c>
      <c r="O2216">
        <v>3</v>
      </c>
      <c r="P2216">
        <v>7</v>
      </c>
      <c r="Q2216">
        <v>50.526685775969803</v>
      </c>
      <c r="R2216">
        <v>37.4</v>
      </c>
      <c r="T2216" s="358" t="str">
        <f t="shared" si="115"/>
        <v>2006FemaleNon-Maori25Poisoning by solids and liquids</v>
      </c>
      <c r="U2216" s="360">
        <v>2006</v>
      </c>
      <c r="V2216" s="360" t="s">
        <v>8</v>
      </c>
      <c r="W2216" s="360" t="s">
        <v>19</v>
      </c>
      <c r="X2216" s="360">
        <v>25</v>
      </c>
      <c r="Y2216" s="360" t="s">
        <v>47</v>
      </c>
      <c r="Z2216" s="360">
        <v>3</v>
      </c>
      <c r="AA2216" s="360">
        <v>17</v>
      </c>
      <c r="AB2216" s="360">
        <v>17.600000000000001</v>
      </c>
    </row>
    <row r="2217" spans="10:28" x14ac:dyDescent="0.2">
      <c r="J2217" s="358" t="str">
        <f t="shared" si="114"/>
        <v>2007MaleMaori234</v>
      </c>
      <c r="K2217" s="359">
        <v>2007</v>
      </c>
      <c r="L2217" t="s">
        <v>20</v>
      </c>
      <c r="M2217" t="s">
        <v>18</v>
      </c>
      <c r="N2217">
        <v>23</v>
      </c>
      <c r="O2217">
        <v>4</v>
      </c>
      <c r="P2217">
        <v>6</v>
      </c>
      <c r="Q2217">
        <v>31.5905863035468</v>
      </c>
      <c r="R2217">
        <v>25.3</v>
      </c>
      <c r="T2217" s="358" t="str">
        <f t="shared" si="115"/>
        <v>2006FemaleNon-Maori23Sharp object</v>
      </c>
      <c r="U2217" s="360">
        <v>2006</v>
      </c>
      <c r="V2217" s="360" t="s">
        <v>8</v>
      </c>
      <c r="W2217" s="360" t="s">
        <v>19</v>
      </c>
      <c r="X2217" s="360">
        <v>23</v>
      </c>
      <c r="Y2217" s="360" t="s">
        <v>48</v>
      </c>
      <c r="Z2217" s="360">
        <v>1</v>
      </c>
      <c r="AA2217" s="360">
        <v>42</v>
      </c>
      <c r="AB2217" s="360">
        <v>2.4</v>
      </c>
    </row>
    <row r="2218" spans="10:28" x14ac:dyDescent="0.2">
      <c r="J2218" s="358" t="str">
        <f t="shared" si="114"/>
        <v>2007MaleMaori235</v>
      </c>
      <c r="K2218" s="359">
        <v>2007</v>
      </c>
      <c r="L2218" t="s">
        <v>20</v>
      </c>
      <c r="M2218" t="s">
        <v>18</v>
      </c>
      <c r="N2218">
        <v>23</v>
      </c>
      <c r="O2218">
        <v>5</v>
      </c>
      <c r="P2218">
        <v>18</v>
      </c>
      <c r="Q2218">
        <v>60.819013131272001</v>
      </c>
      <c r="R2218">
        <v>28.1</v>
      </c>
      <c r="T2218" s="358" t="str">
        <f t="shared" si="115"/>
        <v>2006FemaleNon-Maori24Submersion (drowning)</v>
      </c>
      <c r="U2218" s="360">
        <v>2006</v>
      </c>
      <c r="V2218" s="360" t="s">
        <v>8</v>
      </c>
      <c r="W2218" s="360" t="s">
        <v>19</v>
      </c>
      <c r="X2218" s="360">
        <v>24</v>
      </c>
      <c r="Y2218" s="360" t="s">
        <v>49</v>
      </c>
      <c r="Z2218" s="360">
        <v>1</v>
      </c>
      <c r="AA2218" s="360">
        <v>29</v>
      </c>
      <c r="AB2218" s="360">
        <v>3.4</v>
      </c>
    </row>
    <row r="2219" spans="10:28" x14ac:dyDescent="0.2">
      <c r="J2219" s="358" t="str">
        <f t="shared" si="114"/>
        <v>2007MaleMaori241</v>
      </c>
      <c r="K2219" s="359">
        <v>2007</v>
      </c>
      <c r="L2219" t="s">
        <v>20</v>
      </c>
      <c r="M2219" t="s">
        <v>18</v>
      </c>
      <c r="N2219">
        <v>24</v>
      </c>
      <c r="O2219">
        <v>1</v>
      </c>
      <c r="P2219">
        <v>2</v>
      </c>
      <c r="Q2219">
        <v>45.9728582048851</v>
      </c>
      <c r="R2219">
        <v>63.7</v>
      </c>
      <c r="T2219" s="358" t="str">
        <f t="shared" si="115"/>
        <v>2006FemaleNon-Maori25Submersion (drowning)</v>
      </c>
      <c r="U2219" s="360">
        <v>2006</v>
      </c>
      <c r="V2219" s="360" t="s">
        <v>8</v>
      </c>
      <c r="W2219" s="360" t="s">
        <v>19</v>
      </c>
      <c r="X2219" s="360">
        <v>25</v>
      </c>
      <c r="Y2219" s="360" t="s">
        <v>49</v>
      </c>
      <c r="Z2219" s="360">
        <v>1</v>
      </c>
      <c r="AA2219" s="360">
        <v>17</v>
      </c>
      <c r="AB2219" s="360">
        <v>5.9</v>
      </c>
    </row>
    <row r="2220" spans="10:28" x14ac:dyDescent="0.2">
      <c r="J2220" s="358" t="str">
        <f t="shared" si="114"/>
        <v>2007MaleMaori242</v>
      </c>
      <c r="K2220" s="359">
        <v>2007</v>
      </c>
      <c r="L2220" t="s">
        <v>20</v>
      </c>
      <c r="M2220" t="s">
        <v>18</v>
      </c>
      <c r="N2220">
        <v>24</v>
      </c>
      <c r="O2220">
        <v>2</v>
      </c>
      <c r="P2220">
        <v>0</v>
      </c>
      <c r="Q2220">
        <v>0</v>
      </c>
      <c r="T2220" s="358" t="str">
        <f t="shared" si="115"/>
        <v>2006MaleAllEth22Firearms and explosives</v>
      </c>
      <c r="U2220" s="360">
        <v>2006</v>
      </c>
      <c r="V2220" s="360" t="s">
        <v>20</v>
      </c>
      <c r="W2220" s="360" t="s">
        <v>27</v>
      </c>
      <c r="X2220" s="360">
        <v>22</v>
      </c>
      <c r="Y2220" s="360" t="s">
        <v>42</v>
      </c>
      <c r="Z2220" s="360">
        <v>5</v>
      </c>
      <c r="AA2220" s="360">
        <v>95</v>
      </c>
      <c r="AB2220" s="360">
        <v>5.3</v>
      </c>
    </row>
    <row r="2221" spans="10:28" x14ac:dyDescent="0.2">
      <c r="J2221" s="358" t="str">
        <f t="shared" si="114"/>
        <v>2007MaleMaori243</v>
      </c>
      <c r="K2221" s="359">
        <v>2007</v>
      </c>
      <c r="L2221" t="s">
        <v>20</v>
      </c>
      <c r="M2221" t="s">
        <v>18</v>
      </c>
      <c r="N2221">
        <v>24</v>
      </c>
      <c r="O2221">
        <v>3</v>
      </c>
      <c r="P2221">
        <v>0</v>
      </c>
      <c r="Q2221">
        <v>0</v>
      </c>
      <c r="T2221" s="358" t="str">
        <f t="shared" si="115"/>
        <v>2006MaleAllEth23Firearms and explosives</v>
      </c>
      <c r="U2221" s="360">
        <v>2006</v>
      </c>
      <c r="V2221" s="360" t="s">
        <v>20</v>
      </c>
      <c r="W2221" s="360" t="s">
        <v>27</v>
      </c>
      <c r="X2221" s="360">
        <v>23</v>
      </c>
      <c r="Y2221" s="360" t="s">
        <v>42</v>
      </c>
      <c r="Z2221" s="360">
        <v>14</v>
      </c>
      <c r="AA2221" s="360">
        <v>147</v>
      </c>
      <c r="AB2221" s="360">
        <v>9.5</v>
      </c>
    </row>
    <row r="2222" spans="10:28" x14ac:dyDescent="0.2">
      <c r="J2222" s="358" t="str">
        <f t="shared" si="114"/>
        <v>2007MaleMaori244</v>
      </c>
      <c r="K2222" s="359">
        <v>2007</v>
      </c>
      <c r="L2222" t="s">
        <v>20</v>
      </c>
      <c r="M2222" t="s">
        <v>18</v>
      </c>
      <c r="N2222">
        <v>24</v>
      </c>
      <c r="O2222">
        <v>4</v>
      </c>
      <c r="P2222">
        <v>1</v>
      </c>
      <c r="Q2222">
        <v>8.9601051731213399</v>
      </c>
      <c r="R2222">
        <v>17.600000000000001</v>
      </c>
      <c r="T2222" s="358" t="str">
        <f t="shared" si="115"/>
        <v>2006MaleAllEth24Firearms and explosives</v>
      </c>
      <c r="U2222" s="360">
        <v>2006</v>
      </c>
      <c r="V2222" s="360" t="s">
        <v>20</v>
      </c>
      <c r="W2222" s="360" t="s">
        <v>27</v>
      </c>
      <c r="X2222" s="360">
        <v>24</v>
      </c>
      <c r="Y2222" s="360" t="s">
        <v>42</v>
      </c>
      <c r="Z2222" s="360">
        <v>18</v>
      </c>
      <c r="AA2222" s="360">
        <v>110</v>
      </c>
      <c r="AB2222" s="360">
        <v>16.399999999999999</v>
      </c>
    </row>
    <row r="2223" spans="10:28" x14ac:dyDescent="0.2">
      <c r="J2223" s="358" t="str">
        <f t="shared" si="114"/>
        <v>2007MaleMaori245</v>
      </c>
      <c r="K2223" s="359">
        <v>2007</v>
      </c>
      <c r="L2223" t="s">
        <v>20</v>
      </c>
      <c r="M2223" t="s">
        <v>18</v>
      </c>
      <c r="N2223">
        <v>24</v>
      </c>
      <c r="O2223">
        <v>5</v>
      </c>
      <c r="P2223">
        <v>8</v>
      </c>
      <c r="Q2223">
        <v>41.706604295878599</v>
      </c>
      <c r="R2223">
        <v>28.9</v>
      </c>
      <c r="T2223" s="358" t="str">
        <f t="shared" si="115"/>
        <v>2006MaleAllEth25Firearms and explosives</v>
      </c>
      <c r="U2223" s="360">
        <v>2006</v>
      </c>
      <c r="V2223" s="360" t="s">
        <v>20</v>
      </c>
      <c r="W2223" s="360" t="s">
        <v>27</v>
      </c>
      <c r="X2223" s="360">
        <v>25</v>
      </c>
      <c r="Y2223" s="360" t="s">
        <v>42</v>
      </c>
      <c r="Z2223" s="360">
        <v>5</v>
      </c>
      <c r="AA2223" s="360">
        <v>33</v>
      </c>
      <c r="AB2223" s="360">
        <v>15.2</v>
      </c>
    </row>
    <row r="2224" spans="10:28" x14ac:dyDescent="0.2">
      <c r="J2224" s="358" t="str">
        <f t="shared" si="114"/>
        <v>2007MaleMaori251</v>
      </c>
      <c r="K2224" s="359">
        <v>2007</v>
      </c>
      <c r="L2224" t="s">
        <v>20</v>
      </c>
      <c r="M2224" t="s">
        <v>18</v>
      </c>
      <c r="N2224">
        <v>25</v>
      </c>
      <c r="O2224">
        <v>1</v>
      </c>
      <c r="P2224">
        <v>0</v>
      </c>
      <c r="Q2224">
        <v>0</v>
      </c>
      <c r="T2224" s="358" t="str">
        <f t="shared" si="115"/>
        <v>2006MaleAllEth21Hanging, strangulation and suffocation</v>
      </c>
      <c r="U2224" s="360">
        <v>2006</v>
      </c>
      <c r="V2224" s="360" t="s">
        <v>20</v>
      </c>
      <c r="W2224" s="360" t="s">
        <v>27</v>
      </c>
      <c r="X2224" s="360">
        <v>21</v>
      </c>
      <c r="Y2224" s="360" t="s">
        <v>43</v>
      </c>
      <c r="Z2224" s="360">
        <v>2</v>
      </c>
      <c r="AA2224" s="360">
        <v>2</v>
      </c>
      <c r="AB2224" s="360">
        <v>100</v>
      </c>
    </row>
    <row r="2225" spans="10:28" x14ac:dyDescent="0.2">
      <c r="J2225" s="358" t="str">
        <f t="shared" si="114"/>
        <v>2007MaleMaori252</v>
      </c>
      <c r="K2225" s="359">
        <v>2007</v>
      </c>
      <c r="L2225" t="s">
        <v>20</v>
      </c>
      <c r="M2225" t="s">
        <v>18</v>
      </c>
      <c r="N2225">
        <v>25</v>
      </c>
      <c r="O2225">
        <v>2</v>
      </c>
      <c r="P2225">
        <v>0</v>
      </c>
      <c r="Q2225">
        <v>0</v>
      </c>
      <c r="T2225" s="358" t="str">
        <f t="shared" si="115"/>
        <v>2006MaleAllEth22Hanging, strangulation and suffocation</v>
      </c>
      <c r="U2225" s="360">
        <v>2006</v>
      </c>
      <c r="V2225" s="360" t="s">
        <v>20</v>
      </c>
      <c r="W2225" s="360" t="s">
        <v>27</v>
      </c>
      <c r="X2225" s="360">
        <v>22</v>
      </c>
      <c r="Y2225" s="360" t="s">
        <v>43</v>
      </c>
      <c r="Z2225" s="360">
        <v>70</v>
      </c>
      <c r="AA2225" s="360">
        <v>95</v>
      </c>
      <c r="AB2225" s="360">
        <v>73.7</v>
      </c>
    </row>
    <row r="2226" spans="10:28" x14ac:dyDescent="0.2">
      <c r="J2226" s="358" t="str">
        <f t="shared" si="114"/>
        <v>2007MaleMaori253</v>
      </c>
      <c r="K2226" s="359">
        <v>2007</v>
      </c>
      <c r="L2226" t="s">
        <v>20</v>
      </c>
      <c r="M2226" t="s">
        <v>18</v>
      </c>
      <c r="N2226">
        <v>25</v>
      </c>
      <c r="O2226">
        <v>3</v>
      </c>
      <c r="P2226">
        <v>1</v>
      </c>
      <c r="Q2226">
        <v>50.237762456699897</v>
      </c>
      <c r="R2226">
        <v>98.5</v>
      </c>
      <c r="T2226" s="358" t="str">
        <f t="shared" si="115"/>
        <v>2006MaleAllEth23Hanging, strangulation and suffocation</v>
      </c>
      <c r="U2226" s="360">
        <v>2006</v>
      </c>
      <c r="V2226" s="360" t="s">
        <v>20</v>
      </c>
      <c r="W2226" s="360" t="s">
        <v>27</v>
      </c>
      <c r="X2226" s="360">
        <v>23</v>
      </c>
      <c r="Y2226" s="360" t="s">
        <v>43</v>
      </c>
      <c r="Z2226" s="360">
        <v>84</v>
      </c>
      <c r="AA2226" s="360">
        <v>147</v>
      </c>
      <c r="AB2226" s="360">
        <v>57.1</v>
      </c>
    </row>
    <row r="2227" spans="10:28" x14ac:dyDescent="0.2">
      <c r="J2227" s="358" t="str">
        <f t="shared" si="114"/>
        <v>2007MaleMaori254</v>
      </c>
      <c r="K2227" s="359">
        <v>2007</v>
      </c>
      <c r="L2227" t="s">
        <v>20</v>
      </c>
      <c r="M2227" t="s">
        <v>18</v>
      </c>
      <c r="N2227">
        <v>25</v>
      </c>
      <c r="O2227">
        <v>4</v>
      </c>
      <c r="P2227">
        <v>0</v>
      </c>
      <c r="Q2227">
        <v>0</v>
      </c>
      <c r="T2227" s="358" t="str">
        <f t="shared" si="115"/>
        <v>2006MaleAllEth24Hanging, strangulation and suffocation</v>
      </c>
      <c r="U2227" s="360">
        <v>2006</v>
      </c>
      <c r="V2227" s="360" t="s">
        <v>20</v>
      </c>
      <c r="W2227" s="360" t="s">
        <v>27</v>
      </c>
      <c r="X2227" s="360">
        <v>24</v>
      </c>
      <c r="Y2227" s="360" t="s">
        <v>43</v>
      </c>
      <c r="Z2227" s="360">
        <v>44</v>
      </c>
      <c r="AA2227" s="360">
        <v>110</v>
      </c>
      <c r="AB2227" s="360">
        <v>40</v>
      </c>
    </row>
    <row r="2228" spans="10:28" x14ac:dyDescent="0.2">
      <c r="J2228" s="358" t="str">
        <f t="shared" si="114"/>
        <v>2007MaleMaori255</v>
      </c>
      <c r="K2228" s="359">
        <v>2007</v>
      </c>
      <c r="L2228" t="s">
        <v>20</v>
      </c>
      <c r="M2228" t="s">
        <v>18</v>
      </c>
      <c r="N2228">
        <v>25</v>
      </c>
      <c r="O2228">
        <v>5</v>
      </c>
      <c r="P2228">
        <v>0</v>
      </c>
      <c r="Q2228">
        <v>0</v>
      </c>
      <c r="T2228" s="358" t="str">
        <f t="shared" si="115"/>
        <v>2006MaleAllEth25Hanging, strangulation and suffocation</v>
      </c>
      <c r="U2228" s="360">
        <v>2006</v>
      </c>
      <c r="V2228" s="360" t="s">
        <v>20</v>
      </c>
      <c r="W2228" s="360" t="s">
        <v>27</v>
      </c>
      <c r="X2228" s="360">
        <v>25</v>
      </c>
      <c r="Y2228" s="360" t="s">
        <v>43</v>
      </c>
      <c r="Z2228" s="360">
        <v>12</v>
      </c>
      <c r="AA2228" s="360">
        <v>33</v>
      </c>
      <c r="AB2228" s="360">
        <v>36.4</v>
      </c>
    </row>
    <row r="2229" spans="10:28" x14ac:dyDescent="0.2">
      <c r="J2229" s="358" t="str">
        <f t="shared" si="114"/>
        <v>2007MaleNon-Maori211</v>
      </c>
      <c r="K2229" s="359">
        <v>2007</v>
      </c>
      <c r="L2229" t="s">
        <v>20</v>
      </c>
      <c r="M2229" t="s">
        <v>19</v>
      </c>
      <c r="N2229">
        <v>21</v>
      </c>
      <c r="O2229">
        <v>1</v>
      </c>
      <c r="P2229">
        <v>0</v>
      </c>
      <c r="T2229" s="358" t="str">
        <f t="shared" si="115"/>
        <v>2006MaleAllEth22Jumping from a high place</v>
      </c>
      <c r="U2229" s="360">
        <v>2006</v>
      </c>
      <c r="V2229" s="360" t="s">
        <v>20</v>
      </c>
      <c r="W2229" s="360" t="s">
        <v>27</v>
      </c>
      <c r="X2229" s="360">
        <v>22</v>
      </c>
      <c r="Y2229" s="360" t="s">
        <v>44</v>
      </c>
      <c r="Z2229" s="360">
        <v>3</v>
      </c>
      <c r="AA2229" s="360">
        <v>95</v>
      </c>
      <c r="AB2229" s="360">
        <v>3.2</v>
      </c>
    </row>
    <row r="2230" spans="10:28" x14ac:dyDescent="0.2">
      <c r="J2230" s="358" t="str">
        <f t="shared" si="114"/>
        <v>2007MaleNon-Maori212</v>
      </c>
      <c r="K2230" s="359">
        <v>2007</v>
      </c>
      <c r="L2230" t="s">
        <v>20</v>
      </c>
      <c r="M2230" t="s">
        <v>19</v>
      </c>
      <c r="N2230">
        <v>21</v>
      </c>
      <c r="O2230">
        <v>2</v>
      </c>
      <c r="P2230">
        <v>0</v>
      </c>
      <c r="T2230" s="358" t="str">
        <f t="shared" si="115"/>
        <v>2006MaleAllEth23Jumping from a high place</v>
      </c>
      <c r="U2230" s="360">
        <v>2006</v>
      </c>
      <c r="V2230" s="360" t="s">
        <v>20</v>
      </c>
      <c r="W2230" s="360" t="s">
        <v>27</v>
      </c>
      <c r="X2230" s="360">
        <v>23</v>
      </c>
      <c r="Y2230" s="360" t="s">
        <v>44</v>
      </c>
      <c r="Z2230" s="360">
        <v>2</v>
      </c>
      <c r="AA2230" s="360">
        <v>147</v>
      </c>
      <c r="AB2230" s="360">
        <v>1.4</v>
      </c>
    </row>
    <row r="2231" spans="10:28" x14ac:dyDescent="0.2">
      <c r="J2231" s="358" t="str">
        <f t="shared" si="114"/>
        <v>2007MaleNon-Maori213</v>
      </c>
      <c r="K2231" s="359">
        <v>2007</v>
      </c>
      <c r="L2231" t="s">
        <v>20</v>
      </c>
      <c r="M2231" t="s">
        <v>19</v>
      </c>
      <c r="N2231">
        <v>21</v>
      </c>
      <c r="O2231">
        <v>3</v>
      </c>
      <c r="P2231">
        <v>1</v>
      </c>
      <c r="T2231" s="358" t="str">
        <f t="shared" si="115"/>
        <v>2006MaleAllEth24Jumping from a high place</v>
      </c>
      <c r="U2231" s="360">
        <v>2006</v>
      </c>
      <c r="V2231" s="360" t="s">
        <v>20</v>
      </c>
      <c r="W2231" s="360" t="s">
        <v>27</v>
      </c>
      <c r="X2231" s="360">
        <v>24</v>
      </c>
      <c r="Y2231" s="360" t="s">
        <v>44</v>
      </c>
      <c r="Z2231" s="360">
        <v>1</v>
      </c>
      <c r="AA2231" s="360">
        <v>110</v>
      </c>
      <c r="AB2231" s="360">
        <v>0.9</v>
      </c>
    </row>
    <row r="2232" spans="10:28" x14ac:dyDescent="0.2">
      <c r="J2232" s="358" t="str">
        <f t="shared" si="114"/>
        <v>2007MaleNon-Maori214</v>
      </c>
      <c r="K2232" s="359">
        <v>2007</v>
      </c>
      <c r="L2232" t="s">
        <v>20</v>
      </c>
      <c r="M2232" t="s">
        <v>19</v>
      </c>
      <c r="N2232">
        <v>21</v>
      </c>
      <c r="O2232">
        <v>4</v>
      </c>
      <c r="P2232">
        <v>0</v>
      </c>
      <c r="T2232" s="358" t="str">
        <f t="shared" si="115"/>
        <v>2006MaleAllEth22Other</v>
      </c>
      <c r="U2232" s="360">
        <v>2006</v>
      </c>
      <c r="V2232" s="360" t="s">
        <v>20</v>
      </c>
      <c r="W2232" s="360" t="s">
        <v>27</v>
      </c>
      <c r="X2232" s="360">
        <v>22</v>
      </c>
      <c r="Y2232" s="360" t="s">
        <v>45</v>
      </c>
      <c r="Z2232" s="360">
        <v>4</v>
      </c>
      <c r="AA2232" s="360">
        <v>95</v>
      </c>
      <c r="AB2232" s="360">
        <v>4.2</v>
      </c>
    </row>
    <row r="2233" spans="10:28" x14ac:dyDescent="0.2">
      <c r="J2233" s="358" t="str">
        <f t="shared" si="114"/>
        <v>2007MaleNon-Maori215</v>
      </c>
      <c r="K2233" s="359">
        <v>2007</v>
      </c>
      <c r="L2233" t="s">
        <v>20</v>
      </c>
      <c r="M2233" t="s">
        <v>19</v>
      </c>
      <c r="N2233">
        <v>21</v>
      </c>
      <c r="O2233">
        <v>5</v>
      </c>
      <c r="P2233">
        <v>0</v>
      </c>
      <c r="T2233" s="358" t="str">
        <f t="shared" si="115"/>
        <v>2006MaleAllEth23Other</v>
      </c>
      <c r="U2233" s="360">
        <v>2006</v>
      </c>
      <c r="V2233" s="360" t="s">
        <v>20</v>
      </c>
      <c r="W2233" s="360" t="s">
        <v>27</v>
      </c>
      <c r="X2233" s="360">
        <v>23</v>
      </c>
      <c r="Y2233" s="360" t="s">
        <v>45</v>
      </c>
      <c r="Z2233" s="360">
        <v>6</v>
      </c>
      <c r="AA2233" s="360">
        <v>147</v>
      </c>
      <c r="AB2233" s="360">
        <v>4.0999999999999996</v>
      </c>
    </row>
    <row r="2234" spans="10:28" x14ac:dyDescent="0.2">
      <c r="J2234" s="358" t="str">
        <f t="shared" si="114"/>
        <v>2007MaleNon-Maori221</v>
      </c>
      <c r="K2234" s="359">
        <v>2007</v>
      </c>
      <c r="L2234" t="s">
        <v>20</v>
      </c>
      <c r="M2234" t="s">
        <v>19</v>
      </c>
      <c r="N2234">
        <v>22</v>
      </c>
      <c r="O2234">
        <v>1</v>
      </c>
      <c r="P2234">
        <v>7</v>
      </c>
      <c r="Q2234">
        <v>14.365331735324</v>
      </c>
      <c r="R2234">
        <v>10.6</v>
      </c>
      <c r="T2234" s="358" t="str">
        <f t="shared" si="115"/>
        <v>2006MaleAllEth24Other</v>
      </c>
      <c r="U2234" s="360">
        <v>2006</v>
      </c>
      <c r="V2234" s="360" t="s">
        <v>20</v>
      </c>
      <c r="W2234" s="360" t="s">
        <v>27</v>
      </c>
      <c r="X2234" s="360">
        <v>24</v>
      </c>
      <c r="Y2234" s="360" t="s">
        <v>45</v>
      </c>
      <c r="Z2234" s="360">
        <v>4</v>
      </c>
      <c r="AA2234" s="360">
        <v>110</v>
      </c>
      <c r="AB2234" s="360">
        <v>3.6</v>
      </c>
    </row>
    <row r="2235" spans="10:28" x14ac:dyDescent="0.2">
      <c r="J2235" s="358" t="str">
        <f t="shared" si="114"/>
        <v>2007MaleNon-Maori222</v>
      </c>
      <c r="K2235" s="359">
        <v>2007</v>
      </c>
      <c r="L2235" t="s">
        <v>20</v>
      </c>
      <c r="M2235" t="s">
        <v>19</v>
      </c>
      <c r="N2235">
        <v>22</v>
      </c>
      <c r="O2235">
        <v>2</v>
      </c>
      <c r="P2235">
        <v>7</v>
      </c>
      <c r="Q2235">
        <v>14.101385131242401</v>
      </c>
      <c r="R2235">
        <v>10.4</v>
      </c>
      <c r="T2235" s="358" t="str">
        <f t="shared" si="115"/>
        <v>2006MaleAllEth25Other</v>
      </c>
      <c r="U2235" s="360">
        <v>2006</v>
      </c>
      <c r="V2235" s="360" t="s">
        <v>20</v>
      </c>
      <c r="W2235" s="360" t="s">
        <v>27</v>
      </c>
      <c r="X2235" s="360">
        <v>25</v>
      </c>
      <c r="Y2235" s="360" t="s">
        <v>45</v>
      </c>
      <c r="Z2235" s="360">
        <v>3</v>
      </c>
      <c r="AA2235" s="360">
        <v>33</v>
      </c>
      <c r="AB2235" s="360">
        <v>9.1</v>
      </c>
    </row>
    <row r="2236" spans="10:28" x14ac:dyDescent="0.2">
      <c r="J2236" s="358" t="str">
        <f t="shared" si="114"/>
        <v>2007MaleNon-Maori223</v>
      </c>
      <c r="K2236" s="359">
        <v>2007</v>
      </c>
      <c r="L2236" t="s">
        <v>20</v>
      </c>
      <c r="M2236" t="s">
        <v>19</v>
      </c>
      <c r="N2236">
        <v>22</v>
      </c>
      <c r="O2236">
        <v>3</v>
      </c>
      <c r="P2236">
        <v>10</v>
      </c>
      <c r="Q2236">
        <v>19.990237652742501</v>
      </c>
      <c r="R2236">
        <v>12.4</v>
      </c>
      <c r="T2236" s="358" t="str">
        <f t="shared" si="115"/>
        <v>2006MaleAllEth22Poisoning by gases and vapours</v>
      </c>
      <c r="U2236" s="360">
        <v>2006</v>
      </c>
      <c r="V2236" s="360" t="s">
        <v>20</v>
      </c>
      <c r="W2236" s="360" t="s">
        <v>27</v>
      </c>
      <c r="X2236" s="360">
        <v>22</v>
      </c>
      <c r="Y2236" s="360" t="s">
        <v>46</v>
      </c>
      <c r="Z2236" s="360">
        <v>10</v>
      </c>
      <c r="AA2236" s="360">
        <v>95</v>
      </c>
      <c r="AB2236" s="360">
        <v>10.5</v>
      </c>
    </row>
    <row r="2237" spans="10:28" x14ac:dyDescent="0.2">
      <c r="J2237" s="358" t="str">
        <f t="shared" si="114"/>
        <v>2007MaleNon-Maori224</v>
      </c>
      <c r="K2237" s="359">
        <v>2007</v>
      </c>
      <c r="L2237" t="s">
        <v>20</v>
      </c>
      <c r="M2237" t="s">
        <v>19</v>
      </c>
      <c r="N2237">
        <v>22</v>
      </c>
      <c r="O2237">
        <v>4</v>
      </c>
      <c r="P2237">
        <v>10</v>
      </c>
      <c r="Q2237">
        <v>20.004714589746001</v>
      </c>
      <c r="R2237">
        <v>12.4</v>
      </c>
      <c r="T2237" s="358" t="str">
        <f t="shared" si="115"/>
        <v>2006MaleAllEth23Poisoning by gases and vapours</v>
      </c>
      <c r="U2237" s="360">
        <v>2006</v>
      </c>
      <c r="V2237" s="360" t="s">
        <v>20</v>
      </c>
      <c r="W2237" s="360" t="s">
        <v>27</v>
      </c>
      <c r="X2237" s="360">
        <v>23</v>
      </c>
      <c r="Y2237" s="360" t="s">
        <v>46</v>
      </c>
      <c r="Z2237" s="360">
        <v>24</v>
      </c>
      <c r="AA2237" s="360">
        <v>147</v>
      </c>
      <c r="AB2237" s="360">
        <v>16.3</v>
      </c>
    </row>
    <row r="2238" spans="10:28" x14ac:dyDescent="0.2">
      <c r="J2238" s="358" t="str">
        <f t="shared" si="114"/>
        <v>2007MaleNon-Maori225</v>
      </c>
      <c r="K2238" s="359">
        <v>2007</v>
      </c>
      <c r="L2238" t="s">
        <v>20</v>
      </c>
      <c r="M2238" t="s">
        <v>19</v>
      </c>
      <c r="N2238">
        <v>22</v>
      </c>
      <c r="O2238">
        <v>5</v>
      </c>
      <c r="P2238">
        <v>11</v>
      </c>
      <c r="Q2238">
        <v>22.695186869701701</v>
      </c>
      <c r="R2238">
        <v>13.4</v>
      </c>
      <c r="T2238" s="358" t="str">
        <f t="shared" si="115"/>
        <v>2006MaleAllEth24Poisoning by gases and vapours</v>
      </c>
      <c r="U2238" s="360">
        <v>2006</v>
      </c>
      <c r="V2238" s="360" t="s">
        <v>20</v>
      </c>
      <c r="W2238" s="360" t="s">
        <v>27</v>
      </c>
      <c r="X2238" s="360">
        <v>24</v>
      </c>
      <c r="Y2238" s="360" t="s">
        <v>46</v>
      </c>
      <c r="Z2238" s="360">
        <v>24</v>
      </c>
      <c r="AA2238" s="360">
        <v>110</v>
      </c>
      <c r="AB2238" s="360">
        <v>21.8</v>
      </c>
    </row>
    <row r="2239" spans="10:28" x14ac:dyDescent="0.2">
      <c r="J2239" s="358" t="str">
        <f t="shared" si="114"/>
        <v>2007MaleNon-Maori231</v>
      </c>
      <c r="K2239" s="359">
        <v>2007</v>
      </c>
      <c r="L2239" t="s">
        <v>20</v>
      </c>
      <c r="M2239" t="s">
        <v>19</v>
      </c>
      <c r="N2239">
        <v>23</v>
      </c>
      <c r="O2239">
        <v>1</v>
      </c>
      <c r="P2239">
        <v>18</v>
      </c>
      <c r="Q2239">
        <v>17.505991640130802</v>
      </c>
      <c r="R2239">
        <v>8.1</v>
      </c>
      <c r="T2239" s="358" t="str">
        <f t="shared" si="115"/>
        <v>2006MaleAllEth25Poisoning by gases and vapours</v>
      </c>
      <c r="U2239" s="360">
        <v>2006</v>
      </c>
      <c r="V2239" s="360" t="s">
        <v>20</v>
      </c>
      <c r="W2239" s="360" t="s">
        <v>27</v>
      </c>
      <c r="X2239" s="360">
        <v>25</v>
      </c>
      <c r="Y2239" s="360" t="s">
        <v>46</v>
      </c>
      <c r="Z2239" s="360">
        <v>9</v>
      </c>
      <c r="AA2239" s="360">
        <v>33</v>
      </c>
      <c r="AB2239" s="360">
        <v>27.3</v>
      </c>
    </row>
    <row r="2240" spans="10:28" x14ac:dyDescent="0.2">
      <c r="J2240" s="358" t="str">
        <f t="shared" si="114"/>
        <v>2007MaleNon-Maori232</v>
      </c>
      <c r="K2240" s="359">
        <v>2007</v>
      </c>
      <c r="L2240" t="s">
        <v>20</v>
      </c>
      <c r="M2240" t="s">
        <v>19</v>
      </c>
      <c r="N2240">
        <v>23</v>
      </c>
      <c r="O2240">
        <v>2</v>
      </c>
      <c r="P2240">
        <v>17</v>
      </c>
      <c r="Q2240">
        <v>15.893200419758299</v>
      </c>
      <c r="R2240">
        <v>7.6</v>
      </c>
      <c r="T2240" s="358" t="str">
        <f t="shared" si="115"/>
        <v>2006MaleAllEth22Poisoning by solids and liquids</v>
      </c>
      <c r="U2240" s="360">
        <v>2006</v>
      </c>
      <c r="V2240" s="360" t="s">
        <v>20</v>
      </c>
      <c r="W2240" s="360" t="s">
        <v>27</v>
      </c>
      <c r="X2240" s="360">
        <v>22</v>
      </c>
      <c r="Y2240" s="360" t="s">
        <v>47</v>
      </c>
      <c r="Z2240" s="360">
        <v>1</v>
      </c>
      <c r="AA2240" s="360">
        <v>95</v>
      </c>
      <c r="AB2240" s="360">
        <v>1.1000000000000001</v>
      </c>
    </row>
    <row r="2241" spans="10:28" x14ac:dyDescent="0.2">
      <c r="J2241" s="358" t="str">
        <f t="shared" si="114"/>
        <v>2007MaleNon-Maori233</v>
      </c>
      <c r="K2241" s="359">
        <v>2007</v>
      </c>
      <c r="L2241" t="s">
        <v>20</v>
      </c>
      <c r="M2241" t="s">
        <v>19</v>
      </c>
      <c r="N2241">
        <v>23</v>
      </c>
      <c r="O2241">
        <v>3</v>
      </c>
      <c r="P2241">
        <v>27</v>
      </c>
      <c r="Q2241">
        <v>25.903676511073101</v>
      </c>
      <c r="R2241">
        <v>9.8000000000000007</v>
      </c>
      <c r="T2241" s="358" t="str">
        <f t="shared" si="115"/>
        <v>2006MaleAllEth23Poisoning by solids and liquids</v>
      </c>
      <c r="U2241" s="360">
        <v>2006</v>
      </c>
      <c r="V2241" s="360" t="s">
        <v>20</v>
      </c>
      <c r="W2241" s="360" t="s">
        <v>27</v>
      </c>
      <c r="X2241" s="360">
        <v>23</v>
      </c>
      <c r="Y2241" s="360" t="s">
        <v>47</v>
      </c>
      <c r="Z2241" s="360">
        <v>9</v>
      </c>
      <c r="AA2241" s="360">
        <v>147</v>
      </c>
      <c r="AB2241" s="360">
        <v>6.1</v>
      </c>
    </row>
    <row r="2242" spans="10:28" x14ac:dyDescent="0.2">
      <c r="J2242" s="358" t="str">
        <f t="shared" si="114"/>
        <v>2007MaleNon-Maori234</v>
      </c>
      <c r="K2242" s="359">
        <v>2007</v>
      </c>
      <c r="L2242" t="s">
        <v>20</v>
      </c>
      <c r="M2242" t="s">
        <v>19</v>
      </c>
      <c r="N2242">
        <v>23</v>
      </c>
      <c r="O2242">
        <v>4</v>
      </c>
      <c r="P2242">
        <v>29</v>
      </c>
      <c r="Q2242">
        <v>30.054304212156399</v>
      </c>
      <c r="R2242">
        <v>10.9</v>
      </c>
      <c r="T2242" s="358" t="str">
        <f t="shared" si="115"/>
        <v>2006MaleAllEth24Poisoning by solids and liquids</v>
      </c>
      <c r="U2242" s="360">
        <v>2006</v>
      </c>
      <c r="V2242" s="360" t="s">
        <v>20</v>
      </c>
      <c r="W2242" s="360" t="s">
        <v>27</v>
      </c>
      <c r="X2242" s="360">
        <v>24</v>
      </c>
      <c r="Y2242" s="360" t="s">
        <v>47</v>
      </c>
      <c r="Z2242" s="360">
        <v>13</v>
      </c>
      <c r="AA2242" s="360">
        <v>110</v>
      </c>
      <c r="AB2242" s="360">
        <v>11.8</v>
      </c>
    </row>
    <row r="2243" spans="10:28" x14ac:dyDescent="0.2">
      <c r="J2243" s="358" t="str">
        <f t="shared" si="114"/>
        <v>2007MaleNon-Maori235</v>
      </c>
      <c r="K2243" s="359">
        <v>2007</v>
      </c>
      <c r="L2243" t="s">
        <v>20</v>
      </c>
      <c r="M2243" t="s">
        <v>19</v>
      </c>
      <c r="N2243">
        <v>23</v>
      </c>
      <c r="O2243">
        <v>5</v>
      </c>
      <c r="P2243">
        <v>27</v>
      </c>
      <c r="Q2243">
        <v>35.582607264582599</v>
      </c>
      <c r="R2243">
        <v>13.4</v>
      </c>
      <c r="T2243" s="358" t="str">
        <f t="shared" si="115"/>
        <v>2006MaleAllEth25Poisoning by solids and liquids</v>
      </c>
      <c r="U2243" s="360">
        <v>2006</v>
      </c>
      <c r="V2243" s="360" t="s">
        <v>20</v>
      </c>
      <c r="W2243" s="360" t="s">
        <v>27</v>
      </c>
      <c r="X2243" s="360">
        <v>25</v>
      </c>
      <c r="Y2243" s="360" t="s">
        <v>47</v>
      </c>
      <c r="Z2243" s="360">
        <v>1</v>
      </c>
      <c r="AA2243" s="360">
        <v>33</v>
      </c>
      <c r="AB2243" s="360">
        <v>3</v>
      </c>
    </row>
    <row r="2244" spans="10:28" x14ac:dyDescent="0.2">
      <c r="J2244" s="358" t="str">
        <f t="shared" ref="J2244:J2307" si="116">K2244&amp;L2244&amp;M2244&amp;N2244&amp;O2244</f>
        <v>2007MaleNon-Maori241</v>
      </c>
      <c r="K2244" s="359">
        <v>2007</v>
      </c>
      <c r="L2244" t="s">
        <v>20</v>
      </c>
      <c r="M2244" t="s">
        <v>19</v>
      </c>
      <c r="N2244">
        <v>24</v>
      </c>
      <c r="O2244">
        <v>1</v>
      </c>
      <c r="P2244">
        <v>12</v>
      </c>
      <c r="Q2244">
        <v>9.8114374235408697</v>
      </c>
      <c r="R2244">
        <v>5.6</v>
      </c>
      <c r="T2244" s="358" t="str">
        <f t="shared" si="115"/>
        <v>2006MaleAllEth22Sharp object</v>
      </c>
      <c r="U2244" s="360">
        <v>2006</v>
      </c>
      <c r="V2244" s="360" t="s">
        <v>20</v>
      </c>
      <c r="W2244" s="360" t="s">
        <v>27</v>
      </c>
      <c r="X2244" s="360">
        <v>22</v>
      </c>
      <c r="Y2244" s="360" t="s">
        <v>48</v>
      </c>
      <c r="Z2244" s="360">
        <v>1</v>
      </c>
      <c r="AA2244" s="360">
        <v>95</v>
      </c>
      <c r="AB2244" s="360">
        <v>1.1000000000000001</v>
      </c>
    </row>
    <row r="2245" spans="10:28" x14ac:dyDescent="0.2">
      <c r="J2245" s="358" t="str">
        <f t="shared" si="116"/>
        <v>2007MaleNon-Maori242</v>
      </c>
      <c r="K2245" s="359">
        <v>2007</v>
      </c>
      <c r="L2245" t="s">
        <v>20</v>
      </c>
      <c r="M2245" t="s">
        <v>19</v>
      </c>
      <c r="N2245">
        <v>24</v>
      </c>
      <c r="O2245">
        <v>2</v>
      </c>
      <c r="P2245">
        <v>16</v>
      </c>
      <c r="Q2245">
        <v>15.2713122149311</v>
      </c>
      <c r="R2245">
        <v>7.5</v>
      </c>
      <c r="T2245" s="358" t="str">
        <f t="shared" ref="T2245:T2308" si="117">U2245&amp;V2245&amp;W2245&amp;X2245&amp;Y2245</f>
        <v>2006MaleAllEth23Sharp object</v>
      </c>
      <c r="U2245" s="360">
        <v>2006</v>
      </c>
      <c r="V2245" s="360" t="s">
        <v>20</v>
      </c>
      <c r="W2245" s="360" t="s">
        <v>27</v>
      </c>
      <c r="X2245" s="360">
        <v>23</v>
      </c>
      <c r="Y2245" s="360" t="s">
        <v>48</v>
      </c>
      <c r="Z2245" s="360">
        <v>6</v>
      </c>
      <c r="AA2245" s="360">
        <v>147</v>
      </c>
      <c r="AB2245" s="360">
        <v>4.0999999999999996</v>
      </c>
    </row>
    <row r="2246" spans="10:28" x14ac:dyDescent="0.2">
      <c r="J2246" s="358" t="str">
        <f t="shared" si="116"/>
        <v>2007MaleNon-Maori243</v>
      </c>
      <c r="K2246" s="359">
        <v>2007</v>
      </c>
      <c r="L2246" t="s">
        <v>20</v>
      </c>
      <c r="M2246" t="s">
        <v>19</v>
      </c>
      <c r="N2246">
        <v>24</v>
      </c>
      <c r="O2246">
        <v>3</v>
      </c>
      <c r="P2246">
        <v>25</v>
      </c>
      <c r="Q2246">
        <v>27.700018322254</v>
      </c>
      <c r="R2246">
        <v>10.9</v>
      </c>
      <c r="T2246" s="358" t="str">
        <f t="shared" si="117"/>
        <v>2006MaleAllEth24Sharp object</v>
      </c>
      <c r="U2246" s="360">
        <v>2006</v>
      </c>
      <c r="V2246" s="360" t="s">
        <v>20</v>
      </c>
      <c r="W2246" s="360" t="s">
        <v>27</v>
      </c>
      <c r="X2246" s="360">
        <v>24</v>
      </c>
      <c r="Y2246" s="360" t="s">
        <v>48</v>
      </c>
      <c r="Z2246" s="360">
        <v>3</v>
      </c>
      <c r="AA2246" s="360">
        <v>110</v>
      </c>
      <c r="AB2246" s="360">
        <v>2.7</v>
      </c>
    </row>
    <row r="2247" spans="10:28" x14ac:dyDescent="0.2">
      <c r="J2247" s="358" t="str">
        <f t="shared" si="116"/>
        <v>2007MaleNon-Maori244</v>
      </c>
      <c r="K2247" s="359">
        <v>2007</v>
      </c>
      <c r="L2247" t="s">
        <v>20</v>
      </c>
      <c r="M2247" t="s">
        <v>19</v>
      </c>
      <c r="N2247">
        <v>24</v>
      </c>
      <c r="O2247">
        <v>4</v>
      </c>
      <c r="P2247">
        <v>22</v>
      </c>
      <c r="Q2247">
        <v>28.281422757943702</v>
      </c>
      <c r="R2247">
        <v>11.8</v>
      </c>
      <c r="T2247" s="358" t="str">
        <f t="shared" si="117"/>
        <v>2006MaleAllEth25Sharp object</v>
      </c>
      <c r="U2247" s="360">
        <v>2006</v>
      </c>
      <c r="V2247" s="360" t="s">
        <v>20</v>
      </c>
      <c r="W2247" s="360" t="s">
        <v>27</v>
      </c>
      <c r="X2247" s="360">
        <v>25</v>
      </c>
      <c r="Y2247" s="360" t="s">
        <v>48</v>
      </c>
      <c r="Z2247" s="360">
        <v>2</v>
      </c>
      <c r="AA2247" s="360">
        <v>33</v>
      </c>
      <c r="AB2247" s="360">
        <v>6.1</v>
      </c>
    </row>
    <row r="2248" spans="10:28" x14ac:dyDescent="0.2">
      <c r="J2248" s="358" t="str">
        <f t="shared" si="116"/>
        <v>2007MaleNon-Maori245</v>
      </c>
      <c r="K2248" s="359">
        <v>2007</v>
      </c>
      <c r="L2248" t="s">
        <v>20</v>
      </c>
      <c r="M2248" t="s">
        <v>19</v>
      </c>
      <c r="N2248">
        <v>24</v>
      </c>
      <c r="O2248">
        <v>5</v>
      </c>
      <c r="P2248">
        <v>12</v>
      </c>
      <c r="Q2248">
        <v>20.222473499974399</v>
      </c>
      <c r="R2248">
        <v>11.4</v>
      </c>
      <c r="T2248" s="358" t="str">
        <f t="shared" si="117"/>
        <v>2006MaleAllEth22Submersion (drowning)</v>
      </c>
      <c r="U2248" s="360">
        <v>2006</v>
      </c>
      <c r="V2248" s="360" t="s">
        <v>20</v>
      </c>
      <c r="W2248" s="360" t="s">
        <v>27</v>
      </c>
      <c r="X2248" s="360">
        <v>22</v>
      </c>
      <c r="Y2248" s="360" t="s">
        <v>49</v>
      </c>
      <c r="Z2248" s="360">
        <v>1</v>
      </c>
      <c r="AA2248" s="360">
        <v>95</v>
      </c>
      <c r="AB2248" s="360">
        <v>1.1000000000000001</v>
      </c>
    </row>
    <row r="2249" spans="10:28" x14ac:dyDescent="0.2">
      <c r="J2249" s="358" t="str">
        <f t="shared" si="116"/>
        <v>2007MaleNon-Maori251</v>
      </c>
      <c r="K2249" s="359">
        <v>2007</v>
      </c>
      <c r="L2249" t="s">
        <v>20</v>
      </c>
      <c r="M2249" t="s">
        <v>19</v>
      </c>
      <c r="N2249">
        <v>25</v>
      </c>
      <c r="O2249">
        <v>1</v>
      </c>
      <c r="P2249">
        <v>6</v>
      </c>
      <c r="Q2249">
        <v>12.4733293703736</v>
      </c>
      <c r="R2249">
        <v>10</v>
      </c>
      <c r="T2249" s="358" t="str">
        <f t="shared" si="117"/>
        <v>2006MaleAllEth23Submersion (drowning)</v>
      </c>
      <c r="U2249" s="360">
        <v>2006</v>
      </c>
      <c r="V2249" s="360" t="s">
        <v>20</v>
      </c>
      <c r="W2249" s="360" t="s">
        <v>27</v>
      </c>
      <c r="X2249" s="360">
        <v>23</v>
      </c>
      <c r="Y2249" s="360" t="s">
        <v>49</v>
      </c>
      <c r="Z2249" s="360">
        <v>2</v>
      </c>
      <c r="AA2249" s="360">
        <v>147</v>
      </c>
      <c r="AB2249" s="360">
        <v>1.4</v>
      </c>
    </row>
    <row r="2250" spans="10:28" x14ac:dyDescent="0.2">
      <c r="J2250" s="358" t="str">
        <f t="shared" si="116"/>
        <v>2007MaleNon-Maori252</v>
      </c>
      <c r="K2250" s="359">
        <v>2007</v>
      </c>
      <c r="L2250" t="s">
        <v>20</v>
      </c>
      <c r="M2250" t="s">
        <v>19</v>
      </c>
      <c r="N2250">
        <v>25</v>
      </c>
      <c r="O2250">
        <v>2</v>
      </c>
      <c r="P2250">
        <v>9</v>
      </c>
      <c r="Q2250">
        <v>18.585752591563899</v>
      </c>
      <c r="R2250">
        <v>12.1</v>
      </c>
      <c r="T2250" s="358" t="str">
        <f t="shared" si="117"/>
        <v>2006MaleAllEth24Submersion (drowning)</v>
      </c>
      <c r="U2250" s="360">
        <v>2006</v>
      </c>
      <c r="V2250" s="360" t="s">
        <v>20</v>
      </c>
      <c r="W2250" s="360" t="s">
        <v>27</v>
      </c>
      <c r="X2250" s="360">
        <v>24</v>
      </c>
      <c r="Y2250" s="360" t="s">
        <v>49</v>
      </c>
      <c r="Z2250" s="360">
        <v>3</v>
      </c>
      <c r="AA2250" s="360">
        <v>110</v>
      </c>
      <c r="AB2250" s="360">
        <v>2.7</v>
      </c>
    </row>
    <row r="2251" spans="10:28" x14ac:dyDescent="0.2">
      <c r="J2251" s="358" t="str">
        <f t="shared" si="116"/>
        <v>2007MaleNon-Maori253</v>
      </c>
      <c r="K2251" s="359">
        <v>2007</v>
      </c>
      <c r="L2251" t="s">
        <v>20</v>
      </c>
      <c r="M2251" t="s">
        <v>19</v>
      </c>
      <c r="N2251">
        <v>25</v>
      </c>
      <c r="O2251">
        <v>3</v>
      </c>
      <c r="P2251">
        <v>6</v>
      </c>
      <c r="Q2251">
        <v>12.389747220930801</v>
      </c>
      <c r="R2251">
        <v>9.9</v>
      </c>
      <c r="T2251" s="358" t="str">
        <f t="shared" si="117"/>
        <v>2006MaleAllEth25Submersion (drowning)</v>
      </c>
      <c r="U2251" s="360">
        <v>2006</v>
      </c>
      <c r="V2251" s="360" t="s">
        <v>20</v>
      </c>
      <c r="W2251" s="360" t="s">
        <v>27</v>
      </c>
      <c r="X2251" s="360">
        <v>25</v>
      </c>
      <c r="Y2251" s="360" t="s">
        <v>49</v>
      </c>
      <c r="Z2251" s="360">
        <v>1</v>
      </c>
      <c r="AA2251" s="360">
        <v>33</v>
      </c>
      <c r="AB2251" s="360">
        <v>3</v>
      </c>
    </row>
    <row r="2252" spans="10:28" x14ac:dyDescent="0.2">
      <c r="J2252" s="358" t="str">
        <f t="shared" si="116"/>
        <v>2007MaleNon-Maori254</v>
      </c>
      <c r="K2252" s="359">
        <v>2007</v>
      </c>
      <c r="L2252" t="s">
        <v>20</v>
      </c>
      <c r="M2252" t="s">
        <v>19</v>
      </c>
      <c r="N2252">
        <v>25</v>
      </c>
      <c r="O2252">
        <v>4</v>
      </c>
      <c r="P2252">
        <v>14</v>
      </c>
      <c r="Q2252">
        <v>30.593235002549999</v>
      </c>
      <c r="R2252">
        <v>16</v>
      </c>
      <c r="T2252" s="358" t="str">
        <f t="shared" si="117"/>
        <v>2006MaleMaori23Firearms and explosives</v>
      </c>
      <c r="U2252" s="360">
        <v>2006</v>
      </c>
      <c r="V2252" s="360" t="s">
        <v>20</v>
      </c>
      <c r="W2252" s="360" t="s">
        <v>18</v>
      </c>
      <c r="X2252" s="360">
        <v>23</v>
      </c>
      <c r="Y2252" s="360" t="s">
        <v>42</v>
      </c>
      <c r="Z2252" s="360">
        <v>5</v>
      </c>
      <c r="AA2252" s="360">
        <v>36</v>
      </c>
      <c r="AB2252" s="360">
        <v>13.9</v>
      </c>
    </row>
    <row r="2253" spans="10:28" x14ac:dyDescent="0.2">
      <c r="J2253" s="358" t="str">
        <f t="shared" si="116"/>
        <v>2007MaleNon-Maori255</v>
      </c>
      <c r="K2253" s="359">
        <v>2007</v>
      </c>
      <c r="L2253" t="s">
        <v>20</v>
      </c>
      <c r="M2253" t="s">
        <v>19</v>
      </c>
      <c r="N2253">
        <v>25</v>
      </c>
      <c r="O2253">
        <v>5</v>
      </c>
      <c r="P2253">
        <v>5</v>
      </c>
      <c r="Q2253">
        <v>15.022103125238401</v>
      </c>
      <c r="R2253">
        <v>13.2</v>
      </c>
      <c r="T2253" s="358" t="str">
        <f t="shared" si="117"/>
        <v>2006MaleMaori24Firearms and explosives</v>
      </c>
      <c r="U2253" s="360">
        <v>2006</v>
      </c>
      <c r="V2253" s="360" t="s">
        <v>20</v>
      </c>
      <c r="W2253" s="360" t="s">
        <v>18</v>
      </c>
      <c r="X2253" s="360">
        <v>24</v>
      </c>
      <c r="Y2253" s="360" t="s">
        <v>42</v>
      </c>
      <c r="Z2253" s="360">
        <v>1</v>
      </c>
      <c r="AA2253" s="360">
        <v>10</v>
      </c>
      <c r="AB2253" s="360">
        <v>10</v>
      </c>
    </row>
    <row r="2254" spans="10:28" x14ac:dyDescent="0.2">
      <c r="J2254" s="358" t="str">
        <f t="shared" si="116"/>
        <v>2008AllSexAllEth211</v>
      </c>
      <c r="K2254" s="359">
        <v>2008</v>
      </c>
      <c r="L2254" t="s">
        <v>17</v>
      </c>
      <c r="M2254" t="s">
        <v>27</v>
      </c>
      <c r="N2254">
        <v>21</v>
      </c>
      <c r="O2254">
        <v>1</v>
      </c>
      <c r="P2254">
        <v>0</v>
      </c>
      <c r="T2254" s="358" t="str">
        <f t="shared" si="117"/>
        <v>2006MaleMaori22Hanging, strangulation and suffocation</v>
      </c>
      <c r="U2254" s="360">
        <v>2006</v>
      </c>
      <c r="V2254" s="360" t="s">
        <v>20</v>
      </c>
      <c r="W2254" s="360" t="s">
        <v>18</v>
      </c>
      <c r="X2254" s="360">
        <v>22</v>
      </c>
      <c r="Y2254" s="360" t="s">
        <v>43</v>
      </c>
      <c r="Z2254" s="360">
        <v>28</v>
      </c>
      <c r="AA2254" s="360">
        <v>29</v>
      </c>
      <c r="AB2254" s="360">
        <v>96.6</v>
      </c>
    </row>
    <row r="2255" spans="10:28" x14ac:dyDescent="0.2">
      <c r="J2255" s="358" t="str">
        <f t="shared" si="116"/>
        <v>2008AllSexAllEth212</v>
      </c>
      <c r="K2255" s="359">
        <v>2008</v>
      </c>
      <c r="L2255" t="s">
        <v>17</v>
      </c>
      <c r="M2255" t="s">
        <v>27</v>
      </c>
      <c r="N2255">
        <v>21</v>
      </c>
      <c r="O2255">
        <v>2</v>
      </c>
      <c r="P2255">
        <v>0</v>
      </c>
      <c r="T2255" s="358" t="str">
        <f t="shared" si="117"/>
        <v>2006MaleMaori23Hanging, strangulation and suffocation</v>
      </c>
      <c r="U2255" s="360">
        <v>2006</v>
      </c>
      <c r="V2255" s="360" t="s">
        <v>20</v>
      </c>
      <c r="W2255" s="360" t="s">
        <v>18</v>
      </c>
      <c r="X2255" s="360">
        <v>23</v>
      </c>
      <c r="Y2255" s="360" t="s">
        <v>43</v>
      </c>
      <c r="Z2255" s="360">
        <v>25</v>
      </c>
      <c r="AA2255" s="360">
        <v>36</v>
      </c>
      <c r="AB2255" s="360">
        <v>69.400000000000006</v>
      </c>
    </row>
    <row r="2256" spans="10:28" x14ac:dyDescent="0.2">
      <c r="J2256" s="358" t="str">
        <f t="shared" si="116"/>
        <v>2008AllSexAllEth213</v>
      </c>
      <c r="K2256" s="359">
        <v>2008</v>
      </c>
      <c r="L2256" t="s">
        <v>17</v>
      </c>
      <c r="M2256" t="s">
        <v>27</v>
      </c>
      <c r="N2256">
        <v>21</v>
      </c>
      <c r="O2256">
        <v>3</v>
      </c>
      <c r="P2256">
        <v>2</v>
      </c>
      <c r="T2256" s="358" t="str">
        <f t="shared" si="117"/>
        <v>2006MaleMaori24Hanging, strangulation and suffocation</v>
      </c>
      <c r="U2256" s="360">
        <v>2006</v>
      </c>
      <c r="V2256" s="360" t="s">
        <v>20</v>
      </c>
      <c r="W2256" s="360" t="s">
        <v>18</v>
      </c>
      <c r="X2256" s="360">
        <v>24</v>
      </c>
      <c r="Y2256" s="360" t="s">
        <v>43</v>
      </c>
      <c r="Z2256" s="360">
        <v>4</v>
      </c>
      <c r="AA2256" s="360">
        <v>10</v>
      </c>
      <c r="AB2256" s="360">
        <v>40</v>
      </c>
    </row>
    <row r="2257" spans="10:28" x14ac:dyDescent="0.2">
      <c r="J2257" s="358" t="str">
        <f t="shared" si="116"/>
        <v>2008AllSexAllEth214</v>
      </c>
      <c r="K2257" s="359">
        <v>2008</v>
      </c>
      <c r="L2257" t="s">
        <v>17</v>
      </c>
      <c r="M2257" t="s">
        <v>27</v>
      </c>
      <c r="N2257">
        <v>21</v>
      </c>
      <c r="O2257">
        <v>4</v>
      </c>
      <c r="P2257">
        <v>0</v>
      </c>
      <c r="T2257" s="358" t="str">
        <f t="shared" si="117"/>
        <v>2006MaleMaori23Other</v>
      </c>
      <c r="U2257" s="360">
        <v>2006</v>
      </c>
      <c r="V2257" s="360" t="s">
        <v>20</v>
      </c>
      <c r="W2257" s="360" t="s">
        <v>18</v>
      </c>
      <c r="X2257" s="360">
        <v>23</v>
      </c>
      <c r="Y2257" s="360" t="s">
        <v>45</v>
      </c>
      <c r="Z2257" s="360">
        <v>1</v>
      </c>
      <c r="AA2257" s="360">
        <v>36</v>
      </c>
      <c r="AB2257" s="360">
        <v>2.8</v>
      </c>
    </row>
    <row r="2258" spans="10:28" x14ac:dyDescent="0.2">
      <c r="J2258" s="358" t="str">
        <f t="shared" si="116"/>
        <v>2008AllSexAllEth215</v>
      </c>
      <c r="K2258" s="359">
        <v>2008</v>
      </c>
      <c r="L2258" t="s">
        <v>17</v>
      </c>
      <c r="M2258" t="s">
        <v>27</v>
      </c>
      <c r="N2258">
        <v>21</v>
      </c>
      <c r="O2258">
        <v>5</v>
      </c>
      <c r="P2258">
        <v>3</v>
      </c>
      <c r="T2258" s="358" t="str">
        <f t="shared" si="117"/>
        <v>2006MaleMaori24Other</v>
      </c>
      <c r="U2258" s="360">
        <v>2006</v>
      </c>
      <c r="V2258" s="360" t="s">
        <v>20</v>
      </c>
      <c r="W2258" s="360" t="s">
        <v>18</v>
      </c>
      <c r="X2258" s="360">
        <v>24</v>
      </c>
      <c r="Y2258" s="360" t="s">
        <v>45</v>
      </c>
      <c r="Z2258" s="360">
        <v>1</v>
      </c>
      <c r="AA2258" s="360">
        <v>10</v>
      </c>
      <c r="AB2258" s="360">
        <v>10</v>
      </c>
    </row>
    <row r="2259" spans="10:28" x14ac:dyDescent="0.2">
      <c r="J2259" s="358" t="str">
        <f t="shared" si="116"/>
        <v>2008AllSexAllEth221</v>
      </c>
      <c r="K2259" s="359">
        <v>2008</v>
      </c>
      <c r="L2259" t="s">
        <v>17</v>
      </c>
      <c r="M2259" t="s">
        <v>27</v>
      </c>
      <c r="N2259">
        <v>22</v>
      </c>
      <c r="O2259">
        <v>1</v>
      </c>
      <c r="P2259">
        <v>18</v>
      </c>
      <c r="Q2259">
        <v>17.6573444097845</v>
      </c>
      <c r="R2259">
        <v>8.1999999999999993</v>
      </c>
      <c r="T2259" s="358" t="str">
        <f t="shared" si="117"/>
        <v>2006MaleMaori22Poisoning by gases and vapours</v>
      </c>
      <c r="U2259" s="360">
        <v>2006</v>
      </c>
      <c r="V2259" s="360" t="s">
        <v>20</v>
      </c>
      <c r="W2259" s="360" t="s">
        <v>18</v>
      </c>
      <c r="X2259" s="360">
        <v>22</v>
      </c>
      <c r="Y2259" s="360" t="s">
        <v>46</v>
      </c>
      <c r="Z2259" s="360">
        <v>1</v>
      </c>
      <c r="AA2259" s="360">
        <v>29</v>
      </c>
      <c r="AB2259" s="360">
        <v>3.4</v>
      </c>
    </row>
    <row r="2260" spans="10:28" x14ac:dyDescent="0.2">
      <c r="J2260" s="358" t="str">
        <f t="shared" si="116"/>
        <v>2008AllSexAllEth222</v>
      </c>
      <c r="K2260" s="359">
        <v>2008</v>
      </c>
      <c r="L2260" t="s">
        <v>17</v>
      </c>
      <c r="M2260" t="s">
        <v>27</v>
      </c>
      <c r="N2260">
        <v>22</v>
      </c>
      <c r="O2260">
        <v>2</v>
      </c>
      <c r="P2260">
        <v>18</v>
      </c>
      <c r="Q2260">
        <v>16.609489598435299</v>
      </c>
      <c r="R2260">
        <v>7.7</v>
      </c>
      <c r="T2260" s="358" t="str">
        <f t="shared" si="117"/>
        <v>2006MaleMaori23Poisoning by gases and vapours</v>
      </c>
      <c r="U2260" s="360">
        <v>2006</v>
      </c>
      <c r="V2260" s="360" t="s">
        <v>20</v>
      </c>
      <c r="W2260" s="360" t="s">
        <v>18</v>
      </c>
      <c r="X2260" s="360">
        <v>23</v>
      </c>
      <c r="Y2260" s="360" t="s">
        <v>46</v>
      </c>
      <c r="Z2260" s="360">
        <v>2</v>
      </c>
      <c r="AA2260" s="360">
        <v>36</v>
      </c>
      <c r="AB2260" s="360">
        <v>5.6</v>
      </c>
    </row>
    <row r="2261" spans="10:28" x14ac:dyDescent="0.2">
      <c r="J2261" s="358" t="str">
        <f t="shared" si="116"/>
        <v>2008AllSexAllEth223</v>
      </c>
      <c r="K2261" s="359">
        <v>2008</v>
      </c>
      <c r="L2261" t="s">
        <v>17</v>
      </c>
      <c r="M2261" t="s">
        <v>27</v>
      </c>
      <c r="N2261">
        <v>22</v>
      </c>
      <c r="O2261">
        <v>3</v>
      </c>
      <c r="P2261">
        <v>20</v>
      </c>
      <c r="Q2261">
        <v>17.077779442394402</v>
      </c>
      <c r="R2261">
        <v>7.5</v>
      </c>
      <c r="T2261" s="358" t="str">
        <f t="shared" si="117"/>
        <v>2006MaleMaori23Poisoning by solids and liquids</v>
      </c>
      <c r="U2261" s="360">
        <v>2006</v>
      </c>
      <c r="V2261" s="360" t="s">
        <v>20</v>
      </c>
      <c r="W2261" s="360" t="s">
        <v>18</v>
      </c>
      <c r="X2261" s="360">
        <v>23</v>
      </c>
      <c r="Y2261" s="360" t="s">
        <v>47</v>
      </c>
      <c r="Z2261" s="360">
        <v>1</v>
      </c>
      <c r="AA2261" s="360">
        <v>36</v>
      </c>
      <c r="AB2261" s="360">
        <v>2.8</v>
      </c>
    </row>
    <row r="2262" spans="10:28" x14ac:dyDescent="0.2">
      <c r="J2262" s="358" t="str">
        <f t="shared" si="116"/>
        <v>2008AllSexAllEth224</v>
      </c>
      <c r="K2262" s="359">
        <v>2008</v>
      </c>
      <c r="L2262" t="s">
        <v>17</v>
      </c>
      <c r="M2262" t="s">
        <v>27</v>
      </c>
      <c r="N2262">
        <v>22</v>
      </c>
      <c r="O2262">
        <v>4</v>
      </c>
      <c r="P2262">
        <v>24</v>
      </c>
      <c r="Q2262">
        <v>18.676491685595298</v>
      </c>
      <c r="R2262">
        <v>7.5</v>
      </c>
      <c r="T2262" s="358" t="str">
        <f t="shared" si="117"/>
        <v>2006MaleMaori24Poisoning by solids and liquids</v>
      </c>
      <c r="U2262" s="360">
        <v>2006</v>
      </c>
      <c r="V2262" s="360" t="s">
        <v>20</v>
      </c>
      <c r="W2262" s="360" t="s">
        <v>18</v>
      </c>
      <c r="X2262" s="360">
        <v>24</v>
      </c>
      <c r="Y2262" s="360" t="s">
        <v>47</v>
      </c>
      <c r="Z2262" s="360">
        <v>2</v>
      </c>
      <c r="AA2262" s="360">
        <v>10</v>
      </c>
      <c r="AB2262" s="360">
        <v>20</v>
      </c>
    </row>
    <row r="2263" spans="10:28" x14ac:dyDescent="0.2">
      <c r="J2263" s="358" t="str">
        <f t="shared" si="116"/>
        <v>2008AllSexAllEth225</v>
      </c>
      <c r="K2263" s="359">
        <v>2008</v>
      </c>
      <c r="L2263" t="s">
        <v>17</v>
      </c>
      <c r="M2263" t="s">
        <v>27</v>
      </c>
      <c r="N2263">
        <v>22</v>
      </c>
      <c r="O2263">
        <v>5</v>
      </c>
      <c r="P2263">
        <v>35</v>
      </c>
      <c r="Q2263">
        <v>23.3578439517098</v>
      </c>
      <c r="R2263">
        <v>7.7</v>
      </c>
      <c r="T2263" s="358" t="str">
        <f t="shared" si="117"/>
        <v>2006MaleMaori23Sharp object</v>
      </c>
      <c r="U2263" s="360">
        <v>2006</v>
      </c>
      <c r="V2263" s="360" t="s">
        <v>20</v>
      </c>
      <c r="W2263" s="360" t="s">
        <v>18</v>
      </c>
      <c r="X2263" s="360">
        <v>23</v>
      </c>
      <c r="Y2263" s="360" t="s">
        <v>48</v>
      </c>
      <c r="Z2263" s="360">
        <v>2</v>
      </c>
      <c r="AA2263" s="360">
        <v>36</v>
      </c>
      <c r="AB2263" s="360">
        <v>5.6</v>
      </c>
    </row>
    <row r="2264" spans="10:28" x14ac:dyDescent="0.2">
      <c r="J2264" s="358" t="str">
        <f t="shared" si="116"/>
        <v>2008AllSexAllEth231</v>
      </c>
      <c r="K2264" s="359">
        <v>2008</v>
      </c>
      <c r="L2264" t="s">
        <v>17</v>
      </c>
      <c r="M2264" t="s">
        <v>27</v>
      </c>
      <c r="N2264">
        <v>23</v>
      </c>
      <c r="O2264">
        <v>1</v>
      </c>
      <c r="P2264">
        <v>24</v>
      </c>
      <c r="Q2264">
        <v>10.4945048331157</v>
      </c>
      <c r="R2264">
        <v>4.2</v>
      </c>
      <c r="T2264" s="358" t="str">
        <f t="shared" si="117"/>
        <v>2006MaleMaori24Sharp object</v>
      </c>
      <c r="U2264" s="360">
        <v>2006</v>
      </c>
      <c r="V2264" s="360" t="s">
        <v>20</v>
      </c>
      <c r="W2264" s="360" t="s">
        <v>18</v>
      </c>
      <c r="X2264" s="360">
        <v>24</v>
      </c>
      <c r="Y2264" s="360" t="s">
        <v>48</v>
      </c>
      <c r="Z2264" s="360">
        <v>1</v>
      </c>
      <c r="AA2264" s="360">
        <v>10</v>
      </c>
      <c r="AB2264" s="360">
        <v>10</v>
      </c>
    </row>
    <row r="2265" spans="10:28" x14ac:dyDescent="0.2">
      <c r="J2265" s="358" t="str">
        <f t="shared" si="116"/>
        <v>2008AllSexAllEth232</v>
      </c>
      <c r="K2265" s="359">
        <v>2008</v>
      </c>
      <c r="L2265" t="s">
        <v>17</v>
      </c>
      <c r="M2265" t="s">
        <v>27</v>
      </c>
      <c r="N2265">
        <v>23</v>
      </c>
      <c r="O2265">
        <v>2</v>
      </c>
      <c r="P2265">
        <v>26</v>
      </c>
      <c r="Q2265">
        <v>10.8004022216293</v>
      </c>
      <c r="R2265">
        <v>4.2</v>
      </c>
      <c r="T2265" s="358" t="str">
        <f t="shared" si="117"/>
        <v>2006MaleMaori24Submersion (drowning)</v>
      </c>
      <c r="U2265" s="360">
        <v>2006</v>
      </c>
      <c r="V2265" s="360" t="s">
        <v>20</v>
      </c>
      <c r="W2265" s="360" t="s">
        <v>18</v>
      </c>
      <c r="X2265" s="360">
        <v>24</v>
      </c>
      <c r="Y2265" s="360" t="s">
        <v>49</v>
      </c>
      <c r="Z2265" s="360">
        <v>1</v>
      </c>
      <c r="AA2265" s="360">
        <v>10</v>
      </c>
      <c r="AB2265" s="360">
        <v>10</v>
      </c>
    </row>
    <row r="2266" spans="10:28" x14ac:dyDescent="0.2">
      <c r="J2266" s="358" t="str">
        <f t="shared" si="116"/>
        <v>2008AllSexAllEth233</v>
      </c>
      <c r="K2266" s="359">
        <v>2008</v>
      </c>
      <c r="L2266" t="s">
        <v>17</v>
      </c>
      <c r="M2266" t="s">
        <v>27</v>
      </c>
      <c r="N2266">
        <v>23</v>
      </c>
      <c r="O2266">
        <v>3</v>
      </c>
      <c r="P2266">
        <v>33</v>
      </c>
      <c r="Q2266">
        <v>13.693937194311401</v>
      </c>
      <c r="R2266">
        <v>4.7</v>
      </c>
      <c r="T2266" s="358" t="str">
        <f t="shared" si="117"/>
        <v>2006MaleNon-Maori22Firearms and explosives</v>
      </c>
      <c r="U2266" s="360">
        <v>2006</v>
      </c>
      <c r="V2266" s="360" t="s">
        <v>20</v>
      </c>
      <c r="W2266" s="360" t="s">
        <v>19</v>
      </c>
      <c r="X2266" s="360">
        <v>22</v>
      </c>
      <c r="Y2266" s="360" t="s">
        <v>42</v>
      </c>
      <c r="Z2266" s="360">
        <v>5</v>
      </c>
      <c r="AA2266" s="360">
        <v>66</v>
      </c>
      <c r="AB2266" s="360">
        <v>7.6</v>
      </c>
    </row>
    <row r="2267" spans="10:28" x14ac:dyDescent="0.2">
      <c r="J2267" s="358" t="str">
        <f t="shared" si="116"/>
        <v>2008AllSexAllEth234</v>
      </c>
      <c r="K2267" s="359">
        <v>2008</v>
      </c>
      <c r="L2267" t="s">
        <v>17</v>
      </c>
      <c r="M2267" t="s">
        <v>27</v>
      </c>
      <c r="N2267">
        <v>23</v>
      </c>
      <c r="O2267">
        <v>4</v>
      </c>
      <c r="P2267">
        <v>40</v>
      </c>
      <c r="Q2267">
        <v>16.895748974619899</v>
      </c>
      <c r="R2267">
        <v>5.2</v>
      </c>
      <c r="T2267" s="358" t="str">
        <f t="shared" si="117"/>
        <v>2006MaleNon-Maori23Firearms and explosives</v>
      </c>
      <c r="U2267" s="360">
        <v>2006</v>
      </c>
      <c r="V2267" s="360" t="s">
        <v>20</v>
      </c>
      <c r="W2267" s="360" t="s">
        <v>19</v>
      </c>
      <c r="X2267" s="360">
        <v>23</v>
      </c>
      <c r="Y2267" s="360" t="s">
        <v>42</v>
      </c>
      <c r="Z2267" s="360">
        <v>9</v>
      </c>
      <c r="AA2267" s="360">
        <v>111</v>
      </c>
      <c r="AB2267" s="360">
        <v>8.1</v>
      </c>
    </row>
    <row r="2268" spans="10:28" x14ac:dyDescent="0.2">
      <c r="J2268" s="358" t="str">
        <f t="shared" si="116"/>
        <v>2008AllSexAllEth235</v>
      </c>
      <c r="K2268" s="359">
        <v>2008</v>
      </c>
      <c r="L2268" t="s">
        <v>17</v>
      </c>
      <c r="M2268" t="s">
        <v>27</v>
      </c>
      <c r="N2268">
        <v>23</v>
      </c>
      <c r="O2268">
        <v>5</v>
      </c>
      <c r="P2268">
        <v>51</v>
      </c>
      <c r="Q2268">
        <v>22.912910444206499</v>
      </c>
      <c r="R2268">
        <v>6.3</v>
      </c>
      <c r="T2268" s="358" t="str">
        <f t="shared" si="117"/>
        <v>2006MaleNon-Maori24Firearms and explosives</v>
      </c>
      <c r="U2268" s="360">
        <v>2006</v>
      </c>
      <c r="V2268" s="360" t="s">
        <v>20</v>
      </c>
      <c r="W2268" s="360" t="s">
        <v>19</v>
      </c>
      <c r="X2268" s="360">
        <v>24</v>
      </c>
      <c r="Y2268" s="360" t="s">
        <v>42</v>
      </c>
      <c r="Z2268" s="360">
        <v>17</v>
      </c>
      <c r="AA2268" s="360">
        <v>100</v>
      </c>
      <c r="AB2268" s="360">
        <v>17</v>
      </c>
    </row>
    <row r="2269" spans="10:28" x14ac:dyDescent="0.2">
      <c r="J2269" s="358" t="str">
        <f t="shared" si="116"/>
        <v>2008AllSexAllEth241</v>
      </c>
      <c r="K2269" s="359">
        <v>2008</v>
      </c>
      <c r="L2269" t="s">
        <v>17</v>
      </c>
      <c r="M2269" t="s">
        <v>27</v>
      </c>
      <c r="N2269">
        <v>24</v>
      </c>
      <c r="O2269">
        <v>1</v>
      </c>
      <c r="P2269">
        <v>33</v>
      </c>
      <c r="Q2269">
        <v>12.7042958120834</v>
      </c>
      <c r="R2269">
        <v>4.3</v>
      </c>
      <c r="T2269" s="358" t="str">
        <f t="shared" si="117"/>
        <v>2006MaleNon-Maori25Firearms and explosives</v>
      </c>
      <c r="U2269" s="360">
        <v>2006</v>
      </c>
      <c r="V2269" s="360" t="s">
        <v>20</v>
      </c>
      <c r="W2269" s="360" t="s">
        <v>19</v>
      </c>
      <c r="X2269" s="360">
        <v>25</v>
      </c>
      <c r="Y2269" s="360" t="s">
        <v>42</v>
      </c>
      <c r="Z2269" s="360">
        <v>5</v>
      </c>
      <c r="AA2269" s="360">
        <v>33</v>
      </c>
      <c r="AB2269" s="360">
        <v>15.2</v>
      </c>
    </row>
    <row r="2270" spans="10:28" x14ac:dyDescent="0.2">
      <c r="J2270" s="358" t="str">
        <f t="shared" si="116"/>
        <v>2008AllSexAllEth242</v>
      </c>
      <c r="K2270" s="359">
        <v>2008</v>
      </c>
      <c r="L2270" t="s">
        <v>17</v>
      </c>
      <c r="M2270" t="s">
        <v>27</v>
      </c>
      <c r="N2270">
        <v>24</v>
      </c>
      <c r="O2270">
        <v>2</v>
      </c>
      <c r="P2270">
        <v>29</v>
      </c>
      <c r="Q2270">
        <v>12.6387700991577</v>
      </c>
      <c r="R2270">
        <v>4.5999999999999996</v>
      </c>
      <c r="T2270" s="358" t="str">
        <f t="shared" si="117"/>
        <v>2006MaleNon-Maori21Hanging, strangulation and suffocation</v>
      </c>
      <c r="U2270" s="360">
        <v>2006</v>
      </c>
      <c r="V2270" s="360" t="s">
        <v>20</v>
      </c>
      <c r="W2270" s="360" t="s">
        <v>19</v>
      </c>
      <c r="X2270" s="360">
        <v>21</v>
      </c>
      <c r="Y2270" s="360" t="s">
        <v>43</v>
      </c>
      <c r="Z2270" s="360">
        <v>2</v>
      </c>
      <c r="AA2270" s="360">
        <v>2</v>
      </c>
      <c r="AB2270" s="360">
        <v>100</v>
      </c>
    </row>
    <row r="2271" spans="10:28" x14ac:dyDescent="0.2">
      <c r="J2271" s="358" t="str">
        <f t="shared" si="116"/>
        <v>2008AllSexAllEth243</v>
      </c>
      <c r="K2271" s="359">
        <v>2008</v>
      </c>
      <c r="L2271" t="s">
        <v>17</v>
      </c>
      <c r="M2271" t="s">
        <v>27</v>
      </c>
      <c r="N2271">
        <v>24</v>
      </c>
      <c r="O2271">
        <v>3</v>
      </c>
      <c r="P2271">
        <v>38</v>
      </c>
      <c r="Q2271">
        <v>18.360229324573801</v>
      </c>
      <c r="R2271">
        <v>5.8</v>
      </c>
      <c r="T2271" s="358" t="str">
        <f t="shared" si="117"/>
        <v>2006MaleNon-Maori22Hanging, strangulation and suffocation</v>
      </c>
      <c r="U2271" s="360">
        <v>2006</v>
      </c>
      <c r="V2271" s="360" t="s">
        <v>20</v>
      </c>
      <c r="W2271" s="360" t="s">
        <v>19</v>
      </c>
      <c r="X2271" s="360">
        <v>22</v>
      </c>
      <c r="Y2271" s="360" t="s">
        <v>43</v>
      </c>
      <c r="Z2271" s="360">
        <v>42</v>
      </c>
      <c r="AA2271" s="360">
        <v>66</v>
      </c>
      <c r="AB2271" s="360">
        <v>63.6</v>
      </c>
    </row>
    <row r="2272" spans="10:28" x14ac:dyDescent="0.2">
      <c r="J2272" s="358" t="str">
        <f t="shared" si="116"/>
        <v>2008AllSexAllEth244</v>
      </c>
      <c r="K2272" s="359">
        <v>2008</v>
      </c>
      <c r="L2272" t="s">
        <v>17</v>
      </c>
      <c r="M2272" t="s">
        <v>27</v>
      </c>
      <c r="N2272">
        <v>24</v>
      </c>
      <c r="O2272">
        <v>4</v>
      </c>
      <c r="P2272">
        <v>29</v>
      </c>
      <c r="Q2272">
        <v>15.3289440096198</v>
      </c>
      <c r="R2272">
        <v>5.6</v>
      </c>
      <c r="T2272" s="358" t="str">
        <f t="shared" si="117"/>
        <v>2006MaleNon-Maori23Hanging, strangulation and suffocation</v>
      </c>
      <c r="U2272" s="360">
        <v>2006</v>
      </c>
      <c r="V2272" s="360" t="s">
        <v>20</v>
      </c>
      <c r="W2272" s="360" t="s">
        <v>19</v>
      </c>
      <c r="X2272" s="360">
        <v>23</v>
      </c>
      <c r="Y2272" s="360" t="s">
        <v>43</v>
      </c>
      <c r="Z2272" s="360">
        <v>59</v>
      </c>
      <c r="AA2272" s="360">
        <v>111</v>
      </c>
      <c r="AB2272" s="360">
        <v>53.2</v>
      </c>
    </row>
    <row r="2273" spans="10:28" x14ac:dyDescent="0.2">
      <c r="J2273" s="358" t="str">
        <f t="shared" si="116"/>
        <v>2008AllSexAllEth245</v>
      </c>
      <c r="K2273" s="359">
        <v>2008</v>
      </c>
      <c r="L2273" t="s">
        <v>17</v>
      </c>
      <c r="M2273" t="s">
        <v>27</v>
      </c>
      <c r="N2273">
        <v>24</v>
      </c>
      <c r="O2273">
        <v>5</v>
      </c>
      <c r="P2273">
        <v>21</v>
      </c>
      <c r="Q2273">
        <v>12.475582038755901</v>
      </c>
      <c r="R2273">
        <v>5.3</v>
      </c>
      <c r="T2273" s="358" t="str">
        <f t="shared" si="117"/>
        <v>2006MaleNon-Maori24Hanging, strangulation and suffocation</v>
      </c>
      <c r="U2273" s="360">
        <v>2006</v>
      </c>
      <c r="V2273" s="360" t="s">
        <v>20</v>
      </c>
      <c r="W2273" s="360" t="s">
        <v>19</v>
      </c>
      <c r="X2273" s="360">
        <v>24</v>
      </c>
      <c r="Y2273" s="360" t="s">
        <v>43</v>
      </c>
      <c r="Z2273" s="360">
        <v>40</v>
      </c>
      <c r="AA2273" s="360">
        <v>100</v>
      </c>
      <c r="AB2273" s="360">
        <v>40</v>
      </c>
    </row>
    <row r="2274" spans="10:28" x14ac:dyDescent="0.2">
      <c r="J2274" s="358" t="str">
        <f t="shared" si="116"/>
        <v>2008AllSexAllEth251</v>
      </c>
      <c r="K2274" s="359">
        <v>2008</v>
      </c>
      <c r="L2274" t="s">
        <v>17</v>
      </c>
      <c r="M2274" t="s">
        <v>27</v>
      </c>
      <c r="N2274">
        <v>25</v>
      </c>
      <c r="O2274">
        <v>1</v>
      </c>
      <c r="P2274">
        <v>8</v>
      </c>
      <c r="Q2274">
        <v>7.7832339926645204</v>
      </c>
      <c r="R2274">
        <v>5.4</v>
      </c>
      <c r="T2274" s="358" t="str">
        <f t="shared" si="117"/>
        <v>2006MaleNon-Maori25Hanging, strangulation and suffocation</v>
      </c>
      <c r="U2274" s="360">
        <v>2006</v>
      </c>
      <c r="V2274" s="360" t="s">
        <v>20</v>
      </c>
      <c r="W2274" s="360" t="s">
        <v>19</v>
      </c>
      <c r="X2274" s="360">
        <v>25</v>
      </c>
      <c r="Y2274" s="360" t="s">
        <v>43</v>
      </c>
      <c r="Z2274" s="360">
        <v>12</v>
      </c>
      <c r="AA2274" s="360">
        <v>33</v>
      </c>
      <c r="AB2274" s="360">
        <v>36.4</v>
      </c>
    </row>
    <row r="2275" spans="10:28" x14ac:dyDescent="0.2">
      <c r="J2275" s="358" t="str">
        <f t="shared" si="116"/>
        <v>2008AllSexAllEth252</v>
      </c>
      <c r="K2275" s="359">
        <v>2008</v>
      </c>
      <c r="L2275" t="s">
        <v>17</v>
      </c>
      <c r="M2275" t="s">
        <v>27</v>
      </c>
      <c r="N2275">
        <v>25</v>
      </c>
      <c r="O2275">
        <v>2</v>
      </c>
      <c r="P2275">
        <v>12</v>
      </c>
      <c r="Q2275">
        <v>10.879457234614501</v>
      </c>
      <c r="R2275">
        <v>6.2</v>
      </c>
      <c r="T2275" s="358" t="str">
        <f t="shared" si="117"/>
        <v>2006MaleNon-Maori22Jumping from a high place</v>
      </c>
      <c r="U2275" s="360">
        <v>2006</v>
      </c>
      <c r="V2275" s="360" t="s">
        <v>20</v>
      </c>
      <c r="W2275" s="360" t="s">
        <v>19</v>
      </c>
      <c r="X2275" s="360">
        <v>22</v>
      </c>
      <c r="Y2275" s="360" t="s">
        <v>44</v>
      </c>
      <c r="Z2275" s="360">
        <v>3</v>
      </c>
      <c r="AA2275" s="360">
        <v>66</v>
      </c>
      <c r="AB2275" s="360">
        <v>4.5</v>
      </c>
    </row>
    <row r="2276" spans="10:28" x14ac:dyDescent="0.2">
      <c r="J2276" s="358" t="str">
        <f t="shared" si="116"/>
        <v>2008AllSexAllEth253</v>
      </c>
      <c r="K2276" s="359">
        <v>2008</v>
      </c>
      <c r="L2276" t="s">
        <v>17</v>
      </c>
      <c r="M2276" t="s">
        <v>27</v>
      </c>
      <c r="N2276">
        <v>25</v>
      </c>
      <c r="O2276">
        <v>3</v>
      </c>
      <c r="P2276">
        <v>12</v>
      </c>
      <c r="Q2276">
        <v>10.419338263835201</v>
      </c>
      <c r="R2276">
        <v>5.9</v>
      </c>
      <c r="T2276" s="358" t="str">
        <f t="shared" si="117"/>
        <v>2006MaleNon-Maori23Jumping from a high place</v>
      </c>
      <c r="U2276" s="360">
        <v>2006</v>
      </c>
      <c r="V2276" s="360" t="s">
        <v>20</v>
      </c>
      <c r="W2276" s="360" t="s">
        <v>19</v>
      </c>
      <c r="X2276" s="360">
        <v>23</v>
      </c>
      <c r="Y2276" s="360" t="s">
        <v>44</v>
      </c>
      <c r="Z2276" s="360">
        <v>2</v>
      </c>
      <c r="AA2276" s="360">
        <v>111</v>
      </c>
      <c r="AB2276" s="360">
        <v>1.8</v>
      </c>
    </row>
    <row r="2277" spans="10:28" x14ac:dyDescent="0.2">
      <c r="J2277" s="358" t="str">
        <f t="shared" si="116"/>
        <v>2008AllSexAllEth254</v>
      </c>
      <c r="K2277" s="359">
        <v>2008</v>
      </c>
      <c r="L2277" t="s">
        <v>17</v>
      </c>
      <c r="M2277" t="s">
        <v>27</v>
      </c>
      <c r="N2277">
        <v>25</v>
      </c>
      <c r="O2277">
        <v>4</v>
      </c>
      <c r="P2277">
        <v>8</v>
      </c>
      <c r="Q2277">
        <v>6.8855576901865101</v>
      </c>
      <c r="R2277">
        <v>4.8</v>
      </c>
      <c r="T2277" s="358" t="str">
        <f t="shared" si="117"/>
        <v>2006MaleNon-Maori24Jumping from a high place</v>
      </c>
      <c r="U2277" s="360">
        <v>2006</v>
      </c>
      <c r="V2277" s="360" t="s">
        <v>20</v>
      </c>
      <c r="W2277" s="360" t="s">
        <v>19</v>
      </c>
      <c r="X2277" s="360">
        <v>24</v>
      </c>
      <c r="Y2277" s="360" t="s">
        <v>44</v>
      </c>
      <c r="Z2277" s="360">
        <v>1</v>
      </c>
      <c r="AA2277" s="360">
        <v>100</v>
      </c>
      <c r="AB2277" s="360">
        <v>1</v>
      </c>
    </row>
    <row r="2278" spans="10:28" x14ac:dyDescent="0.2">
      <c r="J2278" s="358" t="str">
        <f t="shared" si="116"/>
        <v>2008AllSexAllEth255</v>
      </c>
      <c r="K2278" s="359">
        <v>2008</v>
      </c>
      <c r="L2278" t="s">
        <v>17</v>
      </c>
      <c r="M2278" t="s">
        <v>27</v>
      </c>
      <c r="N2278">
        <v>25</v>
      </c>
      <c r="O2278">
        <v>5</v>
      </c>
      <c r="P2278">
        <v>9</v>
      </c>
      <c r="Q2278">
        <v>9.9326768249315798</v>
      </c>
      <c r="R2278">
        <v>6.5</v>
      </c>
      <c r="T2278" s="358" t="str">
        <f t="shared" si="117"/>
        <v>2006MaleNon-Maori22Other</v>
      </c>
      <c r="U2278" s="360">
        <v>2006</v>
      </c>
      <c r="V2278" s="360" t="s">
        <v>20</v>
      </c>
      <c r="W2278" s="360" t="s">
        <v>19</v>
      </c>
      <c r="X2278" s="360">
        <v>22</v>
      </c>
      <c r="Y2278" s="360" t="s">
        <v>45</v>
      </c>
      <c r="Z2278" s="360">
        <v>4</v>
      </c>
      <c r="AA2278" s="360">
        <v>66</v>
      </c>
      <c r="AB2278" s="360">
        <v>6.1</v>
      </c>
    </row>
    <row r="2279" spans="10:28" x14ac:dyDescent="0.2">
      <c r="J2279" s="358" t="str">
        <f t="shared" si="116"/>
        <v>2008AllSexMaori211</v>
      </c>
      <c r="K2279" s="359">
        <v>2008</v>
      </c>
      <c r="L2279" t="s">
        <v>17</v>
      </c>
      <c r="M2279" t="s">
        <v>18</v>
      </c>
      <c r="N2279">
        <v>21</v>
      </c>
      <c r="O2279">
        <v>1</v>
      </c>
      <c r="P2279">
        <v>0</v>
      </c>
      <c r="T2279" s="358" t="str">
        <f t="shared" si="117"/>
        <v>2006MaleNon-Maori23Other</v>
      </c>
      <c r="U2279" s="360">
        <v>2006</v>
      </c>
      <c r="V2279" s="360" t="s">
        <v>20</v>
      </c>
      <c r="W2279" s="360" t="s">
        <v>19</v>
      </c>
      <c r="X2279" s="360">
        <v>23</v>
      </c>
      <c r="Y2279" s="360" t="s">
        <v>45</v>
      </c>
      <c r="Z2279" s="360">
        <v>5</v>
      </c>
      <c r="AA2279" s="360">
        <v>111</v>
      </c>
      <c r="AB2279" s="360">
        <v>4.5</v>
      </c>
    </row>
    <row r="2280" spans="10:28" x14ac:dyDescent="0.2">
      <c r="J2280" s="358" t="str">
        <f t="shared" si="116"/>
        <v>2008AllSexMaori212</v>
      </c>
      <c r="K2280" s="359">
        <v>2008</v>
      </c>
      <c r="L2280" t="s">
        <v>17</v>
      </c>
      <c r="M2280" t="s">
        <v>18</v>
      </c>
      <c r="N2280">
        <v>21</v>
      </c>
      <c r="O2280">
        <v>2</v>
      </c>
      <c r="P2280">
        <v>0</v>
      </c>
      <c r="T2280" s="358" t="str">
        <f t="shared" si="117"/>
        <v>2006MaleNon-Maori24Other</v>
      </c>
      <c r="U2280" s="360">
        <v>2006</v>
      </c>
      <c r="V2280" s="360" t="s">
        <v>20</v>
      </c>
      <c r="W2280" s="360" t="s">
        <v>19</v>
      </c>
      <c r="X2280" s="360">
        <v>24</v>
      </c>
      <c r="Y2280" s="360" t="s">
        <v>45</v>
      </c>
      <c r="Z2280" s="360">
        <v>3</v>
      </c>
      <c r="AA2280" s="360">
        <v>100</v>
      </c>
      <c r="AB2280" s="360">
        <v>3</v>
      </c>
    </row>
    <row r="2281" spans="10:28" x14ac:dyDescent="0.2">
      <c r="J2281" s="358" t="str">
        <f t="shared" si="116"/>
        <v>2008AllSexMaori213</v>
      </c>
      <c r="K2281" s="359">
        <v>2008</v>
      </c>
      <c r="L2281" t="s">
        <v>17</v>
      </c>
      <c r="M2281" t="s">
        <v>18</v>
      </c>
      <c r="N2281">
        <v>21</v>
      </c>
      <c r="O2281">
        <v>3</v>
      </c>
      <c r="P2281">
        <v>1</v>
      </c>
      <c r="T2281" s="358" t="str">
        <f t="shared" si="117"/>
        <v>2006MaleNon-Maori25Other</v>
      </c>
      <c r="U2281" s="360">
        <v>2006</v>
      </c>
      <c r="V2281" s="360" t="s">
        <v>20</v>
      </c>
      <c r="W2281" s="360" t="s">
        <v>19</v>
      </c>
      <c r="X2281" s="360">
        <v>25</v>
      </c>
      <c r="Y2281" s="360" t="s">
        <v>45</v>
      </c>
      <c r="Z2281" s="360">
        <v>3</v>
      </c>
      <c r="AA2281" s="360">
        <v>33</v>
      </c>
      <c r="AB2281" s="360">
        <v>9.1</v>
      </c>
    </row>
    <row r="2282" spans="10:28" x14ac:dyDescent="0.2">
      <c r="J2282" s="358" t="str">
        <f t="shared" si="116"/>
        <v>2008AllSexMaori214</v>
      </c>
      <c r="K2282" s="359">
        <v>2008</v>
      </c>
      <c r="L2282" t="s">
        <v>17</v>
      </c>
      <c r="M2282" t="s">
        <v>18</v>
      </c>
      <c r="N2282">
        <v>21</v>
      </c>
      <c r="O2282">
        <v>4</v>
      </c>
      <c r="P2282">
        <v>0</v>
      </c>
      <c r="T2282" s="358" t="str">
        <f t="shared" si="117"/>
        <v>2006MaleNon-Maori22Poisoning by gases and vapours</v>
      </c>
      <c r="U2282" s="360">
        <v>2006</v>
      </c>
      <c r="V2282" s="360" t="s">
        <v>20</v>
      </c>
      <c r="W2282" s="360" t="s">
        <v>19</v>
      </c>
      <c r="X2282" s="360">
        <v>22</v>
      </c>
      <c r="Y2282" s="360" t="s">
        <v>46</v>
      </c>
      <c r="Z2282" s="360">
        <v>9</v>
      </c>
      <c r="AA2282" s="360">
        <v>66</v>
      </c>
      <c r="AB2282" s="360">
        <v>13.6</v>
      </c>
    </row>
    <row r="2283" spans="10:28" x14ac:dyDescent="0.2">
      <c r="J2283" s="358" t="str">
        <f t="shared" si="116"/>
        <v>2008AllSexMaori215</v>
      </c>
      <c r="K2283" s="359">
        <v>2008</v>
      </c>
      <c r="L2283" t="s">
        <v>17</v>
      </c>
      <c r="M2283" t="s">
        <v>18</v>
      </c>
      <c r="N2283">
        <v>21</v>
      </c>
      <c r="O2283">
        <v>5</v>
      </c>
      <c r="P2283">
        <v>3</v>
      </c>
      <c r="T2283" s="358" t="str">
        <f t="shared" si="117"/>
        <v>2006MaleNon-Maori23Poisoning by gases and vapours</v>
      </c>
      <c r="U2283" s="360">
        <v>2006</v>
      </c>
      <c r="V2283" s="360" t="s">
        <v>20</v>
      </c>
      <c r="W2283" s="360" t="s">
        <v>19</v>
      </c>
      <c r="X2283" s="360">
        <v>23</v>
      </c>
      <c r="Y2283" s="360" t="s">
        <v>46</v>
      </c>
      <c r="Z2283" s="360">
        <v>22</v>
      </c>
      <c r="AA2283" s="360">
        <v>111</v>
      </c>
      <c r="AB2283" s="360">
        <v>19.8</v>
      </c>
    </row>
    <row r="2284" spans="10:28" x14ac:dyDescent="0.2">
      <c r="J2284" s="358" t="str">
        <f t="shared" si="116"/>
        <v>2008AllSexMaori221</v>
      </c>
      <c r="K2284" s="359">
        <v>2008</v>
      </c>
      <c r="L2284" t="s">
        <v>17</v>
      </c>
      <c r="M2284" t="s">
        <v>18</v>
      </c>
      <c r="N2284">
        <v>22</v>
      </c>
      <c r="O2284">
        <v>1</v>
      </c>
      <c r="P2284">
        <v>2</v>
      </c>
      <c r="Q2284">
        <v>23.348729616111601</v>
      </c>
      <c r="R2284">
        <v>32.4</v>
      </c>
      <c r="T2284" s="358" t="str">
        <f t="shared" si="117"/>
        <v>2006MaleNon-Maori24Poisoning by gases and vapours</v>
      </c>
      <c r="U2284" s="360">
        <v>2006</v>
      </c>
      <c r="V2284" s="360" t="s">
        <v>20</v>
      </c>
      <c r="W2284" s="360" t="s">
        <v>19</v>
      </c>
      <c r="X2284" s="360">
        <v>24</v>
      </c>
      <c r="Y2284" s="360" t="s">
        <v>46</v>
      </c>
      <c r="Z2284" s="360">
        <v>24</v>
      </c>
      <c r="AA2284" s="360">
        <v>100</v>
      </c>
      <c r="AB2284" s="360">
        <v>24</v>
      </c>
    </row>
    <row r="2285" spans="10:28" x14ac:dyDescent="0.2">
      <c r="J2285" s="358" t="str">
        <f t="shared" si="116"/>
        <v>2008AllSexMaori222</v>
      </c>
      <c r="K2285" s="359">
        <v>2008</v>
      </c>
      <c r="L2285" t="s">
        <v>17</v>
      </c>
      <c r="M2285" t="s">
        <v>18</v>
      </c>
      <c r="N2285">
        <v>22</v>
      </c>
      <c r="O2285">
        <v>2</v>
      </c>
      <c r="P2285">
        <v>3</v>
      </c>
      <c r="Q2285">
        <v>23.571562193149799</v>
      </c>
      <c r="R2285">
        <v>26.7</v>
      </c>
      <c r="T2285" s="358" t="str">
        <f t="shared" si="117"/>
        <v>2006MaleNon-Maori25Poisoning by gases and vapours</v>
      </c>
      <c r="U2285" s="360">
        <v>2006</v>
      </c>
      <c r="V2285" s="360" t="s">
        <v>20</v>
      </c>
      <c r="W2285" s="360" t="s">
        <v>19</v>
      </c>
      <c r="X2285" s="360">
        <v>25</v>
      </c>
      <c r="Y2285" s="360" t="s">
        <v>46</v>
      </c>
      <c r="Z2285" s="360">
        <v>9</v>
      </c>
      <c r="AA2285" s="360">
        <v>33</v>
      </c>
      <c r="AB2285" s="360">
        <v>27.3</v>
      </c>
    </row>
    <row r="2286" spans="10:28" x14ac:dyDescent="0.2">
      <c r="J2286" s="358" t="str">
        <f t="shared" si="116"/>
        <v>2008AllSexMaori223</v>
      </c>
      <c r="K2286" s="359">
        <v>2008</v>
      </c>
      <c r="L2286" t="s">
        <v>17</v>
      </c>
      <c r="M2286" t="s">
        <v>18</v>
      </c>
      <c r="N2286">
        <v>22</v>
      </c>
      <c r="O2286">
        <v>3</v>
      </c>
      <c r="P2286">
        <v>3</v>
      </c>
      <c r="Q2286">
        <v>15.5341900149963</v>
      </c>
      <c r="R2286">
        <v>17.600000000000001</v>
      </c>
      <c r="T2286" s="358" t="str">
        <f t="shared" si="117"/>
        <v>2006MaleNon-Maori22Poisoning by solids and liquids</v>
      </c>
      <c r="U2286" s="360">
        <v>2006</v>
      </c>
      <c r="V2286" s="360" t="s">
        <v>20</v>
      </c>
      <c r="W2286" s="360" t="s">
        <v>19</v>
      </c>
      <c r="X2286" s="360">
        <v>22</v>
      </c>
      <c r="Y2286" s="360" t="s">
        <v>47</v>
      </c>
      <c r="Z2286" s="360">
        <v>1</v>
      </c>
      <c r="AA2286" s="360">
        <v>66</v>
      </c>
      <c r="AB2286" s="360">
        <v>1.5</v>
      </c>
    </row>
    <row r="2287" spans="10:28" x14ac:dyDescent="0.2">
      <c r="J2287" s="358" t="str">
        <f t="shared" si="116"/>
        <v>2008AllSexMaori224</v>
      </c>
      <c r="K2287" s="359">
        <v>2008</v>
      </c>
      <c r="L2287" t="s">
        <v>17</v>
      </c>
      <c r="M2287" t="s">
        <v>18</v>
      </c>
      <c r="N2287">
        <v>22</v>
      </c>
      <c r="O2287">
        <v>4</v>
      </c>
      <c r="P2287">
        <v>9</v>
      </c>
      <c r="Q2287">
        <v>31.4204484166914</v>
      </c>
      <c r="R2287">
        <v>20.5</v>
      </c>
      <c r="T2287" s="358" t="str">
        <f t="shared" si="117"/>
        <v>2006MaleNon-Maori23Poisoning by solids and liquids</v>
      </c>
      <c r="U2287" s="360">
        <v>2006</v>
      </c>
      <c r="V2287" s="360" t="s">
        <v>20</v>
      </c>
      <c r="W2287" s="360" t="s">
        <v>19</v>
      </c>
      <c r="X2287" s="360">
        <v>23</v>
      </c>
      <c r="Y2287" s="360" t="s">
        <v>47</v>
      </c>
      <c r="Z2287" s="360">
        <v>8</v>
      </c>
      <c r="AA2287" s="360">
        <v>111</v>
      </c>
      <c r="AB2287" s="360">
        <v>7.2</v>
      </c>
    </row>
    <row r="2288" spans="10:28" x14ac:dyDescent="0.2">
      <c r="J2288" s="358" t="str">
        <f t="shared" si="116"/>
        <v>2008AllSexMaori225</v>
      </c>
      <c r="K2288" s="359">
        <v>2008</v>
      </c>
      <c r="L2288" t="s">
        <v>17</v>
      </c>
      <c r="M2288" t="s">
        <v>18</v>
      </c>
      <c r="N2288">
        <v>22</v>
      </c>
      <c r="O2288">
        <v>5</v>
      </c>
      <c r="P2288">
        <v>17</v>
      </c>
      <c r="Q2288">
        <v>33.696050585041</v>
      </c>
      <c r="R2288">
        <v>16</v>
      </c>
      <c r="T2288" s="358" t="str">
        <f t="shared" si="117"/>
        <v>2006MaleNon-Maori24Poisoning by solids and liquids</v>
      </c>
      <c r="U2288" s="360">
        <v>2006</v>
      </c>
      <c r="V2288" s="360" t="s">
        <v>20</v>
      </c>
      <c r="W2288" s="360" t="s">
        <v>19</v>
      </c>
      <c r="X2288" s="360">
        <v>24</v>
      </c>
      <c r="Y2288" s="360" t="s">
        <v>47</v>
      </c>
      <c r="Z2288" s="360">
        <v>11</v>
      </c>
      <c r="AA2288" s="360">
        <v>100</v>
      </c>
      <c r="AB2288" s="360">
        <v>11</v>
      </c>
    </row>
    <row r="2289" spans="10:28" x14ac:dyDescent="0.2">
      <c r="J2289" s="358" t="str">
        <f t="shared" si="116"/>
        <v>2008AllSexMaori231</v>
      </c>
      <c r="K2289" s="359">
        <v>2008</v>
      </c>
      <c r="L2289" t="s">
        <v>17</v>
      </c>
      <c r="M2289" t="s">
        <v>18</v>
      </c>
      <c r="N2289">
        <v>23</v>
      </c>
      <c r="O2289">
        <v>1</v>
      </c>
      <c r="P2289">
        <v>1</v>
      </c>
      <c r="Q2289">
        <v>7.2409269912179699</v>
      </c>
      <c r="R2289">
        <v>14.2</v>
      </c>
      <c r="T2289" s="358" t="str">
        <f t="shared" si="117"/>
        <v>2006MaleNon-Maori25Poisoning by solids and liquids</v>
      </c>
      <c r="U2289" s="360">
        <v>2006</v>
      </c>
      <c r="V2289" s="360" t="s">
        <v>20</v>
      </c>
      <c r="W2289" s="360" t="s">
        <v>19</v>
      </c>
      <c r="X2289" s="360">
        <v>25</v>
      </c>
      <c r="Y2289" s="360" t="s">
        <v>47</v>
      </c>
      <c r="Z2289" s="360">
        <v>1</v>
      </c>
      <c r="AA2289" s="360">
        <v>33</v>
      </c>
      <c r="AB2289" s="360">
        <v>3</v>
      </c>
    </row>
    <row r="2290" spans="10:28" x14ac:dyDescent="0.2">
      <c r="J2290" s="358" t="str">
        <f t="shared" si="116"/>
        <v>2008AllSexMaori232</v>
      </c>
      <c r="K2290" s="359">
        <v>2008</v>
      </c>
      <c r="L2290" t="s">
        <v>17</v>
      </c>
      <c r="M2290" t="s">
        <v>18</v>
      </c>
      <c r="N2290">
        <v>23</v>
      </c>
      <c r="O2290">
        <v>2</v>
      </c>
      <c r="P2290">
        <v>4</v>
      </c>
      <c r="Q2290">
        <v>19.961440717327399</v>
      </c>
      <c r="R2290">
        <v>19.600000000000001</v>
      </c>
      <c r="T2290" s="358" t="str">
        <f t="shared" si="117"/>
        <v>2006MaleNon-Maori22Sharp object</v>
      </c>
      <c r="U2290" s="360">
        <v>2006</v>
      </c>
      <c r="V2290" s="360" t="s">
        <v>20</v>
      </c>
      <c r="W2290" s="360" t="s">
        <v>19</v>
      </c>
      <c r="X2290" s="360">
        <v>22</v>
      </c>
      <c r="Y2290" s="360" t="s">
        <v>48</v>
      </c>
      <c r="Z2290" s="360">
        <v>1</v>
      </c>
      <c r="AA2290" s="360">
        <v>66</v>
      </c>
      <c r="AB2290" s="360">
        <v>1.5</v>
      </c>
    </row>
    <row r="2291" spans="10:28" x14ac:dyDescent="0.2">
      <c r="J2291" s="358" t="str">
        <f t="shared" si="116"/>
        <v>2008AllSexMaori233</v>
      </c>
      <c r="K2291" s="359">
        <v>2008</v>
      </c>
      <c r="L2291" t="s">
        <v>17</v>
      </c>
      <c r="M2291" t="s">
        <v>18</v>
      </c>
      <c r="N2291">
        <v>23</v>
      </c>
      <c r="O2291">
        <v>3</v>
      </c>
      <c r="P2291">
        <v>7</v>
      </c>
      <c r="Q2291">
        <v>25.009795016274101</v>
      </c>
      <c r="R2291">
        <v>18.5</v>
      </c>
      <c r="T2291" s="358" t="str">
        <f t="shared" si="117"/>
        <v>2006MaleNon-Maori23Sharp object</v>
      </c>
      <c r="U2291" s="360">
        <v>2006</v>
      </c>
      <c r="V2291" s="360" t="s">
        <v>20</v>
      </c>
      <c r="W2291" s="360" t="s">
        <v>19</v>
      </c>
      <c r="X2291" s="360">
        <v>23</v>
      </c>
      <c r="Y2291" s="360" t="s">
        <v>48</v>
      </c>
      <c r="Z2291" s="360">
        <v>4</v>
      </c>
      <c r="AA2291" s="360">
        <v>111</v>
      </c>
      <c r="AB2291" s="360">
        <v>3.6</v>
      </c>
    </row>
    <row r="2292" spans="10:28" x14ac:dyDescent="0.2">
      <c r="J2292" s="358" t="str">
        <f t="shared" si="116"/>
        <v>2008AllSexMaori234</v>
      </c>
      <c r="K2292" s="359">
        <v>2008</v>
      </c>
      <c r="L2292" t="s">
        <v>17</v>
      </c>
      <c r="M2292" t="s">
        <v>18</v>
      </c>
      <c r="N2292">
        <v>23</v>
      </c>
      <c r="O2292">
        <v>4</v>
      </c>
      <c r="P2292">
        <v>8</v>
      </c>
      <c r="Q2292">
        <v>19.9739016193111</v>
      </c>
      <c r="R2292">
        <v>13.8</v>
      </c>
      <c r="T2292" s="358" t="str">
        <f t="shared" si="117"/>
        <v>2006MaleNon-Maori24Sharp object</v>
      </c>
      <c r="U2292" s="360">
        <v>2006</v>
      </c>
      <c r="V2292" s="360" t="s">
        <v>20</v>
      </c>
      <c r="W2292" s="360" t="s">
        <v>19</v>
      </c>
      <c r="X2292" s="360">
        <v>24</v>
      </c>
      <c r="Y2292" s="360" t="s">
        <v>48</v>
      </c>
      <c r="Z2292" s="360">
        <v>2</v>
      </c>
      <c r="AA2292" s="360">
        <v>100</v>
      </c>
      <c r="AB2292" s="360">
        <v>2</v>
      </c>
    </row>
    <row r="2293" spans="10:28" x14ac:dyDescent="0.2">
      <c r="J2293" s="358" t="str">
        <f t="shared" si="116"/>
        <v>2008AllSexMaori235</v>
      </c>
      <c r="K2293" s="359">
        <v>2008</v>
      </c>
      <c r="L2293" t="s">
        <v>17</v>
      </c>
      <c r="M2293" t="s">
        <v>18</v>
      </c>
      <c r="N2293">
        <v>23</v>
      </c>
      <c r="O2293">
        <v>5</v>
      </c>
      <c r="P2293">
        <v>17</v>
      </c>
      <c r="Q2293">
        <v>25.765508043113599</v>
      </c>
      <c r="R2293">
        <v>12.2</v>
      </c>
      <c r="T2293" s="358" t="str">
        <f t="shared" si="117"/>
        <v>2006MaleNon-Maori25Sharp object</v>
      </c>
      <c r="U2293" s="360">
        <v>2006</v>
      </c>
      <c r="V2293" s="360" t="s">
        <v>20</v>
      </c>
      <c r="W2293" s="360" t="s">
        <v>19</v>
      </c>
      <c r="X2293" s="360">
        <v>25</v>
      </c>
      <c r="Y2293" s="360" t="s">
        <v>48</v>
      </c>
      <c r="Z2293" s="360">
        <v>2</v>
      </c>
      <c r="AA2293" s="360">
        <v>33</v>
      </c>
      <c r="AB2293" s="360">
        <v>6.1</v>
      </c>
    </row>
    <row r="2294" spans="10:28" x14ac:dyDescent="0.2">
      <c r="J2294" s="358" t="str">
        <f t="shared" si="116"/>
        <v>2008AllSexMaori241</v>
      </c>
      <c r="K2294" s="359">
        <v>2008</v>
      </c>
      <c r="L2294" t="s">
        <v>17</v>
      </c>
      <c r="M2294" t="s">
        <v>18</v>
      </c>
      <c r="N2294">
        <v>24</v>
      </c>
      <c r="O2294">
        <v>1</v>
      </c>
      <c r="P2294">
        <v>0</v>
      </c>
      <c r="Q2294">
        <v>0</v>
      </c>
      <c r="T2294" s="358" t="str">
        <f t="shared" si="117"/>
        <v>2006MaleNon-Maori22Submersion (drowning)</v>
      </c>
      <c r="U2294" s="360">
        <v>2006</v>
      </c>
      <c r="V2294" s="360" t="s">
        <v>20</v>
      </c>
      <c r="W2294" s="360" t="s">
        <v>19</v>
      </c>
      <c r="X2294" s="360">
        <v>22</v>
      </c>
      <c r="Y2294" s="360" t="s">
        <v>49</v>
      </c>
      <c r="Z2294" s="360">
        <v>1</v>
      </c>
      <c r="AA2294" s="360">
        <v>66</v>
      </c>
      <c r="AB2294" s="360">
        <v>1.5</v>
      </c>
    </row>
    <row r="2295" spans="10:28" x14ac:dyDescent="0.2">
      <c r="J2295" s="358" t="str">
        <f t="shared" si="116"/>
        <v>2008AllSexMaori242</v>
      </c>
      <c r="K2295" s="359">
        <v>2008</v>
      </c>
      <c r="L2295" t="s">
        <v>17</v>
      </c>
      <c r="M2295" t="s">
        <v>18</v>
      </c>
      <c r="N2295">
        <v>24</v>
      </c>
      <c r="O2295">
        <v>2</v>
      </c>
      <c r="P2295">
        <v>0</v>
      </c>
      <c r="Q2295">
        <v>0</v>
      </c>
      <c r="T2295" s="358" t="str">
        <f t="shared" si="117"/>
        <v>2006MaleNon-Maori23Submersion (drowning)</v>
      </c>
      <c r="U2295" s="360">
        <v>2006</v>
      </c>
      <c r="V2295" s="360" t="s">
        <v>20</v>
      </c>
      <c r="W2295" s="360" t="s">
        <v>19</v>
      </c>
      <c r="X2295" s="360">
        <v>23</v>
      </c>
      <c r="Y2295" s="360" t="s">
        <v>49</v>
      </c>
      <c r="Z2295" s="360">
        <v>2</v>
      </c>
      <c r="AA2295" s="360">
        <v>111</v>
      </c>
      <c r="AB2295" s="360">
        <v>1.8</v>
      </c>
    </row>
    <row r="2296" spans="10:28" x14ac:dyDescent="0.2">
      <c r="J2296" s="358" t="str">
        <f t="shared" si="116"/>
        <v>2008AllSexMaori243</v>
      </c>
      <c r="K2296" s="359">
        <v>2008</v>
      </c>
      <c r="L2296" t="s">
        <v>17</v>
      </c>
      <c r="M2296" t="s">
        <v>18</v>
      </c>
      <c r="N2296">
        <v>24</v>
      </c>
      <c r="O2296">
        <v>3</v>
      </c>
      <c r="P2296">
        <v>4</v>
      </c>
      <c r="Q2296">
        <v>23.4894514275882</v>
      </c>
      <c r="R2296">
        <v>23</v>
      </c>
      <c r="T2296" s="358" t="str">
        <f t="shared" si="117"/>
        <v>2006MaleNon-Maori24Submersion (drowning)</v>
      </c>
      <c r="U2296" s="360">
        <v>2006</v>
      </c>
      <c r="V2296" s="360" t="s">
        <v>20</v>
      </c>
      <c r="W2296" s="360" t="s">
        <v>19</v>
      </c>
      <c r="X2296" s="360">
        <v>24</v>
      </c>
      <c r="Y2296" s="360" t="s">
        <v>49</v>
      </c>
      <c r="Z2296" s="360">
        <v>2</v>
      </c>
      <c r="AA2296" s="360">
        <v>100</v>
      </c>
      <c r="AB2296" s="360">
        <v>2</v>
      </c>
    </row>
    <row r="2297" spans="10:28" x14ac:dyDescent="0.2">
      <c r="J2297" s="358" t="str">
        <f t="shared" si="116"/>
        <v>2008AllSexMaori244</v>
      </c>
      <c r="K2297" s="359">
        <v>2008</v>
      </c>
      <c r="L2297" t="s">
        <v>17</v>
      </c>
      <c r="M2297" t="s">
        <v>18</v>
      </c>
      <c r="N2297">
        <v>24</v>
      </c>
      <c r="O2297">
        <v>4</v>
      </c>
      <c r="P2297">
        <v>3</v>
      </c>
      <c r="Q2297">
        <v>12.133307001357799</v>
      </c>
      <c r="R2297">
        <v>13.7</v>
      </c>
      <c r="T2297" s="358" t="str">
        <f t="shared" si="117"/>
        <v>2006MaleNon-Maori25Submersion (drowning)</v>
      </c>
      <c r="U2297" s="360">
        <v>2006</v>
      </c>
      <c r="V2297" s="360" t="s">
        <v>20</v>
      </c>
      <c r="W2297" s="360" t="s">
        <v>19</v>
      </c>
      <c r="X2297" s="360">
        <v>25</v>
      </c>
      <c r="Y2297" s="360" t="s">
        <v>49</v>
      </c>
      <c r="Z2297" s="360">
        <v>1</v>
      </c>
      <c r="AA2297" s="360">
        <v>33</v>
      </c>
      <c r="AB2297" s="360">
        <v>3</v>
      </c>
    </row>
    <row r="2298" spans="10:28" x14ac:dyDescent="0.2">
      <c r="J2298" s="358" t="str">
        <f t="shared" si="116"/>
        <v>2008AllSexMaori245</v>
      </c>
      <c r="K2298" s="359">
        <v>2008</v>
      </c>
      <c r="L2298" t="s">
        <v>17</v>
      </c>
      <c r="M2298" t="s">
        <v>18</v>
      </c>
      <c r="N2298">
        <v>24</v>
      </c>
      <c r="O2298">
        <v>5</v>
      </c>
      <c r="P2298">
        <v>3</v>
      </c>
      <c r="Q2298">
        <v>6.84577879066281</v>
      </c>
      <c r="R2298">
        <v>7.7</v>
      </c>
      <c r="T2298" s="358" t="str">
        <f t="shared" si="117"/>
        <v>2007AllSexAllEth22Firearms and explosives</v>
      </c>
      <c r="U2298" s="360">
        <v>2007</v>
      </c>
      <c r="V2298" s="360" t="s">
        <v>17</v>
      </c>
      <c r="W2298" s="360" t="s">
        <v>27</v>
      </c>
      <c r="X2298" s="360">
        <v>22</v>
      </c>
      <c r="Y2298" s="360" t="s">
        <v>42</v>
      </c>
      <c r="Z2298" s="360">
        <v>4</v>
      </c>
      <c r="AA2298" s="360">
        <v>94</v>
      </c>
      <c r="AB2298" s="360">
        <v>4.3</v>
      </c>
    </row>
    <row r="2299" spans="10:28" x14ac:dyDescent="0.2">
      <c r="J2299" s="358" t="str">
        <f t="shared" si="116"/>
        <v>2008AllSexMaori251</v>
      </c>
      <c r="K2299" s="359">
        <v>2008</v>
      </c>
      <c r="L2299" t="s">
        <v>17</v>
      </c>
      <c r="M2299" t="s">
        <v>18</v>
      </c>
      <c r="N2299">
        <v>25</v>
      </c>
      <c r="O2299">
        <v>1</v>
      </c>
      <c r="P2299">
        <v>0</v>
      </c>
      <c r="Q2299">
        <v>0</v>
      </c>
      <c r="T2299" s="358" t="str">
        <f t="shared" si="117"/>
        <v>2007AllSexAllEth23Firearms and explosives</v>
      </c>
      <c r="U2299" s="360">
        <v>2007</v>
      </c>
      <c r="V2299" s="360" t="s">
        <v>17</v>
      </c>
      <c r="W2299" s="360" t="s">
        <v>27</v>
      </c>
      <c r="X2299" s="360">
        <v>23</v>
      </c>
      <c r="Y2299" s="360" t="s">
        <v>42</v>
      </c>
      <c r="Z2299" s="360">
        <v>20</v>
      </c>
      <c r="AA2299" s="360">
        <v>213</v>
      </c>
      <c r="AB2299" s="360">
        <v>9.4</v>
      </c>
    </row>
    <row r="2300" spans="10:28" x14ac:dyDescent="0.2">
      <c r="J2300" s="358" t="str">
        <f t="shared" si="116"/>
        <v>2008AllSexMaori252</v>
      </c>
      <c r="K2300" s="359">
        <v>2008</v>
      </c>
      <c r="L2300" t="s">
        <v>17</v>
      </c>
      <c r="M2300" t="s">
        <v>18</v>
      </c>
      <c r="N2300">
        <v>25</v>
      </c>
      <c r="O2300">
        <v>2</v>
      </c>
      <c r="P2300">
        <v>0</v>
      </c>
      <c r="Q2300">
        <v>0</v>
      </c>
      <c r="T2300" s="358" t="str">
        <f t="shared" si="117"/>
        <v>2007AllSexAllEth24Firearms and explosives</v>
      </c>
      <c r="U2300" s="360">
        <v>2007</v>
      </c>
      <c r="V2300" s="360" t="s">
        <v>17</v>
      </c>
      <c r="W2300" s="360" t="s">
        <v>27</v>
      </c>
      <c r="X2300" s="360">
        <v>24</v>
      </c>
      <c r="Y2300" s="360" t="s">
        <v>42</v>
      </c>
      <c r="Z2300" s="360">
        <v>10</v>
      </c>
      <c r="AA2300" s="360">
        <v>142</v>
      </c>
      <c r="AB2300" s="360">
        <v>7</v>
      </c>
    </row>
    <row r="2301" spans="10:28" x14ac:dyDescent="0.2">
      <c r="J2301" s="358" t="str">
        <f t="shared" si="116"/>
        <v>2008AllSexMaori253</v>
      </c>
      <c r="K2301" s="359">
        <v>2008</v>
      </c>
      <c r="L2301" t="s">
        <v>17</v>
      </c>
      <c r="M2301" t="s">
        <v>18</v>
      </c>
      <c r="N2301">
        <v>25</v>
      </c>
      <c r="O2301">
        <v>3</v>
      </c>
      <c r="P2301">
        <v>0</v>
      </c>
      <c r="Q2301">
        <v>0</v>
      </c>
      <c r="T2301" s="358" t="str">
        <f t="shared" si="117"/>
        <v>2007AllSexAllEth25Firearms and explosives</v>
      </c>
      <c r="U2301" s="360">
        <v>2007</v>
      </c>
      <c r="V2301" s="360" t="s">
        <v>17</v>
      </c>
      <c r="W2301" s="360" t="s">
        <v>27</v>
      </c>
      <c r="X2301" s="360">
        <v>25</v>
      </c>
      <c r="Y2301" s="360" t="s">
        <v>42</v>
      </c>
      <c r="Z2301" s="360">
        <v>14</v>
      </c>
      <c r="AA2301" s="360">
        <v>50</v>
      </c>
      <c r="AB2301" s="360">
        <v>28</v>
      </c>
    </row>
    <row r="2302" spans="10:28" x14ac:dyDescent="0.2">
      <c r="J2302" s="358" t="str">
        <f t="shared" si="116"/>
        <v>2008AllSexMaori254</v>
      </c>
      <c r="K2302" s="359">
        <v>2008</v>
      </c>
      <c r="L2302" t="s">
        <v>17</v>
      </c>
      <c r="M2302" t="s">
        <v>18</v>
      </c>
      <c r="N2302">
        <v>25</v>
      </c>
      <c r="O2302">
        <v>4</v>
      </c>
      <c r="P2302">
        <v>0</v>
      </c>
      <c r="Q2302">
        <v>0</v>
      </c>
      <c r="T2302" s="358" t="str">
        <f t="shared" si="117"/>
        <v>2007AllSexAllEth21Hanging, strangulation and suffocation</v>
      </c>
      <c r="U2302" s="360">
        <v>2007</v>
      </c>
      <c r="V2302" s="360" t="s">
        <v>17</v>
      </c>
      <c r="W2302" s="360" t="s">
        <v>27</v>
      </c>
      <c r="X2302" s="360">
        <v>21</v>
      </c>
      <c r="Y2302" s="360" t="s">
        <v>43</v>
      </c>
      <c r="Z2302" s="360">
        <v>2</v>
      </c>
      <c r="AA2302" s="360">
        <v>2</v>
      </c>
      <c r="AB2302" s="360">
        <v>100</v>
      </c>
    </row>
    <row r="2303" spans="10:28" x14ac:dyDescent="0.2">
      <c r="J2303" s="358" t="str">
        <f t="shared" si="116"/>
        <v>2008AllSexMaori255</v>
      </c>
      <c r="K2303" s="359">
        <v>2008</v>
      </c>
      <c r="L2303" t="s">
        <v>17</v>
      </c>
      <c r="M2303" t="s">
        <v>18</v>
      </c>
      <c r="N2303">
        <v>25</v>
      </c>
      <c r="O2303">
        <v>5</v>
      </c>
      <c r="P2303">
        <v>1</v>
      </c>
      <c r="Q2303">
        <v>8.0328528499679095</v>
      </c>
      <c r="R2303">
        <v>15.7</v>
      </c>
      <c r="T2303" s="358" t="str">
        <f t="shared" si="117"/>
        <v>2007AllSexAllEth22Hanging, strangulation and suffocation</v>
      </c>
      <c r="U2303" s="360">
        <v>2007</v>
      </c>
      <c r="V2303" s="360" t="s">
        <v>17</v>
      </c>
      <c r="W2303" s="360" t="s">
        <v>27</v>
      </c>
      <c r="X2303" s="360">
        <v>22</v>
      </c>
      <c r="Y2303" s="360" t="s">
        <v>43</v>
      </c>
      <c r="Z2303" s="360">
        <v>76</v>
      </c>
      <c r="AA2303" s="360">
        <v>94</v>
      </c>
      <c r="AB2303" s="360">
        <v>80.900000000000006</v>
      </c>
    </row>
    <row r="2304" spans="10:28" x14ac:dyDescent="0.2">
      <c r="J2304" s="358" t="str">
        <f t="shared" si="116"/>
        <v>2008AllSexNon-Maori211</v>
      </c>
      <c r="K2304" s="359">
        <v>2008</v>
      </c>
      <c r="L2304" t="s">
        <v>17</v>
      </c>
      <c r="M2304" t="s">
        <v>19</v>
      </c>
      <c r="N2304">
        <v>21</v>
      </c>
      <c r="O2304">
        <v>1</v>
      </c>
      <c r="P2304">
        <v>0</v>
      </c>
      <c r="T2304" s="358" t="str">
        <f t="shared" si="117"/>
        <v>2007AllSexAllEth23Hanging, strangulation and suffocation</v>
      </c>
      <c r="U2304" s="360">
        <v>2007</v>
      </c>
      <c r="V2304" s="360" t="s">
        <v>17</v>
      </c>
      <c r="W2304" s="360" t="s">
        <v>27</v>
      </c>
      <c r="X2304" s="360">
        <v>23</v>
      </c>
      <c r="Y2304" s="360" t="s">
        <v>43</v>
      </c>
      <c r="Z2304" s="360">
        <v>125</v>
      </c>
      <c r="AA2304" s="360">
        <v>213</v>
      </c>
      <c r="AB2304" s="360">
        <v>58.7</v>
      </c>
    </row>
    <row r="2305" spans="10:28" x14ac:dyDescent="0.2">
      <c r="J2305" s="358" t="str">
        <f t="shared" si="116"/>
        <v>2008AllSexNon-Maori212</v>
      </c>
      <c r="K2305" s="359">
        <v>2008</v>
      </c>
      <c r="L2305" t="s">
        <v>17</v>
      </c>
      <c r="M2305" t="s">
        <v>19</v>
      </c>
      <c r="N2305">
        <v>21</v>
      </c>
      <c r="O2305">
        <v>2</v>
      </c>
      <c r="P2305">
        <v>0</v>
      </c>
      <c r="T2305" s="358" t="str">
        <f t="shared" si="117"/>
        <v>2007AllSexAllEth24Hanging, strangulation and suffocation</v>
      </c>
      <c r="U2305" s="360">
        <v>2007</v>
      </c>
      <c r="V2305" s="360" t="s">
        <v>17</v>
      </c>
      <c r="W2305" s="360" t="s">
        <v>27</v>
      </c>
      <c r="X2305" s="360">
        <v>24</v>
      </c>
      <c r="Y2305" s="360" t="s">
        <v>43</v>
      </c>
      <c r="Z2305" s="360">
        <v>63</v>
      </c>
      <c r="AA2305" s="360">
        <v>142</v>
      </c>
      <c r="AB2305" s="360">
        <v>44.4</v>
      </c>
    </row>
    <row r="2306" spans="10:28" x14ac:dyDescent="0.2">
      <c r="J2306" s="358" t="str">
        <f t="shared" si="116"/>
        <v>2008AllSexNon-Maori213</v>
      </c>
      <c r="K2306" s="359">
        <v>2008</v>
      </c>
      <c r="L2306" t="s">
        <v>17</v>
      </c>
      <c r="M2306" t="s">
        <v>19</v>
      </c>
      <c r="N2306">
        <v>21</v>
      </c>
      <c r="O2306">
        <v>3</v>
      </c>
      <c r="P2306">
        <v>1</v>
      </c>
      <c r="T2306" s="358" t="str">
        <f t="shared" si="117"/>
        <v>2007AllSexAllEth25Hanging, strangulation and suffocation</v>
      </c>
      <c r="U2306" s="360">
        <v>2007</v>
      </c>
      <c r="V2306" s="360" t="s">
        <v>17</v>
      </c>
      <c r="W2306" s="360" t="s">
        <v>27</v>
      </c>
      <c r="X2306" s="360">
        <v>25</v>
      </c>
      <c r="Y2306" s="360" t="s">
        <v>43</v>
      </c>
      <c r="Z2306" s="360">
        <v>18</v>
      </c>
      <c r="AA2306" s="360">
        <v>50</v>
      </c>
      <c r="AB2306" s="360">
        <v>36</v>
      </c>
    </row>
    <row r="2307" spans="10:28" x14ac:dyDescent="0.2">
      <c r="J2307" s="358" t="str">
        <f t="shared" si="116"/>
        <v>2008AllSexNon-Maori214</v>
      </c>
      <c r="K2307" s="359">
        <v>2008</v>
      </c>
      <c r="L2307" t="s">
        <v>17</v>
      </c>
      <c r="M2307" t="s">
        <v>19</v>
      </c>
      <c r="N2307">
        <v>21</v>
      </c>
      <c r="O2307">
        <v>4</v>
      </c>
      <c r="P2307">
        <v>0</v>
      </c>
      <c r="T2307" s="358" t="str">
        <f t="shared" si="117"/>
        <v>2007AllSexAllEth22Jumping from a high place</v>
      </c>
      <c r="U2307" s="360">
        <v>2007</v>
      </c>
      <c r="V2307" s="360" t="s">
        <v>17</v>
      </c>
      <c r="W2307" s="360" t="s">
        <v>27</v>
      </c>
      <c r="X2307" s="360">
        <v>22</v>
      </c>
      <c r="Y2307" s="360" t="s">
        <v>44</v>
      </c>
      <c r="Z2307" s="360">
        <v>1</v>
      </c>
      <c r="AA2307" s="360">
        <v>94</v>
      </c>
      <c r="AB2307" s="360">
        <v>1.1000000000000001</v>
      </c>
    </row>
    <row r="2308" spans="10:28" x14ac:dyDescent="0.2">
      <c r="J2308" s="358" t="str">
        <f t="shared" ref="J2308:J2371" si="118">K2308&amp;L2308&amp;M2308&amp;N2308&amp;O2308</f>
        <v>2008AllSexNon-Maori215</v>
      </c>
      <c r="K2308" s="359">
        <v>2008</v>
      </c>
      <c r="L2308" t="s">
        <v>17</v>
      </c>
      <c r="M2308" t="s">
        <v>19</v>
      </c>
      <c r="N2308">
        <v>21</v>
      </c>
      <c r="O2308">
        <v>5</v>
      </c>
      <c r="P2308">
        <v>0</v>
      </c>
      <c r="T2308" s="358" t="str">
        <f t="shared" si="117"/>
        <v>2007AllSexAllEth23Jumping from a high place</v>
      </c>
      <c r="U2308" s="360">
        <v>2007</v>
      </c>
      <c r="V2308" s="360" t="s">
        <v>17</v>
      </c>
      <c r="W2308" s="360" t="s">
        <v>27</v>
      </c>
      <c r="X2308" s="360">
        <v>23</v>
      </c>
      <c r="Y2308" s="360" t="s">
        <v>44</v>
      </c>
      <c r="Z2308" s="360">
        <v>8</v>
      </c>
      <c r="AA2308" s="360">
        <v>213</v>
      </c>
      <c r="AB2308" s="360">
        <v>3.8</v>
      </c>
    </row>
    <row r="2309" spans="10:28" x14ac:dyDescent="0.2">
      <c r="J2309" s="358" t="str">
        <f t="shared" si="118"/>
        <v>2008AllSexNon-Maori221</v>
      </c>
      <c r="K2309" s="359">
        <v>2008</v>
      </c>
      <c r="L2309" t="s">
        <v>17</v>
      </c>
      <c r="M2309" t="s">
        <v>19</v>
      </c>
      <c r="N2309">
        <v>22</v>
      </c>
      <c r="O2309">
        <v>1</v>
      </c>
      <c r="P2309">
        <v>16</v>
      </c>
      <c r="Q2309">
        <v>17.152454461719501</v>
      </c>
      <c r="R2309">
        <v>8.4</v>
      </c>
      <c r="T2309" s="358" t="str">
        <f t="shared" ref="T2309:T2372" si="119">U2309&amp;V2309&amp;W2309&amp;X2309&amp;Y2309</f>
        <v>2007AllSexAllEth24Jumping from a high place</v>
      </c>
      <c r="U2309" s="360">
        <v>2007</v>
      </c>
      <c r="V2309" s="360" t="s">
        <v>17</v>
      </c>
      <c r="W2309" s="360" t="s">
        <v>27</v>
      </c>
      <c r="X2309" s="360">
        <v>24</v>
      </c>
      <c r="Y2309" s="360" t="s">
        <v>44</v>
      </c>
      <c r="Z2309" s="360">
        <v>4</v>
      </c>
      <c r="AA2309" s="360">
        <v>142</v>
      </c>
      <c r="AB2309" s="360">
        <v>2.8</v>
      </c>
    </row>
    <row r="2310" spans="10:28" x14ac:dyDescent="0.2">
      <c r="J2310" s="358" t="str">
        <f t="shared" si="118"/>
        <v>2008AllSexNon-Maori222</v>
      </c>
      <c r="K2310" s="359">
        <v>2008</v>
      </c>
      <c r="L2310" t="s">
        <v>17</v>
      </c>
      <c r="M2310" t="s">
        <v>19</v>
      </c>
      <c r="N2310">
        <v>22</v>
      </c>
      <c r="O2310">
        <v>2</v>
      </c>
      <c r="P2310">
        <v>15</v>
      </c>
      <c r="Q2310">
        <v>15.6697758422294</v>
      </c>
      <c r="R2310">
        <v>7.9</v>
      </c>
      <c r="T2310" s="358" t="str">
        <f t="shared" si="119"/>
        <v>2007AllSexAllEth22Other</v>
      </c>
      <c r="U2310" s="360">
        <v>2007</v>
      </c>
      <c r="V2310" s="360" t="s">
        <v>17</v>
      </c>
      <c r="W2310" s="360" t="s">
        <v>27</v>
      </c>
      <c r="X2310" s="360">
        <v>22</v>
      </c>
      <c r="Y2310" s="360" t="s">
        <v>45</v>
      </c>
      <c r="Z2310" s="360">
        <v>4</v>
      </c>
      <c r="AA2310" s="360">
        <v>94</v>
      </c>
      <c r="AB2310" s="360">
        <v>4.3</v>
      </c>
    </row>
    <row r="2311" spans="10:28" x14ac:dyDescent="0.2">
      <c r="J2311" s="358" t="str">
        <f t="shared" si="118"/>
        <v>2008AllSexNon-Maori223</v>
      </c>
      <c r="K2311" s="359">
        <v>2008</v>
      </c>
      <c r="L2311" t="s">
        <v>17</v>
      </c>
      <c r="M2311" t="s">
        <v>19</v>
      </c>
      <c r="N2311">
        <v>22</v>
      </c>
      <c r="O2311">
        <v>3</v>
      </c>
      <c r="P2311">
        <v>17</v>
      </c>
      <c r="Q2311">
        <v>17.357622772347099</v>
      </c>
      <c r="R2311">
        <v>8.3000000000000007</v>
      </c>
      <c r="T2311" s="358" t="str">
        <f t="shared" si="119"/>
        <v>2007AllSexAllEth23Other</v>
      </c>
      <c r="U2311" s="360">
        <v>2007</v>
      </c>
      <c r="V2311" s="360" t="s">
        <v>17</v>
      </c>
      <c r="W2311" s="360" t="s">
        <v>27</v>
      </c>
      <c r="X2311" s="360">
        <v>23</v>
      </c>
      <c r="Y2311" s="360" t="s">
        <v>45</v>
      </c>
      <c r="Z2311" s="360">
        <v>4</v>
      </c>
      <c r="AA2311" s="360">
        <v>213</v>
      </c>
      <c r="AB2311" s="360">
        <v>1.9</v>
      </c>
    </row>
    <row r="2312" spans="10:28" x14ac:dyDescent="0.2">
      <c r="J2312" s="358" t="str">
        <f t="shared" si="118"/>
        <v>2008AllSexNon-Maori224</v>
      </c>
      <c r="K2312" s="359">
        <v>2008</v>
      </c>
      <c r="L2312" t="s">
        <v>17</v>
      </c>
      <c r="M2312" t="s">
        <v>19</v>
      </c>
      <c r="N2312">
        <v>22</v>
      </c>
      <c r="O2312">
        <v>4</v>
      </c>
      <c r="P2312">
        <v>15</v>
      </c>
      <c r="Q2312">
        <v>15.0507578756933</v>
      </c>
      <c r="R2312">
        <v>7.6</v>
      </c>
      <c r="T2312" s="358" t="str">
        <f t="shared" si="119"/>
        <v>2007AllSexAllEth24Other</v>
      </c>
      <c r="U2312" s="360">
        <v>2007</v>
      </c>
      <c r="V2312" s="360" t="s">
        <v>17</v>
      </c>
      <c r="W2312" s="360" t="s">
        <v>27</v>
      </c>
      <c r="X2312" s="360">
        <v>24</v>
      </c>
      <c r="Y2312" s="360" t="s">
        <v>45</v>
      </c>
      <c r="Z2312" s="360">
        <v>10</v>
      </c>
      <c r="AA2312" s="360">
        <v>142</v>
      </c>
      <c r="AB2312" s="360">
        <v>7</v>
      </c>
    </row>
    <row r="2313" spans="10:28" x14ac:dyDescent="0.2">
      <c r="J2313" s="358" t="str">
        <f t="shared" si="118"/>
        <v>2008AllSexNon-Maori225</v>
      </c>
      <c r="K2313" s="359">
        <v>2008</v>
      </c>
      <c r="L2313" t="s">
        <v>17</v>
      </c>
      <c r="M2313" t="s">
        <v>19</v>
      </c>
      <c r="N2313">
        <v>22</v>
      </c>
      <c r="O2313">
        <v>5</v>
      </c>
      <c r="P2313">
        <v>18</v>
      </c>
      <c r="Q2313">
        <v>18.0975872627677</v>
      </c>
      <c r="R2313">
        <v>8.4</v>
      </c>
      <c r="T2313" s="358" t="str">
        <f t="shared" si="119"/>
        <v>2007AllSexAllEth25Other</v>
      </c>
      <c r="U2313" s="360">
        <v>2007</v>
      </c>
      <c r="V2313" s="360" t="s">
        <v>17</v>
      </c>
      <c r="W2313" s="360" t="s">
        <v>27</v>
      </c>
      <c r="X2313" s="360">
        <v>25</v>
      </c>
      <c r="Y2313" s="360" t="s">
        <v>45</v>
      </c>
      <c r="Z2313" s="360">
        <v>1</v>
      </c>
      <c r="AA2313" s="360">
        <v>50</v>
      </c>
      <c r="AB2313" s="360">
        <v>2</v>
      </c>
    </row>
    <row r="2314" spans="10:28" x14ac:dyDescent="0.2">
      <c r="J2314" s="358" t="str">
        <f t="shared" si="118"/>
        <v>2008AllSexNon-Maori231</v>
      </c>
      <c r="K2314" s="359">
        <v>2008</v>
      </c>
      <c r="L2314" t="s">
        <v>17</v>
      </c>
      <c r="M2314" t="s">
        <v>19</v>
      </c>
      <c r="N2314">
        <v>23</v>
      </c>
      <c r="O2314">
        <v>1</v>
      </c>
      <c r="P2314">
        <v>23</v>
      </c>
      <c r="Q2314">
        <v>10.6516648535335</v>
      </c>
      <c r="R2314">
        <v>4.4000000000000004</v>
      </c>
      <c r="T2314" s="358" t="str">
        <f t="shared" si="119"/>
        <v>2007AllSexAllEth22Poisoning by gases and vapours</v>
      </c>
      <c r="U2314" s="360">
        <v>2007</v>
      </c>
      <c r="V2314" s="360" t="s">
        <v>17</v>
      </c>
      <c r="W2314" s="360" t="s">
        <v>27</v>
      </c>
      <c r="X2314" s="360">
        <v>22</v>
      </c>
      <c r="Y2314" s="360" t="s">
        <v>46</v>
      </c>
      <c r="Z2314" s="360">
        <v>6</v>
      </c>
      <c r="AA2314" s="360">
        <v>94</v>
      </c>
      <c r="AB2314" s="360">
        <v>6.4</v>
      </c>
    </row>
    <row r="2315" spans="10:28" x14ac:dyDescent="0.2">
      <c r="J2315" s="358" t="str">
        <f t="shared" si="118"/>
        <v>2008AllSexNon-Maori232</v>
      </c>
      <c r="K2315" s="359">
        <v>2008</v>
      </c>
      <c r="L2315" t="s">
        <v>17</v>
      </c>
      <c r="M2315" t="s">
        <v>19</v>
      </c>
      <c r="N2315">
        <v>23</v>
      </c>
      <c r="O2315">
        <v>2</v>
      </c>
      <c r="P2315">
        <v>22</v>
      </c>
      <c r="Q2315">
        <v>9.9227389748993104</v>
      </c>
      <c r="R2315">
        <v>4.0999999999999996</v>
      </c>
      <c r="T2315" s="358" t="str">
        <f t="shared" si="119"/>
        <v>2007AllSexAllEth23Poisoning by gases and vapours</v>
      </c>
      <c r="U2315" s="360">
        <v>2007</v>
      </c>
      <c r="V2315" s="360" t="s">
        <v>17</v>
      </c>
      <c r="W2315" s="360" t="s">
        <v>27</v>
      </c>
      <c r="X2315" s="360">
        <v>23</v>
      </c>
      <c r="Y2315" s="360" t="s">
        <v>46</v>
      </c>
      <c r="Z2315" s="360">
        <v>33</v>
      </c>
      <c r="AA2315" s="360">
        <v>213</v>
      </c>
      <c r="AB2315" s="360">
        <v>15.5</v>
      </c>
    </row>
    <row r="2316" spans="10:28" x14ac:dyDescent="0.2">
      <c r="J2316" s="358" t="str">
        <f t="shared" si="118"/>
        <v>2008AllSexNon-Maori233</v>
      </c>
      <c r="K2316" s="359">
        <v>2008</v>
      </c>
      <c r="L2316" t="s">
        <v>17</v>
      </c>
      <c r="M2316" t="s">
        <v>19</v>
      </c>
      <c r="N2316">
        <v>23</v>
      </c>
      <c r="O2316">
        <v>3</v>
      </c>
      <c r="P2316">
        <v>26</v>
      </c>
      <c r="Q2316">
        <v>12.166455343473899</v>
      </c>
      <c r="R2316">
        <v>4.7</v>
      </c>
      <c r="T2316" s="358" t="str">
        <f t="shared" si="119"/>
        <v>2007AllSexAllEth24Poisoning by gases and vapours</v>
      </c>
      <c r="U2316" s="360">
        <v>2007</v>
      </c>
      <c r="V2316" s="360" t="s">
        <v>17</v>
      </c>
      <c r="W2316" s="360" t="s">
        <v>27</v>
      </c>
      <c r="X2316" s="360">
        <v>24</v>
      </c>
      <c r="Y2316" s="360" t="s">
        <v>46</v>
      </c>
      <c r="Z2316" s="360">
        <v>26</v>
      </c>
      <c r="AA2316" s="360">
        <v>142</v>
      </c>
      <c r="AB2316" s="360">
        <v>18.3</v>
      </c>
    </row>
    <row r="2317" spans="10:28" x14ac:dyDescent="0.2">
      <c r="J2317" s="358" t="str">
        <f t="shared" si="118"/>
        <v>2008AllSexNon-Maori234</v>
      </c>
      <c r="K2317" s="359">
        <v>2008</v>
      </c>
      <c r="L2317" t="s">
        <v>17</v>
      </c>
      <c r="M2317" t="s">
        <v>19</v>
      </c>
      <c r="N2317">
        <v>23</v>
      </c>
      <c r="O2317">
        <v>4</v>
      </c>
      <c r="P2317">
        <v>32</v>
      </c>
      <c r="Q2317">
        <v>16.294177321957601</v>
      </c>
      <c r="R2317">
        <v>5.6</v>
      </c>
      <c r="T2317" s="358" t="str">
        <f t="shared" si="119"/>
        <v>2007AllSexAllEth25Poisoning by gases and vapours</v>
      </c>
      <c r="U2317" s="360">
        <v>2007</v>
      </c>
      <c r="V2317" s="360" t="s">
        <v>17</v>
      </c>
      <c r="W2317" s="360" t="s">
        <v>27</v>
      </c>
      <c r="X2317" s="360">
        <v>25</v>
      </c>
      <c r="Y2317" s="360" t="s">
        <v>46</v>
      </c>
      <c r="Z2317" s="360">
        <v>7</v>
      </c>
      <c r="AA2317" s="360">
        <v>50</v>
      </c>
      <c r="AB2317" s="360">
        <v>14</v>
      </c>
    </row>
    <row r="2318" spans="10:28" x14ac:dyDescent="0.2">
      <c r="J2318" s="358" t="str">
        <f t="shared" si="118"/>
        <v>2008AllSexNon-Maori235</v>
      </c>
      <c r="K2318" s="359">
        <v>2008</v>
      </c>
      <c r="L2318" t="s">
        <v>17</v>
      </c>
      <c r="M2318" t="s">
        <v>19</v>
      </c>
      <c r="N2318">
        <v>23</v>
      </c>
      <c r="O2318">
        <v>5</v>
      </c>
      <c r="P2318">
        <v>34</v>
      </c>
      <c r="Q2318">
        <v>22.058324259064001</v>
      </c>
      <c r="R2318">
        <v>7.4</v>
      </c>
      <c r="T2318" s="358" t="str">
        <f t="shared" si="119"/>
        <v>2007AllSexAllEth22Poisoning by solids and liquids</v>
      </c>
      <c r="U2318" s="360">
        <v>2007</v>
      </c>
      <c r="V2318" s="360" t="s">
        <v>17</v>
      </c>
      <c r="W2318" s="360" t="s">
        <v>27</v>
      </c>
      <c r="X2318" s="360">
        <v>22</v>
      </c>
      <c r="Y2318" s="360" t="s">
        <v>47</v>
      </c>
      <c r="Z2318" s="360">
        <v>2</v>
      </c>
      <c r="AA2318" s="360">
        <v>94</v>
      </c>
      <c r="AB2318" s="360">
        <v>2.1</v>
      </c>
    </row>
    <row r="2319" spans="10:28" x14ac:dyDescent="0.2">
      <c r="J2319" s="358" t="str">
        <f t="shared" si="118"/>
        <v>2008AllSexNon-Maori241</v>
      </c>
      <c r="K2319" s="359">
        <v>2008</v>
      </c>
      <c r="L2319" t="s">
        <v>17</v>
      </c>
      <c r="M2319" t="s">
        <v>19</v>
      </c>
      <c r="N2319">
        <v>24</v>
      </c>
      <c r="O2319">
        <v>1</v>
      </c>
      <c r="P2319">
        <v>33</v>
      </c>
      <c r="Q2319">
        <v>13.1221848016653</v>
      </c>
      <c r="R2319">
        <v>4.5</v>
      </c>
      <c r="T2319" s="358" t="str">
        <f t="shared" si="119"/>
        <v>2007AllSexAllEth23Poisoning by solids and liquids</v>
      </c>
      <c r="U2319" s="360">
        <v>2007</v>
      </c>
      <c r="V2319" s="360" t="s">
        <v>17</v>
      </c>
      <c r="W2319" s="360" t="s">
        <v>27</v>
      </c>
      <c r="X2319" s="360">
        <v>23</v>
      </c>
      <c r="Y2319" s="360" t="s">
        <v>47</v>
      </c>
      <c r="Z2319" s="360">
        <v>17</v>
      </c>
      <c r="AA2319" s="360">
        <v>213</v>
      </c>
      <c r="AB2319" s="360">
        <v>8</v>
      </c>
    </row>
    <row r="2320" spans="10:28" x14ac:dyDescent="0.2">
      <c r="J2320" s="358" t="str">
        <f t="shared" si="118"/>
        <v>2008AllSexNon-Maori242</v>
      </c>
      <c r="K2320" s="359">
        <v>2008</v>
      </c>
      <c r="L2320" t="s">
        <v>17</v>
      </c>
      <c r="M2320" t="s">
        <v>19</v>
      </c>
      <c r="N2320">
        <v>24</v>
      </c>
      <c r="O2320">
        <v>2</v>
      </c>
      <c r="P2320">
        <v>29</v>
      </c>
      <c r="Q2320">
        <v>13.3121798317604</v>
      </c>
      <c r="R2320">
        <v>4.8</v>
      </c>
      <c r="T2320" s="358" t="str">
        <f t="shared" si="119"/>
        <v>2007AllSexAllEth24Poisoning by solids and liquids</v>
      </c>
      <c r="U2320" s="360">
        <v>2007</v>
      </c>
      <c r="V2320" s="360" t="s">
        <v>17</v>
      </c>
      <c r="W2320" s="360" t="s">
        <v>27</v>
      </c>
      <c r="X2320" s="360">
        <v>24</v>
      </c>
      <c r="Y2320" s="360" t="s">
        <v>47</v>
      </c>
      <c r="Z2320" s="360">
        <v>23</v>
      </c>
      <c r="AA2320" s="360">
        <v>142</v>
      </c>
      <c r="AB2320" s="360">
        <v>16.2</v>
      </c>
    </row>
    <row r="2321" spans="10:28" x14ac:dyDescent="0.2">
      <c r="J2321" s="358" t="str">
        <f t="shared" si="118"/>
        <v>2008AllSexNon-Maori243</v>
      </c>
      <c r="K2321" s="359">
        <v>2008</v>
      </c>
      <c r="L2321" t="s">
        <v>17</v>
      </c>
      <c r="M2321" t="s">
        <v>19</v>
      </c>
      <c r="N2321">
        <v>24</v>
      </c>
      <c r="O2321">
        <v>3</v>
      </c>
      <c r="P2321">
        <v>34</v>
      </c>
      <c r="Q2321">
        <v>17.904032936855</v>
      </c>
      <c r="R2321">
        <v>6</v>
      </c>
      <c r="T2321" s="358" t="str">
        <f t="shared" si="119"/>
        <v>2007AllSexAllEth25Poisoning by solids and liquids</v>
      </c>
      <c r="U2321" s="360">
        <v>2007</v>
      </c>
      <c r="V2321" s="360" t="s">
        <v>17</v>
      </c>
      <c r="W2321" s="360" t="s">
        <v>27</v>
      </c>
      <c r="X2321" s="360">
        <v>25</v>
      </c>
      <c r="Y2321" s="360" t="s">
        <v>47</v>
      </c>
      <c r="Z2321" s="360">
        <v>6</v>
      </c>
      <c r="AA2321" s="360">
        <v>50</v>
      </c>
      <c r="AB2321" s="360">
        <v>12</v>
      </c>
    </row>
    <row r="2322" spans="10:28" x14ac:dyDescent="0.2">
      <c r="J2322" s="358" t="str">
        <f t="shared" si="118"/>
        <v>2008AllSexNon-Maori244</v>
      </c>
      <c r="K2322" s="359">
        <v>2008</v>
      </c>
      <c r="L2322" t="s">
        <v>17</v>
      </c>
      <c r="M2322" t="s">
        <v>19</v>
      </c>
      <c r="N2322">
        <v>24</v>
      </c>
      <c r="O2322">
        <v>4</v>
      </c>
      <c r="P2322">
        <v>26</v>
      </c>
      <c r="Q2322">
        <v>15.844326341621199</v>
      </c>
      <c r="R2322">
        <v>6.1</v>
      </c>
      <c r="T2322" s="358" t="str">
        <f t="shared" si="119"/>
        <v>2007AllSexAllEth23Sharp object</v>
      </c>
      <c r="U2322" s="360">
        <v>2007</v>
      </c>
      <c r="V2322" s="360" t="s">
        <v>17</v>
      </c>
      <c r="W2322" s="360" t="s">
        <v>27</v>
      </c>
      <c r="X2322" s="360">
        <v>23</v>
      </c>
      <c r="Y2322" s="360" t="s">
        <v>48</v>
      </c>
      <c r="Z2322" s="360">
        <v>2</v>
      </c>
      <c r="AA2322" s="360">
        <v>213</v>
      </c>
      <c r="AB2322" s="360">
        <v>0.9</v>
      </c>
    </row>
    <row r="2323" spans="10:28" x14ac:dyDescent="0.2">
      <c r="J2323" s="358" t="str">
        <f t="shared" si="118"/>
        <v>2008AllSexNon-Maori245</v>
      </c>
      <c r="K2323" s="359">
        <v>2008</v>
      </c>
      <c r="L2323" t="s">
        <v>17</v>
      </c>
      <c r="M2323" t="s">
        <v>19</v>
      </c>
      <c r="N2323">
        <v>24</v>
      </c>
      <c r="O2323">
        <v>5</v>
      </c>
      <c r="P2323">
        <v>18</v>
      </c>
      <c r="Q2323">
        <v>14.5756152305578</v>
      </c>
      <c r="R2323">
        <v>6.7</v>
      </c>
      <c r="T2323" s="358" t="str">
        <f t="shared" si="119"/>
        <v>2007AllSexAllEth24Sharp object</v>
      </c>
      <c r="U2323" s="360">
        <v>2007</v>
      </c>
      <c r="V2323" s="360" t="s">
        <v>17</v>
      </c>
      <c r="W2323" s="360" t="s">
        <v>27</v>
      </c>
      <c r="X2323" s="360">
        <v>24</v>
      </c>
      <c r="Y2323" s="360" t="s">
        <v>48</v>
      </c>
      <c r="Z2323" s="360">
        <v>2</v>
      </c>
      <c r="AA2323" s="360">
        <v>142</v>
      </c>
      <c r="AB2323" s="360">
        <v>1.4</v>
      </c>
    </row>
    <row r="2324" spans="10:28" x14ac:dyDescent="0.2">
      <c r="J2324" s="358" t="str">
        <f t="shared" si="118"/>
        <v>2008AllSexNon-Maori251</v>
      </c>
      <c r="K2324" s="359">
        <v>2008</v>
      </c>
      <c r="L2324" t="s">
        <v>17</v>
      </c>
      <c r="M2324" t="s">
        <v>19</v>
      </c>
      <c r="N2324">
        <v>25</v>
      </c>
      <c r="O2324">
        <v>1</v>
      </c>
      <c r="P2324">
        <v>8</v>
      </c>
      <c r="Q2324">
        <v>7.8514274689111003</v>
      </c>
      <c r="R2324">
        <v>5.4</v>
      </c>
      <c r="T2324" s="358" t="str">
        <f t="shared" si="119"/>
        <v>2007AllSexAllEth25Sharp object</v>
      </c>
      <c r="U2324" s="360">
        <v>2007</v>
      </c>
      <c r="V2324" s="360" t="s">
        <v>17</v>
      </c>
      <c r="W2324" s="360" t="s">
        <v>27</v>
      </c>
      <c r="X2324" s="360">
        <v>25</v>
      </c>
      <c r="Y2324" s="360" t="s">
        <v>48</v>
      </c>
      <c r="Z2324" s="360">
        <v>2</v>
      </c>
      <c r="AA2324" s="360">
        <v>50</v>
      </c>
      <c r="AB2324" s="360">
        <v>4</v>
      </c>
    </row>
    <row r="2325" spans="10:28" x14ac:dyDescent="0.2">
      <c r="J2325" s="358" t="str">
        <f t="shared" si="118"/>
        <v>2008AllSexNon-Maori252</v>
      </c>
      <c r="K2325" s="359">
        <v>2008</v>
      </c>
      <c r="L2325" t="s">
        <v>17</v>
      </c>
      <c r="M2325" t="s">
        <v>19</v>
      </c>
      <c r="N2325">
        <v>25</v>
      </c>
      <c r="O2325">
        <v>2</v>
      </c>
      <c r="P2325">
        <v>12</v>
      </c>
      <c r="Q2325">
        <v>11.104295816167699</v>
      </c>
      <c r="R2325">
        <v>6.3</v>
      </c>
      <c r="T2325" s="358" t="str">
        <f t="shared" si="119"/>
        <v>2007AllSexAllEth22Submersion (drowning)</v>
      </c>
      <c r="U2325" s="360">
        <v>2007</v>
      </c>
      <c r="V2325" s="360" t="s">
        <v>17</v>
      </c>
      <c r="W2325" s="360" t="s">
        <v>27</v>
      </c>
      <c r="X2325" s="360">
        <v>22</v>
      </c>
      <c r="Y2325" s="360" t="s">
        <v>49</v>
      </c>
      <c r="Z2325" s="360">
        <v>1</v>
      </c>
      <c r="AA2325" s="360">
        <v>94</v>
      </c>
      <c r="AB2325" s="360">
        <v>1.1000000000000001</v>
      </c>
    </row>
    <row r="2326" spans="10:28" x14ac:dyDescent="0.2">
      <c r="J2326" s="358" t="str">
        <f t="shared" si="118"/>
        <v>2008AllSexNon-Maori253</v>
      </c>
      <c r="K2326" s="359">
        <v>2008</v>
      </c>
      <c r="L2326" t="s">
        <v>17</v>
      </c>
      <c r="M2326" t="s">
        <v>19</v>
      </c>
      <c r="N2326">
        <v>25</v>
      </c>
      <c r="O2326">
        <v>3</v>
      </c>
      <c r="P2326">
        <v>12</v>
      </c>
      <c r="Q2326">
        <v>10.8186365057204</v>
      </c>
      <c r="R2326">
        <v>6.1</v>
      </c>
      <c r="T2326" s="358" t="str">
        <f t="shared" si="119"/>
        <v>2007AllSexAllEth23Submersion (drowning)</v>
      </c>
      <c r="U2326" s="360">
        <v>2007</v>
      </c>
      <c r="V2326" s="360" t="s">
        <v>17</v>
      </c>
      <c r="W2326" s="360" t="s">
        <v>27</v>
      </c>
      <c r="X2326" s="360">
        <v>23</v>
      </c>
      <c r="Y2326" s="360" t="s">
        <v>49</v>
      </c>
      <c r="Z2326" s="360">
        <v>4</v>
      </c>
      <c r="AA2326" s="360">
        <v>213</v>
      </c>
      <c r="AB2326" s="360">
        <v>1.9</v>
      </c>
    </row>
    <row r="2327" spans="10:28" x14ac:dyDescent="0.2">
      <c r="J2327" s="358" t="str">
        <f t="shared" si="118"/>
        <v>2008AllSexNon-Maori254</v>
      </c>
      <c r="K2327" s="359">
        <v>2008</v>
      </c>
      <c r="L2327" t="s">
        <v>17</v>
      </c>
      <c r="M2327" t="s">
        <v>19</v>
      </c>
      <c r="N2327">
        <v>25</v>
      </c>
      <c r="O2327">
        <v>4</v>
      </c>
      <c r="P2327">
        <v>8</v>
      </c>
      <c r="Q2327">
        <v>7.3472894181039701</v>
      </c>
      <c r="R2327">
        <v>5.0999999999999996</v>
      </c>
      <c r="T2327" s="358" t="str">
        <f t="shared" si="119"/>
        <v>2007AllSexAllEth24Submersion (drowning)</v>
      </c>
      <c r="U2327" s="360">
        <v>2007</v>
      </c>
      <c r="V2327" s="360" t="s">
        <v>17</v>
      </c>
      <c r="W2327" s="360" t="s">
        <v>27</v>
      </c>
      <c r="X2327" s="360">
        <v>24</v>
      </c>
      <c r="Y2327" s="360" t="s">
        <v>49</v>
      </c>
      <c r="Z2327" s="360">
        <v>4</v>
      </c>
      <c r="AA2327" s="360">
        <v>142</v>
      </c>
      <c r="AB2327" s="360">
        <v>2.8</v>
      </c>
    </row>
    <row r="2328" spans="10:28" x14ac:dyDescent="0.2">
      <c r="J2328" s="358" t="str">
        <f t="shared" si="118"/>
        <v>2008AllSexNon-Maori255</v>
      </c>
      <c r="K2328" s="359">
        <v>2008</v>
      </c>
      <c r="L2328" t="s">
        <v>17</v>
      </c>
      <c r="M2328" t="s">
        <v>19</v>
      </c>
      <c r="N2328">
        <v>25</v>
      </c>
      <c r="O2328">
        <v>5</v>
      </c>
      <c r="P2328">
        <v>8</v>
      </c>
      <c r="Q2328">
        <v>10.3656462267818</v>
      </c>
      <c r="R2328">
        <v>7.2</v>
      </c>
      <c r="T2328" s="358" t="str">
        <f t="shared" si="119"/>
        <v>2007AllSexAllEth25Submersion (drowning)</v>
      </c>
      <c r="U2328" s="360">
        <v>2007</v>
      </c>
      <c r="V2328" s="360" t="s">
        <v>17</v>
      </c>
      <c r="W2328" s="360" t="s">
        <v>27</v>
      </c>
      <c r="X2328" s="360">
        <v>25</v>
      </c>
      <c r="Y2328" s="360" t="s">
        <v>49</v>
      </c>
      <c r="Z2328" s="360">
        <v>2</v>
      </c>
      <c r="AA2328" s="360">
        <v>50</v>
      </c>
      <c r="AB2328" s="360">
        <v>4</v>
      </c>
    </row>
    <row r="2329" spans="10:28" x14ac:dyDescent="0.2">
      <c r="J2329" s="358" t="str">
        <f t="shared" si="118"/>
        <v>2008FemaleAllEth211</v>
      </c>
      <c r="K2329" s="359">
        <v>2008</v>
      </c>
      <c r="L2329" t="s">
        <v>8</v>
      </c>
      <c r="M2329" t="s">
        <v>27</v>
      </c>
      <c r="N2329">
        <v>21</v>
      </c>
      <c r="O2329">
        <v>1</v>
      </c>
      <c r="P2329">
        <v>0</v>
      </c>
      <c r="T2329" s="358" t="str">
        <f t="shared" si="119"/>
        <v>2007AllSexMaori23Firearms and explosives</v>
      </c>
      <c r="U2329" s="360">
        <v>2007</v>
      </c>
      <c r="V2329" s="360" t="s">
        <v>17</v>
      </c>
      <c r="W2329" s="360" t="s">
        <v>18</v>
      </c>
      <c r="X2329" s="360">
        <v>23</v>
      </c>
      <c r="Y2329" s="360" t="s">
        <v>42</v>
      </c>
      <c r="Z2329" s="360">
        <v>5</v>
      </c>
      <c r="AA2329" s="360">
        <v>50</v>
      </c>
      <c r="AB2329" s="360">
        <v>10</v>
      </c>
    </row>
    <row r="2330" spans="10:28" x14ac:dyDescent="0.2">
      <c r="J2330" s="358" t="str">
        <f t="shared" si="118"/>
        <v>2008FemaleAllEth212</v>
      </c>
      <c r="K2330" s="359">
        <v>2008</v>
      </c>
      <c r="L2330" t="s">
        <v>8</v>
      </c>
      <c r="M2330" t="s">
        <v>27</v>
      </c>
      <c r="N2330">
        <v>21</v>
      </c>
      <c r="O2330">
        <v>2</v>
      </c>
      <c r="P2330">
        <v>0</v>
      </c>
      <c r="T2330" s="358" t="str">
        <f t="shared" si="119"/>
        <v>2007AllSexMaori25Firearms and explosives</v>
      </c>
      <c r="U2330" s="360">
        <v>2007</v>
      </c>
      <c r="V2330" s="360" t="s">
        <v>17</v>
      </c>
      <c r="W2330" s="360" t="s">
        <v>18</v>
      </c>
      <c r="X2330" s="360">
        <v>25</v>
      </c>
      <c r="Y2330" s="360" t="s">
        <v>42</v>
      </c>
      <c r="Z2330" s="360">
        <v>1</v>
      </c>
      <c r="AA2330" s="360">
        <v>1</v>
      </c>
      <c r="AB2330" s="360">
        <v>100</v>
      </c>
    </row>
    <row r="2331" spans="10:28" x14ac:dyDescent="0.2">
      <c r="J2331" s="358" t="str">
        <f t="shared" si="118"/>
        <v>2008FemaleAllEth213</v>
      </c>
      <c r="K2331" s="359">
        <v>2008</v>
      </c>
      <c r="L2331" t="s">
        <v>8</v>
      </c>
      <c r="M2331" t="s">
        <v>27</v>
      </c>
      <c r="N2331">
        <v>21</v>
      </c>
      <c r="O2331">
        <v>3</v>
      </c>
      <c r="P2331">
        <v>2</v>
      </c>
      <c r="T2331" s="358" t="str">
        <f t="shared" si="119"/>
        <v>2007AllSexMaori21Hanging, strangulation and suffocation</v>
      </c>
      <c r="U2331" s="360">
        <v>2007</v>
      </c>
      <c r="V2331" s="360" t="s">
        <v>17</v>
      </c>
      <c r="W2331" s="360" t="s">
        <v>18</v>
      </c>
      <c r="X2331" s="360">
        <v>21</v>
      </c>
      <c r="Y2331" s="360" t="s">
        <v>43</v>
      </c>
      <c r="Z2331" s="360">
        <v>1</v>
      </c>
      <c r="AA2331" s="360">
        <v>1</v>
      </c>
      <c r="AB2331" s="360">
        <v>100</v>
      </c>
    </row>
    <row r="2332" spans="10:28" x14ac:dyDescent="0.2">
      <c r="J2332" s="358" t="str">
        <f t="shared" si="118"/>
        <v>2008FemaleAllEth214</v>
      </c>
      <c r="K2332" s="359">
        <v>2008</v>
      </c>
      <c r="L2332" t="s">
        <v>8</v>
      </c>
      <c r="M2332" t="s">
        <v>27</v>
      </c>
      <c r="N2332">
        <v>21</v>
      </c>
      <c r="O2332">
        <v>4</v>
      </c>
      <c r="P2332">
        <v>0</v>
      </c>
      <c r="T2332" s="358" t="str">
        <f t="shared" si="119"/>
        <v>2007AllSexMaori22Hanging, strangulation and suffocation</v>
      </c>
      <c r="U2332" s="360">
        <v>2007</v>
      </c>
      <c r="V2332" s="360" t="s">
        <v>17</v>
      </c>
      <c r="W2332" s="360" t="s">
        <v>18</v>
      </c>
      <c r="X2332" s="360">
        <v>22</v>
      </c>
      <c r="Y2332" s="360" t="s">
        <v>43</v>
      </c>
      <c r="Z2332" s="360">
        <v>30</v>
      </c>
      <c r="AA2332" s="360">
        <v>33</v>
      </c>
      <c r="AB2332" s="360">
        <v>90.9</v>
      </c>
    </row>
    <row r="2333" spans="10:28" x14ac:dyDescent="0.2">
      <c r="J2333" s="358" t="str">
        <f t="shared" si="118"/>
        <v>2008FemaleAllEth215</v>
      </c>
      <c r="K2333" s="359">
        <v>2008</v>
      </c>
      <c r="L2333" t="s">
        <v>8</v>
      </c>
      <c r="M2333" t="s">
        <v>27</v>
      </c>
      <c r="N2333">
        <v>21</v>
      </c>
      <c r="O2333">
        <v>5</v>
      </c>
      <c r="P2333">
        <v>1</v>
      </c>
      <c r="T2333" s="358" t="str">
        <f t="shared" si="119"/>
        <v>2007AllSexMaori23Hanging, strangulation and suffocation</v>
      </c>
      <c r="U2333" s="360">
        <v>2007</v>
      </c>
      <c r="V2333" s="360" t="s">
        <v>17</v>
      </c>
      <c r="W2333" s="360" t="s">
        <v>18</v>
      </c>
      <c r="X2333" s="360">
        <v>23</v>
      </c>
      <c r="Y2333" s="360" t="s">
        <v>43</v>
      </c>
      <c r="Z2333" s="360">
        <v>33</v>
      </c>
      <c r="AA2333" s="360">
        <v>50</v>
      </c>
      <c r="AB2333" s="360">
        <v>66</v>
      </c>
    </row>
    <row r="2334" spans="10:28" x14ac:dyDescent="0.2">
      <c r="J2334" s="358" t="str">
        <f t="shared" si="118"/>
        <v>2008FemaleAllEth221</v>
      </c>
      <c r="K2334" s="359">
        <v>2008</v>
      </c>
      <c r="L2334" t="s">
        <v>8</v>
      </c>
      <c r="M2334" t="s">
        <v>27</v>
      </c>
      <c r="N2334">
        <v>22</v>
      </c>
      <c r="O2334">
        <v>1</v>
      </c>
      <c r="P2334">
        <v>6</v>
      </c>
      <c r="Q2334">
        <v>12.251425471598999</v>
      </c>
      <c r="R2334">
        <v>9.8000000000000007</v>
      </c>
      <c r="T2334" s="358" t="str">
        <f t="shared" si="119"/>
        <v>2007AllSexMaori24Hanging, strangulation and suffocation</v>
      </c>
      <c r="U2334" s="360">
        <v>2007</v>
      </c>
      <c r="V2334" s="360" t="s">
        <v>17</v>
      </c>
      <c r="W2334" s="360" t="s">
        <v>18</v>
      </c>
      <c r="X2334" s="360">
        <v>24</v>
      </c>
      <c r="Y2334" s="360" t="s">
        <v>43</v>
      </c>
      <c r="Z2334" s="360">
        <v>7</v>
      </c>
      <c r="AA2334" s="360">
        <v>12</v>
      </c>
      <c r="AB2334" s="360">
        <v>58.3</v>
      </c>
    </row>
    <row r="2335" spans="10:28" x14ac:dyDescent="0.2">
      <c r="J2335" s="358" t="str">
        <f t="shared" si="118"/>
        <v>2008FemaleAllEth222</v>
      </c>
      <c r="K2335" s="359">
        <v>2008</v>
      </c>
      <c r="L2335" t="s">
        <v>8</v>
      </c>
      <c r="M2335" t="s">
        <v>27</v>
      </c>
      <c r="N2335">
        <v>22</v>
      </c>
      <c r="O2335">
        <v>2</v>
      </c>
      <c r="P2335">
        <v>4</v>
      </c>
      <c r="Q2335">
        <v>7.6245179126366596</v>
      </c>
      <c r="R2335">
        <v>7.5</v>
      </c>
      <c r="T2335" s="358" t="str">
        <f t="shared" si="119"/>
        <v>2007AllSexMaori24Jumping from a high place</v>
      </c>
      <c r="U2335" s="360">
        <v>2007</v>
      </c>
      <c r="V2335" s="360" t="s">
        <v>17</v>
      </c>
      <c r="W2335" s="360" t="s">
        <v>18</v>
      </c>
      <c r="X2335" s="360">
        <v>24</v>
      </c>
      <c r="Y2335" s="360" t="s">
        <v>44</v>
      </c>
      <c r="Z2335" s="360">
        <v>1</v>
      </c>
      <c r="AA2335" s="360">
        <v>12</v>
      </c>
      <c r="AB2335" s="360">
        <v>8.3000000000000007</v>
      </c>
    </row>
    <row r="2336" spans="10:28" x14ac:dyDescent="0.2">
      <c r="J2336" s="358" t="str">
        <f t="shared" si="118"/>
        <v>2008FemaleAllEth223</v>
      </c>
      <c r="K2336" s="359">
        <v>2008</v>
      </c>
      <c r="L2336" t="s">
        <v>8</v>
      </c>
      <c r="M2336" t="s">
        <v>27</v>
      </c>
      <c r="N2336">
        <v>22</v>
      </c>
      <c r="O2336">
        <v>3</v>
      </c>
      <c r="P2336">
        <v>10</v>
      </c>
      <c r="Q2336">
        <v>17.334198372332601</v>
      </c>
      <c r="R2336">
        <v>10.7</v>
      </c>
      <c r="T2336" s="358" t="str">
        <f t="shared" si="119"/>
        <v>2007AllSexMaori22Other</v>
      </c>
      <c r="U2336" s="360">
        <v>2007</v>
      </c>
      <c r="V2336" s="360" t="s">
        <v>17</v>
      </c>
      <c r="W2336" s="360" t="s">
        <v>18</v>
      </c>
      <c r="X2336" s="360">
        <v>22</v>
      </c>
      <c r="Y2336" s="360" t="s">
        <v>45</v>
      </c>
      <c r="Z2336" s="360">
        <v>1</v>
      </c>
      <c r="AA2336" s="360">
        <v>33</v>
      </c>
      <c r="AB2336" s="360">
        <v>3</v>
      </c>
    </row>
    <row r="2337" spans="10:28" x14ac:dyDescent="0.2">
      <c r="J2337" s="358" t="str">
        <f t="shared" si="118"/>
        <v>2008FemaleAllEth224</v>
      </c>
      <c r="K2337" s="359">
        <v>2008</v>
      </c>
      <c r="L2337" t="s">
        <v>8</v>
      </c>
      <c r="M2337" t="s">
        <v>27</v>
      </c>
      <c r="N2337">
        <v>22</v>
      </c>
      <c r="O2337">
        <v>4</v>
      </c>
      <c r="P2337">
        <v>6</v>
      </c>
      <c r="Q2337">
        <v>9.3031556565522902</v>
      </c>
      <c r="R2337">
        <v>7.4</v>
      </c>
      <c r="T2337" s="358" t="str">
        <f t="shared" si="119"/>
        <v>2007AllSexMaori23Other</v>
      </c>
      <c r="U2337" s="360">
        <v>2007</v>
      </c>
      <c r="V2337" s="360" t="s">
        <v>17</v>
      </c>
      <c r="W2337" s="360" t="s">
        <v>18</v>
      </c>
      <c r="X2337" s="360">
        <v>23</v>
      </c>
      <c r="Y2337" s="360" t="s">
        <v>45</v>
      </c>
      <c r="Z2337" s="360">
        <v>1</v>
      </c>
      <c r="AA2337" s="360">
        <v>50</v>
      </c>
      <c r="AB2337" s="360">
        <v>2</v>
      </c>
    </row>
    <row r="2338" spans="10:28" x14ac:dyDescent="0.2">
      <c r="J2338" s="358" t="str">
        <f t="shared" si="118"/>
        <v>2008FemaleAllEth225</v>
      </c>
      <c r="K2338" s="359">
        <v>2008</v>
      </c>
      <c r="L2338" t="s">
        <v>8</v>
      </c>
      <c r="M2338" t="s">
        <v>27</v>
      </c>
      <c r="N2338">
        <v>22</v>
      </c>
      <c r="O2338">
        <v>5</v>
      </c>
      <c r="P2338">
        <v>10</v>
      </c>
      <c r="Q2338">
        <v>12.9432915413507</v>
      </c>
      <c r="R2338">
        <v>8</v>
      </c>
      <c r="T2338" s="358" t="str">
        <f t="shared" si="119"/>
        <v>2007AllSexMaori22Poisoning by gases and vapours</v>
      </c>
      <c r="U2338" s="360">
        <v>2007</v>
      </c>
      <c r="V2338" s="360" t="s">
        <v>17</v>
      </c>
      <c r="W2338" s="360" t="s">
        <v>18</v>
      </c>
      <c r="X2338" s="360">
        <v>22</v>
      </c>
      <c r="Y2338" s="360" t="s">
        <v>46</v>
      </c>
      <c r="Z2338" s="360">
        <v>1</v>
      </c>
      <c r="AA2338" s="360">
        <v>33</v>
      </c>
      <c r="AB2338" s="360">
        <v>3</v>
      </c>
    </row>
    <row r="2339" spans="10:28" x14ac:dyDescent="0.2">
      <c r="J2339" s="358" t="str">
        <f t="shared" si="118"/>
        <v>2008FemaleAllEth231</v>
      </c>
      <c r="K2339" s="359">
        <v>2008</v>
      </c>
      <c r="L2339" t="s">
        <v>8</v>
      </c>
      <c r="M2339" t="s">
        <v>27</v>
      </c>
      <c r="N2339">
        <v>23</v>
      </c>
      <c r="O2339">
        <v>1</v>
      </c>
      <c r="P2339">
        <v>6</v>
      </c>
      <c r="Q2339">
        <v>4.9828927248144401</v>
      </c>
      <c r="R2339">
        <v>4</v>
      </c>
      <c r="T2339" s="358" t="str">
        <f t="shared" si="119"/>
        <v>2007AllSexMaori23Poisoning by gases and vapours</v>
      </c>
      <c r="U2339" s="360">
        <v>2007</v>
      </c>
      <c r="V2339" s="360" t="s">
        <v>17</v>
      </c>
      <c r="W2339" s="360" t="s">
        <v>18</v>
      </c>
      <c r="X2339" s="360">
        <v>23</v>
      </c>
      <c r="Y2339" s="360" t="s">
        <v>46</v>
      </c>
      <c r="Z2339" s="360">
        <v>5</v>
      </c>
      <c r="AA2339" s="360">
        <v>50</v>
      </c>
      <c r="AB2339" s="360">
        <v>10</v>
      </c>
    </row>
    <row r="2340" spans="10:28" x14ac:dyDescent="0.2">
      <c r="J2340" s="358" t="str">
        <f t="shared" si="118"/>
        <v>2008FemaleAllEth232</v>
      </c>
      <c r="K2340" s="359">
        <v>2008</v>
      </c>
      <c r="L2340" t="s">
        <v>8</v>
      </c>
      <c r="M2340" t="s">
        <v>27</v>
      </c>
      <c r="N2340">
        <v>23</v>
      </c>
      <c r="O2340">
        <v>2</v>
      </c>
      <c r="P2340">
        <v>9</v>
      </c>
      <c r="Q2340">
        <v>7.1883896031024399</v>
      </c>
      <c r="R2340">
        <v>4.7</v>
      </c>
      <c r="T2340" s="358" t="str">
        <f t="shared" si="119"/>
        <v>2007AllSexMaori22Poisoning by solids and liquids</v>
      </c>
      <c r="U2340" s="360">
        <v>2007</v>
      </c>
      <c r="V2340" s="360" t="s">
        <v>17</v>
      </c>
      <c r="W2340" s="360" t="s">
        <v>18</v>
      </c>
      <c r="X2340" s="360">
        <v>22</v>
      </c>
      <c r="Y2340" s="360" t="s">
        <v>47</v>
      </c>
      <c r="Z2340" s="360">
        <v>1</v>
      </c>
      <c r="AA2340" s="360">
        <v>33</v>
      </c>
      <c r="AB2340" s="360">
        <v>3</v>
      </c>
    </row>
    <row r="2341" spans="10:28" x14ac:dyDescent="0.2">
      <c r="J2341" s="358" t="str">
        <f t="shared" si="118"/>
        <v>2008FemaleAllEth233</v>
      </c>
      <c r="K2341" s="359">
        <v>2008</v>
      </c>
      <c r="L2341" t="s">
        <v>8</v>
      </c>
      <c r="M2341" t="s">
        <v>27</v>
      </c>
      <c r="N2341">
        <v>23</v>
      </c>
      <c r="O2341">
        <v>3</v>
      </c>
      <c r="P2341">
        <v>9</v>
      </c>
      <c r="Q2341">
        <v>7.2537347303694801</v>
      </c>
      <c r="R2341">
        <v>4.7</v>
      </c>
      <c r="T2341" s="358" t="str">
        <f t="shared" si="119"/>
        <v>2007AllSexMaori23Poisoning by solids and liquids</v>
      </c>
      <c r="U2341" s="360">
        <v>2007</v>
      </c>
      <c r="V2341" s="360" t="s">
        <v>17</v>
      </c>
      <c r="W2341" s="360" t="s">
        <v>18</v>
      </c>
      <c r="X2341" s="360">
        <v>23</v>
      </c>
      <c r="Y2341" s="360" t="s">
        <v>47</v>
      </c>
      <c r="Z2341" s="360">
        <v>5</v>
      </c>
      <c r="AA2341" s="360">
        <v>50</v>
      </c>
      <c r="AB2341" s="360">
        <v>10</v>
      </c>
    </row>
    <row r="2342" spans="10:28" x14ac:dyDescent="0.2">
      <c r="J2342" s="358" t="str">
        <f t="shared" si="118"/>
        <v>2008FemaleAllEth234</v>
      </c>
      <c r="K2342" s="359">
        <v>2008</v>
      </c>
      <c r="L2342" t="s">
        <v>8</v>
      </c>
      <c r="M2342" t="s">
        <v>27</v>
      </c>
      <c r="N2342">
        <v>23</v>
      </c>
      <c r="O2342">
        <v>4</v>
      </c>
      <c r="P2342">
        <v>7</v>
      </c>
      <c r="Q2342">
        <v>5.75403317917322</v>
      </c>
      <c r="R2342">
        <v>4.3</v>
      </c>
      <c r="T2342" s="358" t="str">
        <f t="shared" si="119"/>
        <v>2007AllSexMaori24Poisoning by solids and liquids</v>
      </c>
      <c r="U2342" s="360">
        <v>2007</v>
      </c>
      <c r="V2342" s="360" t="s">
        <v>17</v>
      </c>
      <c r="W2342" s="360" t="s">
        <v>18</v>
      </c>
      <c r="X2342" s="360">
        <v>24</v>
      </c>
      <c r="Y2342" s="360" t="s">
        <v>47</v>
      </c>
      <c r="Z2342" s="360">
        <v>3</v>
      </c>
      <c r="AA2342" s="360">
        <v>12</v>
      </c>
      <c r="AB2342" s="360">
        <v>25</v>
      </c>
    </row>
    <row r="2343" spans="10:28" x14ac:dyDescent="0.2">
      <c r="J2343" s="358" t="str">
        <f t="shared" si="118"/>
        <v>2008FemaleAllEth235</v>
      </c>
      <c r="K2343" s="359">
        <v>2008</v>
      </c>
      <c r="L2343" t="s">
        <v>8</v>
      </c>
      <c r="M2343" t="s">
        <v>27</v>
      </c>
      <c r="N2343">
        <v>23</v>
      </c>
      <c r="O2343">
        <v>5</v>
      </c>
      <c r="P2343">
        <v>16</v>
      </c>
      <c r="Q2343">
        <v>13.762457659862401</v>
      </c>
      <c r="R2343">
        <v>6.7</v>
      </c>
      <c r="T2343" s="358" t="str">
        <f t="shared" si="119"/>
        <v>2007AllSexMaori23Submersion (drowning)</v>
      </c>
      <c r="U2343" s="360">
        <v>2007</v>
      </c>
      <c r="V2343" s="360" t="s">
        <v>17</v>
      </c>
      <c r="W2343" s="360" t="s">
        <v>18</v>
      </c>
      <c r="X2343" s="360">
        <v>23</v>
      </c>
      <c r="Y2343" s="360" t="s">
        <v>49</v>
      </c>
      <c r="Z2343" s="360">
        <v>1</v>
      </c>
      <c r="AA2343" s="360">
        <v>50</v>
      </c>
      <c r="AB2343" s="360">
        <v>2</v>
      </c>
    </row>
    <row r="2344" spans="10:28" x14ac:dyDescent="0.2">
      <c r="J2344" s="358" t="str">
        <f t="shared" si="118"/>
        <v>2008FemaleAllEth241</v>
      </c>
      <c r="K2344" s="359">
        <v>2008</v>
      </c>
      <c r="L2344" t="s">
        <v>8</v>
      </c>
      <c r="M2344" t="s">
        <v>27</v>
      </c>
      <c r="N2344">
        <v>24</v>
      </c>
      <c r="O2344">
        <v>1</v>
      </c>
      <c r="P2344">
        <v>8</v>
      </c>
      <c r="Q2344">
        <v>6.12063448156532</v>
      </c>
      <c r="R2344">
        <v>4.2</v>
      </c>
      <c r="T2344" s="358" t="str">
        <f t="shared" si="119"/>
        <v>2007AllSexMaori24Submersion (drowning)</v>
      </c>
      <c r="U2344" s="360">
        <v>2007</v>
      </c>
      <c r="V2344" s="360" t="s">
        <v>17</v>
      </c>
      <c r="W2344" s="360" t="s">
        <v>18</v>
      </c>
      <c r="X2344" s="360">
        <v>24</v>
      </c>
      <c r="Y2344" s="360" t="s">
        <v>49</v>
      </c>
      <c r="Z2344" s="360">
        <v>1</v>
      </c>
      <c r="AA2344" s="360">
        <v>12</v>
      </c>
      <c r="AB2344" s="360">
        <v>8.3000000000000007</v>
      </c>
    </row>
    <row r="2345" spans="10:28" x14ac:dyDescent="0.2">
      <c r="J2345" s="358" t="str">
        <f t="shared" si="118"/>
        <v>2008FemaleAllEth242</v>
      </c>
      <c r="K2345" s="359">
        <v>2008</v>
      </c>
      <c r="L2345" t="s">
        <v>8</v>
      </c>
      <c r="M2345" t="s">
        <v>27</v>
      </c>
      <c r="N2345">
        <v>24</v>
      </c>
      <c r="O2345">
        <v>2</v>
      </c>
      <c r="P2345">
        <v>9</v>
      </c>
      <c r="Q2345">
        <v>7.7209410112151504</v>
      </c>
      <c r="R2345">
        <v>5</v>
      </c>
      <c r="T2345" s="358" t="str">
        <f t="shared" si="119"/>
        <v>2007AllSexNon-Maori22Firearms and explosives</v>
      </c>
      <c r="U2345" s="360">
        <v>2007</v>
      </c>
      <c r="V2345" s="360" t="s">
        <v>17</v>
      </c>
      <c r="W2345" s="360" t="s">
        <v>19</v>
      </c>
      <c r="X2345" s="360">
        <v>22</v>
      </c>
      <c r="Y2345" s="360" t="s">
        <v>42</v>
      </c>
      <c r="Z2345" s="360">
        <v>4</v>
      </c>
      <c r="AA2345" s="360">
        <v>61</v>
      </c>
      <c r="AB2345" s="360">
        <v>6.6</v>
      </c>
    </row>
    <row r="2346" spans="10:28" x14ac:dyDescent="0.2">
      <c r="J2346" s="358" t="str">
        <f t="shared" si="118"/>
        <v>2008FemaleAllEth243</v>
      </c>
      <c r="K2346" s="359">
        <v>2008</v>
      </c>
      <c r="L2346" t="s">
        <v>8</v>
      </c>
      <c r="M2346" t="s">
        <v>27</v>
      </c>
      <c r="N2346">
        <v>24</v>
      </c>
      <c r="O2346">
        <v>3</v>
      </c>
      <c r="P2346">
        <v>7</v>
      </c>
      <c r="Q2346">
        <v>6.5956206775866004</v>
      </c>
      <c r="R2346">
        <v>4.9000000000000004</v>
      </c>
      <c r="T2346" s="358" t="str">
        <f t="shared" si="119"/>
        <v>2007AllSexNon-Maori23Firearms and explosives</v>
      </c>
      <c r="U2346" s="360">
        <v>2007</v>
      </c>
      <c r="V2346" s="360" t="s">
        <v>17</v>
      </c>
      <c r="W2346" s="360" t="s">
        <v>19</v>
      </c>
      <c r="X2346" s="360">
        <v>23</v>
      </c>
      <c r="Y2346" s="360" t="s">
        <v>42</v>
      </c>
      <c r="Z2346" s="360">
        <v>15</v>
      </c>
      <c r="AA2346" s="360">
        <v>163</v>
      </c>
      <c r="AB2346" s="360">
        <v>9.1999999999999993</v>
      </c>
    </row>
    <row r="2347" spans="10:28" x14ac:dyDescent="0.2">
      <c r="J2347" s="358" t="str">
        <f t="shared" si="118"/>
        <v>2008FemaleAllEth244</v>
      </c>
      <c r="K2347" s="359">
        <v>2008</v>
      </c>
      <c r="L2347" t="s">
        <v>8</v>
      </c>
      <c r="M2347" t="s">
        <v>27</v>
      </c>
      <c r="N2347">
        <v>24</v>
      </c>
      <c r="O2347">
        <v>4</v>
      </c>
      <c r="P2347">
        <v>5</v>
      </c>
      <c r="Q2347">
        <v>5.1316631630391196</v>
      </c>
      <c r="R2347">
        <v>4.5</v>
      </c>
      <c r="T2347" s="358" t="str">
        <f t="shared" si="119"/>
        <v>2007AllSexNon-Maori24Firearms and explosives</v>
      </c>
      <c r="U2347" s="360">
        <v>2007</v>
      </c>
      <c r="V2347" s="360" t="s">
        <v>17</v>
      </c>
      <c r="W2347" s="360" t="s">
        <v>19</v>
      </c>
      <c r="X2347" s="360">
        <v>24</v>
      </c>
      <c r="Y2347" s="360" t="s">
        <v>42</v>
      </c>
      <c r="Z2347" s="360">
        <v>10</v>
      </c>
      <c r="AA2347" s="360">
        <v>130</v>
      </c>
      <c r="AB2347" s="360">
        <v>7.7</v>
      </c>
    </row>
    <row r="2348" spans="10:28" x14ac:dyDescent="0.2">
      <c r="J2348" s="358" t="str">
        <f t="shared" si="118"/>
        <v>2008FemaleAllEth245</v>
      </c>
      <c r="K2348" s="359">
        <v>2008</v>
      </c>
      <c r="L2348" t="s">
        <v>8</v>
      </c>
      <c r="M2348" t="s">
        <v>27</v>
      </c>
      <c r="N2348">
        <v>24</v>
      </c>
      <c r="O2348">
        <v>5</v>
      </c>
      <c r="P2348">
        <v>2</v>
      </c>
      <c r="Q2348">
        <v>2.3061888115214502</v>
      </c>
      <c r="R2348">
        <v>3.2</v>
      </c>
      <c r="T2348" s="358" t="str">
        <f t="shared" si="119"/>
        <v>2007AllSexNon-Maori25Firearms and explosives</v>
      </c>
      <c r="U2348" s="360">
        <v>2007</v>
      </c>
      <c r="V2348" s="360" t="s">
        <v>17</v>
      </c>
      <c r="W2348" s="360" t="s">
        <v>19</v>
      </c>
      <c r="X2348" s="360">
        <v>25</v>
      </c>
      <c r="Y2348" s="360" t="s">
        <v>42</v>
      </c>
      <c r="Z2348" s="360">
        <v>13</v>
      </c>
      <c r="AA2348" s="360">
        <v>49</v>
      </c>
      <c r="AB2348" s="360">
        <v>26.5</v>
      </c>
    </row>
    <row r="2349" spans="10:28" x14ac:dyDescent="0.2">
      <c r="J2349" s="358" t="str">
        <f t="shared" si="118"/>
        <v>2008FemaleAllEth251</v>
      </c>
      <c r="K2349" s="359">
        <v>2008</v>
      </c>
      <c r="L2349" t="s">
        <v>8</v>
      </c>
      <c r="M2349" t="s">
        <v>27</v>
      </c>
      <c r="N2349">
        <v>25</v>
      </c>
      <c r="O2349">
        <v>1</v>
      </c>
      <c r="P2349">
        <v>1</v>
      </c>
      <c r="Q2349">
        <v>1.87059287189249</v>
      </c>
      <c r="R2349">
        <v>3.7</v>
      </c>
      <c r="T2349" s="358" t="str">
        <f t="shared" si="119"/>
        <v>2007AllSexNon-Maori21Hanging, strangulation and suffocation</v>
      </c>
      <c r="U2349" s="360">
        <v>2007</v>
      </c>
      <c r="V2349" s="360" t="s">
        <v>17</v>
      </c>
      <c r="W2349" s="360" t="s">
        <v>19</v>
      </c>
      <c r="X2349" s="360">
        <v>21</v>
      </c>
      <c r="Y2349" s="360" t="s">
        <v>43</v>
      </c>
      <c r="Z2349" s="360">
        <v>1</v>
      </c>
      <c r="AA2349" s="360">
        <v>1</v>
      </c>
      <c r="AB2349" s="360">
        <v>100</v>
      </c>
    </row>
    <row r="2350" spans="10:28" x14ac:dyDescent="0.2">
      <c r="J2350" s="358" t="str">
        <f t="shared" si="118"/>
        <v>2008FemaleAllEth252</v>
      </c>
      <c r="K2350" s="359">
        <v>2008</v>
      </c>
      <c r="L2350" t="s">
        <v>8</v>
      </c>
      <c r="M2350" t="s">
        <v>27</v>
      </c>
      <c r="N2350">
        <v>25</v>
      </c>
      <c r="O2350">
        <v>2</v>
      </c>
      <c r="P2350">
        <v>2</v>
      </c>
      <c r="Q2350">
        <v>3.33745663074105</v>
      </c>
      <c r="R2350">
        <v>4.5999999999999996</v>
      </c>
      <c r="T2350" s="358" t="str">
        <f t="shared" si="119"/>
        <v>2007AllSexNon-Maori22Hanging, strangulation and suffocation</v>
      </c>
      <c r="U2350" s="360">
        <v>2007</v>
      </c>
      <c r="V2350" s="360" t="s">
        <v>17</v>
      </c>
      <c r="W2350" s="360" t="s">
        <v>19</v>
      </c>
      <c r="X2350" s="360">
        <v>22</v>
      </c>
      <c r="Y2350" s="360" t="s">
        <v>43</v>
      </c>
      <c r="Z2350" s="360">
        <v>46</v>
      </c>
      <c r="AA2350" s="360">
        <v>61</v>
      </c>
      <c r="AB2350" s="360">
        <v>75.400000000000006</v>
      </c>
    </row>
    <row r="2351" spans="10:28" x14ac:dyDescent="0.2">
      <c r="J2351" s="358" t="str">
        <f t="shared" si="118"/>
        <v>2008FemaleAllEth253</v>
      </c>
      <c r="K2351" s="359">
        <v>2008</v>
      </c>
      <c r="L2351" t="s">
        <v>8</v>
      </c>
      <c r="M2351" t="s">
        <v>27</v>
      </c>
      <c r="N2351">
        <v>25</v>
      </c>
      <c r="O2351">
        <v>3</v>
      </c>
      <c r="P2351">
        <v>5</v>
      </c>
      <c r="Q2351">
        <v>7.8459538741241097</v>
      </c>
      <c r="R2351">
        <v>6.9</v>
      </c>
      <c r="T2351" s="358" t="str">
        <f t="shared" si="119"/>
        <v>2007AllSexNon-Maori23Hanging, strangulation and suffocation</v>
      </c>
      <c r="U2351" s="360">
        <v>2007</v>
      </c>
      <c r="V2351" s="360" t="s">
        <v>17</v>
      </c>
      <c r="W2351" s="360" t="s">
        <v>19</v>
      </c>
      <c r="X2351" s="360">
        <v>23</v>
      </c>
      <c r="Y2351" s="360" t="s">
        <v>43</v>
      </c>
      <c r="Z2351" s="360">
        <v>92</v>
      </c>
      <c r="AA2351" s="360">
        <v>163</v>
      </c>
      <c r="AB2351" s="360">
        <v>56.4</v>
      </c>
    </row>
    <row r="2352" spans="10:28" x14ac:dyDescent="0.2">
      <c r="J2352" s="358" t="str">
        <f t="shared" si="118"/>
        <v>2008FemaleAllEth254</v>
      </c>
      <c r="K2352" s="359">
        <v>2008</v>
      </c>
      <c r="L2352" t="s">
        <v>8</v>
      </c>
      <c r="M2352" t="s">
        <v>27</v>
      </c>
      <c r="N2352">
        <v>25</v>
      </c>
      <c r="O2352">
        <v>4</v>
      </c>
      <c r="P2352">
        <v>4</v>
      </c>
      <c r="Q2352">
        <v>6.0529517113104401</v>
      </c>
      <c r="R2352">
        <v>5.9</v>
      </c>
      <c r="T2352" s="358" t="str">
        <f t="shared" si="119"/>
        <v>2007AllSexNon-Maori24Hanging, strangulation and suffocation</v>
      </c>
      <c r="U2352" s="360">
        <v>2007</v>
      </c>
      <c r="V2352" s="360" t="s">
        <v>17</v>
      </c>
      <c r="W2352" s="360" t="s">
        <v>19</v>
      </c>
      <c r="X2352" s="360">
        <v>24</v>
      </c>
      <c r="Y2352" s="360" t="s">
        <v>43</v>
      </c>
      <c r="Z2352" s="360">
        <v>56</v>
      </c>
      <c r="AA2352" s="360">
        <v>130</v>
      </c>
      <c r="AB2352" s="360">
        <v>43.1</v>
      </c>
    </row>
    <row r="2353" spans="10:28" x14ac:dyDescent="0.2">
      <c r="J2353" s="358" t="str">
        <f t="shared" si="118"/>
        <v>2008FemaleAllEth255</v>
      </c>
      <c r="K2353" s="359">
        <v>2008</v>
      </c>
      <c r="L2353" t="s">
        <v>8</v>
      </c>
      <c r="M2353" t="s">
        <v>27</v>
      </c>
      <c r="N2353">
        <v>25</v>
      </c>
      <c r="O2353">
        <v>5</v>
      </c>
      <c r="P2353">
        <v>1</v>
      </c>
      <c r="Q2353">
        <v>1.9851288041494699</v>
      </c>
      <c r="R2353">
        <v>3.9</v>
      </c>
      <c r="T2353" s="358" t="str">
        <f t="shared" si="119"/>
        <v>2007AllSexNon-Maori25Hanging, strangulation and suffocation</v>
      </c>
      <c r="U2353" s="360">
        <v>2007</v>
      </c>
      <c r="V2353" s="360" t="s">
        <v>17</v>
      </c>
      <c r="W2353" s="360" t="s">
        <v>19</v>
      </c>
      <c r="X2353" s="360">
        <v>25</v>
      </c>
      <c r="Y2353" s="360" t="s">
        <v>43</v>
      </c>
      <c r="Z2353" s="360">
        <v>18</v>
      </c>
      <c r="AA2353" s="360">
        <v>49</v>
      </c>
      <c r="AB2353" s="360">
        <v>36.700000000000003</v>
      </c>
    </row>
    <row r="2354" spans="10:28" x14ac:dyDescent="0.2">
      <c r="J2354" s="358" t="str">
        <f t="shared" si="118"/>
        <v>2008FemaleMaori211</v>
      </c>
      <c r="K2354" s="359">
        <v>2008</v>
      </c>
      <c r="L2354" t="s">
        <v>8</v>
      </c>
      <c r="M2354" t="s">
        <v>18</v>
      </c>
      <c r="N2354">
        <v>21</v>
      </c>
      <c r="O2354">
        <v>1</v>
      </c>
      <c r="P2354">
        <v>0</v>
      </c>
      <c r="T2354" s="358" t="str">
        <f t="shared" si="119"/>
        <v>2007AllSexNon-Maori22Jumping from a high place</v>
      </c>
      <c r="U2354" s="360">
        <v>2007</v>
      </c>
      <c r="V2354" s="360" t="s">
        <v>17</v>
      </c>
      <c r="W2354" s="360" t="s">
        <v>19</v>
      </c>
      <c r="X2354" s="360">
        <v>22</v>
      </c>
      <c r="Y2354" s="360" t="s">
        <v>44</v>
      </c>
      <c r="Z2354" s="360">
        <v>1</v>
      </c>
      <c r="AA2354" s="360">
        <v>61</v>
      </c>
      <c r="AB2354" s="360">
        <v>1.6</v>
      </c>
    </row>
    <row r="2355" spans="10:28" x14ac:dyDescent="0.2">
      <c r="J2355" s="358" t="str">
        <f t="shared" si="118"/>
        <v>2008FemaleMaori212</v>
      </c>
      <c r="K2355" s="359">
        <v>2008</v>
      </c>
      <c r="L2355" t="s">
        <v>8</v>
      </c>
      <c r="M2355" t="s">
        <v>18</v>
      </c>
      <c r="N2355">
        <v>21</v>
      </c>
      <c r="O2355">
        <v>2</v>
      </c>
      <c r="P2355">
        <v>0</v>
      </c>
      <c r="T2355" s="358" t="str">
        <f t="shared" si="119"/>
        <v>2007AllSexNon-Maori23Jumping from a high place</v>
      </c>
      <c r="U2355" s="360">
        <v>2007</v>
      </c>
      <c r="V2355" s="360" t="s">
        <v>17</v>
      </c>
      <c r="W2355" s="360" t="s">
        <v>19</v>
      </c>
      <c r="X2355" s="360">
        <v>23</v>
      </c>
      <c r="Y2355" s="360" t="s">
        <v>44</v>
      </c>
      <c r="Z2355" s="360">
        <v>8</v>
      </c>
      <c r="AA2355" s="360">
        <v>163</v>
      </c>
      <c r="AB2355" s="360">
        <v>4.9000000000000004</v>
      </c>
    </row>
    <row r="2356" spans="10:28" x14ac:dyDescent="0.2">
      <c r="J2356" s="358" t="str">
        <f t="shared" si="118"/>
        <v>2008FemaleMaori213</v>
      </c>
      <c r="K2356" s="359">
        <v>2008</v>
      </c>
      <c r="L2356" t="s">
        <v>8</v>
      </c>
      <c r="M2356" t="s">
        <v>18</v>
      </c>
      <c r="N2356">
        <v>21</v>
      </c>
      <c r="O2356">
        <v>3</v>
      </c>
      <c r="P2356">
        <v>1</v>
      </c>
      <c r="T2356" s="358" t="str">
        <f t="shared" si="119"/>
        <v>2007AllSexNon-Maori24Jumping from a high place</v>
      </c>
      <c r="U2356" s="360">
        <v>2007</v>
      </c>
      <c r="V2356" s="360" t="s">
        <v>17</v>
      </c>
      <c r="W2356" s="360" t="s">
        <v>19</v>
      </c>
      <c r="X2356" s="360">
        <v>24</v>
      </c>
      <c r="Y2356" s="360" t="s">
        <v>44</v>
      </c>
      <c r="Z2356" s="360">
        <v>3</v>
      </c>
      <c r="AA2356" s="360">
        <v>130</v>
      </c>
      <c r="AB2356" s="360">
        <v>2.2999999999999998</v>
      </c>
    </row>
    <row r="2357" spans="10:28" x14ac:dyDescent="0.2">
      <c r="J2357" s="358" t="str">
        <f t="shared" si="118"/>
        <v>2008FemaleMaori214</v>
      </c>
      <c r="K2357" s="359">
        <v>2008</v>
      </c>
      <c r="L2357" t="s">
        <v>8</v>
      </c>
      <c r="M2357" t="s">
        <v>18</v>
      </c>
      <c r="N2357">
        <v>21</v>
      </c>
      <c r="O2357">
        <v>4</v>
      </c>
      <c r="P2357">
        <v>0</v>
      </c>
      <c r="T2357" s="358" t="str">
        <f t="shared" si="119"/>
        <v>2007AllSexNon-Maori22Other</v>
      </c>
      <c r="U2357" s="360">
        <v>2007</v>
      </c>
      <c r="V2357" s="360" t="s">
        <v>17</v>
      </c>
      <c r="W2357" s="360" t="s">
        <v>19</v>
      </c>
      <c r="X2357" s="360">
        <v>22</v>
      </c>
      <c r="Y2357" s="360" t="s">
        <v>45</v>
      </c>
      <c r="Z2357" s="360">
        <v>3</v>
      </c>
      <c r="AA2357" s="360">
        <v>61</v>
      </c>
      <c r="AB2357" s="360">
        <v>4.9000000000000004</v>
      </c>
    </row>
    <row r="2358" spans="10:28" x14ac:dyDescent="0.2">
      <c r="J2358" s="358" t="str">
        <f t="shared" si="118"/>
        <v>2008FemaleMaori215</v>
      </c>
      <c r="K2358" s="359">
        <v>2008</v>
      </c>
      <c r="L2358" t="s">
        <v>8</v>
      </c>
      <c r="M2358" t="s">
        <v>18</v>
      </c>
      <c r="N2358">
        <v>21</v>
      </c>
      <c r="O2358">
        <v>5</v>
      </c>
      <c r="P2358">
        <v>1</v>
      </c>
      <c r="T2358" s="358" t="str">
        <f t="shared" si="119"/>
        <v>2007AllSexNon-Maori23Other</v>
      </c>
      <c r="U2358" s="360">
        <v>2007</v>
      </c>
      <c r="V2358" s="360" t="s">
        <v>17</v>
      </c>
      <c r="W2358" s="360" t="s">
        <v>19</v>
      </c>
      <c r="X2358" s="360">
        <v>23</v>
      </c>
      <c r="Y2358" s="360" t="s">
        <v>45</v>
      </c>
      <c r="Z2358" s="360">
        <v>3</v>
      </c>
      <c r="AA2358" s="360">
        <v>163</v>
      </c>
      <c r="AB2358" s="360">
        <v>1.8</v>
      </c>
    </row>
    <row r="2359" spans="10:28" x14ac:dyDescent="0.2">
      <c r="J2359" s="358" t="str">
        <f t="shared" si="118"/>
        <v>2008FemaleMaori221</v>
      </c>
      <c r="K2359" s="359">
        <v>2008</v>
      </c>
      <c r="L2359" t="s">
        <v>8</v>
      </c>
      <c r="M2359" t="s">
        <v>18</v>
      </c>
      <c r="N2359">
        <v>22</v>
      </c>
      <c r="O2359">
        <v>1</v>
      </c>
      <c r="P2359">
        <v>1</v>
      </c>
      <c r="Q2359">
        <v>24.112140056887799</v>
      </c>
      <c r="R2359">
        <v>47.3</v>
      </c>
      <c r="T2359" s="358" t="str">
        <f t="shared" si="119"/>
        <v>2007AllSexNon-Maori24Other</v>
      </c>
      <c r="U2359" s="360">
        <v>2007</v>
      </c>
      <c r="V2359" s="360" t="s">
        <v>17</v>
      </c>
      <c r="W2359" s="360" t="s">
        <v>19</v>
      </c>
      <c r="X2359" s="360">
        <v>24</v>
      </c>
      <c r="Y2359" s="360" t="s">
        <v>45</v>
      </c>
      <c r="Z2359" s="360">
        <v>10</v>
      </c>
      <c r="AA2359" s="360">
        <v>130</v>
      </c>
      <c r="AB2359" s="360">
        <v>7.7</v>
      </c>
    </row>
    <row r="2360" spans="10:28" x14ac:dyDescent="0.2">
      <c r="J2360" s="358" t="str">
        <f t="shared" si="118"/>
        <v>2008FemaleMaori222</v>
      </c>
      <c r="K2360" s="359">
        <v>2008</v>
      </c>
      <c r="L2360" t="s">
        <v>8</v>
      </c>
      <c r="M2360" t="s">
        <v>18</v>
      </c>
      <c r="N2360">
        <v>22</v>
      </c>
      <c r="O2360">
        <v>2</v>
      </c>
      <c r="P2360">
        <v>2</v>
      </c>
      <c r="Q2360">
        <v>32.300100303626699</v>
      </c>
      <c r="R2360">
        <v>44.8</v>
      </c>
      <c r="T2360" s="358" t="str">
        <f t="shared" si="119"/>
        <v>2007AllSexNon-Maori25Other</v>
      </c>
      <c r="U2360" s="360">
        <v>2007</v>
      </c>
      <c r="V2360" s="360" t="s">
        <v>17</v>
      </c>
      <c r="W2360" s="360" t="s">
        <v>19</v>
      </c>
      <c r="X2360" s="360">
        <v>25</v>
      </c>
      <c r="Y2360" s="360" t="s">
        <v>45</v>
      </c>
      <c r="Z2360" s="360">
        <v>1</v>
      </c>
      <c r="AA2360" s="360">
        <v>49</v>
      </c>
      <c r="AB2360" s="360">
        <v>2</v>
      </c>
    </row>
    <row r="2361" spans="10:28" x14ac:dyDescent="0.2">
      <c r="J2361" s="358" t="str">
        <f t="shared" si="118"/>
        <v>2008FemaleMaori223</v>
      </c>
      <c r="K2361" s="359">
        <v>2008</v>
      </c>
      <c r="L2361" t="s">
        <v>8</v>
      </c>
      <c r="M2361" t="s">
        <v>18</v>
      </c>
      <c r="N2361">
        <v>22</v>
      </c>
      <c r="O2361">
        <v>3</v>
      </c>
      <c r="P2361">
        <v>3</v>
      </c>
      <c r="Q2361">
        <v>31.167790699464501</v>
      </c>
      <c r="R2361">
        <v>35.299999999999997</v>
      </c>
      <c r="T2361" s="358" t="str">
        <f t="shared" si="119"/>
        <v>2007AllSexNon-Maori22Poisoning by gases and vapours</v>
      </c>
      <c r="U2361" s="360">
        <v>2007</v>
      </c>
      <c r="V2361" s="360" t="s">
        <v>17</v>
      </c>
      <c r="W2361" s="360" t="s">
        <v>19</v>
      </c>
      <c r="X2361" s="360">
        <v>22</v>
      </c>
      <c r="Y2361" s="360" t="s">
        <v>46</v>
      </c>
      <c r="Z2361" s="360">
        <v>5</v>
      </c>
      <c r="AA2361" s="360">
        <v>61</v>
      </c>
      <c r="AB2361" s="360">
        <v>8.1999999999999993</v>
      </c>
    </row>
    <row r="2362" spans="10:28" x14ac:dyDescent="0.2">
      <c r="J2362" s="358" t="str">
        <f t="shared" si="118"/>
        <v>2008FemaleMaori224</v>
      </c>
      <c r="K2362" s="359">
        <v>2008</v>
      </c>
      <c r="L2362" t="s">
        <v>8</v>
      </c>
      <c r="M2362" t="s">
        <v>18</v>
      </c>
      <c r="N2362">
        <v>22</v>
      </c>
      <c r="O2362">
        <v>4</v>
      </c>
      <c r="P2362">
        <v>4</v>
      </c>
      <c r="Q2362">
        <v>27.484332875324601</v>
      </c>
      <c r="R2362">
        <v>26.9</v>
      </c>
      <c r="T2362" s="358" t="str">
        <f t="shared" si="119"/>
        <v>2007AllSexNon-Maori23Poisoning by gases and vapours</v>
      </c>
      <c r="U2362" s="360">
        <v>2007</v>
      </c>
      <c r="V2362" s="360" t="s">
        <v>17</v>
      </c>
      <c r="W2362" s="360" t="s">
        <v>19</v>
      </c>
      <c r="X2362" s="360">
        <v>23</v>
      </c>
      <c r="Y2362" s="360" t="s">
        <v>46</v>
      </c>
      <c r="Z2362" s="360">
        <v>28</v>
      </c>
      <c r="AA2362" s="360">
        <v>163</v>
      </c>
      <c r="AB2362" s="360">
        <v>17.2</v>
      </c>
    </row>
    <row r="2363" spans="10:28" x14ac:dyDescent="0.2">
      <c r="J2363" s="358" t="str">
        <f t="shared" si="118"/>
        <v>2008FemaleMaori225</v>
      </c>
      <c r="K2363" s="359">
        <v>2008</v>
      </c>
      <c r="L2363" t="s">
        <v>8</v>
      </c>
      <c r="M2363" t="s">
        <v>18</v>
      </c>
      <c r="N2363">
        <v>22</v>
      </c>
      <c r="O2363">
        <v>5</v>
      </c>
      <c r="P2363">
        <v>7</v>
      </c>
      <c r="Q2363">
        <v>26.6344891703108</v>
      </c>
      <c r="R2363">
        <v>19.7</v>
      </c>
      <c r="T2363" s="358" t="str">
        <f t="shared" si="119"/>
        <v>2007AllSexNon-Maori24Poisoning by gases and vapours</v>
      </c>
      <c r="U2363" s="360">
        <v>2007</v>
      </c>
      <c r="V2363" s="360" t="s">
        <v>17</v>
      </c>
      <c r="W2363" s="360" t="s">
        <v>19</v>
      </c>
      <c r="X2363" s="360">
        <v>24</v>
      </c>
      <c r="Y2363" s="360" t="s">
        <v>46</v>
      </c>
      <c r="Z2363" s="360">
        <v>26</v>
      </c>
      <c r="AA2363" s="360">
        <v>130</v>
      </c>
      <c r="AB2363" s="360">
        <v>20</v>
      </c>
    </row>
    <row r="2364" spans="10:28" x14ac:dyDescent="0.2">
      <c r="J2364" s="358" t="str">
        <f t="shared" si="118"/>
        <v>2008FemaleMaori231</v>
      </c>
      <c r="K2364" s="359">
        <v>2008</v>
      </c>
      <c r="L2364" t="s">
        <v>8</v>
      </c>
      <c r="M2364" t="s">
        <v>18</v>
      </c>
      <c r="N2364">
        <v>23</v>
      </c>
      <c r="O2364">
        <v>1</v>
      </c>
      <c r="P2364">
        <v>0</v>
      </c>
      <c r="Q2364">
        <v>0</v>
      </c>
      <c r="T2364" s="358" t="str">
        <f t="shared" si="119"/>
        <v>2007AllSexNon-Maori25Poisoning by gases and vapours</v>
      </c>
      <c r="U2364" s="360">
        <v>2007</v>
      </c>
      <c r="V2364" s="360" t="s">
        <v>17</v>
      </c>
      <c r="W2364" s="360" t="s">
        <v>19</v>
      </c>
      <c r="X2364" s="360">
        <v>25</v>
      </c>
      <c r="Y2364" s="360" t="s">
        <v>46</v>
      </c>
      <c r="Z2364" s="360">
        <v>7</v>
      </c>
      <c r="AA2364" s="360">
        <v>49</v>
      </c>
      <c r="AB2364" s="360">
        <v>14.3</v>
      </c>
    </row>
    <row r="2365" spans="10:28" x14ac:dyDescent="0.2">
      <c r="J2365" s="358" t="str">
        <f t="shared" si="118"/>
        <v>2008FemaleMaori232</v>
      </c>
      <c r="K2365" s="359">
        <v>2008</v>
      </c>
      <c r="L2365" t="s">
        <v>8</v>
      </c>
      <c r="M2365" t="s">
        <v>18</v>
      </c>
      <c r="N2365">
        <v>23</v>
      </c>
      <c r="O2365">
        <v>2</v>
      </c>
      <c r="P2365">
        <v>1</v>
      </c>
      <c r="Q2365">
        <v>9.8902008607989096</v>
      </c>
      <c r="R2365">
        <v>19.399999999999999</v>
      </c>
      <c r="T2365" s="358" t="str">
        <f t="shared" si="119"/>
        <v>2007AllSexNon-Maori22Poisoning by solids and liquids</v>
      </c>
      <c r="U2365" s="360">
        <v>2007</v>
      </c>
      <c r="V2365" s="360" t="s">
        <v>17</v>
      </c>
      <c r="W2365" s="360" t="s">
        <v>19</v>
      </c>
      <c r="X2365" s="360">
        <v>22</v>
      </c>
      <c r="Y2365" s="360" t="s">
        <v>47</v>
      </c>
      <c r="Z2365" s="360">
        <v>1</v>
      </c>
      <c r="AA2365" s="360">
        <v>61</v>
      </c>
      <c r="AB2365" s="360">
        <v>1.6</v>
      </c>
    </row>
    <row r="2366" spans="10:28" x14ac:dyDescent="0.2">
      <c r="J2366" s="358" t="str">
        <f t="shared" si="118"/>
        <v>2008FemaleMaori233</v>
      </c>
      <c r="K2366" s="359">
        <v>2008</v>
      </c>
      <c r="L2366" t="s">
        <v>8</v>
      </c>
      <c r="M2366" t="s">
        <v>18</v>
      </c>
      <c r="N2366">
        <v>23</v>
      </c>
      <c r="O2366">
        <v>3</v>
      </c>
      <c r="P2366">
        <v>1</v>
      </c>
      <c r="Q2366">
        <v>7.00254438871338</v>
      </c>
      <c r="R2366">
        <v>13.7</v>
      </c>
      <c r="T2366" s="358" t="str">
        <f t="shared" si="119"/>
        <v>2007AllSexNon-Maori23Poisoning by solids and liquids</v>
      </c>
      <c r="U2366" s="360">
        <v>2007</v>
      </c>
      <c r="V2366" s="360" t="s">
        <v>17</v>
      </c>
      <c r="W2366" s="360" t="s">
        <v>19</v>
      </c>
      <c r="X2366" s="360">
        <v>23</v>
      </c>
      <c r="Y2366" s="360" t="s">
        <v>47</v>
      </c>
      <c r="Z2366" s="360">
        <v>12</v>
      </c>
      <c r="AA2366" s="360">
        <v>163</v>
      </c>
      <c r="AB2366" s="360">
        <v>7.4</v>
      </c>
    </row>
    <row r="2367" spans="10:28" x14ac:dyDescent="0.2">
      <c r="J2367" s="358" t="str">
        <f t="shared" si="118"/>
        <v>2008FemaleMaori234</v>
      </c>
      <c r="K2367" s="359">
        <v>2008</v>
      </c>
      <c r="L2367" t="s">
        <v>8</v>
      </c>
      <c r="M2367" t="s">
        <v>18</v>
      </c>
      <c r="N2367">
        <v>23</v>
      </c>
      <c r="O2367">
        <v>4</v>
      </c>
      <c r="P2367">
        <v>1</v>
      </c>
      <c r="Q2367">
        <v>4.7079508623352098</v>
      </c>
      <c r="R2367">
        <v>9.1999999999999993</v>
      </c>
      <c r="T2367" s="358" t="str">
        <f t="shared" si="119"/>
        <v>2007AllSexNon-Maori24Poisoning by solids and liquids</v>
      </c>
      <c r="U2367" s="360">
        <v>2007</v>
      </c>
      <c r="V2367" s="360" t="s">
        <v>17</v>
      </c>
      <c r="W2367" s="360" t="s">
        <v>19</v>
      </c>
      <c r="X2367" s="360">
        <v>24</v>
      </c>
      <c r="Y2367" s="360" t="s">
        <v>47</v>
      </c>
      <c r="Z2367" s="360">
        <v>20</v>
      </c>
      <c r="AA2367" s="360">
        <v>130</v>
      </c>
      <c r="AB2367" s="360">
        <v>15.4</v>
      </c>
    </row>
    <row r="2368" spans="10:28" x14ac:dyDescent="0.2">
      <c r="J2368" s="358" t="str">
        <f t="shared" si="118"/>
        <v>2008FemaleMaori235</v>
      </c>
      <c r="K2368" s="359">
        <v>2008</v>
      </c>
      <c r="L2368" t="s">
        <v>8</v>
      </c>
      <c r="M2368" t="s">
        <v>18</v>
      </c>
      <c r="N2368">
        <v>23</v>
      </c>
      <c r="O2368">
        <v>5</v>
      </c>
      <c r="P2368">
        <v>6</v>
      </c>
      <c r="Q2368">
        <v>16.387294463601702</v>
      </c>
      <c r="R2368">
        <v>13.1</v>
      </c>
      <c r="T2368" s="358" t="str">
        <f t="shared" si="119"/>
        <v>2007AllSexNon-Maori25Poisoning by solids and liquids</v>
      </c>
      <c r="U2368" s="360">
        <v>2007</v>
      </c>
      <c r="V2368" s="360" t="s">
        <v>17</v>
      </c>
      <c r="W2368" s="360" t="s">
        <v>19</v>
      </c>
      <c r="X2368" s="360">
        <v>25</v>
      </c>
      <c r="Y2368" s="360" t="s">
        <v>47</v>
      </c>
      <c r="Z2368" s="360">
        <v>6</v>
      </c>
      <c r="AA2368" s="360">
        <v>49</v>
      </c>
      <c r="AB2368" s="360">
        <v>12.2</v>
      </c>
    </row>
    <row r="2369" spans="10:28" x14ac:dyDescent="0.2">
      <c r="J2369" s="358" t="str">
        <f t="shared" si="118"/>
        <v>2008FemaleMaori241</v>
      </c>
      <c r="K2369" s="359">
        <v>2008</v>
      </c>
      <c r="L2369" t="s">
        <v>8</v>
      </c>
      <c r="M2369" t="s">
        <v>18</v>
      </c>
      <c r="N2369">
        <v>24</v>
      </c>
      <c r="O2369">
        <v>1</v>
      </c>
      <c r="P2369">
        <v>0</v>
      </c>
      <c r="Q2369">
        <v>0</v>
      </c>
      <c r="T2369" s="358" t="str">
        <f t="shared" si="119"/>
        <v>2007AllSexNon-Maori23Sharp object</v>
      </c>
      <c r="U2369" s="360">
        <v>2007</v>
      </c>
      <c r="V2369" s="360" t="s">
        <v>17</v>
      </c>
      <c r="W2369" s="360" t="s">
        <v>19</v>
      </c>
      <c r="X2369" s="360">
        <v>23</v>
      </c>
      <c r="Y2369" s="360" t="s">
        <v>48</v>
      </c>
      <c r="Z2369" s="360">
        <v>2</v>
      </c>
      <c r="AA2369" s="360">
        <v>163</v>
      </c>
      <c r="AB2369" s="360">
        <v>1.2</v>
      </c>
    </row>
    <row r="2370" spans="10:28" x14ac:dyDescent="0.2">
      <c r="J2370" s="358" t="str">
        <f t="shared" si="118"/>
        <v>2008FemaleMaori242</v>
      </c>
      <c r="K2370" s="359">
        <v>2008</v>
      </c>
      <c r="L2370" t="s">
        <v>8</v>
      </c>
      <c r="M2370" t="s">
        <v>18</v>
      </c>
      <c r="N2370">
        <v>24</v>
      </c>
      <c r="O2370">
        <v>2</v>
      </c>
      <c r="P2370">
        <v>0</v>
      </c>
      <c r="Q2370">
        <v>0</v>
      </c>
      <c r="T2370" s="358" t="str">
        <f t="shared" si="119"/>
        <v>2007AllSexNon-Maori24Sharp object</v>
      </c>
      <c r="U2370" s="360">
        <v>2007</v>
      </c>
      <c r="V2370" s="360" t="s">
        <v>17</v>
      </c>
      <c r="W2370" s="360" t="s">
        <v>19</v>
      </c>
      <c r="X2370" s="360">
        <v>24</v>
      </c>
      <c r="Y2370" s="360" t="s">
        <v>48</v>
      </c>
      <c r="Z2370" s="360">
        <v>2</v>
      </c>
      <c r="AA2370" s="360">
        <v>130</v>
      </c>
      <c r="AB2370" s="360">
        <v>1.5</v>
      </c>
    </row>
    <row r="2371" spans="10:28" x14ac:dyDescent="0.2">
      <c r="J2371" s="358" t="str">
        <f t="shared" si="118"/>
        <v>2008FemaleMaori243</v>
      </c>
      <c r="K2371" s="359">
        <v>2008</v>
      </c>
      <c r="L2371" t="s">
        <v>8</v>
      </c>
      <c r="M2371" t="s">
        <v>18</v>
      </c>
      <c r="N2371">
        <v>24</v>
      </c>
      <c r="O2371">
        <v>3</v>
      </c>
      <c r="P2371">
        <v>1</v>
      </c>
      <c r="Q2371">
        <v>11.560806609378099</v>
      </c>
      <c r="R2371">
        <v>22.7</v>
      </c>
      <c r="T2371" s="358" t="str">
        <f t="shared" si="119"/>
        <v>2007AllSexNon-Maori25Sharp object</v>
      </c>
      <c r="U2371" s="360">
        <v>2007</v>
      </c>
      <c r="V2371" s="360" t="s">
        <v>17</v>
      </c>
      <c r="W2371" s="360" t="s">
        <v>19</v>
      </c>
      <c r="X2371" s="360">
        <v>25</v>
      </c>
      <c r="Y2371" s="360" t="s">
        <v>48</v>
      </c>
      <c r="Z2371" s="360">
        <v>2</v>
      </c>
      <c r="AA2371" s="360">
        <v>49</v>
      </c>
      <c r="AB2371" s="360">
        <v>4.0999999999999996</v>
      </c>
    </row>
    <row r="2372" spans="10:28" x14ac:dyDescent="0.2">
      <c r="J2372" s="358" t="str">
        <f t="shared" ref="J2372:J2435" si="120">K2372&amp;L2372&amp;M2372&amp;N2372&amp;O2372</f>
        <v>2008FemaleMaori244</v>
      </c>
      <c r="K2372" s="359">
        <v>2008</v>
      </c>
      <c r="L2372" t="s">
        <v>8</v>
      </c>
      <c r="M2372" t="s">
        <v>18</v>
      </c>
      <c r="N2372">
        <v>24</v>
      </c>
      <c r="O2372">
        <v>4</v>
      </c>
      <c r="P2372">
        <v>1</v>
      </c>
      <c r="Q2372">
        <v>7.6583467551318201</v>
      </c>
      <c r="R2372">
        <v>15</v>
      </c>
      <c r="T2372" s="358" t="str">
        <f t="shared" si="119"/>
        <v>2007AllSexNon-Maori22Submersion (drowning)</v>
      </c>
      <c r="U2372" s="360">
        <v>2007</v>
      </c>
      <c r="V2372" s="360" t="s">
        <v>17</v>
      </c>
      <c r="W2372" s="360" t="s">
        <v>19</v>
      </c>
      <c r="X2372" s="360">
        <v>22</v>
      </c>
      <c r="Y2372" s="360" t="s">
        <v>49</v>
      </c>
      <c r="Z2372" s="360">
        <v>1</v>
      </c>
      <c r="AA2372" s="360">
        <v>61</v>
      </c>
      <c r="AB2372" s="360">
        <v>1.6</v>
      </c>
    </row>
    <row r="2373" spans="10:28" x14ac:dyDescent="0.2">
      <c r="J2373" s="358" t="str">
        <f t="shared" si="120"/>
        <v>2008FemaleMaori245</v>
      </c>
      <c r="K2373" s="359">
        <v>2008</v>
      </c>
      <c r="L2373" t="s">
        <v>8</v>
      </c>
      <c r="M2373" t="s">
        <v>18</v>
      </c>
      <c r="N2373">
        <v>24</v>
      </c>
      <c r="O2373">
        <v>5</v>
      </c>
      <c r="P2373">
        <v>0</v>
      </c>
      <c r="Q2373">
        <v>0</v>
      </c>
      <c r="T2373" s="358" t="str">
        <f t="shared" ref="T2373:T2436" si="121">U2373&amp;V2373&amp;W2373&amp;X2373&amp;Y2373</f>
        <v>2007AllSexNon-Maori23Submersion (drowning)</v>
      </c>
      <c r="U2373" s="360">
        <v>2007</v>
      </c>
      <c r="V2373" s="360" t="s">
        <v>17</v>
      </c>
      <c r="W2373" s="360" t="s">
        <v>19</v>
      </c>
      <c r="X2373" s="360">
        <v>23</v>
      </c>
      <c r="Y2373" s="360" t="s">
        <v>49</v>
      </c>
      <c r="Z2373" s="360">
        <v>3</v>
      </c>
      <c r="AA2373" s="360">
        <v>163</v>
      </c>
      <c r="AB2373" s="360">
        <v>1.8</v>
      </c>
    </row>
    <row r="2374" spans="10:28" x14ac:dyDescent="0.2">
      <c r="J2374" s="358" t="str">
        <f t="shared" si="120"/>
        <v>2008FemaleMaori251</v>
      </c>
      <c r="K2374" s="359">
        <v>2008</v>
      </c>
      <c r="L2374" t="s">
        <v>8</v>
      </c>
      <c r="M2374" t="s">
        <v>18</v>
      </c>
      <c r="N2374">
        <v>25</v>
      </c>
      <c r="O2374">
        <v>1</v>
      </c>
      <c r="P2374">
        <v>0</v>
      </c>
      <c r="Q2374">
        <v>0</v>
      </c>
      <c r="T2374" s="358" t="str">
        <f t="shared" si="121"/>
        <v>2007AllSexNon-Maori24Submersion (drowning)</v>
      </c>
      <c r="U2374" s="360">
        <v>2007</v>
      </c>
      <c r="V2374" s="360" t="s">
        <v>17</v>
      </c>
      <c r="W2374" s="360" t="s">
        <v>19</v>
      </c>
      <c r="X2374" s="360">
        <v>24</v>
      </c>
      <c r="Y2374" s="360" t="s">
        <v>49</v>
      </c>
      <c r="Z2374" s="360">
        <v>3</v>
      </c>
      <c r="AA2374" s="360">
        <v>130</v>
      </c>
      <c r="AB2374" s="360">
        <v>2.2999999999999998</v>
      </c>
    </row>
    <row r="2375" spans="10:28" x14ac:dyDescent="0.2">
      <c r="J2375" s="358" t="str">
        <f t="shared" si="120"/>
        <v>2008FemaleMaori252</v>
      </c>
      <c r="K2375" s="359">
        <v>2008</v>
      </c>
      <c r="L2375" t="s">
        <v>8</v>
      </c>
      <c r="M2375" t="s">
        <v>18</v>
      </c>
      <c r="N2375">
        <v>25</v>
      </c>
      <c r="O2375">
        <v>2</v>
      </c>
      <c r="P2375">
        <v>0</v>
      </c>
      <c r="Q2375">
        <v>0</v>
      </c>
      <c r="T2375" s="358" t="str">
        <f t="shared" si="121"/>
        <v>2007AllSexNon-Maori25Submersion (drowning)</v>
      </c>
      <c r="U2375" s="360">
        <v>2007</v>
      </c>
      <c r="V2375" s="360" t="s">
        <v>17</v>
      </c>
      <c r="W2375" s="360" t="s">
        <v>19</v>
      </c>
      <c r="X2375" s="360">
        <v>25</v>
      </c>
      <c r="Y2375" s="360" t="s">
        <v>49</v>
      </c>
      <c r="Z2375" s="360">
        <v>2</v>
      </c>
      <c r="AA2375" s="360">
        <v>49</v>
      </c>
      <c r="AB2375" s="360">
        <v>4.0999999999999996</v>
      </c>
    </row>
    <row r="2376" spans="10:28" x14ac:dyDescent="0.2">
      <c r="J2376" s="358" t="str">
        <f t="shared" si="120"/>
        <v>2008FemaleMaori253</v>
      </c>
      <c r="K2376" s="359">
        <v>2008</v>
      </c>
      <c r="L2376" t="s">
        <v>8</v>
      </c>
      <c r="M2376" t="s">
        <v>18</v>
      </c>
      <c r="N2376">
        <v>25</v>
      </c>
      <c r="O2376">
        <v>3</v>
      </c>
      <c r="P2376">
        <v>0</v>
      </c>
      <c r="Q2376">
        <v>0</v>
      </c>
      <c r="T2376" s="358" t="str">
        <f t="shared" si="121"/>
        <v>2007FemaleAllEth23Firearms and explosives</v>
      </c>
      <c r="U2376" s="360">
        <v>2007</v>
      </c>
      <c r="V2376" s="360" t="s">
        <v>8</v>
      </c>
      <c r="W2376" s="360" t="s">
        <v>27</v>
      </c>
      <c r="X2376" s="360">
        <v>23</v>
      </c>
      <c r="Y2376" s="360" t="s">
        <v>42</v>
      </c>
      <c r="Z2376" s="360">
        <v>3</v>
      </c>
      <c r="AA2376" s="360">
        <v>48</v>
      </c>
      <c r="AB2376" s="360">
        <v>6.2</v>
      </c>
    </row>
    <row r="2377" spans="10:28" x14ac:dyDescent="0.2">
      <c r="J2377" s="358" t="str">
        <f t="shared" si="120"/>
        <v>2008FemaleMaori254</v>
      </c>
      <c r="K2377" s="359">
        <v>2008</v>
      </c>
      <c r="L2377" t="s">
        <v>8</v>
      </c>
      <c r="M2377" t="s">
        <v>18</v>
      </c>
      <c r="N2377">
        <v>25</v>
      </c>
      <c r="O2377">
        <v>4</v>
      </c>
      <c r="P2377">
        <v>0</v>
      </c>
      <c r="Q2377">
        <v>0</v>
      </c>
      <c r="T2377" s="358" t="str">
        <f t="shared" si="121"/>
        <v>2007FemaleAllEth24Firearms and explosives</v>
      </c>
      <c r="U2377" s="360">
        <v>2007</v>
      </c>
      <c r="V2377" s="360" t="s">
        <v>8</v>
      </c>
      <c r="W2377" s="360" t="s">
        <v>27</v>
      </c>
      <c r="X2377" s="360">
        <v>24</v>
      </c>
      <c r="Y2377" s="360" t="s">
        <v>42</v>
      </c>
      <c r="Z2377" s="360">
        <v>1</v>
      </c>
      <c r="AA2377" s="360">
        <v>40</v>
      </c>
      <c r="AB2377" s="360">
        <v>2.5</v>
      </c>
    </row>
    <row r="2378" spans="10:28" x14ac:dyDescent="0.2">
      <c r="J2378" s="358" t="str">
        <f t="shared" si="120"/>
        <v>2008FemaleMaori255</v>
      </c>
      <c r="K2378" s="359">
        <v>2008</v>
      </c>
      <c r="L2378" t="s">
        <v>8</v>
      </c>
      <c r="M2378" t="s">
        <v>18</v>
      </c>
      <c r="N2378">
        <v>25</v>
      </c>
      <c r="O2378">
        <v>5</v>
      </c>
      <c r="P2378">
        <v>0</v>
      </c>
      <c r="Q2378">
        <v>0</v>
      </c>
      <c r="T2378" s="358" t="str">
        <f t="shared" si="121"/>
        <v>2007FemaleAllEth21Hanging, strangulation and suffocation</v>
      </c>
      <c r="U2378" s="360">
        <v>2007</v>
      </c>
      <c r="V2378" s="360" t="s">
        <v>8</v>
      </c>
      <c r="W2378" s="360" t="s">
        <v>27</v>
      </c>
      <c r="X2378" s="360">
        <v>21</v>
      </c>
      <c r="Y2378" s="360" t="s">
        <v>43</v>
      </c>
      <c r="Z2378" s="360">
        <v>1</v>
      </c>
      <c r="AA2378" s="360">
        <v>1</v>
      </c>
      <c r="AB2378" s="360">
        <v>100</v>
      </c>
    </row>
    <row r="2379" spans="10:28" x14ac:dyDescent="0.2">
      <c r="J2379" s="358" t="str">
        <f t="shared" si="120"/>
        <v>2008FemaleNon-Maori211</v>
      </c>
      <c r="K2379" s="359">
        <v>2008</v>
      </c>
      <c r="L2379" t="s">
        <v>8</v>
      </c>
      <c r="M2379" t="s">
        <v>19</v>
      </c>
      <c r="N2379">
        <v>21</v>
      </c>
      <c r="O2379">
        <v>1</v>
      </c>
      <c r="P2379">
        <v>0</v>
      </c>
      <c r="T2379" s="358" t="str">
        <f t="shared" si="121"/>
        <v>2007FemaleAllEth22Hanging, strangulation and suffocation</v>
      </c>
      <c r="U2379" s="360">
        <v>2007</v>
      </c>
      <c r="V2379" s="360" t="s">
        <v>8</v>
      </c>
      <c r="W2379" s="360" t="s">
        <v>27</v>
      </c>
      <c r="X2379" s="360">
        <v>22</v>
      </c>
      <c r="Y2379" s="360" t="s">
        <v>43</v>
      </c>
      <c r="Z2379" s="360">
        <v>18</v>
      </c>
      <c r="AA2379" s="360">
        <v>23</v>
      </c>
      <c r="AB2379" s="360">
        <v>78.3</v>
      </c>
    </row>
    <row r="2380" spans="10:28" x14ac:dyDescent="0.2">
      <c r="J2380" s="358" t="str">
        <f t="shared" si="120"/>
        <v>2008FemaleNon-Maori212</v>
      </c>
      <c r="K2380" s="359">
        <v>2008</v>
      </c>
      <c r="L2380" t="s">
        <v>8</v>
      </c>
      <c r="M2380" t="s">
        <v>19</v>
      </c>
      <c r="N2380">
        <v>21</v>
      </c>
      <c r="O2380">
        <v>2</v>
      </c>
      <c r="P2380">
        <v>0</v>
      </c>
      <c r="T2380" s="358" t="str">
        <f t="shared" si="121"/>
        <v>2007FemaleAllEth23Hanging, strangulation and suffocation</v>
      </c>
      <c r="U2380" s="360">
        <v>2007</v>
      </c>
      <c r="V2380" s="360" t="s">
        <v>8</v>
      </c>
      <c r="W2380" s="360" t="s">
        <v>27</v>
      </c>
      <c r="X2380" s="360">
        <v>23</v>
      </c>
      <c r="Y2380" s="360" t="s">
        <v>43</v>
      </c>
      <c r="Z2380" s="360">
        <v>17</v>
      </c>
      <c r="AA2380" s="360">
        <v>48</v>
      </c>
      <c r="AB2380" s="360">
        <v>35.4</v>
      </c>
    </row>
    <row r="2381" spans="10:28" x14ac:dyDescent="0.2">
      <c r="J2381" s="358" t="str">
        <f t="shared" si="120"/>
        <v>2008FemaleNon-Maori213</v>
      </c>
      <c r="K2381" s="359">
        <v>2008</v>
      </c>
      <c r="L2381" t="s">
        <v>8</v>
      </c>
      <c r="M2381" t="s">
        <v>19</v>
      </c>
      <c r="N2381">
        <v>21</v>
      </c>
      <c r="O2381">
        <v>3</v>
      </c>
      <c r="P2381">
        <v>1</v>
      </c>
      <c r="T2381" s="358" t="str">
        <f t="shared" si="121"/>
        <v>2007FemaleAllEth24Hanging, strangulation and suffocation</v>
      </c>
      <c r="U2381" s="360">
        <v>2007</v>
      </c>
      <c r="V2381" s="360" t="s">
        <v>8</v>
      </c>
      <c r="W2381" s="360" t="s">
        <v>27</v>
      </c>
      <c r="X2381" s="360">
        <v>24</v>
      </c>
      <c r="Y2381" s="360" t="s">
        <v>43</v>
      </c>
      <c r="Z2381" s="360">
        <v>13</v>
      </c>
      <c r="AA2381" s="360">
        <v>40</v>
      </c>
      <c r="AB2381" s="360">
        <v>32.5</v>
      </c>
    </row>
    <row r="2382" spans="10:28" x14ac:dyDescent="0.2">
      <c r="J2382" s="358" t="str">
        <f t="shared" si="120"/>
        <v>2008FemaleNon-Maori214</v>
      </c>
      <c r="K2382" s="359">
        <v>2008</v>
      </c>
      <c r="L2382" t="s">
        <v>8</v>
      </c>
      <c r="M2382" t="s">
        <v>19</v>
      </c>
      <c r="N2382">
        <v>21</v>
      </c>
      <c r="O2382">
        <v>4</v>
      </c>
      <c r="P2382">
        <v>0</v>
      </c>
      <c r="T2382" s="358" t="str">
        <f t="shared" si="121"/>
        <v>2007FemaleAllEth25Hanging, strangulation and suffocation</v>
      </c>
      <c r="U2382" s="360">
        <v>2007</v>
      </c>
      <c r="V2382" s="360" t="s">
        <v>8</v>
      </c>
      <c r="W2382" s="360" t="s">
        <v>27</v>
      </c>
      <c r="X2382" s="360">
        <v>25</v>
      </c>
      <c r="Y2382" s="360" t="s">
        <v>43</v>
      </c>
      <c r="Z2382" s="360">
        <v>5</v>
      </c>
      <c r="AA2382" s="360">
        <v>8</v>
      </c>
      <c r="AB2382" s="360">
        <v>62.5</v>
      </c>
    </row>
    <row r="2383" spans="10:28" x14ac:dyDescent="0.2">
      <c r="J2383" s="358" t="str">
        <f t="shared" si="120"/>
        <v>2008FemaleNon-Maori215</v>
      </c>
      <c r="K2383" s="359">
        <v>2008</v>
      </c>
      <c r="L2383" t="s">
        <v>8</v>
      </c>
      <c r="M2383" t="s">
        <v>19</v>
      </c>
      <c r="N2383">
        <v>21</v>
      </c>
      <c r="O2383">
        <v>5</v>
      </c>
      <c r="P2383">
        <v>0</v>
      </c>
      <c r="T2383" s="358" t="str">
        <f t="shared" si="121"/>
        <v>2007FemaleAllEth23Jumping from a high place</v>
      </c>
      <c r="U2383" s="360">
        <v>2007</v>
      </c>
      <c r="V2383" s="360" t="s">
        <v>8</v>
      </c>
      <c r="W2383" s="360" t="s">
        <v>27</v>
      </c>
      <c r="X2383" s="360">
        <v>23</v>
      </c>
      <c r="Y2383" s="360" t="s">
        <v>44</v>
      </c>
      <c r="Z2383" s="360">
        <v>2</v>
      </c>
      <c r="AA2383" s="360">
        <v>48</v>
      </c>
      <c r="AB2383" s="360">
        <v>4.2</v>
      </c>
    </row>
    <row r="2384" spans="10:28" x14ac:dyDescent="0.2">
      <c r="J2384" s="358" t="str">
        <f t="shared" si="120"/>
        <v>2008FemaleNon-Maori221</v>
      </c>
      <c r="K2384" s="359">
        <v>2008</v>
      </c>
      <c r="L2384" t="s">
        <v>8</v>
      </c>
      <c r="M2384" t="s">
        <v>19</v>
      </c>
      <c r="N2384">
        <v>22</v>
      </c>
      <c r="O2384">
        <v>1</v>
      </c>
      <c r="P2384">
        <v>5</v>
      </c>
      <c r="Q2384">
        <v>11.1524945969634</v>
      </c>
      <c r="R2384">
        <v>9.8000000000000007</v>
      </c>
      <c r="T2384" s="358" t="str">
        <f t="shared" si="121"/>
        <v>2007FemaleAllEth24Jumping from a high place</v>
      </c>
      <c r="U2384" s="360">
        <v>2007</v>
      </c>
      <c r="V2384" s="360" t="s">
        <v>8</v>
      </c>
      <c r="W2384" s="360" t="s">
        <v>27</v>
      </c>
      <c r="X2384" s="360">
        <v>24</v>
      </c>
      <c r="Y2384" s="360" t="s">
        <v>44</v>
      </c>
      <c r="Z2384" s="360">
        <v>1</v>
      </c>
      <c r="AA2384" s="360">
        <v>40</v>
      </c>
      <c r="AB2384" s="360">
        <v>2.5</v>
      </c>
    </row>
    <row r="2385" spans="10:28" x14ac:dyDescent="0.2">
      <c r="J2385" s="358" t="str">
        <f t="shared" si="120"/>
        <v>2008FemaleNon-Maori222</v>
      </c>
      <c r="K2385" s="359">
        <v>2008</v>
      </c>
      <c r="L2385" t="s">
        <v>8</v>
      </c>
      <c r="M2385" t="s">
        <v>19</v>
      </c>
      <c r="N2385">
        <v>22</v>
      </c>
      <c r="O2385">
        <v>2</v>
      </c>
      <c r="P2385">
        <v>2</v>
      </c>
      <c r="Q2385">
        <v>4.3170828785233697</v>
      </c>
      <c r="R2385">
        <v>6</v>
      </c>
      <c r="T2385" s="358" t="str">
        <f t="shared" si="121"/>
        <v>2007FemaleAllEth24Other</v>
      </c>
      <c r="U2385" s="360">
        <v>2007</v>
      </c>
      <c r="V2385" s="360" t="s">
        <v>8</v>
      </c>
      <c r="W2385" s="360" t="s">
        <v>27</v>
      </c>
      <c r="X2385" s="360">
        <v>24</v>
      </c>
      <c r="Y2385" s="360" t="s">
        <v>45</v>
      </c>
      <c r="Z2385" s="360">
        <v>5</v>
      </c>
      <c r="AA2385" s="360">
        <v>40</v>
      </c>
      <c r="AB2385" s="360">
        <v>12.5</v>
      </c>
    </row>
    <row r="2386" spans="10:28" x14ac:dyDescent="0.2">
      <c r="J2386" s="358" t="str">
        <f t="shared" si="120"/>
        <v>2008FemaleNon-Maori223</v>
      </c>
      <c r="K2386" s="359">
        <v>2008</v>
      </c>
      <c r="L2386" t="s">
        <v>8</v>
      </c>
      <c r="M2386" t="s">
        <v>19</v>
      </c>
      <c r="N2386">
        <v>22</v>
      </c>
      <c r="O2386">
        <v>3</v>
      </c>
      <c r="P2386">
        <v>7</v>
      </c>
      <c r="Q2386">
        <v>14.5394378839241</v>
      </c>
      <c r="R2386">
        <v>10.8</v>
      </c>
      <c r="T2386" s="358" t="str">
        <f t="shared" si="121"/>
        <v>2007FemaleAllEth22Poisoning by gases and vapours</v>
      </c>
      <c r="U2386" s="360">
        <v>2007</v>
      </c>
      <c r="V2386" s="360" t="s">
        <v>8</v>
      </c>
      <c r="W2386" s="360" t="s">
        <v>27</v>
      </c>
      <c r="X2386" s="360">
        <v>22</v>
      </c>
      <c r="Y2386" s="360" t="s">
        <v>46</v>
      </c>
      <c r="Z2386" s="360">
        <v>2</v>
      </c>
      <c r="AA2386" s="360">
        <v>23</v>
      </c>
      <c r="AB2386" s="360">
        <v>8.6999999999999993</v>
      </c>
    </row>
    <row r="2387" spans="10:28" x14ac:dyDescent="0.2">
      <c r="J2387" s="358" t="str">
        <f t="shared" si="120"/>
        <v>2008FemaleNon-Maori224</v>
      </c>
      <c r="K2387" s="359">
        <v>2008</v>
      </c>
      <c r="L2387" t="s">
        <v>8</v>
      </c>
      <c r="M2387" t="s">
        <v>19</v>
      </c>
      <c r="N2387">
        <v>22</v>
      </c>
      <c r="O2387">
        <v>4</v>
      </c>
      <c r="P2387">
        <v>2</v>
      </c>
      <c r="Q2387">
        <v>4.0141247528791704</v>
      </c>
      <c r="R2387">
        <v>5.6</v>
      </c>
      <c r="T2387" s="358" t="str">
        <f t="shared" si="121"/>
        <v>2007FemaleAllEth23Poisoning by gases and vapours</v>
      </c>
      <c r="U2387" s="360">
        <v>2007</v>
      </c>
      <c r="V2387" s="360" t="s">
        <v>8</v>
      </c>
      <c r="W2387" s="360" t="s">
        <v>27</v>
      </c>
      <c r="X2387" s="360">
        <v>23</v>
      </c>
      <c r="Y2387" s="360" t="s">
        <v>46</v>
      </c>
      <c r="Z2387" s="360">
        <v>10</v>
      </c>
      <c r="AA2387" s="360">
        <v>48</v>
      </c>
      <c r="AB2387" s="360">
        <v>20.8</v>
      </c>
    </row>
    <row r="2388" spans="10:28" x14ac:dyDescent="0.2">
      <c r="J2388" s="358" t="str">
        <f t="shared" si="120"/>
        <v>2008FemaleNon-Maori225</v>
      </c>
      <c r="K2388" s="359">
        <v>2008</v>
      </c>
      <c r="L2388" t="s">
        <v>8</v>
      </c>
      <c r="M2388" t="s">
        <v>19</v>
      </c>
      <c r="N2388">
        <v>22</v>
      </c>
      <c r="O2388">
        <v>5</v>
      </c>
      <c r="P2388">
        <v>3</v>
      </c>
      <c r="Q2388">
        <v>5.88692108011867</v>
      </c>
      <c r="R2388">
        <v>6.7</v>
      </c>
      <c r="T2388" s="358" t="str">
        <f t="shared" si="121"/>
        <v>2007FemaleAllEth24Poisoning by gases and vapours</v>
      </c>
      <c r="U2388" s="360">
        <v>2007</v>
      </c>
      <c r="V2388" s="360" t="s">
        <v>8</v>
      </c>
      <c r="W2388" s="360" t="s">
        <v>27</v>
      </c>
      <c r="X2388" s="360">
        <v>24</v>
      </c>
      <c r="Y2388" s="360" t="s">
        <v>46</v>
      </c>
      <c r="Z2388" s="360">
        <v>7</v>
      </c>
      <c r="AA2388" s="360">
        <v>40</v>
      </c>
      <c r="AB2388" s="360">
        <v>17.5</v>
      </c>
    </row>
    <row r="2389" spans="10:28" x14ac:dyDescent="0.2">
      <c r="J2389" s="358" t="str">
        <f t="shared" si="120"/>
        <v>2008FemaleNon-Maori231</v>
      </c>
      <c r="K2389" s="359">
        <v>2008</v>
      </c>
      <c r="L2389" t="s">
        <v>8</v>
      </c>
      <c r="M2389" t="s">
        <v>19</v>
      </c>
      <c r="N2389">
        <v>23</v>
      </c>
      <c r="O2389">
        <v>1</v>
      </c>
      <c r="P2389">
        <v>6</v>
      </c>
      <c r="Q2389">
        <v>5.2536106576115698</v>
      </c>
      <c r="R2389">
        <v>4.2</v>
      </c>
      <c r="T2389" s="358" t="str">
        <f t="shared" si="121"/>
        <v>2007FemaleAllEth25Poisoning by gases and vapours</v>
      </c>
      <c r="U2389" s="360">
        <v>2007</v>
      </c>
      <c r="V2389" s="360" t="s">
        <v>8</v>
      </c>
      <c r="W2389" s="360" t="s">
        <v>27</v>
      </c>
      <c r="X2389" s="360">
        <v>25</v>
      </c>
      <c r="Y2389" s="360" t="s">
        <v>46</v>
      </c>
      <c r="Z2389" s="360">
        <v>1</v>
      </c>
      <c r="AA2389" s="360">
        <v>8</v>
      </c>
      <c r="AB2389" s="360">
        <v>12.5</v>
      </c>
    </row>
    <row r="2390" spans="10:28" x14ac:dyDescent="0.2">
      <c r="J2390" s="358" t="str">
        <f t="shared" si="120"/>
        <v>2008FemaleNon-Maori232</v>
      </c>
      <c r="K2390" s="359">
        <v>2008</v>
      </c>
      <c r="L2390" t="s">
        <v>8</v>
      </c>
      <c r="M2390" t="s">
        <v>19</v>
      </c>
      <c r="N2390">
        <v>23</v>
      </c>
      <c r="O2390">
        <v>2</v>
      </c>
      <c r="P2390">
        <v>8</v>
      </c>
      <c r="Q2390">
        <v>6.9164882565980603</v>
      </c>
      <c r="R2390">
        <v>4.8</v>
      </c>
      <c r="T2390" s="358" t="str">
        <f t="shared" si="121"/>
        <v>2007FemaleAllEth22Poisoning by solids and liquids</v>
      </c>
      <c r="U2390" s="360">
        <v>2007</v>
      </c>
      <c r="V2390" s="360" t="s">
        <v>8</v>
      </c>
      <c r="W2390" s="360" t="s">
        <v>27</v>
      </c>
      <c r="X2390" s="360">
        <v>22</v>
      </c>
      <c r="Y2390" s="360" t="s">
        <v>47</v>
      </c>
      <c r="Z2390" s="360">
        <v>2</v>
      </c>
      <c r="AA2390" s="360">
        <v>23</v>
      </c>
      <c r="AB2390" s="360">
        <v>8.6999999999999993</v>
      </c>
    </row>
    <row r="2391" spans="10:28" x14ac:dyDescent="0.2">
      <c r="J2391" s="358" t="str">
        <f t="shared" si="120"/>
        <v>2008FemaleNon-Maori233</v>
      </c>
      <c r="K2391" s="359">
        <v>2008</v>
      </c>
      <c r="L2391" t="s">
        <v>8</v>
      </c>
      <c r="M2391" t="s">
        <v>19</v>
      </c>
      <c r="N2391">
        <v>23</v>
      </c>
      <c r="O2391">
        <v>3</v>
      </c>
      <c r="P2391">
        <v>8</v>
      </c>
      <c r="Q2391">
        <v>7.2648682750876103</v>
      </c>
      <c r="R2391">
        <v>5</v>
      </c>
      <c r="T2391" s="358" t="str">
        <f t="shared" si="121"/>
        <v>2007FemaleAllEth23Poisoning by solids and liquids</v>
      </c>
      <c r="U2391" s="360">
        <v>2007</v>
      </c>
      <c r="V2391" s="360" t="s">
        <v>8</v>
      </c>
      <c r="W2391" s="360" t="s">
        <v>27</v>
      </c>
      <c r="X2391" s="360">
        <v>23</v>
      </c>
      <c r="Y2391" s="360" t="s">
        <v>47</v>
      </c>
      <c r="Z2391" s="360">
        <v>13</v>
      </c>
      <c r="AA2391" s="360">
        <v>48</v>
      </c>
      <c r="AB2391" s="360">
        <v>27.1</v>
      </c>
    </row>
    <row r="2392" spans="10:28" x14ac:dyDescent="0.2">
      <c r="J2392" s="358" t="str">
        <f t="shared" si="120"/>
        <v>2008FemaleNon-Maori234</v>
      </c>
      <c r="K2392" s="359">
        <v>2008</v>
      </c>
      <c r="L2392" t="s">
        <v>8</v>
      </c>
      <c r="M2392" t="s">
        <v>19</v>
      </c>
      <c r="N2392">
        <v>23</v>
      </c>
      <c r="O2392">
        <v>4</v>
      </c>
      <c r="P2392">
        <v>6</v>
      </c>
      <c r="Q2392">
        <v>5.9871235186652401</v>
      </c>
      <c r="R2392">
        <v>4.8</v>
      </c>
      <c r="T2392" s="358" t="str">
        <f t="shared" si="121"/>
        <v>2007FemaleAllEth24Poisoning by solids and liquids</v>
      </c>
      <c r="U2392" s="360">
        <v>2007</v>
      </c>
      <c r="V2392" s="360" t="s">
        <v>8</v>
      </c>
      <c r="W2392" s="360" t="s">
        <v>27</v>
      </c>
      <c r="X2392" s="360">
        <v>24</v>
      </c>
      <c r="Y2392" s="360" t="s">
        <v>47</v>
      </c>
      <c r="Z2392" s="360">
        <v>12</v>
      </c>
      <c r="AA2392" s="360">
        <v>40</v>
      </c>
      <c r="AB2392" s="360">
        <v>30</v>
      </c>
    </row>
    <row r="2393" spans="10:28" x14ac:dyDescent="0.2">
      <c r="J2393" s="358" t="str">
        <f t="shared" si="120"/>
        <v>2008FemaleNon-Maori235</v>
      </c>
      <c r="K2393" s="359">
        <v>2008</v>
      </c>
      <c r="L2393" t="s">
        <v>8</v>
      </c>
      <c r="M2393" t="s">
        <v>19</v>
      </c>
      <c r="N2393">
        <v>23</v>
      </c>
      <c r="O2393">
        <v>5</v>
      </c>
      <c r="P2393">
        <v>10</v>
      </c>
      <c r="Q2393">
        <v>12.770881339454901</v>
      </c>
      <c r="R2393">
        <v>7.9</v>
      </c>
      <c r="T2393" s="358" t="str">
        <f t="shared" si="121"/>
        <v>2007FemaleAllEth25Poisoning by solids and liquids</v>
      </c>
      <c r="U2393" s="360">
        <v>2007</v>
      </c>
      <c r="V2393" s="360" t="s">
        <v>8</v>
      </c>
      <c r="W2393" s="360" t="s">
        <v>27</v>
      </c>
      <c r="X2393" s="360">
        <v>25</v>
      </c>
      <c r="Y2393" s="360" t="s">
        <v>47</v>
      </c>
      <c r="Z2393" s="360">
        <v>1</v>
      </c>
      <c r="AA2393" s="360">
        <v>8</v>
      </c>
      <c r="AB2393" s="360">
        <v>12.5</v>
      </c>
    </row>
    <row r="2394" spans="10:28" x14ac:dyDescent="0.2">
      <c r="J2394" s="358" t="str">
        <f t="shared" si="120"/>
        <v>2008FemaleNon-Maori241</v>
      </c>
      <c r="K2394" s="359">
        <v>2008</v>
      </c>
      <c r="L2394" t="s">
        <v>8</v>
      </c>
      <c r="M2394" t="s">
        <v>19</v>
      </c>
      <c r="N2394">
        <v>24</v>
      </c>
      <c r="O2394">
        <v>1</v>
      </c>
      <c r="P2394">
        <v>8</v>
      </c>
      <c r="Q2394">
        <v>6.32379332802455</v>
      </c>
      <c r="R2394">
        <v>4.4000000000000004</v>
      </c>
      <c r="T2394" s="358" t="str">
        <f t="shared" si="121"/>
        <v>2007FemaleAllEth22Submersion (drowning)</v>
      </c>
      <c r="U2394" s="360">
        <v>2007</v>
      </c>
      <c r="V2394" s="360" t="s">
        <v>8</v>
      </c>
      <c r="W2394" s="360" t="s">
        <v>27</v>
      </c>
      <c r="X2394" s="360">
        <v>22</v>
      </c>
      <c r="Y2394" s="360" t="s">
        <v>49</v>
      </c>
      <c r="Z2394" s="360">
        <v>1</v>
      </c>
      <c r="AA2394" s="360">
        <v>23</v>
      </c>
      <c r="AB2394" s="360">
        <v>4.3</v>
      </c>
    </row>
    <row r="2395" spans="10:28" x14ac:dyDescent="0.2">
      <c r="J2395" s="358" t="str">
        <f t="shared" si="120"/>
        <v>2008FemaleNon-Maori242</v>
      </c>
      <c r="K2395" s="359">
        <v>2008</v>
      </c>
      <c r="L2395" t="s">
        <v>8</v>
      </c>
      <c r="M2395" t="s">
        <v>19</v>
      </c>
      <c r="N2395">
        <v>24</v>
      </c>
      <c r="O2395">
        <v>2</v>
      </c>
      <c r="P2395">
        <v>9</v>
      </c>
      <c r="Q2395">
        <v>8.1340630006487906</v>
      </c>
      <c r="R2395">
        <v>5.3</v>
      </c>
      <c r="T2395" s="358" t="str">
        <f t="shared" si="121"/>
        <v>2007FemaleAllEth23Submersion (drowning)</v>
      </c>
      <c r="U2395" s="360">
        <v>2007</v>
      </c>
      <c r="V2395" s="360" t="s">
        <v>8</v>
      </c>
      <c r="W2395" s="360" t="s">
        <v>27</v>
      </c>
      <c r="X2395" s="360">
        <v>23</v>
      </c>
      <c r="Y2395" s="360" t="s">
        <v>49</v>
      </c>
      <c r="Z2395" s="360">
        <v>3</v>
      </c>
      <c r="AA2395" s="360">
        <v>48</v>
      </c>
      <c r="AB2395" s="360">
        <v>6.2</v>
      </c>
    </row>
    <row r="2396" spans="10:28" x14ac:dyDescent="0.2">
      <c r="J2396" s="358" t="str">
        <f t="shared" si="120"/>
        <v>2008FemaleNon-Maori243</v>
      </c>
      <c r="K2396" s="359">
        <v>2008</v>
      </c>
      <c r="L2396" t="s">
        <v>8</v>
      </c>
      <c r="M2396" t="s">
        <v>19</v>
      </c>
      <c r="N2396">
        <v>24</v>
      </c>
      <c r="O2396">
        <v>3</v>
      </c>
      <c r="P2396">
        <v>6</v>
      </c>
      <c r="Q2396">
        <v>6.1558387743655798</v>
      </c>
      <c r="R2396">
        <v>4.9000000000000004</v>
      </c>
      <c r="T2396" s="358" t="str">
        <f t="shared" si="121"/>
        <v>2007FemaleAllEth24Submersion (drowning)</v>
      </c>
      <c r="U2396" s="360">
        <v>2007</v>
      </c>
      <c r="V2396" s="360" t="s">
        <v>8</v>
      </c>
      <c r="W2396" s="360" t="s">
        <v>27</v>
      </c>
      <c r="X2396" s="360">
        <v>24</v>
      </c>
      <c r="Y2396" s="360" t="s">
        <v>49</v>
      </c>
      <c r="Z2396" s="360">
        <v>1</v>
      </c>
      <c r="AA2396" s="360">
        <v>40</v>
      </c>
      <c r="AB2396" s="360">
        <v>2.5</v>
      </c>
    </row>
    <row r="2397" spans="10:28" x14ac:dyDescent="0.2">
      <c r="J2397" s="358" t="str">
        <f t="shared" si="120"/>
        <v>2008FemaleNon-Maori244</v>
      </c>
      <c r="K2397" s="359">
        <v>2008</v>
      </c>
      <c r="L2397" t="s">
        <v>8</v>
      </c>
      <c r="M2397" t="s">
        <v>19</v>
      </c>
      <c r="N2397">
        <v>24</v>
      </c>
      <c r="O2397">
        <v>4</v>
      </c>
      <c r="P2397">
        <v>4</v>
      </c>
      <c r="Q2397">
        <v>4.7440400052544502</v>
      </c>
      <c r="R2397">
        <v>4.5999999999999996</v>
      </c>
      <c r="T2397" s="358" t="str">
        <f t="shared" si="121"/>
        <v>2007FemaleAllEth25Submersion (drowning)</v>
      </c>
      <c r="U2397" s="360">
        <v>2007</v>
      </c>
      <c r="V2397" s="360" t="s">
        <v>8</v>
      </c>
      <c r="W2397" s="360" t="s">
        <v>27</v>
      </c>
      <c r="X2397" s="360">
        <v>25</v>
      </c>
      <c r="Y2397" s="360" t="s">
        <v>49</v>
      </c>
      <c r="Z2397" s="360">
        <v>1</v>
      </c>
      <c r="AA2397" s="360">
        <v>8</v>
      </c>
      <c r="AB2397" s="360">
        <v>12.5</v>
      </c>
    </row>
    <row r="2398" spans="10:28" x14ac:dyDescent="0.2">
      <c r="J2398" s="358" t="str">
        <f t="shared" si="120"/>
        <v>2008FemaleNon-Maori245</v>
      </c>
      <c r="K2398" s="359">
        <v>2008</v>
      </c>
      <c r="L2398" t="s">
        <v>8</v>
      </c>
      <c r="M2398" t="s">
        <v>19</v>
      </c>
      <c r="N2398">
        <v>24</v>
      </c>
      <c r="O2398">
        <v>5</v>
      </c>
      <c r="P2398">
        <v>2</v>
      </c>
      <c r="Q2398">
        <v>3.20240411188158</v>
      </c>
      <c r="R2398">
        <v>4.4000000000000004</v>
      </c>
      <c r="T2398" s="358" t="str">
        <f t="shared" si="121"/>
        <v>2007FemaleMaori21Hanging, strangulation and suffocation</v>
      </c>
      <c r="U2398" s="360">
        <v>2007</v>
      </c>
      <c r="V2398" s="360" t="s">
        <v>8</v>
      </c>
      <c r="W2398" s="360" t="s">
        <v>18</v>
      </c>
      <c r="X2398" s="360">
        <v>21</v>
      </c>
      <c r="Y2398" s="360" t="s">
        <v>43</v>
      </c>
      <c r="Z2398" s="360">
        <v>1</v>
      </c>
      <c r="AA2398" s="360">
        <v>1</v>
      </c>
      <c r="AB2398" s="360">
        <v>100</v>
      </c>
    </row>
    <row r="2399" spans="10:28" x14ac:dyDescent="0.2">
      <c r="J2399" s="358" t="str">
        <f t="shared" si="120"/>
        <v>2008FemaleNon-Maori251</v>
      </c>
      <c r="K2399" s="359">
        <v>2008</v>
      </c>
      <c r="L2399" t="s">
        <v>8</v>
      </c>
      <c r="M2399" t="s">
        <v>19</v>
      </c>
      <c r="N2399">
        <v>25</v>
      </c>
      <c r="O2399">
        <v>1</v>
      </c>
      <c r="P2399">
        <v>1</v>
      </c>
      <c r="Q2399">
        <v>1.8898653890920301</v>
      </c>
      <c r="R2399">
        <v>3.7</v>
      </c>
      <c r="T2399" s="358" t="str">
        <f t="shared" si="121"/>
        <v>2007FemaleMaori22Hanging, strangulation and suffocation</v>
      </c>
      <c r="U2399" s="360">
        <v>2007</v>
      </c>
      <c r="V2399" s="360" t="s">
        <v>8</v>
      </c>
      <c r="W2399" s="360" t="s">
        <v>18</v>
      </c>
      <c r="X2399" s="360">
        <v>22</v>
      </c>
      <c r="Y2399" s="360" t="s">
        <v>43</v>
      </c>
      <c r="Z2399" s="360">
        <v>9</v>
      </c>
      <c r="AA2399" s="360">
        <v>10</v>
      </c>
      <c r="AB2399" s="360">
        <v>90</v>
      </c>
    </row>
    <row r="2400" spans="10:28" x14ac:dyDescent="0.2">
      <c r="J2400" s="358" t="str">
        <f t="shared" si="120"/>
        <v>2008FemaleNon-Maori252</v>
      </c>
      <c r="K2400" s="359">
        <v>2008</v>
      </c>
      <c r="L2400" t="s">
        <v>8</v>
      </c>
      <c r="M2400" t="s">
        <v>19</v>
      </c>
      <c r="N2400">
        <v>25</v>
      </c>
      <c r="O2400">
        <v>2</v>
      </c>
      <c r="P2400">
        <v>2</v>
      </c>
      <c r="Q2400">
        <v>3.4091432233946901</v>
      </c>
      <c r="R2400">
        <v>4.7</v>
      </c>
      <c r="T2400" s="358" t="str">
        <f t="shared" si="121"/>
        <v>2007FemaleMaori23Hanging, strangulation and suffocation</v>
      </c>
      <c r="U2400" s="360">
        <v>2007</v>
      </c>
      <c r="V2400" s="360" t="s">
        <v>8</v>
      </c>
      <c r="W2400" s="360" t="s">
        <v>18</v>
      </c>
      <c r="X2400" s="360">
        <v>23</v>
      </c>
      <c r="Y2400" s="360" t="s">
        <v>43</v>
      </c>
      <c r="Z2400" s="360">
        <v>6</v>
      </c>
      <c r="AA2400" s="360">
        <v>11</v>
      </c>
      <c r="AB2400" s="360">
        <v>54.5</v>
      </c>
    </row>
    <row r="2401" spans="10:28" x14ac:dyDescent="0.2">
      <c r="J2401" s="358" t="str">
        <f t="shared" si="120"/>
        <v>2008FemaleNon-Maori253</v>
      </c>
      <c r="K2401" s="359">
        <v>2008</v>
      </c>
      <c r="L2401" t="s">
        <v>8</v>
      </c>
      <c r="M2401" t="s">
        <v>19</v>
      </c>
      <c r="N2401">
        <v>25</v>
      </c>
      <c r="O2401">
        <v>3</v>
      </c>
      <c r="P2401">
        <v>5</v>
      </c>
      <c r="Q2401">
        <v>8.1341440281977899</v>
      </c>
      <c r="R2401">
        <v>7.1</v>
      </c>
      <c r="T2401" s="358" t="str">
        <f t="shared" si="121"/>
        <v>2007FemaleMaori22Poisoning by solids and liquids</v>
      </c>
      <c r="U2401" s="360">
        <v>2007</v>
      </c>
      <c r="V2401" s="360" t="s">
        <v>8</v>
      </c>
      <c r="W2401" s="360" t="s">
        <v>18</v>
      </c>
      <c r="X2401" s="360">
        <v>22</v>
      </c>
      <c r="Y2401" s="360" t="s">
        <v>47</v>
      </c>
      <c r="Z2401" s="360">
        <v>1</v>
      </c>
      <c r="AA2401" s="360">
        <v>10</v>
      </c>
      <c r="AB2401" s="360">
        <v>10</v>
      </c>
    </row>
    <row r="2402" spans="10:28" x14ac:dyDescent="0.2">
      <c r="J2402" s="358" t="str">
        <f t="shared" si="120"/>
        <v>2008FemaleNon-Maori254</v>
      </c>
      <c r="K2402" s="359">
        <v>2008</v>
      </c>
      <c r="L2402" t="s">
        <v>8</v>
      </c>
      <c r="M2402" t="s">
        <v>19</v>
      </c>
      <c r="N2402">
        <v>25</v>
      </c>
      <c r="O2402">
        <v>4</v>
      </c>
      <c r="P2402">
        <v>4</v>
      </c>
      <c r="Q2402">
        <v>6.4453900892322302</v>
      </c>
      <c r="R2402">
        <v>6.3</v>
      </c>
      <c r="T2402" s="358" t="str">
        <f t="shared" si="121"/>
        <v>2007FemaleMaori23Poisoning by solids and liquids</v>
      </c>
      <c r="U2402" s="360">
        <v>2007</v>
      </c>
      <c r="V2402" s="360" t="s">
        <v>8</v>
      </c>
      <c r="W2402" s="360" t="s">
        <v>18</v>
      </c>
      <c r="X2402" s="360">
        <v>23</v>
      </c>
      <c r="Y2402" s="360" t="s">
        <v>47</v>
      </c>
      <c r="Z2402" s="360">
        <v>4</v>
      </c>
      <c r="AA2402" s="360">
        <v>11</v>
      </c>
      <c r="AB2402" s="360">
        <v>36.4</v>
      </c>
    </row>
    <row r="2403" spans="10:28" x14ac:dyDescent="0.2">
      <c r="J2403" s="358" t="str">
        <f t="shared" si="120"/>
        <v>2008FemaleNon-Maori255</v>
      </c>
      <c r="K2403" s="359">
        <v>2008</v>
      </c>
      <c r="L2403" t="s">
        <v>8</v>
      </c>
      <c r="M2403" t="s">
        <v>19</v>
      </c>
      <c r="N2403">
        <v>25</v>
      </c>
      <c r="O2403">
        <v>5</v>
      </c>
      <c r="P2403">
        <v>1</v>
      </c>
      <c r="Q2403">
        <v>2.3211943279224299</v>
      </c>
      <c r="R2403">
        <v>4.5</v>
      </c>
      <c r="T2403" s="358" t="str">
        <f t="shared" si="121"/>
        <v>2007FemaleMaori23Submersion (drowning)</v>
      </c>
      <c r="U2403" s="360">
        <v>2007</v>
      </c>
      <c r="V2403" s="360" t="s">
        <v>8</v>
      </c>
      <c r="W2403" s="360" t="s">
        <v>18</v>
      </c>
      <c r="X2403" s="360">
        <v>23</v>
      </c>
      <c r="Y2403" s="360" t="s">
        <v>49</v>
      </c>
      <c r="Z2403" s="360">
        <v>1</v>
      </c>
      <c r="AA2403" s="360">
        <v>11</v>
      </c>
      <c r="AB2403" s="360">
        <v>9.1</v>
      </c>
    </row>
    <row r="2404" spans="10:28" x14ac:dyDescent="0.2">
      <c r="J2404" s="358" t="str">
        <f t="shared" si="120"/>
        <v>2008MaleAllEth211</v>
      </c>
      <c r="K2404" s="359">
        <v>2008</v>
      </c>
      <c r="L2404" t="s">
        <v>20</v>
      </c>
      <c r="M2404" t="s">
        <v>27</v>
      </c>
      <c r="N2404">
        <v>21</v>
      </c>
      <c r="O2404">
        <v>1</v>
      </c>
      <c r="P2404">
        <v>0</v>
      </c>
      <c r="T2404" s="358" t="str">
        <f t="shared" si="121"/>
        <v>2007FemaleMaori24Submersion (drowning)</v>
      </c>
      <c r="U2404" s="360">
        <v>2007</v>
      </c>
      <c r="V2404" s="360" t="s">
        <v>8</v>
      </c>
      <c r="W2404" s="360" t="s">
        <v>18</v>
      </c>
      <c r="X2404" s="360">
        <v>24</v>
      </c>
      <c r="Y2404" s="360" t="s">
        <v>49</v>
      </c>
      <c r="Z2404" s="360">
        <v>1</v>
      </c>
      <c r="AA2404" s="360">
        <v>1</v>
      </c>
      <c r="AB2404" s="360">
        <v>100</v>
      </c>
    </row>
    <row r="2405" spans="10:28" x14ac:dyDescent="0.2">
      <c r="J2405" s="358" t="str">
        <f t="shared" si="120"/>
        <v>2008MaleAllEth212</v>
      </c>
      <c r="K2405" s="359">
        <v>2008</v>
      </c>
      <c r="L2405" t="s">
        <v>20</v>
      </c>
      <c r="M2405" t="s">
        <v>27</v>
      </c>
      <c r="N2405">
        <v>21</v>
      </c>
      <c r="O2405">
        <v>2</v>
      </c>
      <c r="P2405">
        <v>0</v>
      </c>
      <c r="T2405" s="358" t="str">
        <f t="shared" si="121"/>
        <v>2007FemaleNon-Maori23Firearms and explosives</v>
      </c>
      <c r="U2405" s="360">
        <v>2007</v>
      </c>
      <c r="V2405" s="360" t="s">
        <v>8</v>
      </c>
      <c r="W2405" s="360" t="s">
        <v>19</v>
      </c>
      <c r="X2405" s="360">
        <v>23</v>
      </c>
      <c r="Y2405" s="360" t="s">
        <v>42</v>
      </c>
      <c r="Z2405" s="360">
        <v>3</v>
      </c>
      <c r="AA2405" s="360">
        <v>37</v>
      </c>
      <c r="AB2405" s="360">
        <v>8.1</v>
      </c>
    </row>
    <row r="2406" spans="10:28" x14ac:dyDescent="0.2">
      <c r="J2406" s="358" t="str">
        <f t="shared" si="120"/>
        <v>2008MaleAllEth213</v>
      </c>
      <c r="K2406" s="359">
        <v>2008</v>
      </c>
      <c r="L2406" t="s">
        <v>20</v>
      </c>
      <c r="M2406" t="s">
        <v>27</v>
      </c>
      <c r="N2406">
        <v>21</v>
      </c>
      <c r="O2406">
        <v>3</v>
      </c>
      <c r="P2406">
        <v>0</v>
      </c>
      <c r="T2406" s="358" t="str">
        <f t="shared" si="121"/>
        <v>2007FemaleNon-Maori24Firearms and explosives</v>
      </c>
      <c r="U2406" s="360">
        <v>2007</v>
      </c>
      <c r="V2406" s="360" t="s">
        <v>8</v>
      </c>
      <c r="W2406" s="360" t="s">
        <v>19</v>
      </c>
      <c r="X2406" s="360">
        <v>24</v>
      </c>
      <c r="Y2406" s="360" t="s">
        <v>42</v>
      </c>
      <c r="Z2406" s="360">
        <v>1</v>
      </c>
      <c r="AA2406" s="360">
        <v>39</v>
      </c>
      <c r="AB2406" s="360">
        <v>2.6</v>
      </c>
    </row>
    <row r="2407" spans="10:28" x14ac:dyDescent="0.2">
      <c r="J2407" s="358" t="str">
        <f t="shared" si="120"/>
        <v>2008MaleAllEth214</v>
      </c>
      <c r="K2407" s="359">
        <v>2008</v>
      </c>
      <c r="L2407" t="s">
        <v>20</v>
      </c>
      <c r="M2407" t="s">
        <v>27</v>
      </c>
      <c r="N2407">
        <v>21</v>
      </c>
      <c r="O2407">
        <v>4</v>
      </c>
      <c r="P2407">
        <v>0</v>
      </c>
      <c r="T2407" s="358" t="str">
        <f t="shared" si="121"/>
        <v>2007FemaleNon-Maori22Hanging, strangulation and suffocation</v>
      </c>
      <c r="U2407" s="360">
        <v>2007</v>
      </c>
      <c r="V2407" s="360" t="s">
        <v>8</v>
      </c>
      <c r="W2407" s="360" t="s">
        <v>19</v>
      </c>
      <c r="X2407" s="360">
        <v>22</v>
      </c>
      <c r="Y2407" s="360" t="s">
        <v>43</v>
      </c>
      <c r="Z2407" s="360">
        <v>9</v>
      </c>
      <c r="AA2407" s="360">
        <v>13</v>
      </c>
      <c r="AB2407" s="360">
        <v>69.2</v>
      </c>
    </row>
    <row r="2408" spans="10:28" x14ac:dyDescent="0.2">
      <c r="J2408" s="358" t="str">
        <f t="shared" si="120"/>
        <v>2008MaleAllEth215</v>
      </c>
      <c r="K2408" s="359">
        <v>2008</v>
      </c>
      <c r="L2408" t="s">
        <v>20</v>
      </c>
      <c r="M2408" t="s">
        <v>27</v>
      </c>
      <c r="N2408">
        <v>21</v>
      </c>
      <c r="O2408">
        <v>5</v>
      </c>
      <c r="P2408">
        <v>2</v>
      </c>
      <c r="T2408" s="358" t="str">
        <f t="shared" si="121"/>
        <v>2007FemaleNon-Maori23Hanging, strangulation and suffocation</v>
      </c>
      <c r="U2408" s="360">
        <v>2007</v>
      </c>
      <c r="V2408" s="360" t="s">
        <v>8</v>
      </c>
      <c r="W2408" s="360" t="s">
        <v>19</v>
      </c>
      <c r="X2408" s="360">
        <v>23</v>
      </c>
      <c r="Y2408" s="360" t="s">
        <v>43</v>
      </c>
      <c r="Z2408" s="360">
        <v>11</v>
      </c>
      <c r="AA2408" s="360">
        <v>37</v>
      </c>
      <c r="AB2408" s="360">
        <v>29.7</v>
      </c>
    </row>
    <row r="2409" spans="10:28" x14ac:dyDescent="0.2">
      <c r="J2409" s="358" t="str">
        <f t="shared" si="120"/>
        <v>2008MaleAllEth221</v>
      </c>
      <c r="K2409" s="359">
        <v>2008</v>
      </c>
      <c r="L2409" t="s">
        <v>20</v>
      </c>
      <c r="M2409" t="s">
        <v>27</v>
      </c>
      <c r="N2409">
        <v>22</v>
      </c>
      <c r="O2409">
        <v>1</v>
      </c>
      <c r="P2409">
        <v>12</v>
      </c>
      <c r="Q2409">
        <v>22.654653021880598</v>
      </c>
      <c r="R2409">
        <v>12.8</v>
      </c>
      <c r="T2409" s="358" t="str">
        <f t="shared" si="121"/>
        <v>2007FemaleNon-Maori24Hanging, strangulation and suffocation</v>
      </c>
      <c r="U2409" s="360">
        <v>2007</v>
      </c>
      <c r="V2409" s="360" t="s">
        <v>8</v>
      </c>
      <c r="W2409" s="360" t="s">
        <v>19</v>
      </c>
      <c r="X2409" s="360">
        <v>24</v>
      </c>
      <c r="Y2409" s="360" t="s">
        <v>43</v>
      </c>
      <c r="Z2409" s="360">
        <v>13</v>
      </c>
      <c r="AA2409" s="360">
        <v>39</v>
      </c>
      <c r="AB2409" s="360">
        <v>33.299999999999997</v>
      </c>
    </row>
    <row r="2410" spans="10:28" x14ac:dyDescent="0.2">
      <c r="J2410" s="358" t="str">
        <f t="shared" si="120"/>
        <v>2008MaleAllEth222</v>
      </c>
      <c r="K2410" s="359">
        <v>2008</v>
      </c>
      <c r="L2410" t="s">
        <v>20</v>
      </c>
      <c r="M2410" t="s">
        <v>27</v>
      </c>
      <c r="N2410">
        <v>22</v>
      </c>
      <c r="O2410">
        <v>2</v>
      </c>
      <c r="P2410">
        <v>14</v>
      </c>
      <c r="Q2410">
        <v>25.040502752536099</v>
      </c>
      <c r="R2410">
        <v>13.1</v>
      </c>
      <c r="T2410" s="358" t="str">
        <f t="shared" si="121"/>
        <v>2007FemaleNon-Maori25Hanging, strangulation and suffocation</v>
      </c>
      <c r="U2410" s="360">
        <v>2007</v>
      </c>
      <c r="V2410" s="360" t="s">
        <v>8</v>
      </c>
      <c r="W2410" s="360" t="s">
        <v>19</v>
      </c>
      <c r="X2410" s="360">
        <v>25</v>
      </c>
      <c r="Y2410" s="360" t="s">
        <v>43</v>
      </c>
      <c r="Z2410" s="360">
        <v>5</v>
      </c>
      <c r="AA2410" s="360">
        <v>8</v>
      </c>
      <c r="AB2410" s="360">
        <v>62.5</v>
      </c>
    </row>
    <row r="2411" spans="10:28" x14ac:dyDescent="0.2">
      <c r="J2411" s="358" t="str">
        <f t="shared" si="120"/>
        <v>2008MaleAllEth223</v>
      </c>
      <c r="K2411" s="359">
        <v>2008</v>
      </c>
      <c r="L2411" t="s">
        <v>20</v>
      </c>
      <c r="M2411" t="s">
        <v>27</v>
      </c>
      <c r="N2411">
        <v>22</v>
      </c>
      <c r="O2411">
        <v>3</v>
      </c>
      <c r="P2411">
        <v>10</v>
      </c>
      <c r="Q2411">
        <v>16.828673306816299</v>
      </c>
      <c r="R2411">
        <v>10.4</v>
      </c>
      <c r="T2411" s="358" t="str">
        <f t="shared" si="121"/>
        <v>2007FemaleNon-Maori23Jumping from a high place</v>
      </c>
      <c r="U2411" s="360">
        <v>2007</v>
      </c>
      <c r="V2411" s="360" t="s">
        <v>8</v>
      </c>
      <c r="W2411" s="360" t="s">
        <v>19</v>
      </c>
      <c r="X2411" s="360">
        <v>23</v>
      </c>
      <c r="Y2411" s="360" t="s">
        <v>44</v>
      </c>
      <c r="Z2411" s="360">
        <v>2</v>
      </c>
      <c r="AA2411" s="360">
        <v>37</v>
      </c>
      <c r="AB2411" s="360">
        <v>5.4</v>
      </c>
    </row>
    <row r="2412" spans="10:28" x14ac:dyDescent="0.2">
      <c r="J2412" s="358" t="str">
        <f t="shared" si="120"/>
        <v>2008MaleAllEth224</v>
      </c>
      <c r="K2412" s="359">
        <v>2008</v>
      </c>
      <c r="L2412" t="s">
        <v>20</v>
      </c>
      <c r="M2412" t="s">
        <v>27</v>
      </c>
      <c r="N2412">
        <v>22</v>
      </c>
      <c r="O2412">
        <v>4</v>
      </c>
      <c r="P2412">
        <v>18</v>
      </c>
      <c r="Q2412">
        <v>28.122637888139</v>
      </c>
      <c r="R2412">
        <v>13</v>
      </c>
      <c r="T2412" s="358" t="str">
        <f t="shared" si="121"/>
        <v>2007FemaleNon-Maori24Jumping from a high place</v>
      </c>
      <c r="U2412" s="360">
        <v>2007</v>
      </c>
      <c r="V2412" s="360" t="s">
        <v>8</v>
      </c>
      <c r="W2412" s="360" t="s">
        <v>19</v>
      </c>
      <c r="X2412" s="360">
        <v>24</v>
      </c>
      <c r="Y2412" s="360" t="s">
        <v>44</v>
      </c>
      <c r="Z2412" s="360">
        <v>1</v>
      </c>
      <c r="AA2412" s="360">
        <v>39</v>
      </c>
      <c r="AB2412" s="360">
        <v>2.6</v>
      </c>
    </row>
    <row r="2413" spans="10:28" x14ac:dyDescent="0.2">
      <c r="J2413" s="358" t="str">
        <f t="shared" si="120"/>
        <v>2008MaleAllEth225</v>
      </c>
      <c r="K2413" s="359">
        <v>2008</v>
      </c>
      <c r="L2413" t="s">
        <v>20</v>
      </c>
      <c r="M2413" t="s">
        <v>27</v>
      </c>
      <c r="N2413">
        <v>22</v>
      </c>
      <c r="O2413">
        <v>5</v>
      </c>
      <c r="P2413">
        <v>25</v>
      </c>
      <c r="Q2413">
        <v>34.443060138991697</v>
      </c>
      <c r="R2413">
        <v>13.5</v>
      </c>
      <c r="T2413" s="358" t="str">
        <f t="shared" si="121"/>
        <v>2007FemaleNon-Maori24Other</v>
      </c>
      <c r="U2413" s="360">
        <v>2007</v>
      </c>
      <c r="V2413" s="360" t="s">
        <v>8</v>
      </c>
      <c r="W2413" s="360" t="s">
        <v>19</v>
      </c>
      <c r="X2413" s="360">
        <v>24</v>
      </c>
      <c r="Y2413" s="360" t="s">
        <v>45</v>
      </c>
      <c r="Z2413" s="360">
        <v>5</v>
      </c>
      <c r="AA2413" s="360">
        <v>39</v>
      </c>
      <c r="AB2413" s="360">
        <v>12.8</v>
      </c>
    </row>
    <row r="2414" spans="10:28" x14ac:dyDescent="0.2">
      <c r="J2414" s="358" t="str">
        <f t="shared" si="120"/>
        <v>2008MaleAllEth231</v>
      </c>
      <c r="K2414" s="359">
        <v>2008</v>
      </c>
      <c r="L2414" t="s">
        <v>20</v>
      </c>
      <c r="M2414" t="s">
        <v>27</v>
      </c>
      <c r="N2414">
        <v>23</v>
      </c>
      <c r="O2414">
        <v>1</v>
      </c>
      <c r="P2414">
        <v>18</v>
      </c>
      <c r="Q2414">
        <v>16.626597064317401</v>
      </c>
      <c r="R2414">
        <v>7.7</v>
      </c>
      <c r="T2414" s="358" t="str">
        <f t="shared" si="121"/>
        <v>2007FemaleNon-Maori22Poisoning by gases and vapours</v>
      </c>
      <c r="U2414" s="360">
        <v>2007</v>
      </c>
      <c r="V2414" s="360" t="s">
        <v>8</v>
      </c>
      <c r="W2414" s="360" t="s">
        <v>19</v>
      </c>
      <c r="X2414" s="360">
        <v>22</v>
      </c>
      <c r="Y2414" s="360" t="s">
        <v>46</v>
      </c>
      <c r="Z2414" s="360">
        <v>2</v>
      </c>
      <c r="AA2414" s="360">
        <v>13</v>
      </c>
      <c r="AB2414" s="360">
        <v>15.4</v>
      </c>
    </row>
    <row r="2415" spans="10:28" x14ac:dyDescent="0.2">
      <c r="J2415" s="358" t="str">
        <f t="shared" si="120"/>
        <v>2008MaleAllEth232</v>
      </c>
      <c r="K2415" s="359">
        <v>2008</v>
      </c>
      <c r="L2415" t="s">
        <v>20</v>
      </c>
      <c r="M2415" t="s">
        <v>27</v>
      </c>
      <c r="N2415">
        <v>23</v>
      </c>
      <c r="O2415">
        <v>2</v>
      </c>
      <c r="P2415">
        <v>17</v>
      </c>
      <c r="Q2415">
        <v>14.7143733005194</v>
      </c>
      <c r="R2415">
        <v>7</v>
      </c>
      <c r="T2415" s="358" t="str">
        <f t="shared" si="121"/>
        <v>2007FemaleNon-Maori23Poisoning by gases and vapours</v>
      </c>
      <c r="U2415" s="360">
        <v>2007</v>
      </c>
      <c r="V2415" s="360" t="s">
        <v>8</v>
      </c>
      <c r="W2415" s="360" t="s">
        <v>19</v>
      </c>
      <c r="X2415" s="360">
        <v>23</v>
      </c>
      <c r="Y2415" s="360" t="s">
        <v>46</v>
      </c>
      <c r="Z2415" s="360">
        <v>10</v>
      </c>
      <c r="AA2415" s="360">
        <v>37</v>
      </c>
      <c r="AB2415" s="360">
        <v>27</v>
      </c>
    </row>
    <row r="2416" spans="10:28" x14ac:dyDescent="0.2">
      <c r="J2416" s="358" t="str">
        <f t="shared" si="120"/>
        <v>2008MaleAllEth233</v>
      </c>
      <c r="K2416" s="359">
        <v>2008</v>
      </c>
      <c r="L2416" t="s">
        <v>20</v>
      </c>
      <c r="M2416" t="s">
        <v>27</v>
      </c>
      <c r="N2416">
        <v>23</v>
      </c>
      <c r="O2416">
        <v>3</v>
      </c>
      <c r="P2416">
        <v>24</v>
      </c>
      <c r="Q2416">
        <v>20.527549687350199</v>
      </c>
      <c r="R2416">
        <v>8.1999999999999993</v>
      </c>
      <c r="T2416" s="358" t="str">
        <f t="shared" si="121"/>
        <v>2007FemaleNon-Maori24Poisoning by gases and vapours</v>
      </c>
      <c r="U2416" s="360">
        <v>2007</v>
      </c>
      <c r="V2416" s="360" t="s">
        <v>8</v>
      </c>
      <c r="W2416" s="360" t="s">
        <v>19</v>
      </c>
      <c r="X2416" s="360">
        <v>24</v>
      </c>
      <c r="Y2416" s="360" t="s">
        <v>46</v>
      </c>
      <c r="Z2416" s="360">
        <v>7</v>
      </c>
      <c r="AA2416" s="360">
        <v>39</v>
      </c>
      <c r="AB2416" s="360">
        <v>17.899999999999999</v>
      </c>
    </row>
    <row r="2417" spans="10:28" x14ac:dyDescent="0.2">
      <c r="J2417" s="358" t="str">
        <f t="shared" si="120"/>
        <v>2008MaleAllEth234</v>
      </c>
      <c r="K2417" s="359">
        <v>2008</v>
      </c>
      <c r="L2417" t="s">
        <v>20</v>
      </c>
      <c r="M2417" t="s">
        <v>27</v>
      </c>
      <c r="N2417">
        <v>23</v>
      </c>
      <c r="O2417">
        <v>4</v>
      </c>
      <c r="P2417">
        <v>33</v>
      </c>
      <c r="Q2417">
        <v>28.670389420605201</v>
      </c>
      <c r="R2417">
        <v>9.8000000000000007</v>
      </c>
      <c r="T2417" s="358" t="str">
        <f t="shared" si="121"/>
        <v>2007FemaleNon-Maori25Poisoning by gases and vapours</v>
      </c>
      <c r="U2417" s="360">
        <v>2007</v>
      </c>
      <c r="V2417" s="360" t="s">
        <v>8</v>
      </c>
      <c r="W2417" s="360" t="s">
        <v>19</v>
      </c>
      <c r="X2417" s="360">
        <v>25</v>
      </c>
      <c r="Y2417" s="360" t="s">
        <v>46</v>
      </c>
      <c r="Z2417" s="360">
        <v>1</v>
      </c>
      <c r="AA2417" s="360">
        <v>8</v>
      </c>
      <c r="AB2417" s="360">
        <v>12.5</v>
      </c>
    </row>
    <row r="2418" spans="10:28" x14ac:dyDescent="0.2">
      <c r="J2418" s="358" t="str">
        <f t="shared" si="120"/>
        <v>2008MaleAllEth235</v>
      </c>
      <c r="K2418" s="359">
        <v>2008</v>
      </c>
      <c r="L2418" t="s">
        <v>20</v>
      </c>
      <c r="M2418" t="s">
        <v>27</v>
      </c>
      <c r="N2418">
        <v>23</v>
      </c>
      <c r="O2418">
        <v>5</v>
      </c>
      <c r="P2418">
        <v>35</v>
      </c>
      <c r="Q2418">
        <v>32.922879098849897</v>
      </c>
      <c r="R2418">
        <v>10.9</v>
      </c>
      <c r="T2418" s="358" t="str">
        <f t="shared" si="121"/>
        <v>2007FemaleNon-Maori22Poisoning by solids and liquids</v>
      </c>
      <c r="U2418" s="360">
        <v>2007</v>
      </c>
      <c r="V2418" s="360" t="s">
        <v>8</v>
      </c>
      <c r="W2418" s="360" t="s">
        <v>19</v>
      </c>
      <c r="X2418" s="360">
        <v>22</v>
      </c>
      <c r="Y2418" s="360" t="s">
        <v>47</v>
      </c>
      <c r="Z2418" s="360">
        <v>1</v>
      </c>
      <c r="AA2418" s="360">
        <v>13</v>
      </c>
      <c r="AB2418" s="360">
        <v>7.7</v>
      </c>
    </row>
    <row r="2419" spans="10:28" x14ac:dyDescent="0.2">
      <c r="J2419" s="358" t="str">
        <f t="shared" si="120"/>
        <v>2008MaleAllEth241</v>
      </c>
      <c r="K2419" s="359">
        <v>2008</v>
      </c>
      <c r="L2419" t="s">
        <v>20</v>
      </c>
      <c r="M2419" t="s">
        <v>27</v>
      </c>
      <c r="N2419">
        <v>24</v>
      </c>
      <c r="O2419">
        <v>1</v>
      </c>
      <c r="P2419">
        <v>25</v>
      </c>
      <c r="Q2419">
        <v>19.372087371660999</v>
      </c>
      <c r="R2419">
        <v>7.6</v>
      </c>
      <c r="T2419" s="358" t="str">
        <f t="shared" si="121"/>
        <v>2007FemaleNon-Maori23Poisoning by solids and liquids</v>
      </c>
      <c r="U2419" s="360">
        <v>2007</v>
      </c>
      <c r="V2419" s="360" t="s">
        <v>8</v>
      </c>
      <c r="W2419" s="360" t="s">
        <v>19</v>
      </c>
      <c r="X2419" s="360">
        <v>23</v>
      </c>
      <c r="Y2419" s="360" t="s">
        <v>47</v>
      </c>
      <c r="Z2419" s="360">
        <v>9</v>
      </c>
      <c r="AA2419" s="360">
        <v>37</v>
      </c>
      <c r="AB2419" s="360">
        <v>24.3</v>
      </c>
    </row>
    <row r="2420" spans="10:28" x14ac:dyDescent="0.2">
      <c r="J2420" s="358" t="str">
        <f t="shared" si="120"/>
        <v>2008MaleAllEth242</v>
      </c>
      <c r="K2420" s="359">
        <v>2008</v>
      </c>
      <c r="L2420" t="s">
        <v>20</v>
      </c>
      <c r="M2420" t="s">
        <v>27</v>
      </c>
      <c r="N2420">
        <v>24</v>
      </c>
      <c r="O2420">
        <v>2</v>
      </c>
      <c r="P2420">
        <v>20</v>
      </c>
      <c r="Q2420">
        <v>17.716586866479801</v>
      </c>
      <c r="R2420">
        <v>7.8</v>
      </c>
      <c r="T2420" s="358" t="str">
        <f t="shared" si="121"/>
        <v>2007FemaleNon-Maori24Poisoning by solids and liquids</v>
      </c>
      <c r="U2420" s="360">
        <v>2007</v>
      </c>
      <c r="V2420" s="360" t="s">
        <v>8</v>
      </c>
      <c r="W2420" s="360" t="s">
        <v>19</v>
      </c>
      <c r="X2420" s="360">
        <v>24</v>
      </c>
      <c r="Y2420" s="360" t="s">
        <v>47</v>
      </c>
      <c r="Z2420" s="360">
        <v>12</v>
      </c>
      <c r="AA2420" s="360">
        <v>39</v>
      </c>
      <c r="AB2420" s="360">
        <v>30.8</v>
      </c>
    </row>
    <row r="2421" spans="10:28" x14ac:dyDescent="0.2">
      <c r="J2421" s="358" t="str">
        <f t="shared" si="120"/>
        <v>2008MaleAllEth243</v>
      </c>
      <c r="K2421" s="359">
        <v>2008</v>
      </c>
      <c r="L2421" t="s">
        <v>20</v>
      </c>
      <c r="M2421" t="s">
        <v>27</v>
      </c>
      <c r="N2421">
        <v>24</v>
      </c>
      <c r="O2421">
        <v>3</v>
      </c>
      <c r="P2421">
        <v>31</v>
      </c>
      <c r="Q2421">
        <v>30.7420453108417</v>
      </c>
      <c r="R2421">
        <v>10.8</v>
      </c>
      <c r="T2421" s="358" t="str">
        <f t="shared" si="121"/>
        <v>2007FemaleNon-Maori25Poisoning by solids and liquids</v>
      </c>
      <c r="U2421" s="360">
        <v>2007</v>
      </c>
      <c r="V2421" s="360" t="s">
        <v>8</v>
      </c>
      <c r="W2421" s="360" t="s">
        <v>19</v>
      </c>
      <c r="X2421" s="360">
        <v>25</v>
      </c>
      <c r="Y2421" s="360" t="s">
        <v>47</v>
      </c>
      <c r="Z2421" s="360">
        <v>1</v>
      </c>
      <c r="AA2421" s="360">
        <v>8</v>
      </c>
      <c r="AB2421" s="360">
        <v>12.5</v>
      </c>
    </row>
    <row r="2422" spans="10:28" x14ac:dyDescent="0.2">
      <c r="J2422" s="358" t="str">
        <f t="shared" si="120"/>
        <v>2008MaleAllEth244</v>
      </c>
      <c r="K2422" s="359">
        <v>2008</v>
      </c>
      <c r="L2422" t="s">
        <v>20</v>
      </c>
      <c r="M2422" t="s">
        <v>27</v>
      </c>
      <c r="N2422">
        <v>24</v>
      </c>
      <c r="O2422">
        <v>4</v>
      </c>
      <c r="P2422">
        <v>24</v>
      </c>
      <c r="Q2422">
        <v>26.1568004458152</v>
      </c>
      <c r="R2422">
        <v>10.5</v>
      </c>
      <c r="T2422" s="358" t="str">
        <f t="shared" si="121"/>
        <v>2007FemaleNon-Maori22Submersion (drowning)</v>
      </c>
      <c r="U2422" s="360">
        <v>2007</v>
      </c>
      <c r="V2422" s="360" t="s">
        <v>8</v>
      </c>
      <c r="W2422" s="360" t="s">
        <v>19</v>
      </c>
      <c r="X2422" s="360">
        <v>22</v>
      </c>
      <c r="Y2422" s="360" t="s">
        <v>49</v>
      </c>
      <c r="Z2422" s="360">
        <v>1</v>
      </c>
      <c r="AA2422" s="360">
        <v>13</v>
      </c>
      <c r="AB2422" s="360">
        <v>7.7</v>
      </c>
    </row>
    <row r="2423" spans="10:28" x14ac:dyDescent="0.2">
      <c r="J2423" s="358" t="str">
        <f t="shared" si="120"/>
        <v>2008MaleAllEth245</v>
      </c>
      <c r="K2423" s="359">
        <v>2008</v>
      </c>
      <c r="L2423" t="s">
        <v>20</v>
      </c>
      <c r="M2423" t="s">
        <v>27</v>
      </c>
      <c r="N2423">
        <v>24</v>
      </c>
      <c r="O2423">
        <v>5</v>
      </c>
      <c r="P2423">
        <v>19</v>
      </c>
      <c r="Q2423">
        <v>23.2825033493035</v>
      </c>
      <c r="R2423">
        <v>10.5</v>
      </c>
      <c r="T2423" s="358" t="str">
        <f t="shared" si="121"/>
        <v>2007FemaleNon-Maori23Submersion (drowning)</v>
      </c>
      <c r="U2423" s="360">
        <v>2007</v>
      </c>
      <c r="V2423" s="360" t="s">
        <v>8</v>
      </c>
      <c r="W2423" s="360" t="s">
        <v>19</v>
      </c>
      <c r="X2423" s="360">
        <v>23</v>
      </c>
      <c r="Y2423" s="360" t="s">
        <v>49</v>
      </c>
      <c r="Z2423" s="360">
        <v>2</v>
      </c>
      <c r="AA2423" s="360">
        <v>37</v>
      </c>
      <c r="AB2423" s="360">
        <v>5.4</v>
      </c>
    </row>
    <row r="2424" spans="10:28" x14ac:dyDescent="0.2">
      <c r="J2424" s="358" t="str">
        <f t="shared" si="120"/>
        <v>2008MaleAllEth251</v>
      </c>
      <c r="K2424" s="359">
        <v>2008</v>
      </c>
      <c r="L2424" t="s">
        <v>20</v>
      </c>
      <c r="M2424" t="s">
        <v>27</v>
      </c>
      <c r="N2424">
        <v>25</v>
      </c>
      <c r="O2424">
        <v>1</v>
      </c>
      <c r="P2424">
        <v>7</v>
      </c>
      <c r="Q2424">
        <v>14.1760553184162</v>
      </c>
      <c r="R2424">
        <v>10.5</v>
      </c>
      <c r="T2424" s="358" t="str">
        <f t="shared" si="121"/>
        <v>2007FemaleNon-Maori25Submersion (drowning)</v>
      </c>
      <c r="U2424" s="360">
        <v>2007</v>
      </c>
      <c r="V2424" s="360" t="s">
        <v>8</v>
      </c>
      <c r="W2424" s="360" t="s">
        <v>19</v>
      </c>
      <c r="X2424" s="360">
        <v>25</v>
      </c>
      <c r="Y2424" s="360" t="s">
        <v>49</v>
      </c>
      <c r="Z2424" s="360">
        <v>1</v>
      </c>
      <c r="AA2424" s="360">
        <v>8</v>
      </c>
      <c r="AB2424" s="360">
        <v>12.5</v>
      </c>
    </row>
    <row r="2425" spans="10:28" x14ac:dyDescent="0.2">
      <c r="J2425" s="358" t="str">
        <f t="shared" si="120"/>
        <v>2008MaleAllEth252</v>
      </c>
      <c r="K2425" s="359">
        <v>2008</v>
      </c>
      <c r="L2425" t="s">
        <v>20</v>
      </c>
      <c r="M2425" t="s">
        <v>27</v>
      </c>
      <c r="N2425">
        <v>25</v>
      </c>
      <c r="O2425">
        <v>2</v>
      </c>
      <c r="P2425">
        <v>10</v>
      </c>
      <c r="Q2425">
        <v>19.8471069074876</v>
      </c>
      <c r="R2425">
        <v>12.3</v>
      </c>
      <c r="T2425" s="358" t="str">
        <f t="shared" si="121"/>
        <v>2007MaleAllEth22Firearms and explosives</v>
      </c>
      <c r="U2425" s="360">
        <v>2007</v>
      </c>
      <c r="V2425" s="360" t="s">
        <v>20</v>
      </c>
      <c r="W2425" s="360" t="s">
        <v>27</v>
      </c>
      <c r="X2425" s="360">
        <v>22</v>
      </c>
      <c r="Y2425" s="360" t="s">
        <v>42</v>
      </c>
      <c r="Z2425" s="360">
        <v>4</v>
      </c>
      <c r="AA2425" s="360">
        <v>71</v>
      </c>
      <c r="AB2425" s="360">
        <v>5.6</v>
      </c>
    </row>
    <row r="2426" spans="10:28" x14ac:dyDescent="0.2">
      <c r="J2426" s="358" t="str">
        <f t="shared" si="120"/>
        <v>2008MaleAllEth253</v>
      </c>
      <c r="K2426" s="359">
        <v>2008</v>
      </c>
      <c r="L2426" t="s">
        <v>20</v>
      </c>
      <c r="M2426" t="s">
        <v>27</v>
      </c>
      <c r="N2426">
        <v>25</v>
      </c>
      <c r="O2426">
        <v>3</v>
      </c>
      <c r="P2426">
        <v>7</v>
      </c>
      <c r="Q2426">
        <v>13.611347992670501</v>
      </c>
      <c r="R2426">
        <v>10.1</v>
      </c>
      <c r="T2426" s="358" t="str">
        <f t="shared" si="121"/>
        <v>2007MaleAllEth23Firearms and explosives</v>
      </c>
      <c r="U2426" s="360">
        <v>2007</v>
      </c>
      <c r="V2426" s="360" t="s">
        <v>20</v>
      </c>
      <c r="W2426" s="360" t="s">
        <v>27</v>
      </c>
      <c r="X2426" s="360">
        <v>23</v>
      </c>
      <c r="Y2426" s="360" t="s">
        <v>42</v>
      </c>
      <c r="Z2426" s="360">
        <v>17</v>
      </c>
      <c r="AA2426" s="360">
        <v>165</v>
      </c>
      <c r="AB2426" s="360">
        <v>10.3</v>
      </c>
    </row>
    <row r="2427" spans="10:28" x14ac:dyDescent="0.2">
      <c r="J2427" s="358" t="str">
        <f t="shared" si="120"/>
        <v>2008MaleAllEth254</v>
      </c>
      <c r="K2427" s="359">
        <v>2008</v>
      </c>
      <c r="L2427" t="s">
        <v>20</v>
      </c>
      <c r="M2427" t="s">
        <v>27</v>
      </c>
      <c r="N2427">
        <v>25</v>
      </c>
      <c r="O2427">
        <v>4</v>
      </c>
      <c r="P2427">
        <v>4</v>
      </c>
      <c r="Q2427">
        <v>7.9909020701346103</v>
      </c>
      <c r="R2427">
        <v>7.8</v>
      </c>
      <c r="T2427" s="358" t="str">
        <f t="shared" si="121"/>
        <v>2007MaleAllEth24Firearms and explosives</v>
      </c>
      <c r="U2427" s="360">
        <v>2007</v>
      </c>
      <c r="V2427" s="360" t="s">
        <v>20</v>
      </c>
      <c r="W2427" s="360" t="s">
        <v>27</v>
      </c>
      <c r="X2427" s="360">
        <v>24</v>
      </c>
      <c r="Y2427" s="360" t="s">
        <v>42</v>
      </c>
      <c r="Z2427" s="360">
        <v>9</v>
      </c>
      <c r="AA2427" s="360">
        <v>102</v>
      </c>
      <c r="AB2427" s="360">
        <v>8.8000000000000007</v>
      </c>
    </row>
    <row r="2428" spans="10:28" x14ac:dyDescent="0.2">
      <c r="J2428" s="358" t="str">
        <f t="shared" si="120"/>
        <v>2008MaleAllEth255</v>
      </c>
      <c r="K2428" s="359">
        <v>2008</v>
      </c>
      <c r="L2428" t="s">
        <v>20</v>
      </c>
      <c r="M2428" t="s">
        <v>27</v>
      </c>
      <c r="N2428">
        <v>25</v>
      </c>
      <c r="O2428">
        <v>5</v>
      </c>
      <c r="P2428">
        <v>8</v>
      </c>
      <c r="Q2428">
        <v>19.890018293203202</v>
      </c>
      <c r="R2428">
        <v>13.8</v>
      </c>
      <c r="T2428" s="358" t="str">
        <f t="shared" si="121"/>
        <v>2007MaleAllEth25Firearms and explosives</v>
      </c>
      <c r="U2428" s="360">
        <v>2007</v>
      </c>
      <c r="V2428" s="360" t="s">
        <v>20</v>
      </c>
      <c r="W2428" s="360" t="s">
        <v>27</v>
      </c>
      <c r="X2428" s="360">
        <v>25</v>
      </c>
      <c r="Y2428" s="360" t="s">
        <v>42</v>
      </c>
      <c r="Z2428" s="360">
        <v>14</v>
      </c>
      <c r="AA2428" s="360">
        <v>42</v>
      </c>
      <c r="AB2428" s="360">
        <v>33.299999999999997</v>
      </c>
    </row>
    <row r="2429" spans="10:28" x14ac:dyDescent="0.2">
      <c r="J2429" s="358" t="str">
        <f t="shared" si="120"/>
        <v>2008MaleMaori211</v>
      </c>
      <c r="K2429" s="359">
        <v>2008</v>
      </c>
      <c r="L2429" t="s">
        <v>20</v>
      </c>
      <c r="M2429" t="s">
        <v>18</v>
      </c>
      <c r="N2429">
        <v>21</v>
      </c>
      <c r="O2429">
        <v>1</v>
      </c>
      <c r="P2429">
        <v>0</v>
      </c>
      <c r="T2429" s="358" t="str">
        <f t="shared" si="121"/>
        <v>2007MaleAllEth21Hanging, strangulation and suffocation</v>
      </c>
      <c r="U2429" s="360">
        <v>2007</v>
      </c>
      <c r="V2429" s="360" t="s">
        <v>20</v>
      </c>
      <c r="W2429" s="360" t="s">
        <v>27</v>
      </c>
      <c r="X2429" s="360">
        <v>21</v>
      </c>
      <c r="Y2429" s="360" t="s">
        <v>43</v>
      </c>
      <c r="Z2429" s="360">
        <v>1</v>
      </c>
      <c r="AA2429" s="360">
        <v>1</v>
      </c>
      <c r="AB2429" s="360">
        <v>100</v>
      </c>
    </row>
    <row r="2430" spans="10:28" x14ac:dyDescent="0.2">
      <c r="J2430" s="358" t="str">
        <f t="shared" si="120"/>
        <v>2008MaleMaori212</v>
      </c>
      <c r="K2430" s="359">
        <v>2008</v>
      </c>
      <c r="L2430" t="s">
        <v>20</v>
      </c>
      <c r="M2430" t="s">
        <v>18</v>
      </c>
      <c r="N2430">
        <v>21</v>
      </c>
      <c r="O2430">
        <v>2</v>
      </c>
      <c r="P2430">
        <v>0</v>
      </c>
      <c r="T2430" s="358" t="str">
        <f t="shared" si="121"/>
        <v>2007MaleAllEth22Hanging, strangulation and suffocation</v>
      </c>
      <c r="U2430" s="360">
        <v>2007</v>
      </c>
      <c r="V2430" s="360" t="s">
        <v>20</v>
      </c>
      <c r="W2430" s="360" t="s">
        <v>27</v>
      </c>
      <c r="X2430" s="360">
        <v>22</v>
      </c>
      <c r="Y2430" s="360" t="s">
        <v>43</v>
      </c>
      <c r="Z2430" s="360">
        <v>58</v>
      </c>
      <c r="AA2430" s="360">
        <v>71</v>
      </c>
      <c r="AB2430" s="360">
        <v>81.7</v>
      </c>
    </row>
    <row r="2431" spans="10:28" x14ac:dyDescent="0.2">
      <c r="J2431" s="358" t="str">
        <f t="shared" si="120"/>
        <v>2008MaleMaori213</v>
      </c>
      <c r="K2431" s="359">
        <v>2008</v>
      </c>
      <c r="L2431" t="s">
        <v>20</v>
      </c>
      <c r="M2431" t="s">
        <v>18</v>
      </c>
      <c r="N2431">
        <v>21</v>
      </c>
      <c r="O2431">
        <v>3</v>
      </c>
      <c r="P2431">
        <v>0</v>
      </c>
      <c r="T2431" s="358" t="str">
        <f t="shared" si="121"/>
        <v>2007MaleAllEth23Hanging, strangulation and suffocation</v>
      </c>
      <c r="U2431" s="360">
        <v>2007</v>
      </c>
      <c r="V2431" s="360" t="s">
        <v>20</v>
      </c>
      <c r="W2431" s="360" t="s">
        <v>27</v>
      </c>
      <c r="X2431" s="360">
        <v>23</v>
      </c>
      <c r="Y2431" s="360" t="s">
        <v>43</v>
      </c>
      <c r="Z2431" s="360">
        <v>108</v>
      </c>
      <c r="AA2431" s="360">
        <v>165</v>
      </c>
      <c r="AB2431" s="360">
        <v>65.5</v>
      </c>
    </row>
    <row r="2432" spans="10:28" x14ac:dyDescent="0.2">
      <c r="J2432" s="358" t="str">
        <f t="shared" si="120"/>
        <v>2008MaleMaori214</v>
      </c>
      <c r="K2432" s="359">
        <v>2008</v>
      </c>
      <c r="L2432" t="s">
        <v>20</v>
      </c>
      <c r="M2432" t="s">
        <v>18</v>
      </c>
      <c r="N2432">
        <v>21</v>
      </c>
      <c r="O2432">
        <v>4</v>
      </c>
      <c r="P2432">
        <v>0</v>
      </c>
      <c r="T2432" s="358" t="str">
        <f t="shared" si="121"/>
        <v>2007MaleAllEth24Hanging, strangulation and suffocation</v>
      </c>
      <c r="U2432" s="360">
        <v>2007</v>
      </c>
      <c r="V2432" s="360" t="s">
        <v>20</v>
      </c>
      <c r="W2432" s="360" t="s">
        <v>27</v>
      </c>
      <c r="X2432" s="360">
        <v>24</v>
      </c>
      <c r="Y2432" s="360" t="s">
        <v>43</v>
      </c>
      <c r="Z2432" s="360">
        <v>50</v>
      </c>
      <c r="AA2432" s="360">
        <v>102</v>
      </c>
      <c r="AB2432" s="360">
        <v>49</v>
      </c>
    </row>
    <row r="2433" spans="10:28" x14ac:dyDescent="0.2">
      <c r="J2433" s="358" t="str">
        <f t="shared" si="120"/>
        <v>2008MaleMaori215</v>
      </c>
      <c r="K2433" s="359">
        <v>2008</v>
      </c>
      <c r="L2433" t="s">
        <v>20</v>
      </c>
      <c r="M2433" t="s">
        <v>18</v>
      </c>
      <c r="N2433">
        <v>21</v>
      </c>
      <c r="O2433">
        <v>5</v>
      </c>
      <c r="P2433">
        <v>2</v>
      </c>
      <c r="T2433" s="358" t="str">
        <f t="shared" si="121"/>
        <v>2007MaleAllEth25Hanging, strangulation and suffocation</v>
      </c>
      <c r="U2433" s="360">
        <v>2007</v>
      </c>
      <c r="V2433" s="360" t="s">
        <v>20</v>
      </c>
      <c r="W2433" s="360" t="s">
        <v>27</v>
      </c>
      <c r="X2433" s="360">
        <v>25</v>
      </c>
      <c r="Y2433" s="360" t="s">
        <v>43</v>
      </c>
      <c r="Z2433" s="360">
        <v>13</v>
      </c>
      <c r="AA2433" s="360">
        <v>42</v>
      </c>
      <c r="AB2433" s="360">
        <v>31</v>
      </c>
    </row>
    <row r="2434" spans="10:28" x14ac:dyDescent="0.2">
      <c r="J2434" s="358" t="str">
        <f t="shared" si="120"/>
        <v>2008MaleMaori221</v>
      </c>
      <c r="K2434" s="359">
        <v>2008</v>
      </c>
      <c r="L2434" t="s">
        <v>20</v>
      </c>
      <c r="M2434" t="s">
        <v>18</v>
      </c>
      <c r="N2434">
        <v>22</v>
      </c>
      <c r="O2434">
        <v>1</v>
      </c>
      <c r="P2434">
        <v>1</v>
      </c>
      <c r="Q2434">
        <v>22.569966240504002</v>
      </c>
      <c r="R2434">
        <v>44.2</v>
      </c>
      <c r="T2434" s="358" t="str">
        <f t="shared" si="121"/>
        <v>2007MaleAllEth22Jumping from a high place</v>
      </c>
      <c r="U2434" s="360">
        <v>2007</v>
      </c>
      <c r="V2434" s="360" t="s">
        <v>20</v>
      </c>
      <c r="W2434" s="360" t="s">
        <v>27</v>
      </c>
      <c r="X2434" s="360">
        <v>22</v>
      </c>
      <c r="Y2434" s="360" t="s">
        <v>44</v>
      </c>
      <c r="Z2434" s="360">
        <v>1</v>
      </c>
      <c r="AA2434" s="360">
        <v>71</v>
      </c>
      <c r="AB2434" s="360">
        <v>1.4</v>
      </c>
    </row>
    <row r="2435" spans="10:28" x14ac:dyDescent="0.2">
      <c r="J2435" s="358" t="str">
        <f t="shared" si="120"/>
        <v>2008MaleMaori222</v>
      </c>
      <c r="K2435" s="359">
        <v>2008</v>
      </c>
      <c r="L2435" t="s">
        <v>20</v>
      </c>
      <c r="M2435" t="s">
        <v>18</v>
      </c>
      <c r="N2435">
        <v>22</v>
      </c>
      <c r="O2435">
        <v>2</v>
      </c>
      <c r="P2435">
        <v>1</v>
      </c>
      <c r="Q2435">
        <v>15.295181520315699</v>
      </c>
      <c r="R2435">
        <v>30</v>
      </c>
      <c r="T2435" s="358" t="str">
        <f t="shared" si="121"/>
        <v>2007MaleAllEth23Jumping from a high place</v>
      </c>
      <c r="U2435" s="360">
        <v>2007</v>
      </c>
      <c r="V2435" s="360" t="s">
        <v>20</v>
      </c>
      <c r="W2435" s="360" t="s">
        <v>27</v>
      </c>
      <c r="X2435" s="360">
        <v>23</v>
      </c>
      <c r="Y2435" s="360" t="s">
        <v>44</v>
      </c>
      <c r="Z2435" s="360">
        <v>6</v>
      </c>
      <c r="AA2435" s="360">
        <v>165</v>
      </c>
      <c r="AB2435" s="360">
        <v>3.6</v>
      </c>
    </row>
    <row r="2436" spans="10:28" x14ac:dyDescent="0.2">
      <c r="J2436" s="358" t="str">
        <f t="shared" ref="J2436:J2499" si="122">K2436&amp;L2436&amp;M2436&amp;N2436&amp;O2436</f>
        <v>2008MaleMaori223</v>
      </c>
      <c r="K2436" s="359">
        <v>2008</v>
      </c>
      <c r="L2436" t="s">
        <v>20</v>
      </c>
      <c r="M2436" t="s">
        <v>18</v>
      </c>
      <c r="N2436">
        <v>22</v>
      </c>
      <c r="O2436">
        <v>3</v>
      </c>
      <c r="P2436">
        <v>0</v>
      </c>
      <c r="Q2436">
        <v>0</v>
      </c>
      <c r="T2436" s="358" t="str">
        <f t="shared" si="121"/>
        <v>2007MaleAllEth24Jumping from a high place</v>
      </c>
      <c r="U2436" s="360">
        <v>2007</v>
      </c>
      <c r="V2436" s="360" t="s">
        <v>20</v>
      </c>
      <c r="W2436" s="360" t="s">
        <v>27</v>
      </c>
      <c r="X2436" s="360">
        <v>24</v>
      </c>
      <c r="Y2436" s="360" t="s">
        <v>44</v>
      </c>
      <c r="Z2436" s="360">
        <v>3</v>
      </c>
      <c r="AA2436" s="360">
        <v>102</v>
      </c>
      <c r="AB2436" s="360">
        <v>2.9</v>
      </c>
    </row>
    <row r="2437" spans="10:28" x14ac:dyDescent="0.2">
      <c r="J2437" s="358" t="str">
        <f t="shared" si="122"/>
        <v>2008MaleMaori224</v>
      </c>
      <c r="K2437" s="359">
        <v>2008</v>
      </c>
      <c r="L2437" t="s">
        <v>20</v>
      </c>
      <c r="M2437" t="s">
        <v>18</v>
      </c>
      <c r="N2437">
        <v>22</v>
      </c>
      <c r="O2437">
        <v>4</v>
      </c>
      <c r="P2437">
        <v>5</v>
      </c>
      <c r="Q2437">
        <v>35.478637683316599</v>
      </c>
      <c r="R2437">
        <v>31.1</v>
      </c>
      <c r="T2437" s="358" t="str">
        <f t="shared" ref="T2437:T2500" si="123">U2437&amp;V2437&amp;W2437&amp;X2437&amp;Y2437</f>
        <v>2007MaleAllEth22Other</v>
      </c>
      <c r="U2437" s="360">
        <v>2007</v>
      </c>
      <c r="V2437" s="360" t="s">
        <v>20</v>
      </c>
      <c r="W2437" s="360" t="s">
        <v>27</v>
      </c>
      <c r="X2437" s="360">
        <v>22</v>
      </c>
      <c r="Y2437" s="360" t="s">
        <v>45</v>
      </c>
      <c r="Z2437" s="360">
        <v>4</v>
      </c>
      <c r="AA2437" s="360">
        <v>71</v>
      </c>
      <c r="AB2437" s="360">
        <v>5.6</v>
      </c>
    </row>
    <row r="2438" spans="10:28" x14ac:dyDescent="0.2">
      <c r="J2438" s="358" t="str">
        <f t="shared" si="122"/>
        <v>2008MaleMaori225</v>
      </c>
      <c r="K2438" s="359">
        <v>2008</v>
      </c>
      <c r="L2438" t="s">
        <v>20</v>
      </c>
      <c r="M2438" t="s">
        <v>18</v>
      </c>
      <c r="N2438">
        <v>22</v>
      </c>
      <c r="O2438">
        <v>5</v>
      </c>
      <c r="P2438">
        <v>10</v>
      </c>
      <c r="Q2438">
        <v>41.398750526446698</v>
      </c>
      <c r="R2438">
        <v>25.7</v>
      </c>
      <c r="T2438" s="358" t="str">
        <f t="shared" si="123"/>
        <v>2007MaleAllEth23Other</v>
      </c>
      <c r="U2438" s="360">
        <v>2007</v>
      </c>
      <c r="V2438" s="360" t="s">
        <v>20</v>
      </c>
      <c r="W2438" s="360" t="s">
        <v>27</v>
      </c>
      <c r="X2438" s="360">
        <v>23</v>
      </c>
      <c r="Y2438" s="360" t="s">
        <v>45</v>
      </c>
      <c r="Z2438" s="360">
        <v>4</v>
      </c>
      <c r="AA2438" s="360">
        <v>165</v>
      </c>
      <c r="AB2438" s="360">
        <v>2.4</v>
      </c>
    </row>
    <row r="2439" spans="10:28" x14ac:dyDescent="0.2">
      <c r="J2439" s="358" t="str">
        <f t="shared" si="122"/>
        <v>2008MaleMaori231</v>
      </c>
      <c r="K2439" s="359">
        <v>2008</v>
      </c>
      <c r="L2439" t="s">
        <v>20</v>
      </c>
      <c r="M2439" t="s">
        <v>18</v>
      </c>
      <c r="N2439">
        <v>23</v>
      </c>
      <c r="O2439">
        <v>1</v>
      </c>
      <c r="P2439">
        <v>1</v>
      </c>
      <c r="Q2439">
        <v>14.351915450311701</v>
      </c>
      <c r="R2439">
        <v>28.1</v>
      </c>
      <c r="T2439" s="358" t="str">
        <f t="shared" si="123"/>
        <v>2007MaleAllEth24Other</v>
      </c>
      <c r="U2439" s="360">
        <v>2007</v>
      </c>
      <c r="V2439" s="360" t="s">
        <v>20</v>
      </c>
      <c r="W2439" s="360" t="s">
        <v>27</v>
      </c>
      <c r="X2439" s="360">
        <v>24</v>
      </c>
      <c r="Y2439" s="360" t="s">
        <v>45</v>
      </c>
      <c r="Z2439" s="360">
        <v>5</v>
      </c>
      <c r="AA2439" s="360">
        <v>102</v>
      </c>
      <c r="AB2439" s="360">
        <v>4.9000000000000004</v>
      </c>
    </row>
    <row r="2440" spans="10:28" x14ac:dyDescent="0.2">
      <c r="J2440" s="358" t="str">
        <f t="shared" si="122"/>
        <v>2008MaleMaori232</v>
      </c>
      <c r="K2440" s="359">
        <v>2008</v>
      </c>
      <c r="L2440" t="s">
        <v>20</v>
      </c>
      <c r="M2440" t="s">
        <v>18</v>
      </c>
      <c r="N2440">
        <v>23</v>
      </c>
      <c r="O2440">
        <v>2</v>
      </c>
      <c r="P2440">
        <v>3</v>
      </c>
      <c r="Q2440">
        <v>30.1651914302048</v>
      </c>
      <c r="R2440">
        <v>34.1</v>
      </c>
      <c r="T2440" s="358" t="str">
        <f t="shared" si="123"/>
        <v>2007MaleAllEth25Other</v>
      </c>
      <c r="U2440" s="360">
        <v>2007</v>
      </c>
      <c r="V2440" s="360" t="s">
        <v>20</v>
      </c>
      <c r="W2440" s="360" t="s">
        <v>27</v>
      </c>
      <c r="X2440" s="360">
        <v>25</v>
      </c>
      <c r="Y2440" s="360" t="s">
        <v>45</v>
      </c>
      <c r="Z2440" s="360">
        <v>1</v>
      </c>
      <c r="AA2440" s="360">
        <v>42</v>
      </c>
      <c r="AB2440" s="360">
        <v>2.4</v>
      </c>
    </row>
    <row r="2441" spans="10:28" x14ac:dyDescent="0.2">
      <c r="J2441" s="358" t="str">
        <f t="shared" si="122"/>
        <v>2008MaleMaori233</v>
      </c>
      <c r="K2441" s="359">
        <v>2008</v>
      </c>
      <c r="L2441" t="s">
        <v>20</v>
      </c>
      <c r="M2441" t="s">
        <v>18</v>
      </c>
      <c r="N2441">
        <v>23</v>
      </c>
      <c r="O2441">
        <v>3</v>
      </c>
      <c r="P2441">
        <v>6</v>
      </c>
      <c r="Q2441">
        <v>43.720996382864001</v>
      </c>
      <c r="R2441">
        <v>35</v>
      </c>
      <c r="T2441" s="358" t="str">
        <f t="shared" si="123"/>
        <v>2007MaleAllEth22Poisoning by gases and vapours</v>
      </c>
      <c r="U2441" s="360">
        <v>2007</v>
      </c>
      <c r="V2441" s="360" t="s">
        <v>20</v>
      </c>
      <c r="W2441" s="360" t="s">
        <v>27</v>
      </c>
      <c r="X2441" s="360">
        <v>22</v>
      </c>
      <c r="Y2441" s="360" t="s">
        <v>46</v>
      </c>
      <c r="Z2441" s="360">
        <v>4</v>
      </c>
      <c r="AA2441" s="360">
        <v>71</v>
      </c>
      <c r="AB2441" s="360">
        <v>5.6</v>
      </c>
    </row>
    <row r="2442" spans="10:28" x14ac:dyDescent="0.2">
      <c r="J2442" s="358" t="str">
        <f t="shared" si="122"/>
        <v>2008MaleMaori234</v>
      </c>
      <c r="K2442" s="359">
        <v>2008</v>
      </c>
      <c r="L2442" t="s">
        <v>20</v>
      </c>
      <c r="M2442" t="s">
        <v>18</v>
      </c>
      <c r="N2442">
        <v>23</v>
      </c>
      <c r="O2442">
        <v>4</v>
      </c>
      <c r="P2442">
        <v>7</v>
      </c>
      <c r="Q2442">
        <v>37.208654134570899</v>
      </c>
      <c r="R2442">
        <v>27.6</v>
      </c>
      <c r="T2442" s="358" t="str">
        <f t="shared" si="123"/>
        <v>2007MaleAllEth23Poisoning by gases and vapours</v>
      </c>
      <c r="U2442" s="360">
        <v>2007</v>
      </c>
      <c r="V2442" s="360" t="s">
        <v>20</v>
      </c>
      <c r="W2442" s="360" t="s">
        <v>27</v>
      </c>
      <c r="X2442" s="360">
        <v>23</v>
      </c>
      <c r="Y2442" s="360" t="s">
        <v>46</v>
      </c>
      <c r="Z2442" s="360">
        <v>23</v>
      </c>
      <c r="AA2442" s="360">
        <v>165</v>
      </c>
      <c r="AB2442" s="360">
        <v>13.9</v>
      </c>
    </row>
    <row r="2443" spans="10:28" x14ac:dyDescent="0.2">
      <c r="J2443" s="358" t="str">
        <f t="shared" si="122"/>
        <v>2008MaleMaori235</v>
      </c>
      <c r="K2443" s="359">
        <v>2008</v>
      </c>
      <c r="L2443" t="s">
        <v>20</v>
      </c>
      <c r="M2443" t="s">
        <v>18</v>
      </c>
      <c r="N2443">
        <v>23</v>
      </c>
      <c r="O2443">
        <v>5</v>
      </c>
      <c r="P2443">
        <v>11</v>
      </c>
      <c r="Q2443">
        <v>37.515978401904903</v>
      </c>
      <c r="R2443">
        <v>22.2</v>
      </c>
      <c r="T2443" s="358" t="str">
        <f t="shared" si="123"/>
        <v>2007MaleAllEth24Poisoning by gases and vapours</v>
      </c>
      <c r="U2443" s="360">
        <v>2007</v>
      </c>
      <c r="V2443" s="360" t="s">
        <v>20</v>
      </c>
      <c r="W2443" s="360" t="s">
        <v>27</v>
      </c>
      <c r="X2443" s="360">
        <v>24</v>
      </c>
      <c r="Y2443" s="360" t="s">
        <v>46</v>
      </c>
      <c r="Z2443" s="360">
        <v>19</v>
      </c>
      <c r="AA2443" s="360">
        <v>102</v>
      </c>
      <c r="AB2443" s="360">
        <v>18.600000000000001</v>
      </c>
    </row>
    <row r="2444" spans="10:28" x14ac:dyDescent="0.2">
      <c r="J2444" s="358" t="str">
        <f t="shared" si="122"/>
        <v>2008MaleMaori241</v>
      </c>
      <c r="K2444" s="359">
        <v>2008</v>
      </c>
      <c r="L2444" t="s">
        <v>20</v>
      </c>
      <c r="M2444" t="s">
        <v>18</v>
      </c>
      <c r="N2444">
        <v>24</v>
      </c>
      <c r="O2444">
        <v>1</v>
      </c>
      <c r="P2444">
        <v>0</v>
      </c>
      <c r="Q2444">
        <v>0</v>
      </c>
      <c r="T2444" s="358" t="str">
        <f t="shared" si="123"/>
        <v>2007MaleAllEth25Poisoning by gases and vapours</v>
      </c>
      <c r="U2444" s="360">
        <v>2007</v>
      </c>
      <c r="V2444" s="360" t="s">
        <v>20</v>
      </c>
      <c r="W2444" s="360" t="s">
        <v>27</v>
      </c>
      <c r="X2444" s="360">
        <v>25</v>
      </c>
      <c r="Y2444" s="360" t="s">
        <v>46</v>
      </c>
      <c r="Z2444" s="360">
        <v>6</v>
      </c>
      <c r="AA2444" s="360">
        <v>42</v>
      </c>
      <c r="AB2444" s="360">
        <v>14.3</v>
      </c>
    </row>
    <row r="2445" spans="10:28" x14ac:dyDescent="0.2">
      <c r="J2445" s="358" t="str">
        <f t="shared" si="122"/>
        <v>2008MaleMaori242</v>
      </c>
      <c r="K2445" s="359">
        <v>2008</v>
      </c>
      <c r="L2445" t="s">
        <v>20</v>
      </c>
      <c r="M2445" t="s">
        <v>18</v>
      </c>
      <c r="N2445">
        <v>24</v>
      </c>
      <c r="O2445">
        <v>2</v>
      </c>
      <c r="P2445">
        <v>0</v>
      </c>
      <c r="Q2445">
        <v>0</v>
      </c>
      <c r="T2445" s="358" t="str">
        <f t="shared" si="123"/>
        <v>2007MaleAllEth23Poisoning by solids and liquids</v>
      </c>
      <c r="U2445" s="360">
        <v>2007</v>
      </c>
      <c r="V2445" s="360" t="s">
        <v>20</v>
      </c>
      <c r="W2445" s="360" t="s">
        <v>27</v>
      </c>
      <c r="X2445" s="360">
        <v>23</v>
      </c>
      <c r="Y2445" s="360" t="s">
        <v>47</v>
      </c>
      <c r="Z2445" s="360">
        <v>4</v>
      </c>
      <c r="AA2445" s="360">
        <v>165</v>
      </c>
      <c r="AB2445" s="360">
        <v>2.4</v>
      </c>
    </row>
    <row r="2446" spans="10:28" x14ac:dyDescent="0.2">
      <c r="J2446" s="358" t="str">
        <f t="shared" si="122"/>
        <v>2008MaleMaori243</v>
      </c>
      <c r="K2446" s="359">
        <v>2008</v>
      </c>
      <c r="L2446" t="s">
        <v>20</v>
      </c>
      <c r="M2446" t="s">
        <v>18</v>
      </c>
      <c r="N2446">
        <v>24</v>
      </c>
      <c r="O2446">
        <v>3</v>
      </c>
      <c r="P2446">
        <v>3</v>
      </c>
      <c r="Q2446">
        <v>35.827199571000598</v>
      </c>
      <c r="R2446">
        <v>40.5</v>
      </c>
      <c r="T2446" s="358" t="str">
        <f t="shared" si="123"/>
        <v>2007MaleAllEth24Poisoning by solids and liquids</v>
      </c>
      <c r="U2446" s="360">
        <v>2007</v>
      </c>
      <c r="V2446" s="360" t="s">
        <v>20</v>
      </c>
      <c r="W2446" s="360" t="s">
        <v>27</v>
      </c>
      <c r="X2446" s="360">
        <v>24</v>
      </c>
      <c r="Y2446" s="360" t="s">
        <v>47</v>
      </c>
      <c r="Z2446" s="360">
        <v>11</v>
      </c>
      <c r="AA2446" s="360">
        <v>102</v>
      </c>
      <c r="AB2446" s="360">
        <v>10.8</v>
      </c>
    </row>
    <row r="2447" spans="10:28" x14ac:dyDescent="0.2">
      <c r="J2447" s="358" t="str">
        <f t="shared" si="122"/>
        <v>2008MaleMaori244</v>
      </c>
      <c r="K2447" s="359">
        <v>2008</v>
      </c>
      <c r="L2447" t="s">
        <v>20</v>
      </c>
      <c r="M2447" t="s">
        <v>18</v>
      </c>
      <c r="N2447">
        <v>24</v>
      </c>
      <c r="O2447">
        <v>4</v>
      </c>
      <c r="P2447">
        <v>2</v>
      </c>
      <c r="Q2447">
        <v>17.1472661594734</v>
      </c>
      <c r="R2447">
        <v>23.8</v>
      </c>
      <c r="T2447" s="358" t="str">
        <f t="shared" si="123"/>
        <v>2007MaleAllEth25Poisoning by solids and liquids</v>
      </c>
      <c r="U2447" s="360">
        <v>2007</v>
      </c>
      <c r="V2447" s="360" t="s">
        <v>20</v>
      </c>
      <c r="W2447" s="360" t="s">
        <v>27</v>
      </c>
      <c r="X2447" s="360">
        <v>25</v>
      </c>
      <c r="Y2447" s="360" t="s">
        <v>47</v>
      </c>
      <c r="Z2447" s="360">
        <v>5</v>
      </c>
      <c r="AA2447" s="360">
        <v>42</v>
      </c>
      <c r="AB2447" s="360">
        <v>11.9</v>
      </c>
    </row>
    <row r="2448" spans="10:28" x14ac:dyDescent="0.2">
      <c r="J2448" s="358" t="str">
        <f t="shared" si="122"/>
        <v>2008MaleMaori245</v>
      </c>
      <c r="K2448" s="359">
        <v>2008</v>
      </c>
      <c r="L2448" t="s">
        <v>20</v>
      </c>
      <c r="M2448" t="s">
        <v>18</v>
      </c>
      <c r="N2448">
        <v>24</v>
      </c>
      <c r="O2448">
        <v>5</v>
      </c>
      <c r="P2448">
        <v>3</v>
      </c>
      <c r="Q2448">
        <v>14.961300201403899</v>
      </c>
      <c r="R2448">
        <v>16.899999999999999</v>
      </c>
      <c r="T2448" s="358" t="str">
        <f t="shared" si="123"/>
        <v>2007MaleAllEth23Sharp object</v>
      </c>
      <c r="U2448" s="360">
        <v>2007</v>
      </c>
      <c r="V2448" s="360" t="s">
        <v>20</v>
      </c>
      <c r="W2448" s="360" t="s">
        <v>27</v>
      </c>
      <c r="X2448" s="360">
        <v>23</v>
      </c>
      <c r="Y2448" s="360" t="s">
        <v>48</v>
      </c>
      <c r="Z2448" s="360">
        <v>2</v>
      </c>
      <c r="AA2448" s="360">
        <v>165</v>
      </c>
      <c r="AB2448" s="360">
        <v>1.2</v>
      </c>
    </row>
    <row r="2449" spans="10:28" x14ac:dyDescent="0.2">
      <c r="J2449" s="358" t="str">
        <f t="shared" si="122"/>
        <v>2008MaleMaori251</v>
      </c>
      <c r="K2449" s="359">
        <v>2008</v>
      </c>
      <c r="L2449" t="s">
        <v>20</v>
      </c>
      <c r="M2449" t="s">
        <v>18</v>
      </c>
      <c r="N2449">
        <v>25</v>
      </c>
      <c r="O2449">
        <v>1</v>
      </c>
      <c r="P2449">
        <v>0</v>
      </c>
      <c r="Q2449">
        <v>0</v>
      </c>
      <c r="T2449" s="358" t="str">
        <f t="shared" si="123"/>
        <v>2007MaleAllEth24Sharp object</v>
      </c>
      <c r="U2449" s="360">
        <v>2007</v>
      </c>
      <c r="V2449" s="360" t="s">
        <v>20</v>
      </c>
      <c r="W2449" s="360" t="s">
        <v>27</v>
      </c>
      <c r="X2449" s="360">
        <v>24</v>
      </c>
      <c r="Y2449" s="360" t="s">
        <v>48</v>
      </c>
      <c r="Z2449" s="360">
        <v>2</v>
      </c>
      <c r="AA2449" s="360">
        <v>102</v>
      </c>
      <c r="AB2449" s="360">
        <v>2</v>
      </c>
    </row>
    <row r="2450" spans="10:28" x14ac:dyDescent="0.2">
      <c r="J2450" s="358" t="str">
        <f t="shared" si="122"/>
        <v>2008MaleMaori252</v>
      </c>
      <c r="K2450" s="359">
        <v>2008</v>
      </c>
      <c r="L2450" t="s">
        <v>20</v>
      </c>
      <c r="M2450" t="s">
        <v>18</v>
      </c>
      <c r="N2450">
        <v>25</v>
      </c>
      <c r="O2450">
        <v>2</v>
      </c>
      <c r="P2450">
        <v>0</v>
      </c>
      <c r="Q2450">
        <v>0</v>
      </c>
      <c r="T2450" s="358" t="str">
        <f t="shared" si="123"/>
        <v>2007MaleAllEth25Sharp object</v>
      </c>
      <c r="U2450" s="360">
        <v>2007</v>
      </c>
      <c r="V2450" s="360" t="s">
        <v>20</v>
      </c>
      <c r="W2450" s="360" t="s">
        <v>27</v>
      </c>
      <c r="X2450" s="360">
        <v>25</v>
      </c>
      <c r="Y2450" s="360" t="s">
        <v>48</v>
      </c>
      <c r="Z2450" s="360">
        <v>2</v>
      </c>
      <c r="AA2450" s="360">
        <v>42</v>
      </c>
      <c r="AB2450" s="360">
        <v>4.8</v>
      </c>
    </row>
    <row r="2451" spans="10:28" x14ac:dyDescent="0.2">
      <c r="J2451" s="358" t="str">
        <f t="shared" si="122"/>
        <v>2008MaleMaori253</v>
      </c>
      <c r="K2451" s="359">
        <v>2008</v>
      </c>
      <c r="L2451" t="s">
        <v>20</v>
      </c>
      <c r="M2451" t="s">
        <v>18</v>
      </c>
      <c r="N2451">
        <v>25</v>
      </c>
      <c r="O2451">
        <v>3</v>
      </c>
      <c r="P2451">
        <v>0</v>
      </c>
      <c r="Q2451">
        <v>0</v>
      </c>
      <c r="T2451" s="358" t="str">
        <f t="shared" si="123"/>
        <v>2007MaleAllEth23Submersion (drowning)</v>
      </c>
      <c r="U2451" s="360">
        <v>2007</v>
      </c>
      <c r="V2451" s="360" t="s">
        <v>20</v>
      </c>
      <c r="W2451" s="360" t="s">
        <v>27</v>
      </c>
      <c r="X2451" s="360">
        <v>23</v>
      </c>
      <c r="Y2451" s="360" t="s">
        <v>49</v>
      </c>
      <c r="Z2451" s="360">
        <v>1</v>
      </c>
      <c r="AA2451" s="360">
        <v>165</v>
      </c>
      <c r="AB2451" s="360">
        <v>0.6</v>
      </c>
    </row>
    <row r="2452" spans="10:28" x14ac:dyDescent="0.2">
      <c r="J2452" s="358" t="str">
        <f t="shared" si="122"/>
        <v>2008MaleMaori254</v>
      </c>
      <c r="K2452" s="359">
        <v>2008</v>
      </c>
      <c r="L2452" t="s">
        <v>20</v>
      </c>
      <c r="M2452" t="s">
        <v>18</v>
      </c>
      <c r="N2452">
        <v>25</v>
      </c>
      <c r="O2452">
        <v>4</v>
      </c>
      <c r="P2452">
        <v>0</v>
      </c>
      <c r="Q2452">
        <v>0</v>
      </c>
      <c r="T2452" s="358" t="str">
        <f t="shared" si="123"/>
        <v>2007MaleAllEth24Submersion (drowning)</v>
      </c>
      <c r="U2452" s="360">
        <v>2007</v>
      </c>
      <c r="V2452" s="360" t="s">
        <v>20</v>
      </c>
      <c r="W2452" s="360" t="s">
        <v>27</v>
      </c>
      <c r="X2452" s="360">
        <v>24</v>
      </c>
      <c r="Y2452" s="360" t="s">
        <v>49</v>
      </c>
      <c r="Z2452" s="360">
        <v>3</v>
      </c>
      <c r="AA2452" s="360">
        <v>102</v>
      </c>
      <c r="AB2452" s="360">
        <v>2.9</v>
      </c>
    </row>
    <row r="2453" spans="10:28" x14ac:dyDescent="0.2">
      <c r="J2453" s="358" t="str">
        <f t="shared" si="122"/>
        <v>2008MaleMaori255</v>
      </c>
      <c r="K2453" s="359">
        <v>2008</v>
      </c>
      <c r="L2453" t="s">
        <v>20</v>
      </c>
      <c r="M2453" t="s">
        <v>18</v>
      </c>
      <c r="N2453">
        <v>25</v>
      </c>
      <c r="O2453">
        <v>5</v>
      </c>
      <c r="P2453">
        <v>1</v>
      </c>
      <c r="Q2453">
        <v>17.896857526012901</v>
      </c>
      <c r="R2453">
        <v>35.1</v>
      </c>
      <c r="T2453" s="358" t="str">
        <f t="shared" si="123"/>
        <v>2007MaleAllEth25Submersion (drowning)</v>
      </c>
      <c r="U2453" s="360">
        <v>2007</v>
      </c>
      <c r="V2453" s="360" t="s">
        <v>20</v>
      </c>
      <c r="W2453" s="360" t="s">
        <v>27</v>
      </c>
      <c r="X2453" s="360">
        <v>25</v>
      </c>
      <c r="Y2453" s="360" t="s">
        <v>49</v>
      </c>
      <c r="Z2453" s="360">
        <v>1</v>
      </c>
      <c r="AA2453" s="360">
        <v>42</v>
      </c>
      <c r="AB2453" s="360">
        <v>2.4</v>
      </c>
    </row>
    <row r="2454" spans="10:28" x14ac:dyDescent="0.2">
      <c r="J2454" s="358" t="str">
        <f t="shared" si="122"/>
        <v>2008MaleNon-Maori211</v>
      </c>
      <c r="K2454" s="359">
        <v>2008</v>
      </c>
      <c r="L2454" t="s">
        <v>20</v>
      </c>
      <c r="M2454" t="s">
        <v>19</v>
      </c>
      <c r="N2454">
        <v>21</v>
      </c>
      <c r="O2454">
        <v>1</v>
      </c>
      <c r="P2454">
        <v>0</v>
      </c>
      <c r="T2454" s="358" t="str">
        <f t="shared" si="123"/>
        <v>2007MaleMaori23Firearms and explosives</v>
      </c>
      <c r="U2454" s="360">
        <v>2007</v>
      </c>
      <c r="V2454" s="360" t="s">
        <v>20</v>
      </c>
      <c r="W2454" s="360" t="s">
        <v>18</v>
      </c>
      <c r="X2454" s="360">
        <v>23</v>
      </c>
      <c r="Y2454" s="360" t="s">
        <v>42</v>
      </c>
      <c r="Z2454" s="360">
        <v>5</v>
      </c>
      <c r="AA2454" s="360">
        <v>39</v>
      </c>
      <c r="AB2454" s="360">
        <v>12.8</v>
      </c>
    </row>
    <row r="2455" spans="10:28" x14ac:dyDescent="0.2">
      <c r="J2455" s="358" t="str">
        <f t="shared" si="122"/>
        <v>2008MaleNon-Maori212</v>
      </c>
      <c r="K2455" s="359">
        <v>2008</v>
      </c>
      <c r="L2455" t="s">
        <v>20</v>
      </c>
      <c r="M2455" t="s">
        <v>19</v>
      </c>
      <c r="N2455">
        <v>21</v>
      </c>
      <c r="O2455">
        <v>2</v>
      </c>
      <c r="P2455">
        <v>0</v>
      </c>
      <c r="T2455" s="358" t="str">
        <f t="shared" si="123"/>
        <v>2007MaleMaori25Firearms and explosives</v>
      </c>
      <c r="U2455" s="360">
        <v>2007</v>
      </c>
      <c r="V2455" s="360" t="s">
        <v>20</v>
      </c>
      <c r="W2455" s="360" t="s">
        <v>18</v>
      </c>
      <c r="X2455" s="360">
        <v>25</v>
      </c>
      <c r="Y2455" s="360" t="s">
        <v>42</v>
      </c>
      <c r="Z2455" s="360">
        <v>1</v>
      </c>
      <c r="AA2455" s="360">
        <v>1</v>
      </c>
      <c r="AB2455" s="360">
        <v>100</v>
      </c>
    </row>
    <row r="2456" spans="10:28" x14ac:dyDescent="0.2">
      <c r="J2456" s="358" t="str">
        <f t="shared" si="122"/>
        <v>2008MaleNon-Maori213</v>
      </c>
      <c r="K2456" s="359">
        <v>2008</v>
      </c>
      <c r="L2456" t="s">
        <v>20</v>
      </c>
      <c r="M2456" t="s">
        <v>19</v>
      </c>
      <c r="N2456">
        <v>21</v>
      </c>
      <c r="O2456">
        <v>3</v>
      </c>
      <c r="P2456">
        <v>0</v>
      </c>
      <c r="T2456" s="358" t="str">
        <f t="shared" si="123"/>
        <v>2007MaleMaori22Hanging, strangulation and suffocation</v>
      </c>
      <c r="U2456" s="360">
        <v>2007</v>
      </c>
      <c r="V2456" s="360" t="s">
        <v>20</v>
      </c>
      <c r="W2456" s="360" t="s">
        <v>18</v>
      </c>
      <c r="X2456" s="360">
        <v>22</v>
      </c>
      <c r="Y2456" s="360" t="s">
        <v>43</v>
      </c>
      <c r="Z2456" s="360">
        <v>21</v>
      </c>
      <c r="AA2456" s="360">
        <v>23</v>
      </c>
      <c r="AB2456" s="360">
        <v>91.3</v>
      </c>
    </row>
    <row r="2457" spans="10:28" x14ac:dyDescent="0.2">
      <c r="J2457" s="358" t="str">
        <f t="shared" si="122"/>
        <v>2008MaleNon-Maori214</v>
      </c>
      <c r="K2457" s="359">
        <v>2008</v>
      </c>
      <c r="L2457" t="s">
        <v>20</v>
      </c>
      <c r="M2457" t="s">
        <v>19</v>
      </c>
      <c r="N2457">
        <v>21</v>
      </c>
      <c r="O2457">
        <v>4</v>
      </c>
      <c r="P2457">
        <v>0</v>
      </c>
      <c r="T2457" s="358" t="str">
        <f t="shared" si="123"/>
        <v>2007MaleMaori23Hanging, strangulation and suffocation</v>
      </c>
      <c r="U2457" s="360">
        <v>2007</v>
      </c>
      <c r="V2457" s="360" t="s">
        <v>20</v>
      </c>
      <c r="W2457" s="360" t="s">
        <v>18</v>
      </c>
      <c r="X2457" s="360">
        <v>23</v>
      </c>
      <c r="Y2457" s="360" t="s">
        <v>43</v>
      </c>
      <c r="Z2457" s="360">
        <v>27</v>
      </c>
      <c r="AA2457" s="360">
        <v>39</v>
      </c>
      <c r="AB2457" s="360">
        <v>69.2</v>
      </c>
    </row>
    <row r="2458" spans="10:28" x14ac:dyDescent="0.2">
      <c r="J2458" s="358" t="str">
        <f t="shared" si="122"/>
        <v>2008MaleNon-Maori215</v>
      </c>
      <c r="K2458" s="359">
        <v>2008</v>
      </c>
      <c r="L2458" t="s">
        <v>20</v>
      </c>
      <c r="M2458" t="s">
        <v>19</v>
      </c>
      <c r="N2458">
        <v>21</v>
      </c>
      <c r="O2458">
        <v>5</v>
      </c>
      <c r="P2458">
        <v>0</v>
      </c>
      <c r="T2458" s="358" t="str">
        <f t="shared" si="123"/>
        <v>2007MaleMaori24Hanging, strangulation and suffocation</v>
      </c>
      <c r="U2458" s="360">
        <v>2007</v>
      </c>
      <c r="V2458" s="360" t="s">
        <v>20</v>
      </c>
      <c r="W2458" s="360" t="s">
        <v>18</v>
      </c>
      <c r="X2458" s="360">
        <v>24</v>
      </c>
      <c r="Y2458" s="360" t="s">
        <v>43</v>
      </c>
      <c r="Z2458" s="360">
        <v>7</v>
      </c>
      <c r="AA2458" s="360">
        <v>11</v>
      </c>
      <c r="AB2458" s="360">
        <v>63.6</v>
      </c>
    </row>
    <row r="2459" spans="10:28" x14ac:dyDescent="0.2">
      <c r="J2459" s="358" t="str">
        <f t="shared" si="122"/>
        <v>2008MaleNon-Maori221</v>
      </c>
      <c r="K2459" s="359">
        <v>2008</v>
      </c>
      <c r="L2459" t="s">
        <v>20</v>
      </c>
      <c r="M2459" t="s">
        <v>19</v>
      </c>
      <c r="N2459">
        <v>22</v>
      </c>
      <c r="O2459">
        <v>1</v>
      </c>
      <c r="P2459">
        <v>11</v>
      </c>
      <c r="Q2459">
        <v>22.706962558554</v>
      </c>
      <c r="R2459">
        <v>13.4</v>
      </c>
      <c r="T2459" s="358" t="str">
        <f t="shared" si="123"/>
        <v>2007MaleMaori24Jumping from a high place</v>
      </c>
      <c r="U2459" s="360">
        <v>2007</v>
      </c>
      <c r="V2459" s="360" t="s">
        <v>20</v>
      </c>
      <c r="W2459" s="360" t="s">
        <v>18</v>
      </c>
      <c r="X2459" s="360">
        <v>24</v>
      </c>
      <c r="Y2459" s="360" t="s">
        <v>44</v>
      </c>
      <c r="Z2459" s="360">
        <v>1</v>
      </c>
      <c r="AA2459" s="360">
        <v>11</v>
      </c>
      <c r="AB2459" s="360">
        <v>9.1</v>
      </c>
    </row>
    <row r="2460" spans="10:28" x14ac:dyDescent="0.2">
      <c r="J2460" s="358" t="str">
        <f t="shared" si="122"/>
        <v>2008MaleNon-Maori222</v>
      </c>
      <c r="K2460" s="359">
        <v>2008</v>
      </c>
      <c r="L2460" t="s">
        <v>20</v>
      </c>
      <c r="M2460" t="s">
        <v>19</v>
      </c>
      <c r="N2460">
        <v>22</v>
      </c>
      <c r="O2460">
        <v>2</v>
      </c>
      <c r="P2460">
        <v>13</v>
      </c>
      <c r="Q2460">
        <v>26.317661281556301</v>
      </c>
      <c r="R2460">
        <v>14.3</v>
      </c>
      <c r="T2460" s="358" t="str">
        <f t="shared" si="123"/>
        <v>2007MaleMaori22Other</v>
      </c>
      <c r="U2460" s="360">
        <v>2007</v>
      </c>
      <c r="V2460" s="360" t="s">
        <v>20</v>
      </c>
      <c r="W2460" s="360" t="s">
        <v>18</v>
      </c>
      <c r="X2460" s="360">
        <v>22</v>
      </c>
      <c r="Y2460" s="360" t="s">
        <v>45</v>
      </c>
      <c r="Z2460" s="360">
        <v>1</v>
      </c>
      <c r="AA2460" s="360">
        <v>23</v>
      </c>
      <c r="AB2460" s="360">
        <v>4.3</v>
      </c>
    </row>
    <row r="2461" spans="10:28" x14ac:dyDescent="0.2">
      <c r="J2461" s="358" t="str">
        <f t="shared" si="122"/>
        <v>2008MaleNon-Maori223</v>
      </c>
      <c r="K2461" s="359">
        <v>2008</v>
      </c>
      <c r="L2461" t="s">
        <v>20</v>
      </c>
      <c r="M2461" t="s">
        <v>19</v>
      </c>
      <c r="N2461">
        <v>22</v>
      </c>
      <c r="O2461">
        <v>3</v>
      </c>
      <c r="P2461">
        <v>10</v>
      </c>
      <c r="Q2461">
        <v>20.076415501319001</v>
      </c>
      <c r="R2461">
        <v>12.4</v>
      </c>
      <c r="T2461" s="358" t="str">
        <f t="shared" si="123"/>
        <v>2007MaleMaori23Other</v>
      </c>
      <c r="U2461" s="360">
        <v>2007</v>
      </c>
      <c r="V2461" s="360" t="s">
        <v>20</v>
      </c>
      <c r="W2461" s="360" t="s">
        <v>18</v>
      </c>
      <c r="X2461" s="360">
        <v>23</v>
      </c>
      <c r="Y2461" s="360" t="s">
        <v>45</v>
      </c>
      <c r="Z2461" s="360">
        <v>1</v>
      </c>
      <c r="AA2461" s="360">
        <v>39</v>
      </c>
      <c r="AB2461" s="360">
        <v>2.6</v>
      </c>
    </row>
    <row r="2462" spans="10:28" x14ac:dyDescent="0.2">
      <c r="J2462" s="358" t="str">
        <f t="shared" si="122"/>
        <v>2008MaleNon-Maori224</v>
      </c>
      <c r="K2462" s="359">
        <v>2008</v>
      </c>
      <c r="L2462" t="s">
        <v>20</v>
      </c>
      <c r="M2462" t="s">
        <v>19</v>
      </c>
      <c r="N2462">
        <v>22</v>
      </c>
      <c r="O2462">
        <v>4</v>
      </c>
      <c r="P2462">
        <v>13</v>
      </c>
      <c r="Q2462">
        <v>26.088525879535698</v>
      </c>
      <c r="R2462">
        <v>14.2</v>
      </c>
      <c r="T2462" s="358" t="str">
        <f t="shared" si="123"/>
        <v>2007MaleMaori22Poisoning by gases and vapours</v>
      </c>
      <c r="U2462" s="360">
        <v>2007</v>
      </c>
      <c r="V2462" s="360" t="s">
        <v>20</v>
      </c>
      <c r="W2462" s="360" t="s">
        <v>18</v>
      </c>
      <c r="X2462" s="360">
        <v>22</v>
      </c>
      <c r="Y2462" s="360" t="s">
        <v>46</v>
      </c>
      <c r="Z2462" s="360">
        <v>1</v>
      </c>
      <c r="AA2462" s="360">
        <v>23</v>
      </c>
      <c r="AB2462" s="360">
        <v>4.3</v>
      </c>
    </row>
    <row r="2463" spans="10:28" x14ac:dyDescent="0.2">
      <c r="J2463" s="358" t="str">
        <f t="shared" si="122"/>
        <v>2008MaleNon-Maori225</v>
      </c>
      <c r="K2463" s="359">
        <v>2008</v>
      </c>
      <c r="L2463" t="s">
        <v>20</v>
      </c>
      <c r="M2463" t="s">
        <v>19</v>
      </c>
      <c r="N2463">
        <v>22</v>
      </c>
      <c r="O2463">
        <v>5</v>
      </c>
      <c r="P2463">
        <v>15</v>
      </c>
      <c r="Q2463">
        <v>30.927708600894899</v>
      </c>
      <c r="R2463">
        <v>15.7</v>
      </c>
      <c r="T2463" s="358" t="str">
        <f t="shared" si="123"/>
        <v>2007MaleMaori23Poisoning by gases and vapours</v>
      </c>
      <c r="U2463" s="360">
        <v>2007</v>
      </c>
      <c r="V2463" s="360" t="s">
        <v>20</v>
      </c>
      <c r="W2463" s="360" t="s">
        <v>18</v>
      </c>
      <c r="X2463" s="360">
        <v>23</v>
      </c>
      <c r="Y2463" s="360" t="s">
        <v>46</v>
      </c>
      <c r="Z2463" s="360">
        <v>5</v>
      </c>
      <c r="AA2463" s="360">
        <v>39</v>
      </c>
      <c r="AB2463" s="360">
        <v>12.8</v>
      </c>
    </row>
    <row r="2464" spans="10:28" x14ac:dyDescent="0.2">
      <c r="J2464" s="358" t="str">
        <f t="shared" si="122"/>
        <v>2008MaleNon-Maori231</v>
      </c>
      <c r="K2464" s="359">
        <v>2008</v>
      </c>
      <c r="L2464" t="s">
        <v>20</v>
      </c>
      <c r="M2464" t="s">
        <v>19</v>
      </c>
      <c r="N2464">
        <v>23</v>
      </c>
      <c r="O2464">
        <v>1</v>
      </c>
      <c r="P2464">
        <v>17</v>
      </c>
      <c r="Q2464">
        <v>16.722126228830501</v>
      </c>
      <c r="R2464">
        <v>7.9</v>
      </c>
      <c r="T2464" s="358" t="str">
        <f t="shared" si="123"/>
        <v>2007MaleMaori23Poisoning by solids and liquids</v>
      </c>
      <c r="U2464" s="360">
        <v>2007</v>
      </c>
      <c r="V2464" s="360" t="s">
        <v>20</v>
      </c>
      <c r="W2464" s="360" t="s">
        <v>18</v>
      </c>
      <c r="X2464" s="360">
        <v>23</v>
      </c>
      <c r="Y2464" s="360" t="s">
        <v>47</v>
      </c>
      <c r="Z2464" s="360">
        <v>1</v>
      </c>
      <c r="AA2464" s="360">
        <v>39</v>
      </c>
      <c r="AB2464" s="360">
        <v>2.6</v>
      </c>
    </row>
    <row r="2465" spans="10:28" x14ac:dyDescent="0.2">
      <c r="J2465" s="358" t="str">
        <f t="shared" si="122"/>
        <v>2008MaleNon-Maori232</v>
      </c>
      <c r="K2465" s="359">
        <v>2008</v>
      </c>
      <c r="L2465" t="s">
        <v>20</v>
      </c>
      <c r="M2465" t="s">
        <v>19</v>
      </c>
      <c r="N2465">
        <v>23</v>
      </c>
      <c r="O2465">
        <v>2</v>
      </c>
      <c r="P2465">
        <v>14</v>
      </c>
      <c r="Q2465">
        <v>13.204531852267101</v>
      </c>
      <c r="R2465">
        <v>6.9</v>
      </c>
      <c r="T2465" s="358" t="str">
        <f t="shared" si="123"/>
        <v>2007MaleMaori24Poisoning by solids and liquids</v>
      </c>
      <c r="U2465" s="360">
        <v>2007</v>
      </c>
      <c r="V2465" s="360" t="s">
        <v>20</v>
      </c>
      <c r="W2465" s="360" t="s">
        <v>18</v>
      </c>
      <c r="X2465" s="360">
        <v>24</v>
      </c>
      <c r="Y2465" s="360" t="s">
        <v>47</v>
      </c>
      <c r="Z2465" s="360">
        <v>3</v>
      </c>
      <c r="AA2465" s="360">
        <v>11</v>
      </c>
      <c r="AB2465" s="360">
        <v>27.3</v>
      </c>
    </row>
    <row r="2466" spans="10:28" x14ac:dyDescent="0.2">
      <c r="J2466" s="358" t="str">
        <f t="shared" si="122"/>
        <v>2008MaleNon-Maori233</v>
      </c>
      <c r="K2466" s="359">
        <v>2008</v>
      </c>
      <c r="L2466" t="s">
        <v>20</v>
      </c>
      <c r="M2466" t="s">
        <v>19</v>
      </c>
      <c r="N2466">
        <v>23</v>
      </c>
      <c r="O2466">
        <v>3</v>
      </c>
      <c r="P2466">
        <v>18</v>
      </c>
      <c r="Q2466">
        <v>17.375715076236901</v>
      </c>
      <c r="R2466">
        <v>8</v>
      </c>
      <c r="T2466" s="358" t="str">
        <f t="shared" si="123"/>
        <v>2007MaleNon-Maori22Firearms and explosives</v>
      </c>
      <c r="U2466" s="360">
        <v>2007</v>
      </c>
      <c r="V2466" s="360" t="s">
        <v>20</v>
      </c>
      <c r="W2466" s="360" t="s">
        <v>19</v>
      </c>
      <c r="X2466" s="360">
        <v>22</v>
      </c>
      <c r="Y2466" s="360" t="s">
        <v>42</v>
      </c>
      <c r="Z2466" s="360">
        <v>4</v>
      </c>
      <c r="AA2466" s="360">
        <v>48</v>
      </c>
      <c r="AB2466" s="360">
        <v>8.3000000000000007</v>
      </c>
    </row>
    <row r="2467" spans="10:28" x14ac:dyDescent="0.2">
      <c r="J2467" s="358" t="str">
        <f t="shared" si="122"/>
        <v>2008MaleNon-Maori234</v>
      </c>
      <c r="K2467" s="359">
        <v>2008</v>
      </c>
      <c r="L2467" t="s">
        <v>20</v>
      </c>
      <c r="M2467" t="s">
        <v>19</v>
      </c>
      <c r="N2467">
        <v>23</v>
      </c>
      <c r="O2467">
        <v>4</v>
      </c>
      <c r="P2467">
        <v>26</v>
      </c>
      <c r="Q2467">
        <v>27.027672078128798</v>
      </c>
      <c r="R2467">
        <v>10.4</v>
      </c>
      <c r="T2467" s="358" t="str">
        <f t="shared" si="123"/>
        <v>2007MaleNon-Maori23Firearms and explosives</v>
      </c>
      <c r="U2467" s="360">
        <v>2007</v>
      </c>
      <c r="V2467" s="360" t="s">
        <v>20</v>
      </c>
      <c r="W2467" s="360" t="s">
        <v>19</v>
      </c>
      <c r="X2467" s="360">
        <v>23</v>
      </c>
      <c r="Y2467" s="360" t="s">
        <v>42</v>
      </c>
      <c r="Z2467" s="360">
        <v>12</v>
      </c>
      <c r="AA2467" s="360">
        <v>126</v>
      </c>
      <c r="AB2467" s="360">
        <v>9.5</v>
      </c>
    </row>
    <row r="2468" spans="10:28" x14ac:dyDescent="0.2">
      <c r="J2468" s="358" t="str">
        <f t="shared" si="122"/>
        <v>2008MaleNon-Maori235</v>
      </c>
      <c r="K2468" s="359">
        <v>2008</v>
      </c>
      <c r="L2468" t="s">
        <v>20</v>
      </c>
      <c r="M2468" t="s">
        <v>19</v>
      </c>
      <c r="N2468">
        <v>23</v>
      </c>
      <c r="O2468">
        <v>5</v>
      </c>
      <c r="P2468">
        <v>24</v>
      </c>
      <c r="Q2468">
        <v>31.6315897033748</v>
      </c>
      <c r="R2468">
        <v>12.7</v>
      </c>
      <c r="T2468" s="358" t="str">
        <f t="shared" si="123"/>
        <v>2007MaleNon-Maori24Firearms and explosives</v>
      </c>
      <c r="U2468" s="360">
        <v>2007</v>
      </c>
      <c r="V2468" s="360" t="s">
        <v>20</v>
      </c>
      <c r="W2468" s="360" t="s">
        <v>19</v>
      </c>
      <c r="X2468" s="360">
        <v>24</v>
      </c>
      <c r="Y2468" s="360" t="s">
        <v>42</v>
      </c>
      <c r="Z2468" s="360">
        <v>9</v>
      </c>
      <c r="AA2468" s="360">
        <v>91</v>
      </c>
      <c r="AB2468" s="360">
        <v>9.9</v>
      </c>
    </row>
    <row r="2469" spans="10:28" x14ac:dyDescent="0.2">
      <c r="J2469" s="358" t="str">
        <f t="shared" si="122"/>
        <v>2008MaleNon-Maori241</v>
      </c>
      <c r="K2469" s="359">
        <v>2008</v>
      </c>
      <c r="L2469" t="s">
        <v>20</v>
      </c>
      <c r="M2469" t="s">
        <v>19</v>
      </c>
      <c r="N2469">
        <v>24</v>
      </c>
      <c r="O2469">
        <v>1</v>
      </c>
      <c r="P2469">
        <v>25</v>
      </c>
      <c r="Q2469">
        <v>20.001827063535099</v>
      </c>
      <c r="R2469">
        <v>7.8</v>
      </c>
      <c r="T2469" s="358" t="str">
        <f t="shared" si="123"/>
        <v>2007MaleNon-Maori25Firearms and explosives</v>
      </c>
      <c r="U2469" s="360">
        <v>2007</v>
      </c>
      <c r="V2469" s="360" t="s">
        <v>20</v>
      </c>
      <c r="W2469" s="360" t="s">
        <v>19</v>
      </c>
      <c r="X2469" s="360">
        <v>25</v>
      </c>
      <c r="Y2469" s="360" t="s">
        <v>42</v>
      </c>
      <c r="Z2469" s="360">
        <v>13</v>
      </c>
      <c r="AA2469" s="360">
        <v>41</v>
      </c>
      <c r="AB2469" s="360">
        <v>31.7</v>
      </c>
    </row>
    <row r="2470" spans="10:28" x14ac:dyDescent="0.2">
      <c r="J2470" s="358" t="str">
        <f t="shared" si="122"/>
        <v>2008MaleNon-Maori242</v>
      </c>
      <c r="K2470" s="359">
        <v>2008</v>
      </c>
      <c r="L2470" t="s">
        <v>20</v>
      </c>
      <c r="M2470" t="s">
        <v>19</v>
      </c>
      <c r="N2470">
        <v>24</v>
      </c>
      <c r="O2470">
        <v>2</v>
      </c>
      <c r="P2470">
        <v>20</v>
      </c>
      <c r="Q2470">
        <v>18.6578115230033</v>
      </c>
      <c r="R2470">
        <v>8.1999999999999993</v>
      </c>
      <c r="T2470" s="358" t="str">
        <f t="shared" si="123"/>
        <v>2007MaleNon-Maori21Hanging, strangulation and suffocation</v>
      </c>
      <c r="U2470" s="360">
        <v>2007</v>
      </c>
      <c r="V2470" s="360" t="s">
        <v>20</v>
      </c>
      <c r="W2470" s="360" t="s">
        <v>19</v>
      </c>
      <c r="X2470" s="360">
        <v>21</v>
      </c>
      <c r="Y2470" s="360" t="s">
        <v>43</v>
      </c>
      <c r="Z2470" s="360">
        <v>1</v>
      </c>
      <c r="AA2470" s="360">
        <v>1</v>
      </c>
      <c r="AB2470" s="360">
        <v>100</v>
      </c>
    </row>
    <row r="2471" spans="10:28" x14ac:dyDescent="0.2">
      <c r="J2471" s="358" t="str">
        <f t="shared" si="122"/>
        <v>2008MaleNon-Maori243</v>
      </c>
      <c r="K2471" s="359">
        <v>2008</v>
      </c>
      <c r="L2471" t="s">
        <v>20</v>
      </c>
      <c r="M2471" t="s">
        <v>19</v>
      </c>
      <c r="N2471">
        <v>24</v>
      </c>
      <c r="O2471">
        <v>3</v>
      </c>
      <c r="P2471">
        <v>28</v>
      </c>
      <c r="Q2471">
        <v>30.2952111835491</v>
      </c>
      <c r="R2471">
        <v>11.2</v>
      </c>
      <c r="T2471" s="358" t="str">
        <f t="shared" si="123"/>
        <v>2007MaleNon-Maori22Hanging, strangulation and suffocation</v>
      </c>
      <c r="U2471" s="360">
        <v>2007</v>
      </c>
      <c r="V2471" s="360" t="s">
        <v>20</v>
      </c>
      <c r="W2471" s="360" t="s">
        <v>19</v>
      </c>
      <c r="X2471" s="360">
        <v>22</v>
      </c>
      <c r="Y2471" s="360" t="s">
        <v>43</v>
      </c>
      <c r="Z2471" s="360">
        <v>37</v>
      </c>
      <c r="AA2471" s="360">
        <v>48</v>
      </c>
      <c r="AB2471" s="360">
        <v>77.099999999999994</v>
      </c>
    </row>
    <row r="2472" spans="10:28" x14ac:dyDescent="0.2">
      <c r="J2472" s="358" t="str">
        <f t="shared" si="122"/>
        <v>2008MaleNon-Maori244</v>
      </c>
      <c r="K2472" s="359">
        <v>2008</v>
      </c>
      <c r="L2472" t="s">
        <v>20</v>
      </c>
      <c r="M2472" t="s">
        <v>19</v>
      </c>
      <c r="N2472">
        <v>24</v>
      </c>
      <c r="O2472">
        <v>4</v>
      </c>
      <c r="P2472">
        <v>22</v>
      </c>
      <c r="Q2472">
        <v>27.5786001336966</v>
      </c>
      <c r="R2472">
        <v>11.5</v>
      </c>
      <c r="T2472" s="358" t="str">
        <f t="shared" si="123"/>
        <v>2007MaleNon-Maori23Hanging, strangulation and suffocation</v>
      </c>
      <c r="U2472" s="360">
        <v>2007</v>
      </c>
      <c r="V2472" s="360" t="s">
        <v>20</v>
      </c>
      <c r="W2472" s="360" t="s">
        <v>19</v>
      </c>
      <c r="X2472" s="360">
        <v>23</v>
      </c>
      <c r="Y2472" s="360" t="s">
        <v>43</v>
      </c>
      <c r="Z2472" s="360">
        <v>81</v>
      </c>
      <c r="AA2472" s="360">
        <v>126</v>
      </c>
      <c r="AB2472" s="360">
        <v>64.3</v>
      </c>
    </row>
    <row r="2473" spans="10:28" x14ac:dyDescent="0.2">
      <c r="J2473" s="358" t="str">
        <f t="shared" si="122"/>
        <v>2008MaleNon-Maori245</v>
      </c>
      <c r="K2473" s="359">
        <v>2008</v>
      </c>
      <c r="L2473" t="s">
        <v>20</v>
      </c>
      <c r="M2473" t="s">
        <v>19</v>
      </c>
      <c r="N2473">
        <v>24</v>
      </c>
      <c r="O2473">
        <v>5</v>
      </c>
      <c r="P2473">
        <v>16</v>
      </c>
      <c r="Q2473">
        <v>26.207225538969901</v>
      </c>
      <c r="R2473">
        <v>12.8</v>
      </c>
      <c r="T2473" s="358" t="str">
        <f t="shared" si="123"/>
        <v>2007MaleNon-Maori24Hanging, strangulation and suffocation</v>
      </c>
      <c r="U2473" s="360">
        <v>2007</v>
      </c>
      <c r="V2473" s="360" t="s">
        <v>20</v>
      </c>
      <c r="W2473" s="360" t="s">
        <v>19</v>
      </c>
      <c r="X2473" s="360">
        <v>24</v>
      </c>
      <c r="Y2473" s="360" t="s">
        <v>43</v>
      </c>
      <c r="Z2473" s="360">
        <v>43</v>
      </c>
      <c r="AA2473" s="360">
        <v>91</v>
      </c>
      <c r="AB2473" s="360">
        <v>47.3</v>
      </c>
    </row>
    <row r="2474" spans="10:28" x14ac:dyDescent="0.2">
      <c r="J2474" s="358" t="str">
        <f t="shared" si="122"/>
        <v>2008MaleNon-Maori251</v>
      </c>
      <c r="K2474" s="359">
        <v>2008</v>
      </c>
      <c r="L2474" t="s">
        <v>20</v>
      </c>
      <c r="M2474" t="s">
        <v>19</v>
      </c>
      <c r="N2474">
        <v>25</v>
      </c>
      <c r="O2474">
        <v>1</v>
      </c>
      <c r="P2474">
        <v>7</v>
      </c>
      <c r="Q2474">
        <v>14.272521141553399</v>
      </c>
      <c r="R2474">
        <v>10.6</v>
      </c>
      <c r="T2474" s="358" t="str">
        <f t="shared" si="123"/>
        <v>2007MaleNon-Maori25Hanging, strangulation and suffocation</v>
      </c>
      <c r="U2474" s="360">
        <v>2007</v>
      </c>
      <c r="V2474" s="360" t="s">
        <v>20</v>
      </c>
      <c r="W2474" s="360" t="s">
        <v>19</v>
      </c>
      <c r="X2474" s="360">
        <v>25</v>
      </c>
      <c r="Y2474" s="360" t="s">
        <v>43</v>
      </c>
      <c r="Z2474" s="360">
        <v>13</v>
      </c>
      <c r="AA2474" s="360">
        <v>41</v>
      </c>
      <c r="AB2474" s="360">
        <v>31.7</v>
      </c>
    </row>
    <row r="2475" spans="10:28" x14ac:dyDescent="0.2">
      <c r="J2475" s="358" t="str">
        <f t="shared" si="122"/>
        <v>2008MaleNon-Maori252</v>
      </c>
      <c r="K2475" s="359">
        <v>2008</v>
      </c>
      <c r="L2475" t="s">
        <v>20</v>
      </c>
      <c r="M2475" t="s">
        <v>19</v>
      </c>
      <c r="N2475">
        <v>25</v>
      </c>
      <c r="O2475">
        <v>2</v>
      </c>
      <c r="P2475">
        <v>10</v>
      </c>
      <c r="Q2475">
        <v>20.2376963283237</v>
      </c>
      <c r="R2475">
        <v>12.5</v>
      </c>
      <c r="T2475" s="358" t="str">
        <f t="shared" si="123"/>
        <v>2007MaleNon-Maori22Jumping from a high place</v>
      </c>
      <c r="U2475" s="360">
        <v>2007</v>
      </c>
      <c r="V2475" s="360" t="s">
        <v>20</v>
      </c>
      <c r="W2475" s="360" t="s">
        <v>19</v>
      </c>
      <c r="X2475" s="360">
        <v>22</v>
      </c>
      <c r="Y2475" s="360" t="s">
        <v>44</v>
      </c>
      <c r="Z2475" s="360">
        <v>1</v>
      </c>
      <c r="AA2475" s="360">
        <v>48</v>
      </c>
      <c r="AB2475" s="360">
        <v>2.1</v>
      </c>
    </row>
    <row r="2476" spans="10:28" x14ac:dyDescent="0.2">
      <c r="J2476" s="358" t="str">
        <f t="shared" si="122"/>
        <v>2008MaleNon-Maori253</v>
      </c>
      <c r="K2476" s="359">
        <v>2008</v>
      </c>
      <c r="L2476" t="s">
        <v>20</v>
      </c>
      <c r="M2476" t="s">
        <v>19</v>
      </c>
      <c r="N2476">
        <v>25</v>
      </c>
      <c r="O2476">
        <v>3</v>
      </c>
      <c r="P2476">
        <v>7</v>
      </c>
      <c r="Q2476">
        <v>14.155971745331801</v>
      </c>
      <c r="R2476">
        <v>10.5</v>
      </c>
      <c r="T2476" s="358" t="str">
        <f t="shared" si="123"/>
        <v>2007MaleNon-Maori23Jumping from a high place</v>
      </c>
      <c r="U2476" s="360">
        <v>2007</v>
      </c>
      <c r="V2476" s="360" t="s">
        <v>20</v>
      </c>
      <c r="W2476" s="360" t="s">
        <v>19</v>
      </c>
      <c r="X2476" s="360">
        <v>23</v>
      </c>
      <c r="Y2476" s="360" t="s">
        <v>44</v>
      </c>
      <c r="Z2476" s="360">
        <v>6</v>
      </c>
      <c r="AA2476" s="360">
        <v>126</v>
      </c>
      <c r="AB2476" s="360">
        <v>4.8</v>
      </c>
    </row>
    <row r="2477" spans="10:28" x14ac:dyDescent="0.2">
      <c r="J2477" s="358" t="str">
        <f t="shared" si="122"/>
        <v>2008MaleNon-Maori254</v>
      </c>
      <c r="K2477" s="359">
        <v>2008</v>
      </c>
      <c r="L2477" t="s">
        <v>20</v>
      </c>
      <c r="M2477" t="s">
        <v>19</v>
      </c>
      <c r="N2477">
        <v>25</v>
      </c>
      <c r="O2477">
        <v>4</v>
      </c>
      <c r="P2477">
        <v>4</v>
      </c>
      <c r="Q2477">
        <v>8.5540814577598798</v>
      </c>
      <c r="R2477">
        <v>8.4</v>
      </c>
      <c r="T2477" s="358" t="str">
        <f t="shared" si="123"/>
        <v>2007MaleNon-Maori24Jumping from a high place</v>
      </c>
      <c r="U2477" s="360">
        <v>2007</v>
      </c>
      <c r="V2477" s="360" t="s">
        <v>20</v>
      </c>
      <c r="W2477" s="360" t="s">
        <v>19</v>
      </c>
      <c r="X2477" s="360">
        <v>24</v>
      </c>
      <c r="Y2477" s="360" t="s">
        <v>44</v>
      </c>
      <c r="Z2477" s="360">
        <v>2</v>
      </c>
      <c r="AA2477" s="360">
        <v>91</v>
      </c>
      <c r="AB2477" s="360">
        <v>2.2000000000000002</v>
      </c>
    </row>
    <row r="2478" spans="10:28" x14ac:dyDescent="0.2">
      <c r="J2478" s="358" t="str">
        <f t="shared" si="122"/>
        <v>2008MaleNon-Maori255</v>
      </c>
      <c r="K2478" s="359">
        <v>2008</v>
      </c>
      <c r="L2478" t="s">
        <v>20</v>
      </c>
      <c r="M2478" t="s">
        <v>19</v>
      </c>
      <c r="N2478">
        <v>25</v>
      </c>
      <c r="O2478">
        <v>5</v>
      </c>
      <c r="P2478">
        <v>7</v>
      </c>
      <c r="Q2478">
        <v>20.544989402069799</v>
      </c>
      <c r="R2478">
        <v>15.2</v>
      </c>
      <c r="T2478" s="358" t="str">
        <f t="shared" si="123"/>
        <v>2007MaleNon-Maori22Other</v>
      </c>
      <c r="U2478" s="360">
        <v>2007</v>
      </c>
      <c r="V2478" s="360" t="s">
        <v>20</v>
      </c>
      <c r="W2478" s="360" t="s">
        <v>19</v>
      </c>
      <c r="X2478" s="360">
        <v>22</v>
      </c>
      <c r="Y2478" s="360" t="s">
        <v>45</v>
      </c>
      <c r="Z2478" s="360">
        <v>3</v>
      </c>
      <c r="AA2478" s="360">
        <v>48</v>
      </c>
      <c r="AB2478" s="360">
        <v>6.2</v>
      </c>
    </row>
    <row r="2479" spans="10:28" x14ac:dyDescent="0.2">
      <c r="J2479" s="358" t="str">
        <f t="shared" si="122"/>
        <v>2009AllSexAllEth211</v>
      </c>
      <c r="K2479" s="359">
        <v>2009</v>
      </c>
      <c r="L2479" t="s">
        <v>17</v>
      </c>
      <c r="M2479" t="s">
        <v>27</v>
      </c>
      <c r="N2479">
        <v>21</v>
      </c>
      <c r="O2479">
        <v>1</v>
      </c>
      <c r="P2479">
        <v>1</v>
      </c>
      <c r="T2479" s="358" t="str">
        <f t="shared" si="123"/>
        <v>2007MaleNon-Maori23Other</v>
      </c>
      <c r="U2479" s="360">
        <v>2007</v>
      </c>
      <c r="V2479" s="360" t="s">
        <v>20</v>
      </c>
      <c r="W2479" s="360" t="s">
        <v>19</v>
      </c>
      <c r="X2479" s="360">
        <v>23</v>
      </c>
      <c r="Y2479" s="360" t="s">
        <v>45</v>
      </c>
      <c r="Z2479" s="360">
        <v>3</v>
      </c>
      <c r="AA2479" s="360">
        <v>126</v>
      </c>
      <c r="AB2479" s="360">
        <v>2.4</v>
      </c>
    </row>
    <row r="2480" spans="10:28" x14ac:dyDescent="0.2">
      <c r="J2480" s="358" t="str">
        <f t="shared" si="122"/>
        <v>2009AllSexAllEth212</v>
      </c>
      <c r="K2480" s="359">
        <v>2009</v>
      </c>
      <c r="L2480" t="s">
        <v>17</v>
      </c>
      <c r="M2480" t="s">
        <v>27</v>
      </c>
      <c r="N2480">
        <v>21</v>
      </c>
      <c r="O2480">
        <v>2</v>
      </c>
      <c r="P2480">
        <v>3</v>
      </c>
      <c r="T2480" s="358" t="str">
        <f t="shared" si="123"/>
        <v>2007MaleNon-Maori24Other</v>
      </c>
      <c r="U2480" s="360">
        <v>2007</v>
      </c>
      <c r="V2480" s="360" t="s">
        <v>20</v>
      </c>
      <c r="W2480" s="360" t="s">
        <v>19</v>
      </c>
      <c r="X2480" s="360">
        <v>24</v>
      </c>
      <c r="Y2480" s="360" t="s">
        <v>45</v>
      </c>
      <c r="Z2480" s="360">
        <v>5</v>
      </c>
      <c r="AA2480" s="360">
        <v>91</v>
      </c>
      <c r="AB2480" s="360">
        <v>5.5</v>
      </c>
    </row>
    <row r="2481" spans="10:28" x14ac:dyDescent="0.2">
      <c r="J2481" s="358" t="str">
        <f t="shared" si="122"/>
        <v>2009AllSexAllEth213</v>
      </c>
      <c r="K2481" s="359">
        <v>2009</v>
      </c>
      <c r="L2481" t="s">
        <v>17</v>
      </c>
      <c r="M2481" t="s">
        <v>27</v>
      </c>
      <c r="N2481">
        <v>21</v>
      </c>
      <c r="O2481">
        <v>3</v>
      </c>
      <c r="P2481">
        <v>1</v>
      </c>
      <c r="T2481" s="358" t="str">
        <f t="shared" si="123"/>
        <v>2007MaleNon-Maori25Other</v>
      </c>
      <c r="U2481" s="360">
        <v>2007</v>
      </c>
      <c r="V2481" s="360" t="s">
        <v>20</v>
      </c>
      <c r="W2481" s="360" t="s">
        <v>19</v>
      </c>
      <c r="X2481" s="360">
        <v>25</v>
      </c>
      <c r="Y2481" s="360" t="s">
        <v>45</v>
      </c>
      <c r="Z2481" s="360">
        <v>1</v>
      </c>
      <c r="AA2481" s="360">
        <v>41</v>
      </c>
      <c r="AB2481" s="360">
        <v>2.4</v>
      </c>
    </row>
    <row r="2482" spans="10:28" x14ac:dyDescent="0.2">
      <c r="J2482" s="358" t="str">
        <f t="shared" si="122"/>
        <v>2009AllSexAllEth214</v>
      </c>
      <c r="K2482" s="359">
        <v>2009</v>
      </c>
      <c r="L2482" t="s">
        <v>17</v>
      </c>
      <c r="M2482" t="s">
        <v>27</v>
      </c>
      <c r="N2482">
        <v>21</v>
      </c>
      <c r="O2482">
        <v>4</v>
      </c>
      <c r="P2482">
        <v>2</v>
      </c>
      <c r="T2482" s="358" t="str">
        <f t="shared" si="123"/>
        <v>2007MaleNon-Maori22Poisoning by gases and vapours</v>
      </c>
      <c r="U2482" s="360">
        <v>2007</v>
      </c>
      <c r="V2482" s="360" t="s">
        <v>20</v>
      </c>
      <c r="W2482" s="360" t="s">
        <v>19</v>
      </c>
      <c r="X2482" s="360">
        <v>22</v>
      </c>
      <c r="Y2482" s="360" t="s">
        <v>46</v>
      </c>
      <c r="Z2482" s="360">
        <v>3</v>
      </c>
      <c r="AA2482" s="360">
        <v>48</v>
      </c>
      <c r="AB2482" s="360">
        <v>6.2</v>
      </c>
    </row>
    <row r="2483" spans="10:28" x14ac:dyDescent="0.2">
      <c r="J2483" s="358" t="str">
        <f t="shared" si="122"/>
        <v>2009AllSexAllEth215</v>
      </c>
      <c r="K2483" s="359">
        <v>2009</v>
      </c>
      <c r="L2483" t="s">
        <v>17</v>
      </c>
      <c r="M2483" t="s">
        <v>27</v>
      </c>
      <c r="N2483">
        <v>21</v>
      </c>
      <c r="O2483">
        <v>5</v>
      </c>
      <c r="P2483">
        <v>3</v>
      </c>
      <c r="T2483" s="358" t="str">
        <f t="shared" si="123"/>
        <v>2007MaleNon-Maori23Poisoning by gases and vapours</v>
      </c>
      <c r="U2483" s="360">
        <v>2007</v>
      </c>
      <c r="V2483" s="360" t="s">
        <v>20</v>
      </c>
      <c r="W2483" s="360" t="s">
        <v>19</v>
      </c>
      <c r="X2483" s="360">
        <v>23</v>
      </c>
      <c r="Y2483" s="360" t="s">
        <v>46</v>
      </c>
      <c r="Z2483" s="360">
        <v>18</v>
      </c>
      <c r="AA2483" s="360">
        <v>126</v>
      </c>
      <c r="AB2483" s="360">
        <v>14.3</v>
      </c>
    </row>
    <row r="2484" spans="10:28" x14ac:dyDescent="0.2">
      <c r="J2484" s="358" t="str">
        <f t="shared" si="122"/>
        <v>2009AllSexAllEth221</v>
      </c>
      <c r="K2484" s="359">
        <v>2009</v>
      </c>
      <c r="L2484" t="s">
        <v>17</v>
      </c>
      <c r="M2484" t="s">
        <v>27</v>
      </c>
      <c r="N2484">
        <v>22</v>
      </c>
      <c r="O2484">
        <v>1</v>
      </c>
      <c r="P2484">
        <v>16</v>
      </c>
      <c r="Q2484">
        <v>15.6176130791048</v>
      </c>
      <c r="R2484">
        <v>7.7</v>
      </c>
      <c r="T2484" s="358" t="str">
        <f t="shared" si="123"/>
        <v>2007MaleNon-Maori24Poisoning by gases and vapours</v>
      </c>
      <c r="U2484" s="360">
        <v>2007</v>
      </c>
      <c r="V2484" s="360" t="s">
        <v>20</v>
      </c>
      <c r="W2484" s="360" t="s">
        <v>19</v>
      </c>
      <c r="X2484" s="360">
        <v>24</v>
      </c>
      <c r="Y2484" s="360" t="s">
        <v>46</v>
      </c>
      <c r="Z2484" s="360">
        <v>19</v>
      </c>
      <c r="AA2484" s="360">
        <v>91</v>
      </c>
      <c r="AB2484" s="360">
        <v>20.9</v>
      </c>
    </row>
    <row r="2485" spans="10:28" x14ac:dyDescent="0.2">
      <c r="J2485" s="358" t="str">
        <f t="shared" si="122"/>
        <v>2009AllSexAllEth222</v>
      </c>
      <c r="K2485" s="359">
        <v>2009</v>
      </c>
      <c r="L2485" t="s">
        <v>17</v>
      </c>
      <c r="M2485" t="s">
        <v>27</v>
      </c>
      <c r="N2485">
        <v>22</v>
      </c>
      <c r="O2485">
        <v>2</v>
      </c>
      <c r="P2485">
        <v>12</v>
      </c>
      <c r="Q2485">
        <v>11.0101774329999</v>
      </c>
      <c r="R2485">
        <v>6.2</v>
      </c>
      <c r="T2485" s="358" t="str">
        <f t="shared" si="123"/>
        <v>2007MaleNon-Maori25Poisoning by gases and vapours</v>
      </c>
      <c r="U2485" s="360">
        <v>2007</v>
      </c>
      <c r="V2485" s="360" t="s">
        <v>20</v>
      </c>
      <c r="W2485" s="360" t="s">
        <v>19</v>
      </c>
      <c r="X2485" s="360">
        <v>25</v>
      </c>
      <c r="Y2485" s="360" t="s">
        <v>46</v>
      </c>
      <c r="Z2485" s="360">
        <v>6</v>
      </c>
      <c r="AA2485" s="360">
        <v>41</v>
      </c>
      <c r="AB2485" s="360">
        <v>14.6</v>
      </c>
    </row>
    <row r="2486" spans="10:28" x14ac:dyDescent="0.2">
      <c r="J2486" s="358" t="str">
        <f t="shared" si="122"/>
        <v>2009AllSexAllEth223</v>
      </c>
      <c r="K2486" s="359">
        <v>2009</v>
      </c>
      <c r="L2486" t="s">
        <v>17</v>
      </c>
      <c r="M2486" t="s">
        <v>27</v>
      </c>
      <c r="N2486">
        <v>22</v>
      </c>
      <c r="O2486">
        <v>3</v>
      </c>
      <c r="P2486">
        <v>22</v>
      </c>
      <c r="Q2486">
        <v>18.6698371957295</v>
      </c>
      <c r="R2486">
        <v>7.8</v>
      </c>
      <c r="T2486" s="358" t="str">
        <f t="shared" si="123"/>
        <v>2007MaleNon-Maori23Poisoning by solids and liquids</v>
      </c>
      <c r="U2486" s="360">
        <v>2007</v>
      </c>
      <c r="V2486" s="360" t="s">
        <v>20</v>
      </c>
      <c r="W2486" s="360" t="s">
        <v>19</v>
      </c>
      <c r="X2486" s="360">
        <v>23</v>
      </c>
      <c r="Y2486" s="360" t="s">
        <v>47</v>
      </c>
      <c r="Z2486" s="360">
        <v>3</v>
      </c>
      <c r="AA2486" s="360">
        <v>126</v>
      </c>
      <c r="AB2486" s="360">
        <v>2.4</v>
      </c>
    </row>
    <row r="2487" spans="10:28" x14ac:dyDescent="0.2">
      <c r="J2487" s="358" t="str">
        <f t="shared" si="122"/>
        <v>2009AllSexAllEth224</v>
      </c>
      <c r="K2487" s="359">
        <v>2009</v>
      </c>
      <c r="L2487" t="s">
        <v>17</v>
      </c>
      <c r="M2487" t="s">
        <v>27</v>
      </c>
      <c r="N2487">
        <v>22</v>
      </c>
      <c r="O2487">
        <v>4</v>
      </c>
      <c r="P2487">
        <v>29</v>
      </c>
      <c r="Q2487">
        <v>22.421879796150002</v>
      </c>
      <c r="R2487">
        <v>8.1999999999999993</v>
      </c>
      <c r="T2487" s="358" t="str">
        <f t="shared" si="123"/>
        <v>2007MaleNon-Maori24Poisoning by solids and liquids</v>
      </c>
      <c r="U2487" s="360">
        <v>2007</v>
      </c>
      <c r="V2487" s="360" t="s">
        <v>20</v>
      </c>
      <c r="W2487" s="360" t="s">
        <v>19</v>
      </c>
      <c r="X2487" s="360">
        <v>24</v>
      </c>
      <c r="Y2487" s="360" t="s">
        <v>47</v>
      </c>
      <c r="Z2487" s="360">
        <v>8</v>
      </c>
      <c r="AA2487" s="360">
        <v>91</v>
      </c>
      <c r="AB2487" s="360">
        <v>8.8000000000000007</v>
      </c>
    </row>
    <row r="2488" spans="10:28" x14ac:dyDescent="0.2">
      <c r="J2488" s="358" t="str">
        <f t="shared" si="122"/>
        <v>2009AllSexAllEth225</v>
      </c>
      <c r="K2488" s="359">
        <v>2009</v>
      </c>
      <c r="L2488" t="s">
        <v>17</v>
      </c>
      <c r="M2488" t="s">
        <v>27</v>
      </c>
      <c r="N2488">
        <v>22</v>
      </c>
      <c r="O2488">
        <v>5</v>
      </c>
      <c r="P2488">
        <v>37</v>
      </c>
      <c r="Q2488">
        <v>24.542902156326701</v>
      </c>
      <c r="R2488">
        <v>7.9</v>
      </c>
      <c r="T2488" s="358" t="str">
        <f t="shared" si="123"/>
        <v>2007MaleNon-Maori25Poisoning by solids and liquids</v>
      </c>
      <c r="U2488" s="360">
        <v>2007</v>
      </c>
      <c r="V2488" s="360" t="s">
        <v>20</v>
      </c>
      <c r="W2488" s="360" t="s">
        <v>19</v>
      </c>
      <c r="X2488" s="360">
        <v>25</v>
      </c>
      <c r="Y2488" s="360" t="s">
        <v>47</v>
      </c>
      <c r="Z2488" s="360">
        <v>5</v>
      </c>
      <c r="AA2488" s="360">
        <v>41</v>
      </c>
      <c r="AB2488" s="360">
        <v>12.2</v>
      </c>
    </row>
    <row r="2489" spans="10:28" x14ac:dyDescent="0.2">
      <c r="J2489" s="358" t="str">
        <f t="shared" si="122"/>
        <v>2009AllSexAllEth231</v>
      </c>
      <c r="K2489" s="359">
        <v>2009</v>
      </c>
      <c r="L2489" t="s">
        <v>17</v>
      </c>
      <c r="M2489" t="s">
        <v>27</v>
      </c>
      <c r="N2489">
        <v>23</v>
      </c>
      <c r="O2489">
        <v>1</v>
      </c>
      <c r="P2489">
        <v>19</v>
      </c>
      <c r="Q2489">
        <v>8.3495916612372696</v>
      </c>
      <c r="R2489">
        <v>3.8</v>
      </c>
      <c r="T2489" s="358" t="str">
        <f t="shared" si="123"/>
        <v>2007MaleNon-Maori23Sharp object</v>
      </c>
      <c r="U2489" s="360">
        <v>2007</v>
      </c>
      <c r="V2489" s="360" t="s">
        <v>20</v>
      </c>
      <c r="W2489" s="360" t="s">
        <v>19</v>
      </c>
      <c r="X2489" s="360">
        <v>23</v>
      </c>
      <c r="Y2489" s="360" t="s">
        <v>48</v>
      </c>
      <c r="Z2489" s="360">
        <v>2</v>
      </c>
      <c r="AA2489" s="360">
        <v>126</v>
      </c>
      <c r="AB2489" s="360">
        <v>1.6</v>
      </c>
    </row>
    <row r="2490" spans="10:28" x14ac:dyDescent="0.2">
      <c r="J2490" s="358" t="str">
        <f t="shared" si="122"/>
        <v>2009AllSexAllEth232</v>
      </c>
      <c r="K2490" s="359">
        <v>2009</v>
      </c>
      <c r="L2490" t="s">
        <v>17</v>
      </c>
      <c r="M2490" t="s">
        <v>27</v>
      </c>
      <c r="N2490">
        <v>23</v>
      </c>
      <c r="O2490">
        <v>2</v>
      </c>
      <c r="P2490">
        <v>31</v>
      </c>
      <c r="Q2490">
        <v>12.930916649572801</v>
      </c>
      <c r="R2490">
        <v>4.5999999999999996</v>
      </c>
      <c r="T2490" s="358" t="str">
        <f t="shared" si="123"/>
        <v>2007MaleNon-Maori24Sharp object</v>
      </c>
      <c r="U2490" s="360">
        <v>2007</v>
      </c>
      <c r="V2490" s="360" t="s">
        <v>20</v>
      </c>
      <c r="W2490" s="360" t="s">
        <v>19</v>
      </c>
      <c r="X2490" s="360">
        <v>24</v>
      </c>
      <c r="Y2490" s="360" t="s">
        <v>48</v>
      </c>
      <c r="Z2490" s="360">
        <v>2</v>
      </c>
      <c r="AA2490" s="360">
        <v>91</v>
      </c>
      <c r="AB2490" s="360">
        <v>2.2000000000000002</v>
      </c>
    </row>
    <row r="2491" spans="10:28" x14ac:dyDescent="0.2">
      <c r="J2491" s="358" t="str">
        <f t="shared" si="122"/>
        <v>2009AllSexAllEth233</v>
      </c>
      <c r="K2491" s="359">
        <v>2009</v>
      </c>
      <c r="L2491" t="s">
        <v>17</v>
      </c>
      <c r="M2491" t="s">
        <v>27</v>
      </c>
      <c r="N2491">
        <v>23</v>
      </c>
      <c r="O2491">
        <v>3</v>
      </c>
      <c r="P2491">
        <v>31</v>
      </c>
      <c r="Q2491">
        <v>12.9099007011847</v>
      </c>
      <c r="R2491">
        <v>4.5</v>
      </c>
      <c r="T2491" s="358" t="str">
        <f t="shared" si="123"/>
        <v>2007MaleNon-Maori25Sharp object</v>
      </c>
      <c r="U2491" s="360">
        <v>2007</v>
      </c>
      <c r="V2491" s="360" t="s">
        <v>20</v>
      </c>
      <c r="W2491" s="360" t="s">
        <v>19</v>
      </c>
      <c r="X2491" s="360">
        <v>25</v>
      </c>
      <c r="Y2491" s="360" t="s">
        <v>48</v>
      </c>
      <c r="Z2491" s="360">
        <v>2</v>
      </c>
      <c r="AA2491" s="360">
        <v>41</v>
      </c>
      <c r="AB2491" s="360">
        <v>4.9000000000000004</v>
      </c>
    </row>
    <row r="2492" spans="10:28" x14ac:dyDescent="0.2">
      <c r="J2492" s="358" t="str">
        <f t="shared" si="122"/>
        <v>2009AllSexAllEth234</v>
      </c>
      <c r="K2492" s="359">
        <v>2009</v>
      </c>
      <c r="L2492" t="s">
        <v>17</v>
      </c>
      <c r="M2492" t="s">
        <v>27</v>
      </c>
      <c r="N2492">
        <v>23</v>
      </c>
      <c r="O2492">
        <v>4</v>
      </c>
      <c r="P2492">
        <v>41</v>
      </c>
      <c r="Q2492">
        <v>17.372435993773699</v>
      </c>
      <c r="R2492">
        <v>5.3</v>
      </c>
      <c r="T2492" s="358" t="str">
        <f t="shared" si="123"/>
        <v>2007MaleNon-Maori23Submersion (drowning)</v>
      </c>
      <c r="U2492" s="360">
        <v>2007</v>
      </c>
      <c r="V2492" s="360" t="s">
        <v>20</v>
      </c>
      <c r="W2492" s="360" t="s">
        <v>19</v>
      </c>
      <c r="X2492" s="360">
        <v>23</v>
      </c>
      <c r="Y2492" s="360" t="s">
        <v>49</v>
      </c>
      <c r="Z2492" s="360">
        <v>1</v>
      </c>
      <c r="AA2492" s="360">
        <v>126</v>
      </c>
      <c r="AB2492" s="360">
        <v>0.8</v>
      </c>
    </row>
    <row r="2493" spans="10:28" x14ac:dyDescent="0.2">
      <c r="J2493" s="358" t="str">
        <f t="shared" si="122"/>
        <v>2009AllSexAllEth235</v>
      </c>
      <c r="K2493" s="359">
        <v>2009</v>
      </c>
      <c r="L2493" t="s">
        <v>17</v>
      </c>
      <c r="M2493" t="s">
        <v>27</v>
      </c>
      <c r="N2493">
        <v>23</v>
      </c>
      <c r="O2493">
        <v>5</v>
      </c>
      <c r="P2493">
        <v>51</v>
      </c>
      <c r="Q2493">
        <v>22.980220853362599</v>
      </c>
      <c r="R2493">
        <v>6.3</v>
      </c>
      <c r="T2493" s="358" t="str">
        <f t="shared" si="123"/>
        <v>2007MaleNon-Maori24Submersion (drowning)</v>
      </c>
      <c r="U2493" s="360">
        <v>2007</v>
      </c>
      <c r="V2493" s="360" t="s">
        <v>20</v>
      </c>
      <c r="W2493" s="360" t="s">
        <v>19</v>
      </c>
      <c r="X2493" s="360">
        <v>24</v>
      </c>
      <c r="Y2493" s="360" t="s">
        <v>49</v>
      </c>
      <c r="Z2493" s="360">
        <v>3</v>
      </c>
      <c r="AA2493" s="360">
        <v>91</v>
      </c>
      <c r="AB2493" s="360">
        <v>3.3</v>
      </c>
    </row>
    <row r="2494" spans="10:28" x14ac:dyDescent="0.2">
      <c r="J2494" s="358" t="str">
        <f t="shared" si="122"/>
        <v>2009AllSexAllEth241</v>
      </c>
      <c r="K2494" s="359">
        <v>2009</v>
      </c>
      <c r="L2494" t="s">
        <v>17</v>
      </c>
      <c r="M2494" t="s">
        <v>27</v>
      </c>
      <c r="N2494">
        <v>24</v>
      </c>
      <c r="O2494">
        <v>1</v>
      </c>
      <c r="P2494">
        <v>25</v>
      </c>
      <c r="Q2494">
        <v>9.4056632822046495</v>
      </c>
      <c r="R2494">
        <v>3.7</v>
      </c>
      <c r="T2494" s="358" t="str">
        <f t="shared" si="123"/>
        <v>2007MaleNon-Maori25Submersion (drowning)</v>
      </c>
      <c r="U2494" s="360">
        <v>2007</v>
      </c>
      <c r="V2494" s="360" t="s">
        <v>20</v>
      </c>
      <c r="W2494" s="360" t="s">
        <v>19</v>
      </c>
      <c r="X2494" s="360">
        <v>25</v>
      </c>
      <c r="Y2494" s="360" t="s">
        <v>49</v>
      </c>
      <c r="Z2494" s="360">
        <v>1</v>
      </c>
      <c r="AA2494" s="360">
        <v>41</v>
      </c>
      <c r="AB2494" s="360">
        <v>2.4</v>
      </c>
    </row>
    <row r="2495" spans="10:28" x14ac:dyDescent="0.2">
      <c r="J2495" s="358" t="str">
        <f t="shared" si="122"/>
        <v>2009AllSexAllEth242</v>
      </c>
      <c r="K2495" s="359">
        <v>2009</v>
      </c>
      <c r="L2495" t="s">
        <v>17</v>
      </c>
      <c r="M2495" t="s">
        <v>27</v>
      </c>
      <c r="N2495">
        <v>24</v>
      </c>
      <c r="O2495">
        <v>2</v>
      </c>
      <c r="P2495">
        <v>34</v>
      </c>
      <c r="Q2495">
        <v>14.479067118393999</v>
      </c>
      <c r="R2495">
        <v>4.9000000000000004</v>
      </c>
      <c r="T2495" s="358" t="str">
        <f t="shared" si="123"/>
        <v>2008AllSexAllEth22Firearms and explosives</v>
      </c>
      <c r="U2495" s="360">
        <v>2008</v>
      </c>
      <c r="V2495" s="360" t="s">
        <v>17</v>
      </c>
      <c r="W2495" s="360" t="s">
        <v>27</v>
      </c>
      <c r="X2495" s="360">
        <v>22</v>
      </c>
      <c r="Y2495" s="360" t="s">
        <v>42</v>
      </c>
      <c r="Z2495" s="360">
        <v>6</v>
      </c>
      <c r="AA2495" s="360">
        <v>121</v>
      </c>
      <c r="AB2495" s="360">
        <v>5</v>
      </c>
    </row>
    <row r="2496" spans="10:28" x14ac:dyDescent="0.2">
      <c r="J2496" s="358" t="str">
        <f t="shared" si="122"/>
        <v>2009AllSexAllEth243</v>
      </c>
      <c r="K2496" s="359">
        <v>2009</v>
      </c>
      <c r="L2496" t="s">
        <v>17</v>
      </c>
      <c r="M2496" t="s">
        <v>27</v>
      </c>
      <c r="N2496">
        <v>24</v>
      </c>
      <c r="O2496">
        <v>3</v>
      </c>
      <c r="P2496">
        <v>24</v>
      </c>
      <c r="Q2496">
        <v>11.3287242061726</v>
      </c>
      <c r="R2496">
        <v>4.5</v>
      </c>
      <c r="T2496" s="358" t="str">
        <f t="shared" si="123"/>
        <v>2008AllSexAllEth23Firearms and explosives</v>
      </c>
      <c r="U2496" s="360">
        <v>2008</v>
      </c>
      <c r="V2496" s="360" t="s">
        <v>17</v>
      </c>
      <c r="W2496" s="360" t="s">
        <v>27</v>
      </c>
      <c r="X2496" s="360">
        <v>23</v>
      </c>
      <c r="Y2496" s="360" t="s">
        <v>42</v>
      </c>
      <c r="Z2496" s="360">
        <v>8</v>
      </c>
      <c r="AA2496" s="360">
        <v>182</v>
      </c>
      <c r="AB2496" s="360">
        <v>4.4000000000000004</v>
      </c>
    </row>
    <row r="2497" spans="10:28" x14ac:dyDescent="0.2">
      <c r="J2497" s="358" t="str">
        <f t="shared" si="122"/>
        <v>2009AllSexAllEth244</v>
      </c>
      <c r="K2497" s="359">
        <v>2009</v>
      </c>
      <c r="L2497" t="s">
        <v>17</v>
      </c>
      <c r="M2497" t="s">
        <v>27</v>
      </c>
      <c r="N2497">
        <v>24</v>
      </c>
      <c r="O2497">
        <v>4</v>
      </c>
      <c r="P2497">
        <v>44</v>
      </c>
      <c r="Q2497">
        <v>22.720631399735002</v>
      </c>
      <c r="R2497">
        <v>6.7</v>
      </c>
      <c r="T2497" s="358" t="str">
        <f t="shared" si="123"/>
        <v>2008AllSexAllEth24Firearms and explosives</v>
      </c>
      <c r="U2497" s="360">
        <v>2008</v>
      </c>
      <c r="V2497" s="360" t="s">
        <v>17</v>
      </c>
      <c r="W2497" s="360" t="s">
        <v>27</v>
      </c>
      <c r="X2497" s="360">
        <v>24</v>
      </c>
      <c r="Y2497" s="360" t="s">
        <v>42</v>
      </c>
      <c r="Z2497" s="360">
        <v>17</v>
      </c>
      <c r="AA2497" s="360">
        <v>159</v>
      </c>
      <c r="AB2497" s="360">
        <v>10.7</v>
      </c>
    </row>
    <row r="2498" spans="10:28" x14ac:dyDescent="0.2">
      <c r="J2498" s="358" t="str">
        <f t="shared" si="122"/>
        <v>2009AllSexAllEth245</v>
      </c>
      <c r="K2498" s="359">
        <v>2009</v>
      </c>
      <c r="L2498" t="s">
        <v>17</v>
      </c>
      <c r="M2498" t="s">
        <v>27</v>
      </c>
      <c r="N2498">
        <v>24</v>
      </c>
      <c r="O2498">
        <v>5</v>
      </c>
      <c r="P2498">
        <v>29</v>
      </c>
      <c r="Q2498">
        <v>16.8337113337709</v>
      </c>
      <c r="R2498">
        <v>6.1</v>
      </c>
      <c r="T2498" s="358" t="str">
        <f t="shared" si="123"/>
        <v>2008AllSexAllEth25Firearms and explosives</v>
      </c>
      <c r="U2498" s="360">
        <v>2008</v>
      </c>
      <c r="V2498" s="360" t="s">
        <v>17</v>
      </c>
      <c r="W2498" s="360" t="s">
        <v>27</v>
      </c>
      <c r="X2498" s="360">
        <v>25</v>
      </c>
      <c r="Y2498" s="360" t="s">
        <v>42</v>
      </c>
      <c r="Z2498" s="360">
        <v>11</v>
      </c>
      <c r="AA2498" s="360">
        <v>51</v>
      </c>
      <c r="AB2498" s="360">
        <v>21.6</v>
      </c>
    </row>
    <row r="2499" spans="10:28" x14ac:dyDescent="0.2">
      <c r="J2499" s="358" t="str">
        <f t="shared" si="122"/>
        <v>2009AllSexAllEth251</v>
      </c>
      <c r="K2499" s="359">
        <v>2009</v>
      </c>
      <c r="L2499" t="s">
        <v>17</v>
      </c>
      <c r="M2499" t="s">
        <v>27</v>
      </c>
      <c r="N2499">
        <v>25</v>
      </c>
      <c r="O2499">
        <v>1</v>
      </c>
      <c r="P2499">
        <v>13</v>
      </c>
      <c r="Q2499">
        <v>12.3359667452475</v>
      </c>
      <c r="R2499">
        <v>6.7</v>
      </c>
      <c r="T2499" s="358" t="str">
        <f t="shared" si="123"/>
        <v>2008AllSexAllEth21Hanging, strangulation and suffocation</v>
      </c>
      <c r="U2499" s="360">
        <v>2008</v>
      </c>
      <c r="V2499" s="360" t="s">
        <v>17</v>
      </c>
      <c r="W2499" s="360" t="s">
        <v>27</v>
      </c>
      <c r="X2499" s="360">
        <v>21</v>
      </c>
      <c r="Y2499" s="360" t="s">
        <v>43</v>
      </c>
      <c r="Z2499" s="360">
        <v>5</v>
      </c>
      <c r="AA2499" s="360">
        <v>5</v>
      </c>
      <c r="AB2499" s="360">
        <v>100</v>
      </c>
    </row>
    <row r="2500" spans="10:28" x14ac:dyDescent="0.2">
      <c r="J2500" s="358" t="str">
        <f t="shared" ref="J2500:J2563" si="124">K2500&amp;L2500&amp;M2500&amp;N2500&amp;O2500</f>
        <v>2009AllSexAllEth252</v>
      </c>
      <c r="K2500" s="359">
        <v>2009</v>
      </c>
      <c r="L2500" t="s">
        <v>17</v>
      </c>
      <c r="M2500" t="s">
        <v>27</v>
      </c>
      <c r="N2500">
        <v>25</v>
      </c>
      <c r="O2500">
        <v>2</v>
      </c>
      <c r="P2500">
        <v>9</v>
      </c>
      <c r="Q2500">
        <v>7.9607469030300404</v>
      </c>
      <c r="R2500">
        <v>5.2</v>
      </c>
      <c r="T2500" s="358" t="str">
        <f t="shared" si="123"/>
        <v>2008AllSexAllEth22Hanging, strangulation and suffocation</v>
      </c>
      <c r="U2500" s="360">
        <v>2008</v>
      </c>
      <c r="V2500" s="360" t="s">
        <v>17</v>
      </c>
      <c r="W2500" s="360" t="s">
        <v>27</v>
      </c>
      <c r="X2500" s="360">
        <v>22</v>
      </c>
      <c r="Y2500" s="360" t="s">
        <v>43</v>
      </c>
      <c r="Z2500" s="360">
        <v>87</v>
      </c>
      <c r="AA2500" s="360">
        <v>121</v>
      </c>
      <c r="AB2500" s="360">
        <v>71.900000000000006</v>
      </c>
    </row>
    <row r="2501" spans="10:28" x14ac:dyDescent="0.2">
      <c r="J2501" s="358" t="str">
        <f t="shared" si="124"/>
        <v>2009AllSexAllEth253</v>
      </c>
      <c r="K2501" s="359">
        <v>2009</v>
      </c>
      <c r="L2501" t="s">
        <v>17</v>
      </c>
      <c r="M2501" t="s">
        <v>27</v>
      </c>
      <c r="N2501">
        <v>25</v>
      </c>
      <c r="O2501">
        <v>3</v>
      </c>
      <c r="P2501">
        <v>9</v>
      </c>
      <c r="Q2501">
        <v>7.6258764907202803</v>
      </c>
      <c r="R2501">
        <v>5</v>
      </c>
      <c r="T2501" s="358" t="str">
        <f t="shared" ref="T2501:T2564" si="125">U2501&amp;V2501&amp;W2501&amp;X2501&amp;Y2501</f>
        <v>2008AllSexAllEth23Hanging, strangulation and suffocation</v>
      </c>
      <c r="U2501" s="360">
        <v>2008</v>
      </c>
      <c r="V2501" s="360" t="s">
        <v>17</v>
      </c>
      <c r="W2501" s="360" t="s">
        <v>27</v>
      </c>
      <c r="X2501" s="360">
        <v>23</v>
      </c>
      <c r="Y2501" s="360" t="s">
        <v>43</v>
      </c>
      <c r="Z2501" s="360">
        <v>110</v>
      </c>
      <c r="AA2501" s="360">
        <v>182</v>
      </c>
      <c r="AB2501" s="360">
        <v>60.4</v>
      </c>
    </row>
    <row r="2502" spans="10:28" x14ac:dyDescent="0.2">
      <c r="J2502" s="358" t="str">
        <f t="shared" si="124"/>
        <v>2009AllSexAllEth254</v>
      </c>
      <c r="K2502" s="359">
        <v>2009</v>
      </c>
      <c r="L2502" t="s">
        <v>17</v>
      </c>
      <c r="M2502" t="s">
        <v>27</v>
      </c>
      <c r="N2502">
        <v>25</v>
      </c>
      <c r="O2502">
        <v>4</v>
      </c>
      <c r="P2502">
        <v>13</v>
      </c>
      <c r="Q2502">
        <v>10.9220681739436</v>
      </c>
      <c r="R2502">
        <v>5.9</v>
      </c>
      <c r="T2502" s="358" t="str">
        <f t="shared" si="125"/>
        <v>2008AllSexAllEth24Hanging, strangulation and suffocation</v>
      </c>
      <c r="U2502" s="360">
        <v>2008</v>
      </c>
      <c r="V2502" s="360" t="s">
        <v>17</v>
      </c>
      <c r="W2502" s="360" t="s">
        <v>27</v>
      </c>
      <c r="X2502" s="360">
        <v>24</v>
      </c>
      <c r="Y2502" s="360" t="s">
        <v>43</v>
      </c>
      <c r="Z2502" s="360">
        <v>77</v>
      </c>
      <c r="AA2502" s="360">
        <v>159</v>
      </c>
      <c r="AB2502" s="360">
        <v>48.4</v>
      </c>
    </row>
    <row r="2503" spans="10:28" x14ac:dyDescent="0.2">
      <c r="J2503" s="358" t="str">
        <f t="shared" si="124"/>
        <v>2009AllSexAllEth255</v>
      </c>
      <c r="K2503" s="359">
        <v>2009</v>
      </c>
      <c r="L2503" t="s">
        <v>17</v>
      </c>
      <c r="M2503" t="s">
        <v>27</v>
      </c>
      <c r="N2503">
        <v>25</v>
      </c>
      <c r="O2503">
        <v>5</v>
      </c>
      <c r="P2503">
        <v>8</v>
      </c>
      <c r="Q2503">
        <v>8.6152551911992195</v>
      </c>
      <c r="R2503">
        <v>6</v>
      </c>
      <c r="T2503" s="358" t="str">
        <f t="shared" si="125"/>
        <v>2008AllSexAllEth25Hanging, strangulation and suffocation</v>
      </c>
      <c r="U2503" s="360">
        <v>2008</v>
      </c>
      <c r="V2503" s="360" t="s">
        <v>17</v>
      </c>
      <c r="W2503" s="360" t="s">
        <v>27</v>
      </c>
      <c r="X2503" s="360">
        <v>25</v>
      </c>
      <c r="Y2503" s="360" t="s">
        <v>43</v>
      </c>
      <c r="Z2503" s="360">
        <v>11</v>
      </c>
      <c r="AA2503" s="360">
        <v>51</v>
      </c>
      <c r="AB2503" s="360">
        <v>21.6</v>
      </c>
    </row>
    <row r="2504" spans="10:28" x14ac:dyDescent="0.2">
      <c r="J2504" s="358" t="str">
        <f t="shared" si="124"/>
        <v>2009AllSexMaori211</v>
      </c>
      <c r="K2504" s="359">
        <v>2009</v>
      </c>
      <c r="L2504" t="s">
        <v>17</v>
      </c>
      <c r="M2504" t="s">
        <v>18</v>
      </c>
      <c r="N2504">
        <v>21</v>
      </c>
      <c r="O2504">
        <v>1</v>
      </c>
      <c r="P2504">
        <v>1</v>
      </c>
      <c r="T2504" s="358" t="str">
        <f t="shared" si="125"/>
        <v>2008AllSexAllEth22Jumping from a high place</v>
      </c>
      <c r="U2504" s="360">
        <v>2008</v>
      </c>
      <c r="V2504" s="360" t="s">
        <v>17</v>
      </c>
      <c r="W2504" s="360" t="s">
        <v>27</v>
      </c>
      <c r="X2504" s="360">
        <v>22</v>
      </c>
      <c r="Y2504" s="360" t="s">
        <v>44</v>
      </c>
      <c r="Z2504" s="360">
        <v>3</v>
      </c>
      <c r="AA2504" s="360">
        <v>121</v>
      </c>
      <c r="AB2504" s="360">
        <v>2.5</v>
      </c>
    </row>
    <row r="2505" spans="10:28" x14ac:dyDescent="0.2">
      <c r="J2505" s="358" t="str">
        <f t="shared" si="124"/>
        <v>2009AllSexMaori212</v>
      </c>
      <c r="K2505" s="359">
        <v>2009</v>
      </c>
      <c r="L2505" t="s">
        <v>17</v>
      </c>
      <c r="M2505" t="s">
        <v>18</v>
      </c>
      <c r="N2505">
        <v>21</v>
      </c>
      <c r="O2505">
        <v>2</v>
      </c>
      <c r="P2505">
        <v>1</v>
      </c>
      <c r="T2505" s="358" t="str">
        <f t="shared" si="125"/>
        <v>2008AllSexAllEth23Jumping from a high place</v>
      </c>
      <c r="U2505" s="360">
        <v>2008</v>
      </c>
      <c r="V2505" s="360" t="s">
        <v>17</v>
      </c>
      <c r="W2505" s="360" t="s">
        <v>27</v>
      </c>
      <c r="X2505" s="360">
        <v>23</v>
      </c>
      <c r="Y2505" s="360" t="s">
        <v>44</v>
      </c>
      <c r="Z2505" s="360">
        <v>5</v>
      </c>
      <c r="AA2505" s="360">
        <v>182</v>
      </c>
      <c r="AB2505" s="360">
        <v>2.7</v>
      </c>
    </row>
    <row r="2506" spans="10:28" x14ac:dyDescent="0.2">
      <c r="J2506" s="358" t="str">
        <f t="shared" si="124"/>
        <v>2009AllSexMaori213</v>
      </c>
      <c r="K2506" s="359">
        <v>2009</v>
      </c>
      <c r="L2506" t="s">
        <v>17</v>
      </c>
      <c r="M2506" t="s">
        <v>18</v>
      </c>
      <c r="N2506">
        <v>21</v>
      </c>
      <c r="O2506">
        <v>3</v>
      </c>
      <c r="P2506">
        <v>1</v>
      </c>
      <c r="T2506" s="358" t="str">
        <f t="shared" si="125"/>
        <v>2008AllSexAllEth24Jumping from a high place</v>
      </c>
      <c r="U2506" s="360">
        <v>2008</v>
      </c>
      <c r="V2506" s="360" t="s">
        <v>17</v>
      </c>
      <c r="W2506" s="360" t="s">
        <v>27</v>
      </c>
      <c r="X2506" s="360">
        <v>24</v>
      </c>
      <c r="Y2506" s="360" t="s">
        <v>44</v>
      </c>
      <c r="Z2506" s="360">
        <v>6</v>
      </c>
      <c r="AA2506" s="360">
        <v>159</v>
      </c>
      <c r="AB2506" s="360">
        <v>3.8</v>
      </c>
    </row>
    <row r="2507" spans="10:28" x14ac:dyDescent="0.2">
      <c r="J2507" s="358" t="str">
        <f t="shared" si="124"/>
        <v>2009AllSexMaori214</v>
      </c>
      <c r="K2507" s="359">
        <v>2009</v>
      </c>
      <c r="L2507" t="s">
        <v>17</v>
      </c>
      <c r="M2507" t="s">
        <v>18</v>
      </c>
      <c r="N2507">
        <v>21</v>
      </c>
      <c r="O2507">
        <v>4</v>
      </c>
      <c r="P2507">
        <v>1</v>
      </c>
      <c r="T2507" s="358" t="str">
        <f t="shared" si="125"/>
        <v>2008AllSexAllEth22Other</v>
      </c>
      <c r="U2507" s="360">
        <v>2008</v>
      </c>
      <c r="V2507" s="360" t="s">
        <v>17</v>
      </c>
      <c r="W2507" s="360" t="s">
        <v>27</v>
      </c>
      <c r="X2507" s="360">
        <v>22</v>
      </c>
      <c r="Y2507" s="360" t="s">
        <v>45</v>
      </c>
      <c r="Z2507" s="360">
        <v>5</v>
      </c>
      <c r="AA2507" s="360">
        <v>121</v>
      </c>
      <c r="AB2507" s="360">
        <v>4.0999999999999996</v>
      </c>
    </row>
    <row r="2508" spans="10:28" x14ac:dyDescent="0.2">
      <c r="J2508" s="358" t="str">
        <f t="shared" si="124"/>
        <v>2009AllSexMaori215</v>
      </c>
      <c r="K2508" s="359">
        <v>2009</v>
      </c>
      <c r="L2508" t="s">
        <v>17</v>
      </c>
      <c r="M2508" t="s">
        <v>18</v>
      </c>
      <c r="N2508">
        <v>21</v>
      </c>
      <c r="O2508">
        <v>5</v>
      </c>
      <c r="P2508">
        <v>1</v>
      </c>
      <c r="T2508" s="358" t="str">
        <f t="shared" si="125"/>
        <v>2008AllSexAllEth23Other</v>
      </c>
      <c r="U2508" s="360">
        <v>2008</v>
      </c>
      <c r="V2508" s="360" t="s">
        <v>17</v>
      </c>
      <c r="W2508" s="360" t="s">
        <v>27</v>
      </c>
      <c r="X2508" s="360">
        <v>23</v>
      </c>
      <c r="Y2508" s="360" t="s">
        <v>45</v>
      </c>
      <c r="Z2508" s="360">
        <v>6</v>
      </c>
      <c r="AA2508" s="360">
        <v>182</v>
      </c>
      <c r="AB2508" s="360">
        <v>3.3</v>
      </c>
    </row>
    <row r="2509" spans="10:28" x14ac:dyDescent="0.2">
      <c r="J2509" s="358" t="str">
        <f t="shared" si="124"/>
        <v>2009AllSexMaori221</v>
      </c>
      <c r="K2509" s="359">
        <v>2009</v>
      </c>
      <c r="L2509" t="s">
        <v>17</v>
      </c>
      <c r="M2509" t="s">
        <v>18</v>
      </c>
      <c r="N2509">
        <v>22</v>
      </c>
      <c r="O2509">
        <v>1</v>
      </c>
      <c r="P2509">
        <v>1</v>
      </c>
      <c r="Q2509">
        <v>11.549004648835201</v>
      </c>
      <c r="R2509">
        <v>22.6</v>
      </c>
      <c r="T2509" s="358" t="str">
        <f t="shared" si="125"/>
        <v>2008AllSexAllEth24Other</v>
      </c>
      <c r="U2509" s="360">
        <v>2008</v>
      </c>
      <c r="V2509" s="360" t="s">
        <v>17</v>
      </c>
      <c r="W2509" s="360" t="s">
        <v>27</v>
      </c>
      <c r="X2509" s="360">
        <v>24</v>
      </c>
      <c r="Y2509" s="360" t="s">
        <v>45</v>
      </c>
      <c r="Z2509" s="360">
        <v>7</v>
      </c>
      <c r="AA2509" s="360">
        <v>159</v>
      </c>
      <c r="AB2509" s="360">
        <v>4.4000000000000004</v>
      </c>
    </row>
    <row r="2510" spans="10:28" x14ac:dyDescent="0.2">
      <c r="J2510" s="358" t="str">
        <f t="shared" si="124"/>
        <v>2009AllSexMaori222</v>
      </c>
      <c r="K2510" s="359">
        <v>2009</v>
      </c>
      <c r="L2510" t="s">
        <v>17</v>
      </c>
      <c r="M2510" t="s">
        <v>18</v>
      </c>
      <c r="N2510">
        <v>22</v>
      </c>
      <c r="O2510">
        <v>2</v>
      </c>
      <c r="P2510">
        <v>2</v>
      </c>
      <c r="Q2510">
        <v>15.5284754169931</v>
      </c>
      <c r="R2510">
        <v>21.5</v>
      </c>
      <c r="T2510" s="358" t="str">
        <f t="shared" si="125"/>
        <v>2008AllSexAllEth25Other</v>
      </c>
      <c r="U2510" s="360">
        <v>2008</v>
      </c>
      <c r="V2510" s="360" t="s">
        <v>17</v>
      </c>
      <c r="W2510" s="360" t="s">
        <v>27</v>
      </c>
      <c r="X2510" s="360">
        <v>25</v>
      </c>
      <c r="Y2510" s="360" t="s">
        <v>45</v>
      </c>
      <c r="Z2510" s="360">
        <v>2</v>
      </c>
      <c r="AA2510" s="360">
        <v>51</v>
      </c>
      <c r="AB2510" s="360">
        <v>3.9</v>
      </c>
    </row>
    <row r="2511" spans="10:28" x14ac:dyDescent="0.2">
      <c r="J2511" s="358" t="str">
        <f t="shared" si="124"/>
        <v>2009AllSexMaori223</v>
      </c>
      <c r="K2511" s="359">
        <v>2009</v>
      </c>
      <c r="L2511" t="s">
        <v>17</v>
      </c>
      <c r="M2511" t="s">
        <v>18</v>
      </c>
      <c r="N2511">
        <v>22</v>
      </c>
      <c r="O2511">
        <v>3</v>
      </c>
      <c r="P2511">
        <v>6</v>
      </c>
      <c r="Q2511">
        <v>30.6775877810298</v>
      </c>
      <c r="R2511">
        <v>24.5</v>
      </c>
      <c r="T2511" s="358" t="str">
        <f t="shared" si="125"/>
        <v>2008AllSexAllEth22Poisoning by gases and vapours</v>
      </c>
      <c r="U2511" s="360">
        <v>2008</v>
      </c>
      <c r="V2511" s="360" t="s">
        <v>17</v>
      </c>
      <c r="W2511" s="360" t="s">
        <v>27</v>
      </c>
      <c r="X2511" s="360">
        <v>22</v>
      </c>
      <c r="Y2511" s="360" t="s">
        <v>46</v>
      </c>
      <c r="Z2511" s="360">
        <v>14</v>
      </c>
      <c r="AA2511" s="360">
        <v>121</v>
      </c>
      <c r="AB2511" s="360">
        <v>11.6</v>
      </c>
    </row>
    <row r="2512" spans="10:28" x14ac:dyDescent="0.2">
      <c r="J2512" s="358" t="str">
        <f t="shared" si="124"/>
        <v>2009AllSexMaori224</v>
      </c>
      <c r="K2512" s="359">
        <v>2009</v>
      </c>
      <c r="L2512" t="s">
        <v>17</v>
      </c>
      <c r="M2512" t="s">
        <v>18</v>
      </c>
      <c r="N2512">
        <v>22</v>
      </c>
      <c r="O2512">
        <v>4</v>
      </c>
      <c r="P2512">
        <v>7</v>
      </c>
      <c r="Q2512">
        <v>24.132200370588201</v>
      </c>
      <c r="R2512">
        <v>17.899999999999999</v>
      </c>
      <c r="T2512" s="358" t="str">
        <f t="shared" si="125"/>
        <v>2008AllSexAllEth23Poisoning by gases and vapours</v>
      </c>
      <c r="U2512" s="360">
        <v>2008</v>
      </c>
      <c r="V2512" s="360" t="s">
        <v>17</v>
      </c>
      <c r="W2512" s="360" t="s">
        <v>27</v>
      </c>
      <c r="X2512" s="360">
        <v>23</v>
      </c>
      <c r="Y2512" s="360" t="s">
        <v>46</v>
      </c>
      <c r="Z2512" s="360">
        <v>32</v>
      </c>
      <c r="AA2512" s="360">
        <v>182</v>
      </c>
      <c r="AB2512" s="360">
        <v>17.600000000000001</v>
      </c>
    </row>
    <row r="2513" spans="10:28" x14ac:dyDescent="0.2">
      <c r="J2513" s="358" t="str">
        <f t="shared" si="124"/>
        <v>2009AllSexMaori225</v>
      </c>
      <c r="K2513" s="359">
        <v>2009</v>
      </c>
      <c r="L2513" t="s">
        <v>17</v>
      </c>
      <c r="M2513" t="s">
        <v>18</v>
      </c>
      <c r="N2513">
        <v>22</v>
      </c>
      <c r="O2513">
        <v>5</v>
      </c>
      <c r="P2513">
        <v>19</v>
      </c>
      <c r="Q2513">
        <v>37.2136445522221</v>
      </c>
      <c r="R2513">
        <v>16.7</v>
      </c>
      <c r="T2513" s="358" t="str">
        <f t="shared" si="125"/>
        <v>2008AllSexAllEth24Poisoning by gases and vapours</v>
      </c>
      <c r="U2513" s="360">
        <v>2008</v>
      </c>
      <c r="V2513" s="360" t="s">
        <v>17</v>
      </c>
      <c r="W2513" s="360" t="s">
        <v>27</v>
      </c>
      <c r="X2513" s="360">
        <v>24</v>
      </c>
      <c r="Y2513" s="360" t="s">
        <v>46</v>
      </c>
      <c r="Z2513" s="360">
        <v>21</v>
      </c>
      <c r="AA2513" s="360">
        <v>159</v>
      </c>
      <c r="AB2513" s="360">
        <v>13.2</v>
      </c>
    </row>
    <row r="2514" spans="10:28" x14ac:dyDescent="0.2">
      <c r="J2514" s="358" t="str">
        <f t="shared" si="124"/>
        <v>2009AllSexMaori231</v>
      </c>
      <c r="K2514" s="359">
        <v>2009</v>
      </c>
      <c r="L2514" t="s">
        <v>17</v>
      </c>
      <c r="M2514" t="s">
        <v>18</v>
      </c>
      <c r="N2514">
        <v>23</v>
      </c>
      <c r="O2514">
        <v>1</v>
      </c>
      <c r="P2514">
        <v>1</v>
      </c>
      <c r="Q2514">
        <v>7.2606469772639901</v>
      </c>
      <c r="R2514">
        <v>14.2</v>
      </c>
      <c r="T2514" s="358" t="str">
        <f t="shared" si="125"/>
        <v>2008AllSexAllEth25Poisoning by gases and vapours</v>
      </c>
      <c r="U2514" s="360">
        <v>2008</v>
      </c>
      <c r="V2514" s="360" t="s">
        <v>17</v>
      </c>
      <c r="W2514" s="360" t="s">
        <v>27</v>
      </c>
      <c r="X2514" s="360">
        <v>25</v>
      </c>
      <c r="Y2514" s="360" t="s">
        <v>46</v>
      </c>
      <c r="Z2514" s="360">
        <v>8</v>
      </c>
      <c r="AA2514" s="360">
        <v>51</v>
      </c>
      <c r="AB2514" s="360">
        <v>15.7</v>
      </c>
    </row>
    <row r="2515" spans="10:28" x14ac:dyDescent="0.2">
      <c r="J2515" s="358" t="str">
        <f t="shared" si="124"/>
        <v>2009AllSexMaori232</v>
      </c>
      <c r="K2515" s="359">
        <v>2009</v>
      </c>
      <c r="L2515" t="s">
        <v>17</v>
      </c>
      <c r="M2515" t="s">
        <v>18</v>
      </c>
      <c r="N2515">
        <v>23</v>
      </c>
      <c r="O2515">
        <v>2</v>
      </c>
      <c r="P2515">
        <v>4</v>
      </c>
      <c r="Q2515">
        <v>20.027558021922498</v>
      </c>
      <c r="R2515">
        <v>19.600000000000001</v>
      </c>
      <c r="T2515" s="358" t="str">
        <f t="shared" si="125"/>
        <v>2008AllSexAllEth22Poisoning by solids and liquids</v>
      </c>
      <c r="U2515" s="360">
        <v>2008</v>
      </c>
      <c r="V2515" s="360" t="s">
        <v>17</v>
      </c>
      <c r="W2515" s="360" t="s">
        <v>27</v>
      </c>
      <c r="X2515" s="360">
        <v>22</v>
      </c>
      <c r="Y2515" s="360" t="s">
        <v>47</v>
      </c>
      <c r="Z2515" s="360">
        <v>5</v>
      </c>
      <c r="AA2515" s="360">
        <v>121</v>
      </c>
      <c r="AB2515" s="360">
        <v>4.0999999999999996</v>
      </c>
    </row>
    <row r="2516" spans="10:28" x14ac:dyDescent="0.2">
      <c r="J2516" s="358" t="str">
        <f t="shared" si="124"/>
        <v>2009AllSexMaori233</v>
      </c>
      <c r="K2516" s="359">
        <v>2009</v>
      </c>
      <c r="L2516" t="s">
        <v>17</v>
      </c>
      <c r="M2516" t="s">
        <v>18</v>
      </c>
      <c r="N2516">
        <v>23</v>
      </c>
      <c r="O2516">
        <v>3</v>
      </c>
      <c r="P2516">
        <v>6</v>
      </c>
      <c r="Q2516">
        <v>21.5135080518323</v>
      </c>
      <c r="R2516">
        <v>17.2</v>
      </c>
      <c r="T2516" s="358" t="str">
        <f t="shared" si="125"/>
        <v>2008AllSexAllEth23Poisoning by solids and liquids</v>
      </c>
      <c r="U2516" s="360">
        <v>2008</v>
      </c>
      <c r="V2516" s="360" t="s">
        <v>17</v>
      </c>
      <c r="W2516" s="360" t="s">
        <v>27</v>
      </c>
      <c r="X2516" s="360">
        <v>23</v>
      </c>
      <c r="Y2516" s="360" t="s">
        <v>47</v>
      </c>
      <c r="Z2516" s="360">
        <v>17</v>
      </c>
      <c r="AA2516" s="360">
        <v>182</v>
      </c>
      <c r="AB2516" s="360">
        <v>9.3000000000000007</v>
      </c>
    </row>
    <row r="2517" spans="10:28" x14ac:dyDescent="0.2">
      <c r="J2517" s="358" t="str">
        <f t="shared" si="124"/>
        <v>2009AllSexMaori234</v>
      </c>
      <c r="K2517" s="359">
        <v>2009</v>
      </c>
      <c r="L2517" t="s">
        <v>17</v>
      </c>
      <c r="M2517" t="s">
        <v>18</v>
      </c>
      <c r="N2517">
        <v>23</v>
      </c>
      <c r="O2517">
        <v>4</v>
      </c>
      <c r="P2517">
        <v>7</v>
      </c>
      <c r="Q2517">
        <v>17.538187360115899</v>
      </c>
      <c r="R2517">
        <v>13</v>
      </c>
      <c r="T2517" s="358" t="str">
        <f t="shared" si="125"/>
        <v>2008AllSexAllEth24Poisoning by solids and liquids</v>
      </c>
      <c r="U2517" s="360">
        <v>2008</v>
      </c>
      <c r="V2517" s="360" t="s">
        <v>17</v>
      </c>
      <c r="W2517" s="360" t="s">
        <v>27</v>
      </c>
      <c r="X2517" s="360">
        <v>24</v>
      </c>
      <c r="Y2517" s="360" t="s">
        <v>47</v>
      </c>
      <c r="Z2517" s="360">
        <v>20</v>
      </c>
      <c r="AA2517" s="360">
        <v>159</v>
      </c>
      <c r="AB2517" s="360">
        <v>12.6</v>
      </c>
    </row>
    <row r="2518" spans="10:28" x14ac:dyDescent="0.2">
      <c r="J2518" s="358" t="str">
        <f t="shared" si="124"/>
        <v>2009AllSexMaori235</v>
      </c>
      <c r="K2518" s="359">
        <v>2009</v>
      </c>
      <c r="L2518" t="s">
        <v>17</v>
      </c>
      <c r="M2518" t="s">
        <v>18</v>
      </c>
      <c r="N2518">
        <v>23</v>
      </c>
      <c r="O2518">
        <v>5</v>
      </c>
      <c r="P2518">
        <v>13</v>
      </c>
      <c r="Q2518">
        <v>19.768169907375501</v>
      </c>
      <c r="R2518">
        <v>10.7</v>
      </c>
      <c r="T2518" s="358" t="str">
        <f t="shared" si="125"/>
        <v>2008AllSexAllEth25Poisoning by solids and liquids</v>
      </c>
      <c r="U2518" s="360">
        <v>2008</v>
      </c>
      <c r="V2518" s="360" t="s">
        <v>17</v>
      </c>
      <c r="W2518" s="360" t="s">
        <v>27</v>
      </c>
      <c r="X2518" s="360">
        <v>25</v>
      </c>
      <c r="Y2518" s="360" t="s">
        <v>47</v>
      </c>
      <c r="Z2518" s="360">
        <v>13</v>
      </c>
      <c r="AA2518" s="360">
        <v>51</v>
      </c>
      <c r="AB2518" s="360">
        <v>25.5</v>
      </c>
    </row>
    <row r="2519" spans="10:28" x14ac:dyDescent="0.2">
      <c r="J2519" s="358" t="str">
        <f t="shared" si="124"/>
        <v>2009AllSexMaori241</v>
      </c>
      <c r="K2519" s="359">
        <v>2009</v>
      </c>
      <c r="L2519" t="s">
        <v>17</v>
      </c>
      <c r="M2519" t="s">
        <v>18</v>
      </c>
      <c r="N2519">
        <v>24</v>
      </c>
      <c r="O2519">
        <v>1</v>
      </c>
      <c r="P2519">
        <v>0</v>
      </c>
      <c r="Q2519">
        <v>0</v>
      </c>
      <c r="T2519" s="358" t="str">
        <f t="shared" si="125"/>
        <v>2008AllSexAllEth22Sharp object</v>
      </c>
      <c r="U2519" s="360">
        <v>2008</v>
      </c>
      <c r="V2519" s="360" t="s">
        <v>17</v>
      </c>
      <c r="W2519" s="360" t="s">
        <v>27</v>
      </c>
      <c r="X2519" s="360">
        <v>22</v>
      </c>
      <c r="Y2519" s="360" t="s">
        <v>48</v>
      </c>
      <c r="Z2519" s="360">
        <v>1</v>
      </c>
      <c r="AA2519" s="360">
        <v>121</v>
      </c>
      <c r="AB2519" s="360">
        <v>0.8</v>
      </c>
    </row>
    <row r="2520" spans="10:28" x14ac:dyDescent="0.2">
      <c r="J2520" s="358" t="str">
        <f t="shared" si="124"/>
        <v>2009AllSexMaori242</v>
      </c>
      <c r="K2520" s="359">
        <v>2009</v>
      </c>
      <c r="L2520" t="s">
        <v>17</v>
      </c>
      <c r="M2520" t="s">
        <v>18</v>
      </c>
      <c r="N2520">
        <v>24</v>
      </c>
      <c r="O2520">
        <v>2</v>
      </c>
      <c r="P2520">
        <v>1</v>
      </c>
      <c r="Q2520">
        <v>7.8683622150388102</v>
      </c>
      <c r="R2520">
        <v>15.4</v>
      </c>
      <c r="T2520" s="358" t="str">
        <f t="shared" si="125"/>
        <v>2008AllSexAllEth23Sharp object</v>
      </c>
      <c r="U2520" s="360">
        <v>2008</v>
      </c>
      <c r="V2520" s="360" t="s">
        <v>17</v>
      </c>
      <c r="W2520" s="360" t="s">
        <v>27</v>
      </c>
      <c r="X2520" s="360">
        <v>23</v>
      </c>
      <c r="Y2520" s="360" t="s">
        <v>48</v>
      </c>
      <c r="Z2520" s="360">
        <v>3</v>
      </c>
      <c r="AA2520" s="360">
        <v>182</v>
      </c>
      <c r="AB2520" s="360">
        <v>1.6</v>
      </c>
    </row>
    <row r="2521" spans="10:28" x14ac:dyDescent="0.2">
      <c r="J2521" s="358" t="str">
        <f t="shared" si="124"/>
        <v>2009AllSexMaori243</v>
      </c>
      <c r="K2521" s="359">
        <v>2009</v>
      </c>
      <c r="L2521" t="s">
        <v>17</v>
      </c>
      <c r="M2521" t="s">
        <v>18</v>
      </c>
      <c r="N2521">
        <v>24</v>
      </c>
      <c r="O2521">
        <v>3</v>
      </c>
      <c r="P2521">
        <v>1</v>
      </c>
      <c r="Q2521">
        <v>5.6445715564324503</v>
      </c>
      <c r="R2521">
        <v>11.1</v>
      </c>
      <c r="T2521" s="358" t="str">
        <f t="shared" si="125"/>
        <v>2008AllSexAllEth24Sharp object</v>
      </c>
      <c r="U2521" s="360">
        <v>2008</v>
      </c>
      <c r="V2521" s="360" t="s">
        <v>17</v>
      </c>
      <c r="W2521" s="360" t="s">
        <v>27</v>
      </c>
      <c r="X2521" s="360">
        <v>24</v>
      </c>
      <c r="Y2521" s="360" t="s">
        <v>48</v>
      </c>
      <c r="Z2521" s="360">
        <v>7</v>
      </c>
      <c r="AA2521" s="360">
        <v>159</v>
      </c>
      <c r="AB2521" s="360">
        <v>4.4000000000000004</v>
      </c>
    </row>
    <row r="2522" spans="10:28" x14ac:dyDescent="0.2">
      <c r="J2522" s="358" t="str">
        <f t="shared" si="124"/>
        <v>2009AllSexMaori244</v>
      </c>
      <c r="K2522" s="359">
        <v>2009</v>
      </c>
      <c r="L2522" t="s">
        <v>17</v>
      </c>
      <c r="M2522" t="s">
        <v>18</v>
      </c>
      <c r="N2522">
        <v>24</v>
      </c>
      <c r="O2522">
        <v>4</v>
      </c>
      <c r="P2522">
        <v>4</v>
      </c>
      <c r="Q2522">
        <v>15.5493262237782</v>
      </c>
      <c r="R2522">
        <v>15.2</v>
      </c>
      <c r="T2522" s="358" t="str">
        <f t="shared" si="125"/>
        <v>2008AllSexAllEth25Sharp object</v>
      </c>
      <c r="U2522" s="360">
        <v>2008</v>
      </c>
      <c r="V2522" s="360" t="s">
        <v>17</v>
      </c>
      <c r="W2522" s="360" t="s">
        <v>27</v>
      </c>
      <c r="X2522" s="360">
        <v>25</v>
      </c>
      <c r="Y2522" s="360" t="s">
        <v>48</v>
      </c>
      <c r="Z2522" s="360">
        <v>3</v>
      </c>
      <c r="AA2522" s="360">
        <v>51</v>
      </c>
      <c r="AB2522" s="360">
        <v>5.9</v>
      </c>
    </row>
    <row r="2523" spans="10:28" x14ac:dyDescent="0.2">
      <c r="J2523" s="358" t="str">
        <f t="shared" si="124"/>
        <v>2009AllSexMaori245</v>
      </c>
      <c r="K2523" s="359">
        <v>2009</v>
      </c>
      <c r="L2523" t="s">
        <v>17</v>
      </c>
      <c r="M2523" t="s">
        <v>18</v>
      </c>
      <c r="N2523">
        <v>24</v>
      </c>
      <c r="O2523">
        <v>5</v>
      </c>
      <c r="P2523">
        <v>5</v>
      </c>
      <c r="Q2523">
        <v>10.960925315325699</v>
      </c>
      <c r="R2523">
        <v>9.6</v>
      </c>
      <c r="T2523" s="358" t="str">
        <f t="shared" si="125"/>
        <v>2008AllSexAllEth23Submersion (drowning)</v>
      </c>
      <c r="U2523" s="360">
        <v>2008</v>
      </c>
      <c r="V2523" s="360" t="s">
        <v>17</v>
      </c>
      <c r="W2523" s="360" t="s">
        <v>27</v>
      </c>
      <c r="X2523" s="360">
        <v>23</v>
      </c>
      <c r="Y2523" s="360" t="s">
        <v>49</v>
      </c>
      <c r="Z2523" s="360">
        <v>1</v>
      </c>
      <c r="AA2523" s="360">
        <v>182</v>
      </c>
      <c r="AB2523" s="360">
        <v>0.5</v>
      </c>
    </row>
    <row r="2524" spans="10:28" x14ac:dyDescent="0.2">
      <c r="J2524" s="358" t="str">
        <f t="shared" si="124"/>
        <v>2009AllSexMaori251</v>
      </c>
      <c r="K2524" s="359">
        <v>2009</v>
      </c>
      <c r="L2524" t="s">
        <v>17</v>
      </c>
      <c r="M2524" t="s">
        <v>18</v>
      </c>
      <c r="N2524">
        <v>25</v>
      </c>
      <c r="O2524">
        <v>1</v>
      </c>
      <c r="P2524">
        <v>1</v>
      </c>
      <c r="Q2524">
        <v>55.544853097363998</v>
      </c>
      <c r="R2524">
        <v>108.9</v>
      </c>
      <c r="T2524" s="358" t="str">
        <f t="shared" si="125"/>
        <v>2008AllSexAllEth24Submersion (drowning)</v>
      </c>
      <c r="U2524" s="360">
        <v>2008</v>
      </c>
      <c r="V2524" s="360" t="s">
        <v>17</v>
      </c>
      <c r="W2524" s="360" t="s">
        <v>27</v>
      </c>
      <c r="X2524" s="360">
        <v>24</v>
      </c>
      <c r="Y2524" s="360" t="s">
        <v>49</v>
      </c>
      <c r="Z2524" s="360">
        <v>4</v>
      </c>
      <c r="AA2524" s="360">
        <v>159</v>
      </c>
      <c r="AB2524" s="360">
        <v>2.5</v>
      </c>
    </row>
    <row r="2525" spans="10:28" x14ac:dyDescent="0.2">
      <c r="J2525" s="358" t="str">
        <f t="shared" si="124"/>
        <v>2009AllSexMaori252</v>
      </c>
      <c r="K2525" s="359">
        <v>2009</v>
      </c>
      <c r="L2525" t="s">
        <v>17</v>
      </c>
      <c r="M2525" t="s">
        <v>18</v>
      </c>
      <c r="N2525">
        <v>25</v>
      </c>
      <c r="O2525">
        <v>2</v>
      </c>
      <c r="P2525">
        <v>0</v>
      </c>
      <c r="Q2525">
        <v>0</v>
      </c>
      <c r="T2525" s="358" t="str">
        <f t="shared" si="125"/>
        <v>2008AllSexAllEth25Submersion (drowning)</v>
      </c>
      <c r="U2525" s="360">
        <v>2008</v>
      </c>
      <c r="V2525" s="360" t="s">
        <v>17</v>
      </c>
      <c r="W2525" s="360" t="s">
        <v>27</v>
      </c>
      <c r="X2525" s="360">
        <v>25</v>
      </c>
      <c r="Y2525" s="360" t="s">
        <v>49</v>
      </c>
      <c r="Z2525" s="360">
        <v>3</v>
      </c>
      <c r="AA2525" s="360">
        <v>51</v>
      </c>
      <c r="AB2525" s="360">
        <v>5.9</v>
      </c>
    </row>
    <row r="2526" spans="10:28" x14ac:dyDescent="0.2">
      <c r="J2526" s="358" t="str">
        <f t="shared" si="124"/>
        <v>2009AllSexMaori253</v>
      </c>
      <c r="K2526" s="359">
        <v>2009</v>
      </c>
      <c r="L2526" t="s">
        <v>17</v>
      </c>
      <c r="M2526" t="s">
        <v>18</v>
      </c>
      <c r="N2526">
        <v>25</v>
      </c>
      <c r="O2526">
        <v>3</v>
      </c>
      <c r="P2526">
        <v>0</v>
      </c>
      <c r="Q2526">
        <v>0</v>
      </c>
      <c r="T2526" s="358" t="str">
        <f t="shared" si="125"/>
        <v>2008AllSexMaori22Firearms and explosives</v>
      </c>
      <c r="U2526" s="360">
        <v>2008</v>
      </c>
      <c r="V2526" s="360" t="s">
        <v>17</v>
      </c>
      <c r="W2526" s="360" t="s">
        <v>18</v>
      </c>
      <c r="X2526" s="360">
        <v>22</v>
      </c>
      <c r="Y2526" s="360" t="s">
        <v>42</v>
      </c>
      <c r="Z2526" s="360">
        <v>1</v>
      </c>
      <c r="AA2526" s="360">
        <v>35</v>
      </c>
      <c r="AB2526" s="360">
        <v>2.9</v>
      </c>
    </row>
    <row r="2527" spans="10:28" x14ac:dyDescent="0.2">
      <c r="J2527" s="358" t="str">
        <f t="shared" si="124"/>
        <v>2009AllSexMaori254</v>
      </c>
      <c r="K2527" s="359">
        <v>2009</v>
      </c>
      <c r="L2527" t="s">
        <v>17</v>
      </c>
      <c r="M2527" t="s">
        <v>18</v>
      </c>
      <c r="N2527">
        <v>25</v>
      </c>
      <c r="O2527">
        <v>4</v>
      </c>
      <c r="P2527">
        <v>0</v>
      </c>
      <c r="Q2527">
        <v>0</v>
      </c>
      <c r="T2527" s="358" t="str">
        <f t="shared" si="125"/>
        <v>2008AllSexMaori24Firearms and explosives</v>
      </c>
      <c r="U2527" s="360">
        <v>2008</v>
      </c>
      <c r="V2527" s="360" t="s">
        <v>17</v>
      </c>
      <c r="W2527" s="360" t="s">
        <v>18</v>
      </c>
      <c r="X2527" s="360">
        <v>24</v>
      </c>
      <c r="Y2527" s="360" t="s">
        <v>42</v>
      </c>
      <c r="Z2527" s="360">
        <v>2</v>
      </c>
      <c r="AA2527" s="360">
        <v>10</v>
      </c>
      <c r="AB2527" s="360">
        <v>20</v>
      </c>
    </row>
    <row r="2528" spans="10:28" x14ac:dyDescent="0.2">
      <c r="J2528" s="358" t="str">
        <f t="shared" si="124"/>
        <v>2009AllSexMaori255</v>
      </c>
      <c r="K2528" s="359">
        <v>2009</v>
      </c>
      <c r="L2528" t="s">
        <v>17</v>
      </c>
      <c r="M2528" t="s">
        <v>18</v>
      </c>
      <c r="N2528">
        <v>25</v>
      </c>
      <c r="O2528">
        <v>5</v>
      </c>
      <c r="P2528">
        <v>0</v>
      </c>
      <c r="Q2528">
        <v>0</v>
      </c>
      <c r="T2528" s="358" t="str">
        <f t="shared" si="125"/>
        <v>2008AllSexMaori21Hanging, strangulation and suffocation</v>
      </c>
      <c r="U2528" s="360">
        <v>2008</v>
      </c>
      <c r="V2528" s="360" t="s">
        <v>17</v>
      </c>
      <c r="W2528" s="360" t="s">
        <v>18</v>
      </c>
      <c r="X2528" s="360">
        <v>21</v>
      </c>
      <c r="Y2528" s="360" t="s">
        <v>43</v>
      </c>
      <c r="Z2528" s="360">
        <v>4</v>
      </c>
      <c r="AA2528" s="360">
        <v>4</v>
      </c>
      <c r="AB2528" s="360">
        <v>100</v>
      </c>
    </row>
    <row r="2529" spans="10:28" x14ac:dyDescent="0.2">
      <c r="J2529" s="358" t="str">
        <f t="shared" si="124"/>
        <v>2009AllSexNon-Maori211</v>
      </c>
      <c r="K2529" s="359">
        <v>2009</v>
      </c>
      <c r="L2529" t="s">
        <v>17</v>
      </c>
      <c r="M2529" t="s">
        <v>19</v>
      </c>
      <c r="N2529">
        <v>21</v>
      </c>
      <c r="O2529">
        <v>1</v>
      </c>
      <c r="P2529">
        <v>0</v>
      </c>
      <c r="T2529" s="358" t="str">
        <f t="shared" si="125"/>
        <v>2008AllSexMaori22Hanging, strangulation and suffocation</v>
      </c>
      <c r="U2529" s="360">
        <v>2008</v>
      </c>
      <c r="V2529" s="360" t="s">
        <v>17</v>
      </c>
      <c r="W2529" s="360" t="s">
        <v>18</v>
      </c>
      <c r="X2529" s="360">
        <v>22</v>
      </c>
      <c r="Y2529" s="360" t="s">
        <v>43</v>
      </c>
      <c r="Z2529" s="360">
        <v>33</v>
      </c>
      <c r="AA2529" s="360">
        <v>35</v>
      </c>
      <c r="AB2529" s="360">
        <v>94.3</v>
      </c>
    </row>
    <row r="2530" spans="10:28" x14ac:dyDescent="0.2">
      <c r="J2530" s="358" t="str">
        <f t="shared" si="124"/>
        <v>2009AllSexNon-Maori212</v>
      </c>
      <c r="K2530" s="359">
        <v>2009</v>
      </c>
      <c r="L2530" t="s">
        <v>17</v>
      </c>
      <c r="M2530" t="s">
        <v>19</v>
      </c>
      <c r="N2530">
        <v>21</v>
      </c>
      <c r="O2530">
        <v>2</v>
      </c>
      <c r="P2530">
        <v>2</v>
      </c>
      <c r="T2530" s="358" t="str">
        <f t="shared" si="125"/>
        <v>2008AllSexMaori23Hanging, strangulation and suffocation</v>
      </c>
      <c r="U2530" s="360">
        <v>2008</v>
      </c>
      <c r="V2530" s="360" t="s">
        <v>17</v>
      </c>
      <c r="W2530" s="360" t="s">
        <v>18</v>
      </c>
      <c r="X2530" s="360">
        <v>23</v>
      </c>
      <c r="Y2530" s="360" t="s">
        <v>43</v>
      </c>
      <c r="Z2530" s="360">
        <v>32</v>
      </c>
      <c r="AA2530" s="360">
        <v>37</v>
      </c>
      <c r="AB2530" s="360">
        <v>86.5</v>
      </c>
    </row>
    <row r="2531" spans="10:28" x14ac:dyDescent="0.2">
      <c r="J2531" s="358" t="str">
        <f t="shared" si="124"/>
        <v>2009AllSexNon-Maori213</v>
      </c>
      <c r="K2531" s="359">
        <v>2009</v>
      </c>
      <c r="L2531" t="s">
        <v>17</v>
      </c>
      <c r="M2531" t="s">
        <v>19</v>
      </c>
      <c r="N2531">
        <v>21</v>
      </c>
      <c r="O2531">
        <v>3</v>
      </c>
      <c r="P2531">
        <v>0</v>
      </c>
      <c r="T2531" s="358" t="str">
        <f t="shared" si="125"/>
        <v>2008AllSexMaori24Hanging, strangulation and suffocation</v>
      </c>
      <c r="U2531" s="360">
        <v>2008</v>
      </c>
      <c r="V2531" s="360" t="s">
        <v>17</v>
      </c>
      <c r="W2531" s="360" t="s">
        <v>18</v>
      </c>
      <c r="X2531" s="360">
        <v>24</v>
      </c>
      <c r="Y2531" s="360" t="s">
        <v>43</v>
      </c>
      <c r="Z2531" s="360">
        <v>7</v>
      </c>
      <c r="AA2531" s="360">
        <v>10</v>
      </c>
      <c r="AB2531" s="360">
        <v>70</v>
      </c>
    </row>
    <row r="2532" spans="10:28" x14ac:dyDescent="0.2">
      <c r="J2532" s="358" t="str">
        <f t="shared" si="124"/>
        <v>2009AllSexNon-Maori214</v>
      </c>
      <c r="K2532" s="359">
        <v>2009</v>
      </c>
      <c r="L2532" t="s">
        <v>17</v>
      </c>
      <c r="M2532" t="s">
        <v>19</v>
      </c>
      <c r="N2532">
        <v>21</v>
      </c>
      <c r="O2532">
        <v>4</v>
      </c>
      <c r="P2532">
        <v>1</v>
      </c>
      <c r="T2532" s="358" t="str">
        <f t="shared" si="125"/>
        <v>2008AllSexMaori23Other</v>
      </c>
      <c r="U2532" s="360">
        <v>2008</v>
      </c>
      <c r="V2532" s="360" t="s">
        <v>17</v>
      </c>
      <c r="W2532" s="360" t="s">
        <v>18</v>
      </c>
      <c r="X2532" s="360">
        <v>23</v>
      </c>
      <c r="Y2532" s="360" t="s">
        <v>45</v>
      </c>
      <c r="Z2532" s="360">
        <v>1</v>
      </c>
      <c r="AA2532" s="360">
        <v>37</v>
      </c>
      <c r="AB2532" s="360">
        <v>2.7</v>
      </c>
    </row>
    <row r="2533" spans="10:28" x14ac:dyDescent="0.2">
      <c r="J2533" s="358" t="str">
        <f t="shared" si="124"/>
        <v>2009AllSexNon-Maori215</v>
      </c>
      <c r="K2533" s="359">
        <v>2009</v>
      </c>
      <c r="L2533" t="s">
        <v>17</v>
      </c>
      <c r="M2533" t="s">
        <v>19</v>
      </c>
      <c r="N2533">
        <v>21</v>
      </c>
      <c r="O2533">
        <v>5</v>
      </c>
      <c r="P2533">
        <v>2</v>
      </c>
      <c r="T2533" s="358" t="str">
        <f t="shared" si="125"/>
        <v>2008AllSexMaori24Other</v>
      </c>
      <c r="U2533" s="360">
        <v>2008</v>
      </c>
      <c r="V2533" s="360" t="s">
        <v>17</v>
      </c>
      <c r="W2533" s="360" t="s">
        <v>18</v>
      </c>
      <c r="X2533" s="360">
        <v>24</v>
      </c>
      <c r="Y2533" s="360" t="s">
        <v>45</v>
      </c>
      <c r="Z2533" s="360">
        <v>1</v>
      </c>
      <c r="AA2533" s="360">
        <v>10</v>
      </c>
      <c r="AB2533" s="360">
        <v>10</v>
      </c>
    </row>
    <row r="2534" spans="10:28" x14ac:dyDescent="0.2">
      <c r="J2534" s="358" t="str">
        <f t="shared" si="124"/>
        <v>2009AllSexNon-Maori221</v>
      </c>
      <c r="K2534" s="359">
        <v>2009</v>
      </c>
      <c r="L2534" t="s">
        <v>17</v>
      </c>
      <c r="M2534" t="s">
        <v>19</v>
      </c>
      <c r="N2534">
        <v>22</v>
      </c>
      <c r="O2534">
        <v>1</v>
      </c>
      <c r="P2534">
        <v>15</v>
      </c>
      <c r="Q2534">
        <v>16.039434322912498</v>
      </c>
      <c r="R2534">
        <v>8.1</v>
      </c>
      <c r="T2534" s="358" t="str">
        <f t="shared" si="125"/>
        <v>2008AllSexMaori23Poisoning by gases and vapours</v>
      </c>
      <c r="U2534" s="360">
        <v>2008</v>
      </c>
      <c r="V2534" s="360" t="s">
        <v>17</v>
      </c>
      <c r="W2534" s="360" t="s">
        <v>18</v>
      </c>
      <c r="X2534" s="360">
        <v>23</v>
      </c>
      <c r="Y2534" s="360" t="s">
        <v>46</v>
      </c>
      <c r="Z2534" s="360">
        <v>2</v>
      </c>
      <c r="AA2534" s="360">
        <v>37</v>
      </c>
      <c r="AB2534" s="360">
        <v>5.4</v>
      </c>
    </row>
    <row r="2535" spans="10:28" x14ac:dyDescent="0.2">
      <c r="J2535" s="358" t="str">
        <f t="shared" si="124"/>
        <v>2009AllSexNon-Maori222</v>
      </c>
      <c r="K2535" s="359">
        <v>2009</v>
      </c>
      <c r="L2535" t="s">
        <v>17</v>
      </c>
      <c r="M2535" t="s">
        <v>19</v>
      </c>
      <c r="N2535">
        <v>22</v>
      </c>
      <c r="O2535">
        <v>2</v>
      </c>
      <c r="P2535">
        <v>10</v>
      </c>
      <c r="Q2535">
        <v>10.410096181378201</v>
      </c>
      <c r="R2535">
        <v>6.5</v>
      </c>
      <c r="T2535" s="358" t="str">
        <f t="shared" si="125"/>
        <v>2008AllSexMaori22Poisoning by solids and liquids</v>
      </c>
      <c r="U2535" s="360">
        <v>2008</v>
      </c>
      <c r="V2535" s="360" t="s">
        <v>17</v>
      </c>
      <c r="W2535" s="360" t="s">
        <v>18</v>
      </c>
      <c r="X2535" s="360">
        <v>22</v>
      </c>
      <c r="Y2535" s="360" t="s">
        <v>47</v>
      </c>
      <c r="Z2535" s="360">
        <v>1</v>
      </c>
      <c r="AA2535" s="360">
        <v>35</v>
      </c>
      <c r="AB2535" s="360">
        <v>2.9</v>
      </c>
    </row>
    <row r="2536" spans="10:28" x14ac:dyDescent="0.2">
      <c r="J2536" s="358" t="str">
        <f t="shared" si="124"/>
        <v>2009AllSexNon-Maori223</v>
      </c>
      <c r="K2536" s="359">
        <v>2009</v>
      </c>
      <c r="L2536" t="s">
        <v>17</v>
      </c>
      <c r="M2536" t="s">
        <v>19</v>
      </c>
      <c r="N2536">
        <v>22</v>
      </c>
      <c r="O2536">
        <v>3</v>
      </c>
      <c r="P2536">
        <v>16</v>
      </c>
      <c r="Q2536">
        <v>16.269216944940499</v>
      </c>
      <c r="R2536">
        <v>8</v>
      </c>
      <c r="T2536" s="358" t="str">
        <f t="shared" si="125"/>
        <v>2008AllSexMaori23Poisoning by solids and liquids</v>
      </c>
      <c r="U2536" s="360">
        <v>2008</v>
      </c>
      <c r="V2536" s="360" t="s">
        <v>17</v>
      </c>
      <c r="W2536" s="360" t="s">
        <v>18</v>
      </c>
      <c r="X2536" s="360">
        <v>23</v>
      </c>
      <c r="Y2536" s="360" t="s">
        <v>47</v>
      </c>
      <c r="Z2536" s="360">
        <v>2</v>
      </c>
      <c r="AA2536" s="360">
        <v>37</v>
      </c>
      <c r="AB2536" s="360">
        <v>5.4</v>
      </c>
    </row>
    <row r="2537" spans="10:28" x14ac:dyDescent="0.2">
      <c r="J2537" s="358" t="str">
        <f t="shared" si="124"/>
        <v>2009AllSexNon-Maori224</v>
      </c>
      <c r="K2537" s="359">
        <v>2009</v>
      </c>
      <c r="L2537" t="s">
        <v>17</v>
      </c>
      <c r="M2537" t="s">
        <v>19</v>
      </c>
      <c r="N2537">
        <v>22</v>
      </c>
      <c r="O2537">
        <v>4</v>
      </c>
      <c r="P2537">
        <v>22</v>
      </c>
      <c r="Q2537">
        <v>21.964687597680602</v>
      </c>
      <c r="R2537">
        <v>9.1999999999999993</v>
      </c>
      <c r="T2537" s="358" t="str">
        <f t="shared" si="125"/>
        <v>2008AllSexMaori25Sharp object</v>
      </c>
      <c r="U2537" s="360">
        <v>2008</v>
      </c>
      <c r="V2537" s="360" t="s">
        <v>17</v>
      </c>
      <c r="W2537" s="360" t="s">
        <v>18</v>
      </c>
      <c r="X2537" s="360">
        <v>25</v>
      </c>
      <c r="Y2537" s="360" t="s">
        <v>48</v>
      </c>
      <c r="Z2537" s="360">
        <v>1</v>
      </c>
      <c r="AA2537" s="360">
        <v>1</v>
      </c>
      <c r="AB2537" s="360">
        <v>100</v>
      </c>
    </row>
    <row r="2538" spans="10:28" x14ac:dyDescent="0.2">
      <c r="J2538" s="358" t="str">
        <f t="shared" si="124"/>
        <v>2009AllSexNon-Maori225</v>
      </c>
      <c r="K2538" s="359">
        <v>2009</v>
      </c>
      <c r="L2538" t="s">
        <v>17</v>
      </c>
      <c r="M2538" t="s">
        <v>19</v>
      </c>
      <c r="N2538">
        <v>22</v>
      </c>
      <c r="O2538">
        <v>5</v>
      </c>
      <c r="P2538">
        <v>18</v>
      </c>
      <c r="Q2538">
        <v>17.979522332622299</v>
      </c>
      <c r="R2538">
        <v>8.3000000000000007</v>
      </c>
      <c r="T2538" s="358" t="str">
        <f t="shared" si="125"/>
        <v>2008AllSexNon-Maori22Firearms and explosives</v>
      </c>
      <c r="U2538" s="360">
        <v>2008</v>
      </c>
      <c r="V2538" s="360" t="s">
        <v>17</v>
      </c>
      <c r="W2538" s="360" t="s">
        <v>19</v>
      </c>
      <c r="X2538" s="360">
        <v>22</v>
      </c>
      <c r="Y2538" s="360" t="s">
        <v>42</v>
      </c>
      <c r="Z2538" s="360">
        <v>5</v>
      </c>
      <c r="AA2538" s="360">
        <v>86</v>
      </c>
      <c r="AB2538" s="360">
        <v>5.8</v>
      </c>
    </row>
    <row r="2539" spans="10:28" x14ac:dyDescent="0.2">
      <c r="J2539" s="358" t="str">
        <f t="shared" si="124"/>
        <v>2009AllSexNon-Maori231</v>
      </c>
      <c r="K2539" s="359">
        <v>2009</v>
      </c>
      <c r="L2539" t="s">
        <v>17</v>
      </c>
      <c r="M2539" t="s">
        <v>19</v>
      </c>
      <c r="N2539">
        <v>23</v>
      </c>
      <c r="O2539">
        <v>1</v>
      </c>
      <c r="P2539">
        <v>18</v>
      </c>
      <c r="Q2539">
        <v>8.4078826754792502</v>
      </c>
      <c r="R2539">
        <v>3.9</v>
      </c>
      <c r="T2539" s="358" t="str">
        <f t="shared" si="125"/>
        <v>2008AllSexNon-Maori23Firearms and explosives</v>
      </c>
      <c r="U2539" s="360">
        <v>2008</v>
      </c>
      <c r="V2539" s="360" t="s">
        <v>17</v>
      </c>
      <c r="W2539" s="360" t="s">
        <v>19</v>
      </c>
      <c r="X2539" s="360">
        <v>23</v>
      </c>
      <c r="Y2539" s="360" t="s">
        <v>42</v>
      </c>
      <c r="Z2539" s="360">
        <v>8</v>
      </c>
      <c r="AA2539" s="360">
        <v>145</v>
      </c>
      <c r="AB2539" s="360">
        <v>5.5</v>
      </c>
    </row>
    <row r="2540" spans="10:28" x14ac:dyDescent="0.2">
      <c r="J2540" s="358" t="str">
        <f t="shared" si="124"/>
        <v>2009AllSexNon-Maori232</v>
      </c>
      <c r="K2540" s="359">
        <v>2009</v>
      </c>
      <c r="L2540" t="s">
        <v>17</v>
      </c>
      <c r="M2540" t="s">
        <v>19</v>
      </c>
      <c r="N2540">
        <v>23</v>
      </c>
      <c r="O2540">
        <v>2</v>
      </c>
      <c r="P2540">
        <v>27</v>
      </c>
      <c r="Q2540">
        <v>12.250457343645399</v>
      </c>
      <c r="R2540">
        <v>4.5999999999999996</v>
      </c>
      <c r="T2540" s="358" t="str">
        <f t="shared" si="125"/>
        <v>2008AllSexNon-Maori24Firearms and explosives</v>
      </c>
      <c r="U2540" s="360">
        <v>2008</v>
      </c>
      <c r="V2540" s="360" t="s">
        <v>17</v>
      </c>
      <c r="W2540" s="360" t="s">
        <v>19</v>
      </c>
      <c r="X2540" s="360">
        <v>24</v>
      </c>
      <c r="Y2540" s="360" t="s">
        <v>42</v>
      </c>
      <c r="Z2540" s="360">
        <v>15</v>
      </c>
      <c r="AA2540" s="360">
        <v>149</v>
      </c>
      <c r="AB2540" s="360">
        <v>10.1</v>
      </c>
    </row>
    <row r="2541" spans="10:28" x14ac:dyDescent="0.2">
      <c r="J2541" s="358" t="str">
        <f t="shared" si="124"/>
        <v>2009AllSexNon-Maori233</v>
      </c>
      <c r="K2541" s="359">
        <v>2009</v>
      </c>
      <c r="L2541" t="s">
        <v>17</v>
      </c>
      <c r="M2541" t="s">
        <v>19</v>
      </c>
      <c r="N2541">
        <v>23</v>
      </c>
      <c r="O2541">
        <v>3</v>
      </c>
      <c r="P2541">
        <v>25</v>
      </c>
      <c r="Q2541">
        <v>11.7408500486292</v>
      </c>
      <c r="R2541">
        <v>4.5999999999999996</v>
      </c>
      <c r="T2541" s="358" t="str">
        <f t="shared" si="125"/>
        <v>2008AllSexNon-Maori25Firearms and explosives</v>
      </c>
      <c r="U2541" s="360">
        <v>2008</v>
      </c>
      <c r="V2541" s="360" t="s">
        <v>17</v>
      </c>
      <c r="W2541" s="360" t="s">
        <v>19</v>
      </c>
      <c r="X2541" s="360">
        <v>25</v>
      </c>
      <c r="Y2541" s="360" t="s">
        <v>42</v>
      </c>
      <c r="Z2541" s="360">
        <v>11</v>
      </c>
      <c r="AA2541" s="360">
        <v>50</v>
      </c>
      <c r="AB2541" s="360">
        <v>22</v>
      </c>
    </row>
    <row r="2542" spans="10:28" x14ac:dyDescent="0.2">
      <c r="J2542" s="358" t="str">
        <f t="shared" si="124"/>
        <v>2009AllSexNon-Maori234</v>
      </c>
      <c r="K2542" s="359">
        <v>2009</v>
      </c>
      <c r="L2542" t="s">
        <v>17</v>
      </c>
      <c r="M2542" t="s">
        <v>19</v>
      </c>
      <c r="N2542">
        <v>23</v>
      </c>
      <c r="O2542">
        <v>4</v>
      </c>
      <c r="P2542">
        <v>34</v>
      </c>
      <c r="Q2542">
        <v>17.324507743221801</v>
      </c>
      <c r="R2542">
        <v>5.8</v>
      </c>
      <c r="T2542" s="358" t="str">
        <f t="shared" si="125"/>
        <v>2008AllSexNon-Maori21Hanging, strangulation and suffocation</v>
      </c>
      <c r="U2542" s="360">
        <v>2008</v>
      </c>
      <c r="V2542" s="360" t="s">
        <v>17</v>
      </c>
      <c r="W2542" s="360" t="s">
        <v>19</v>
      </c>
      <c r="X2542" s="360">
        <v>21</v>
      </c>
      <c r="Y2542" s="360" t="s">
        <v>43</v>
      </c>
      <c r="Z2542" s="360">
        <v>1</v>
      </c>
      <c r="AA2542" s="360">
        <v>1</v>
      </c>
      <c r="AB2542" s="360">
        <v>100</v>
      </c>
    </row>
    <row r="2543" spans="10:28" x14ac:dyDescent="0.2">
      <c r="J2543" s="358" t="str">
        <f t="shared" si="124"/>
        <v>2009AllSexNon-Maori235</v>
      </c>
      <c r="K2543" s="359">
        <v>2009</v>
      </c>
      <c r="L2543" t="s">
        <v>17</v>
      </c>
      <c r="M2543" t="s">
        <v>19</v>
      </c>
      <c r="N2543">
        <v>23</v>
      </c>
      <c r="O2543">
        <v>5</v>
      </c>
      <c r="P2543">
        <v>38</v>
      </c>
      <c r="Q2543">
        <v>24.614634084264999</v>
      </c>
      <c r="R2543">
        <v>7.8</v>
      </c>
      <c r="T2543" s="358" t="str">
        <f t="shared" si="125"/>
        <v>2008AllSexNon-Maori22Hanging, strangulation and suffocation</v>
      </c>
      <c r="U2543" s="360">
        <v>2008</v>
      </c>
      <c r="V2543" s="360" t="s">
        <v>17</v>
      </c>
      <c r="W2543" s="360" t="s">
        <v>19</v>
      </c>
      <c r="X2543" s="360">
        <v>22</v>
      </c>
      <c r="Y2543" s="360" t="s">
        <v>43</v>
      </c>
      <c r="Z2543" s="360">
        <v>54</v>
      </c>
      <c r="AA2543" s="360">
        <v>86</v>
      </c>
      <c r="AB2543" s="360">
        <v>62.8</v>
      </c>
    </row>
    <row r="2544" spans="10:28" x14ac:dyDescent="0.2">
      <c r="J2544" s="358" t="str">
        <f t="shared" si="124"/>
        <v>2009AllSexNon-Maori241</v>
      </c>
      <c r="K2544" s="359">
        <v>2009</v>
      </c>
      <c r="L2544" t="s">
        <v>17</v>
      </c>
      <c r="M2544" t="s">
        <v>19</v>
      </c>
      <c r="N2544">
        <v>24</v>
      </c>
      <c r="O2544">
        <v>1</v>
      </c>
      <c r="P2544">
        <v>25</v>
      </c>
      <c r="Q2544">
        <v>9.7549736578416208</v>
      </c>
      <c r="R2544">
        <v>3.8</v>
      </c>
      <c r="T2544" s="358" t="str">
        <f t="shared" si="125"/>
        <v>2008AllSexNon-Maori23Hanging, strangulation and suffocation</v>
      </c>
      <c r="U2544" s="360">
        <v>2008</v>
      </c>
      <c r="V2544" s="360" t="s">
        <v>17</v>
      </c>
      <c r="W2544" s="360" t="s">
        <v>19</v>
      </c>
      <c r="X2544" s="360">
        <v>23</v>
      </c>
      <c r="Y2544" s="360" t="s">
        <v>43</v>
      </c>
      <c r="Z2544" s="360">
        <v>78</v>
      </c>
      <c r="AA2544" s="360">
        <v>145</v>
      </c>
      <c r="AB2544" s="360">
        <v>53.8</v>
      </c>
    </row>
    <row r="2545" spans="10:28" x14ac:dyDescent="0.2">
      <c r="J2545" s="358" t="str">
        <f t="shared" si="124"/>
        <v>2009AllSexNon-Maori242</v>
      </c>
      <c r="K2545" s="359">
        <v>2009</v>
      </c>
      <c r="L2545" t="s">
        <v>17</v>
      </c>
      <c r="M2545" t="s">
        <v>19</v>
      </c>
      <c r="N2545">
        <v>24</v>
      </c>
      <c r="O2545">
        <v>2</v>
      </c>
      <c r="P2545">
        <v>33</v>
      </c>
      <c r="Q2545">
        <v>14.8461512393957</v>
      </c>
      <c r="R2545">
        <v>5.0999999999999996</v>
      </c>
      <c r="T2545" s="358" t="str">
        <f t="shared" si="125"/>
        <v>2008AllSexNon-Maori24Hanging, strangulation and suffocation</v>
      </c>
      <c r="U2545" s="360">
        <v>2008</v>
      </c>
      <c r="V2545" s="360" t="s">
        <v>17</v>
      </c>
      <c r="W2545" s="360" t="s">
        <v>19</v>
      </c>
      <c r="X2545" s="360">
        <v>24</v>
      </c>
      <c r="Y2545" s="360" t="s">
        <v>43</v>
      </c>
      <c r="Z2545" s="360">
        <v>70</v>
      </c>
      <c r="AA2545" s="360">
        <v>149</v>
      </c>
      <c r="AB2545" s="360">
        <v>47</v>
      </c>
    </row>
    <row r="2546" spans="10:28" x14ac:dyDescent="0.2">
      <c r="J2546" s="358" t="str">
        <f t="shared" si="124"/>
        <v>2009AllSexNon-Maori243</v>
      </c>
      <c r="K2546" s="359">
        <v>2009</v>
      </c>
      <c r="L2546" t="s">
        <v>17</v>
      </c>
      <c r="M2546" t="s">
        <v>19</v>
      </c>
      <c r="N2546">
        <v>24</v>
      </c>
      <c r="O2546">
        <v>3</v>
      </c>
      <c r="P2546">
        <v>23</v>
      </c>
      <c r="Q2546">
        <v>11.8586521427984</v>
      </c>
      <c r="R2546">
        <v>4.8</v>
      </c>
      <c r="T2546" s="358" t="str">
        <f t="shared" si="125"/>
        <v>2008AllSexNon-Maori25Hanging, strangulation and suffocation</v>
      </c>
      <c r="U2546" s="360">
        <v>2008</v>
      </c>
      <c r="V2546" s="360" t="s">
        <v>17</v>
      </c>
      <c r="W2546" s="360" t="s">
        <v>19</v>
      </c>
      <c r="X2546" s="360">
        <v>25</v>
      </c>
      <c r="Y2546" s="360" t="s">
        <v>43</v>
      </c>
      <c r="Z2546" s="360">
        <v>11</v>
      </c>
      <c r="AA2546" s="360">
        <v>50</v>
      </c>
      <c r="AB2546" s="360">
        <v>22</v>
      </c>
    </row>
    <row r="2547" spans="10:28" x14ac:dyDescent="0.2">
      <c r="J2547" s="358" t="str">
        <f t="shared" si="124"/>
        <v>2009AllSexNon-Maori244</v>
      </c>
      <c r="K2547" s="359">
        <v>2009</v>
      </c>
      <c r="L2547" t="s">
        <v>17</v>
      </c>
      <c r="M2547" t="s">
        <v>19</v>
      </c>
      <c r="N2547">
        <v>24</v>
      </c>
      <c r="O2547">
        <v>4</v>
      </c>
      <c r="P2547">
        <v>40</v>
      </c>
      <c r="Q2547">
        <v>23.829750272057701</v>
      </c>
      <c r="R2547">
        <v>7.4</v>
      </c>
      <c r="T2547" s="358" t="str">
        <f t="shared" si="125"/>
        <v>2008AllSexNon-Maori22Jumping from a high place</v>
      </c>
      <c r="U2547" s="360">
        <v>2008</v>
      </c>
      <c r="V2547" s="360" t="s">
        <v>17</v>
      </c>
      <c r="W2547" s="360" t="s">
        <v>19</v>
      </c>
      <c r="X2547" s="360">
        <v>22</v>
      </c>
      <c r="Y2547" s="360" t="s">
        <v>44</v>
      </c>
      <c r="Z2547" s="360">
        <v>3</v>
      </c>
      <c r="AA2547" s="360">
        <v>86</v>
      </c>
      <c r="AB2547" s="360">
        <v>3.5</v>
      </c>
    </row>
    <row r="2548" spans="10:28" x14ac:dyDescent="0.2">
      <c r="J2548" s="358" t="str">
        <f t="shared" si="124"/>
        <v>2009AllSexNon-Maori245</v>
      </c>
      <c r="K2548" s="359">
        <v>2009</v>
      </c>
      <c r="L2548" t="s">
        <v>17</v>
      </c>
      <c r="M2548" t="s">
        <v>19</v>
      </c>
      <c r="N2548">
        <v>24</v>
      </c>
      <c r="O2548">
        <v>5</v>
      </c>
      <c r="P2548">
        <v>24</v>
      </c>
      <c r="Q2548">
        <v>18.928635170409599</v>
      </c>
      <c r="R2548">
        <v>7.6</v>
      </c>
      <c r="T2548" s="358" t="str">
        <f t="shared" si="125"/>
        <v>2008AllSexNon-Maori23Jumping from a high place</v>
      </c>
      <c r="U2548" s="360">
        <v>2008</v>
      </c>
      <c r="V2548" s="360" t="s">
        <v>17</v>
      </c>
      <c r="W2548" s="360" t="s">
        <v>19</v>
      </c>
      <c r="X2548" s="360">
        <v>23</v>
      </c>
      <c r="Y2548" s="360" t="s">
        <v>44</v>
      </c>
      <c r="Z2548" s="360">
        <v>5</v>
      </c>
      <c r="AA2548" s="360">
        <v>145</v>
      </c>
      <c r="AB2548" s="360">
        <v>3.4</v>
      </c>
    </row>
    <row r="2549" spans="10:28" x14ac:dyDescent="0.2">
      <c r="J2549" s="358" t="str">
        <f t="shared" si="124"/>
        <v>2009AllSexNon-Maori251</v>
      </c>
      <c r="K2549" s="359">
        <v>2009</v>
      </c>
      <c r="L2549" t="s">
        <v>17</v>
      </c>
      <c r="M2549" t="s">
        <v>19</v>
      </c>
      <c r="N2549">
        <v>25</v>
      </c>
      <c r="O2549">
        <v>1</v>
      </c>
      <c r="P2549">
        <v>12</v>
      </c>
      <c r="Q2549">
        <v>11.5053243560706</v>
      </c>
      <c r="R2549">
        <v>6.5</v>
      </c>
      <c r="T2549" s="358" t="str">
        <f t="shared" si="125"/>
        <v>2008AllSexNon-Maori24Jumping from a high place</v>
      </c>
      <c r="U2549" s="360">
        <v>2008</v>
      </c>
      <c r="V2549" s="360" t="s">
        <v>17</v>
      </c>
      <c r="W2549" s="360" t="s">
        <v>19</v>
      </c>
      <c r="X2549" s="360">
        <v>24</v>
      </c>
      <c r="Y2549" s="360" t="s">
        <v>44</v>
      </c>
      <c r="Z2549" s="360">
        <v>6</v>
      </c>
      <c r="AA2549" s="360">
        <v>149</v>
      </c>
      <c r="AB2549" s="360">
        <v>4</v>
      </c>
    </row>
    <row r="2550" spans="10:28" x14ac:dyDescent="0.2">
      <c r="J2550" s="358" t="str">
        <f t="shared" si="124"/>
        <v>2009AllSexNon-Maori252</v>
      </c>
      <c r="K2550" s="359">
        <v>2009</v>
      </c>
      <c r="L2550" t="s">
        <v>17</v>
      </c>
      <c r="M2550" t="s">
        <v>19</v>
      </c>
      <c r="N2550">
        <v>25</v>
      </c>
      <c r="O2550">
        <v>2</v>
      </c>
      <c r="P2550">
        <v>9</v>
      </c>
      <c r="Q2550">
        <v>8.1368990288494203</v>
      </c>
      <c r="R2550">
        <v>5.3</v>
      </c>
      <c r="T2550" s="358" t="str">
        <f t="shared" si="125"/>
        <v>2008AllSexNon-Maori22Other</v>
      </c>
      <c r="U2550" s="360">
        <v>2008</v>
      </c>
      <c r="V2550" s="360" t="s">
        <v>17</v>
      </c>
      <c r="W2550" s="360" t="s">
        <v>19</v>
      </c>
      <c r="X2550" s="360">
        <v>22</v>
      </c>
      <c r="Y2550" s="360" t="s">
        <v>45</v>
      </c>
      <c r="Z2550" s="360">
        <v>5</v>
      </c>
      <c r="AA2550" s="360">
        <v>86</v>
      </c>
      <c r="AB2550" s="360">
        <v>5.8</v>
      </c>
    </row>
    <row r="2551" spans="10:28" x14ac:dyDescent="0.2">
      <c r="J2551" s="358" t="str">
        <f t="shared" si="124"/>
        <v>2009AllSexNon-Maori253</v>
      </c>
      <c r="K2551" s="359">
        <v>2009</v>
      </c>
      <c r="L2551" t="s">
        <v>17</v>
      </c>
      <c r="M2551" t="s">
        <v>19</v>
      </c>
      <c r="N2551">
        <v>25</v>
      </c>
      <c r="O2551">
        <v>3</v>
      </c>
      <c r="P2551">
        <v>9</v>
      </c>
      <c r="Q2551">
        <v>7.9295672413728404</v>
      </c>
      <c r="R2551">
        <v>5.2</v>
      </c>
      <c r="T2551" s="358" t="str">
        <f t="shared" si="125"/>
        <v>2008AllSexNon-Maori23Other</v>
      </c>
      <c r="U2551" s="360">
        <v>2008</v>
      </c>
      <c r="V2551" s="360" t="s">
        <v>17</v>
      </c>
      <c r="W2551" s="360" t="s">
        <v>19</v>
      </c>
      <c r="X2551" s="360">
        <v>23</v>
      </c>
      <c r="Y2551" s="360" t="s">
        <v>45</v>
      </c>
      <c r="Z2551" s="360">
        <v>5</v>
      </c>
      <c r="AA2551" s="360">
        <v>145</v>
      </c>
      <c r="AB2551" s="360">
        <v>3.4</v>
      </c>
    </row>
    <row r="2552" spans="10:28" x14ac:dyDescent="0.2">
      <c r="J2552" s="358" t="str">
        <f t="shared" si="124"/>
        <v>2009AllSexNon-Maori254</v>
      </c>
      <c r="K2552" s="359">
        <v>2009</v>
      </c>
      <c r="L2552" t="s">
        <v>17</v>
      </c>
      <c r="M2552" t="s">
        <v>19</v>
      </c>
      <c r="N2552">
        <v>25</v>
      </c>
      <c r="O2552">
        <v>4</v>
      </c>
      <c r="P2552">
        <v>13</v>
      </c>
      <c r="Q2552">
        <v>11.6680114689412</v>
      </c>
      <c r="R2552">
        <v>6.3</v>
      </c>
      <c r="T2552" s="358" t="str">
        <f t="shared" si="125"/>
        <v>2008AllSexNon-Maori24Other</v>
      </c>
      <c r="U2552" s="360">
        <v>2008</v>
      </c>
      <c r="V2552" s="360" t="s">
        <v>17</v>
      </c>
      <c r="W2552" s="360" t="s">
        <v>19</v>
      </c>
      <c r="X2552" s="360">
        <v>24</v>
      </c>
      <c r="Y2552" s="360" t="s">
        <v>45</v>
      </c>
      <c r="Z2552" s="360">
        <v>6</v>
      </c>
      <c r="AA2552" s="360">
        <v>149</v>
      </c>
      <c r="AB2552" s="360">
        <v>4</v>
      </c>
    </row>
    <row r="2553" spans="10:28" x14ac:dyDescent="0.2">
      <c r="J2553" s="358" t="str">
        <f t="shared" si="124"/>
        <v>2009AllSexNon-Maori255</v>
      </c>
      <c r="K2553" s="359">
        <v>2009</v>
      </c>
      <c r="L2553" t="s">
        <v>17</v>
      </c>
      <c r="M2553" t="s">
        <v>19</v>
      </c>
      <c r="N2553">
        <v>25</v>
      </c>
      <c r="O2553">
        <v>5</v>
      </c>
      <c r="P2553">
        <v>8</v>
      </c>
      <c r="Q2553">
        <v>10.1076171298003</v>
      </c>
      <c r="R2553">
        <v>7</v>
      </c>
      <c r="T2553" s="358" t="str">
        <f t="shared" si="125"/>
        <v>2008AllSexNon-Maori25Other</v>
      </c>
      <c r="U2553" s="360">
        <v>2008</v>
      </c>
      <c r="V2553" s="360" t="s">
        <v>17</v>
      </c>
      <c r="W2553" s="360" t="s">
        <v>19</v>
      </c>
      <c r="X2553" s="360">
        <v>25</v>
      </c>
      <c r="Y2553" s="360" t="s">
        <v>45</v>
      </c>
      <c r="Z2553" s="360">
        <v>2</v>
      </c>
      <c r="AA2553" s="360">
        <v>50</v>
      </c>
      <c r="AB2553" s="360">
        <v>4</v>
      </c>
    </row>
    <row r="2554" spans="10:28" x14ac:dyDescent="0.2">
      <c r="J2554" s="358" t="str">
        <f t="shared" si="124"/>
        <v>2009FemaleAllEth211</v>
      </c>
      <c r="K2554" s="359">
        <v>2009</v>
      </c>
      <c r="L2554" t="s">
        <v>8</v>
      </c>
      <c r="M2554" t="s">
        <v>27</v>
      </c>
      <c r="N2554">
        <v>21</v>
      </c>
      <c r="O2554">
        <v>1</v>
      </c>
      <c r="P2554">
        <v>0</v>
      </c>
      <c r="T2554" s="358" t="str">
        <f t="shared" si="125"/>
        <v>2008AllSexNon-Maori22Poisoning by gases and vapours</v>
      </c>
      <c r="U2554" s="360">
        <v>2008</v>
      </c>
      <c r="V2554" s="360" t="s">
        <v>17</v>
      </c>
      <c r="W2554" s="360" t="s">
        <v>19</v>
      </c>
      <c r="X2554" s="360">
        <v>22</v>
      </c>
      <c r="Y2554" s="360" t="s">
        <v>46</v>
      </c>
      <c r="Z2554" s="360">
        <v>14</v>
      </c>
      <c r="AA2554" s="360">
        <v>86</v>
      </c>
      <c r="AB2554" s="360">
        <v>16.3</v>
      </c>
    </row>
    <row r="2555" spans="10:28" x14ac:dyDescent="0.2">
      <c r="J2555" s="358" t="str">
        <f t="shared" si="124"/>
        <v>2009FemaleAllEth212</v>
      </c>
      <c r="K2555" s="359">
        <v>2009</v>
      </c>
      <c r="L2555" t="s">
        <v>8</v>
      </c>
      <c r="M2555" t="s">
        <v>27</v>
      </c>
      <c r="N2555">
        <v>21</v>
      </c>
      <c r="O2555">
        <v>2</v>
      </c>
      <c r="P2555">
        <v>1</v>
      </c>
      <c r="T2555" s="358" t="str">
        <f t="shared" si="125"/>
        <v>2008AllSexNon-Maori23Poisoning by gases and vapours</v>
      </c>
      <c r="U2555" s="360">
        <v>2008</v>
      </c>
      <c r="V2555" s="360" t="s">
        <v>17</v>
      </c>
      <c r="W2555" s="360" t="s">
        <v>19</v>
      </c>
      <c r="X2555" s="360">
        <v>23</v>
      </c>
      <c r="Y2555" s="360" t="s">
        <v>46</v>
      </c>
      <c r="Z2555" s="360">
        <v>30</v>
      </c>
      <c r="AA2555" s="360">
        <v>145</v>
      </c>
      <c r="AB2555" s="360">
        <v>20.7</v>
      </c>
    </row>
    <row r="2556" spans="10:28" x14ac:dyDescent="0.2">
      <c r="J2556" s="358" t="str">
        <f t="shared" si="124"/>
        <v>2009FemaleAllEth213</v>
      </c>
      <c r="K2556" s="359">
        <v>2009</v>
      </c>
      <c r="L2556" t="s">
        <v>8</v>
      </c>
      <c r="M2556" t="s">
        <v>27</v>
      </c>
      <c r="N2556">
        <v>21</v>
      </c>
      <c r="O2556">
        <v>3</v>
      </c>
      <c r="P2556">
        <v>0</v>
      </c>
      <c r="T2556" s="358" t="str">
        <f t="shared" si="125"/>
        <v>2008AllSexNon-Maori24Poisoning by gases and vapours</v>
      </c>
      <c r="U2556" s="360">
        <v>2008</v>
      </c>
      <c r="V2556" s="360" t="s">
        <v>17</v>
      </c>
      <c r="W2556" s="360" t="s">
        <v>19</v>
      </c>
      <c r="X2556" s="360">
        <v>24</v>
      </c>
      <c r="Y2556" s="360" t="s">
        <v>46</v>
      </c>
      <c r="Z2556" s="360">
        <v>21</v>
      </c>
      <c r="AA2556" s="360">
        <v>149</v>
      </c>
      <c r="AB2556" s="360">
        <v>14.1</v>
      </c>
    </row>
    <row r="2557" spans="10:28" x14ac:dyDescent="0.2">
      <c r="J2557" s="358" t="str">
        <f t="shared" si="124"/>
        <v>2009FemaleAllEth214</v>
      </c>
      <c r="K2557" s="359">
        <v>2009</v>
      </c>
      <c r="L2557" t="s">
        <v>8</v>
      </c>
      <c r="M2557" t="s">
        <v>27</v>
      </c>
      <c r="N2557">
        <v>21</v>
      </c>
      <c r="O2557">
        <v>4</v>
      </c>
      <c r="P2557">
        <v>1</v>
      </c>
      <c r="T2557" s="358" t="str">
        <f t="shared" si="125"/>
        <v>2008AllSexNon-Maori25Poisoning by gases and vapours</v>
      </c>
      <c r="U2557" s="360">
        <v>2008</v>
      </c>
      <c r="V2557" s="360" t="s">
        <v>17</v>
      </c>
      <c r="W2557" s="360" t="s">
        <v>19</v>
      </c>
      <c r="X2557" s="360">
        <v>25</v>
      </c>
      <c r="Y2557" s="360" t="s">
        <v>46</v>
      </c>
      <c r="Z2557" s="360">
        <v>8</v>
      </c>
      <c r="AA2557" s="360">
        <v>50</v>
      </c>
      <c r="AB2557" s="360">
        <v>16</v>
      </c>
    </row>
    <row r="2558" spans="10:28" x14ac:dyDescent="0.2">
      <c r="J2558" s="358" t="str">
        <f t="shared" si="124"/>
        <v>2009FemaleAllEth215</v>
      </c>
      <c r="K2558" s="359">
        <v>2009</v>
      </c>
      <c r="L2558" t="s">
        <v>8</v>
      </c>
      <c r="M2558" t="s">
        <v>27</v>
      </c>
      <c r="N2558">
        <v>21</v>
      </c>
      <c r="O2558">
        <v>5</v>
      </c>
      <c r="P2558">
        <v>2</v>
      </c>
      <c r="T2558" s="358" t="str">
        <f t="shared" si="125"/>
        <v>2008AllSexNon-Maori22Poisoning by solids and liquids</v>
      </c>
      <c r="U2558" s="360">
        <v>2008</v>
      </c>
      <c r="V2558" s="360" t="s">
        <v>17</v>
      </c>
      <c r="W2558" s="360" t="s">
        <v>19</v>
      </c>
      <c r="X2558" s="360">
        <v>22</v>
      </c>
      <c r="Y2558" s="360" t="s">
        <v>47</v>
      </c>
      <c r="Z2558" s="360">
        <v>4</v>
      </c>
      <c r="AA2558" s="360">
        <v>86</v>
      </c>
      <c r="AB2558" s="360">
        <v>4.7</v>
      </c>
    </row>
    <row r="2559" spans="10:28" x14ac:dyDescent="0.2">
      <c r="J2559" s="358" t="str">
        <f t="shared" si="124"/>
        <v>2009FemaleAllEth221</v>
      </c>
      <c r="K2559" s="359">
        <v>2009</v>
      </c>
      <c r="L2559" t="s">
        <v>8</v>
      </c>
      <c r="M2559" t="s">
        <v>27</v>
      </c>
      <c r="N2559">
        <v>22</v>
      </c>
      <c r="O2559">
        <v>1</v>
      </c>
      <c r="P2559">
        <v>1</v>
      </c>
      <c r="Q2559">
        <v>2.0327084956135102</v>
      </c>
      <c r="R2559">
        <v>4</v>
      </c>
      <c r="T2559" s="358" t="str">
        <f t="shared" si="125"/>
        <v>2008AllSexNon-Maori23Poisoning by solids and liquids</v>
      </c>
      <c r="U2559" s="360">
        <v>2008</v>
      </c>
      <c r="V2559" s="360" t="s">
        <v>17</v>
      </c>
      <c r="W2559" s="360" t="s">
        <v>19</v>
      </c>
      <c r="X2559" s="360">
        <v>23</v>
      </c>
      <c r="Y2559" s="360" t="s">
        <v>47</v>
      </c>
      <c r="Z2559" s="360">
        <v>15</v>
      </c>
      <c r="AA2559" s="360">
        <v>145</v>
      </c>
      <c r="AB2559" s="360">
        <v>10.3</v>
      </c>
    </row>
    <row r="2560" spans="10:28" x14ac:dyDescent="0.2">
      <c r="J2560" s="358" t="str">
        <f t="shared" si="124"/>
        <v>2009FemaleAllEth222</v>
      </c>
      <c r="K2560" s="359">
        <v>2009</v>
      </c>
      <c r="L2560" t="s">
        <v>8</v>
      </c>
      <c r="M2560" t="s">
        <v>27</v>
      </c>
      <c r="N2560">
        <v>22</v>
      </c>
      <c r="O2560">
        <v>2</v>
      </c>
      <c r="P2560">
        <v>2</v>
      </c>
      <c r="Q2560">
        <v>3.7930639383244702</v>
      </c>
      <c r="R2560">
        <v>5.3</v>
      </c>
      <c r="T2560" s="358" t="str">
        <f t="shared" si="125"/>
        <v>2008AllSexNon-Maori24Poisoning by solids and liquids</v>
      </c>
      <c r="U2560" s="360">
        <v>2008</v>
      </c>
      <c r="V2560" s="360" t="s">
        <v>17</v>
      </c>
      <c r="W2560" s="360" t="s">
        <v>19</v>
      </c>
      <c r="X2560" s="360">
        <v>24</v>
      </c>
      <c r="Y2560" s="360" t="s">
        <v>47</v>
      </c>
      <c r="Z2560" s="360">
        <v>20</v>
      </c>
      <c r="AA2560" s="360">
        <v>149</v>
      </c>
      <c r="AB2560" s="360">
        <v>13.4</v>
      </c>
    </row>
    <row r="2561" spans="10:28" x14ac:dyDescent="0.2">
      <c r="J2561" s="358" t="str">
        <f t="shared" si="124"/>
        <v>2009FemaleAllEth223</v>
      </c>
      <c r="K2561" s="359">
        <v>2009</v>
      </c>
      <c r="L2561" t="s">
        <v>8</v>
      </c>
      <c r="M2561" t="s">
        <v>27</v>
      </c>
      <c r="N2561">
        <v>22</v>
      </c>
      <c r="O2561">
        <v>3</v>
      </c>
      <c r="P2561">
        <v>4</v>
      </c>
      <c r="Q2561">
        <v>6.8965098891275298</v>
      </c>
      <c r="R2561">
        <v>6.8</v>
      </c>
      <c r="T2561" s="358" t="str">
        <f t="shared" si="125"/>
        <v>2008AllSexNon-Maori25Poisoning by solids and liquids</v>
      </c>
      <c r="U2561" s="360">
        <v>2008</v>
      </c>
      <c r="V2561" s="360" t="s">
        <v>17</v>
      </c>
      <c r="W2561" s="360" t="s">
        <v>19</v>
      </c>
      <c r="X2561" s="360">
        <v>25</v>
      </c>
      <c r="Y2561" s="360" t="s">
        <v>47</v>
      </c>
      <c r="Z2561" s="360">
        <v>13</v>
      </c>
      <c r="AA2561" s="360">
        <v>50</v>
      </c>
      <c r="AB2561" s="360">
        <v>26</v>
      </c>
    </row>
    <row r="2562" spans="10:28" x14ac:dyDescent="0.2">
      <c r="J2562" s="358" t="str">
        <f t="shared" si="124"/>
        <v>2009FemaleAllEth224</v>
      </c>
      <c r="K2562" s="359">
        <v>2009</v>
      </c>
      <c r="L2562" t="s">
        <v>8</v>
      </c>
      <c r="M2562" t="s">
        <v>27</v>
      </c>
      <c r="N2562">
        <v>22</v>
      </c>
      <c r="O2562">
        <v>4</v>
      </c>
      <c r="P2562">
        <v>7</v>
      </c>
      <c r="Q2562">
        <v>10.7932562546727</v>
      </c>
      <c r="R2562">
        <v>8</v>
      </c>
      <c r="T2562" s="358" t="str">
        <f t="shared" si="125"/>
        <v>2008AllSexNon-Maori22Sharp object</v>
      </c>
      <c r="U2562" s="360">
        <v>2008</v>
      </c>
      <c r="V2562" s="360" t="s">
        <v>17</v>
      </c>
      <c r="W2562" s="360" t="s">
        <v>19</v>
      </c>
      <c r="X2562" s="360">
        <v>22</v>
      </c>
      <c r="Y2562" s="360" t="s">
        <v>48</v>
      </c>
      <c r="Z2562" s="360">
        <v>1</v>
      </c>
      <c r="AA2562" s="360">
        <v>86</v>
      </c>
      <c r="AB2562" s="360">
        <v>1.2</v>
      </c>
    </row>
    <row r="2563" spans="10:28" x14ac:dyDescent="0.2">
      <c r="J2563" s="358" t="str">
        <f t="shared" si="124"/>
        <v>2009FemaleAllEth225</v>
      </c>
      <c r="K2563" s="359">
        <v>2009</v>
      </c>
      <c r="L2563" t="s">
        <v>8</v>
      </c>
      <c r="M2563" t="s">
        <v>27</v>
      </c>
      <c r="N2563">
        <v>22</v>
      </c>
      <c r="O2563">
        <v>5</v>
      </c>
      <c r="P2563">
        <v>7</v>
      </c>
      <c r="Q2563">
        <v>9.0123647063600192</v>
      </c>
      <c r="R2563">
        <v>6.7</v>
      </c>
      <c r="T2563" s="358" t="str">
        <f t="shared" si="125"/>
        <v>2008AllSexNon-Maori23Sharp object</v>
      </c>
      <c r="U2563" s="360">
        <v>2008</v>
      </c>
      <c r="V2563" s="360" t="s">
        <v>17</v>
      </c>
      <c r="W2563" s="360" t="s">
        <v>19</v>
      </c>
      <c r="X2563" s="360">
        <v>23</v>
      </c>
      <c r="Y2563" s="360" t="s">
        <v>48</v>
      </c>
      <c r="Z2563" s="360">
        <v>3</v>
      </c>
      <c r="AA2563" s="360">
        <v>145</v>
      </c>
      <c r="AB2563" s="360">
        <v>2.1</v>
      </c>
    </row>
    <row r="2564" spans="10:28" x14ac:dyDescent="0.2">
      <c r="J2564" s="358" t="str">
        <f t="shared" ref="J2564:J2627" si="126">K2564&amp;L2564&amp;M2564&amp;N2564&amp;O2564</f>
        <v>2009FemaleAllEth231</v>
      </c>
      <c r="K2564" s="359">
        <v>2009</v>
      </c>
      <c r="L2564" t="s">
        <v>8</v>
      </c>
      <c r="M2564" t="s">
        <v>27</v>
      </c>
      <c r="N2564">
        <v>23</v>
      </c>
      <c r="O2564">
        <v>1</v>
      </c>
      <c r="P2564">
        <v>3</v>
      </c>
      <c r="Q2564">
        <v>2.5018506522886699</v>
      </c>
      <c r="R2564">
        <v>2.8</v>
      </c>
      <c r="T2564" s="358" t="str">
        <f t="shared" si="125"/>
        <v>2008AllSexNon-Maori24Sharp object</v>
      </c>
      <c r="U2564" s="360">
        <v>2008</v>
      </c>
      <c r="V2564" s="360" t="s">
        <v>17</v>
      </c>
      <c r="W2564" s="360" t="s">
        <v>19</v>
      </c>
      <c r="X2564" s="360">
        <v>24</v>
      </c>
      <c r="Y2564" s="360" t="s">
        <v>48</v>
      </c>
      <c r="Z2564" s="360">
        <v>7</v>
      </c>
      <c r="AA2564" s="360">
        <v>149</v>
      </c>
      <c r="AB2564" s="360">
        <v>4.7</v>
      </c>
    </row>
    <row r="2565" spans="10:28" x14ac:dyDescent="0.2">
      <c r="J2565" s="358" t="str">
        <f t="shared" si="126"/>
        <v>2009FemaleAllEth232</v>
      </c>
      <c r="K2565" s="359">
        <v>2009</v>
      </c>
      <c r="L2565" t="s">
        <v>8</v>
      </c>
      <c r="M2565" t="s">
        <v>27</v>
      </c>
      <c r="N2565">
        <v>23</v>
      </c>
      <c r="O2565">
        <v>2</v>
      </c>
      <c r="P2565">
        <v>6</v>
      </c>
      <c r="Q2565">
        <v>4.8091336096875699</v>
      </c>
      <c r="R2565">
        <v>3.8</v>
      </c>
      <c r="T2565" s="358" t="str">
        <f t="shared" ref="T2565:T2628" si="127">U2565&amp;V2565&amp;W2565&amp;X2565&amp;Y2565</f>
        <v>2008AllSexNon-Maori25Sharp object</v>
      </c>
      <c r="U2565" s="360">
        <v>2008</v>
      </c>
      <c r="V2565" s="360" t="s">
        <v>17</v>
      </c>
      <c r="W2565" s="360" t="s">
        <v>19</v>
      </c>
      <c r="X2565" s="360">
        <v>25</v>
      </c>
      <c r="Y2565" s="360" t="s">
        <v>48</v>
      </c>
      <c r="Z2565" s="360">
        <v>2</v>
      </c>
      <c r="AA2565" s="360">
        <v>50</v>
      </c>
      <c r="AB2565" s="360">
        <v>4</v>
      </c>
    </row>
    <row r="2566" spans="10:28" x14ac:dyDescent="0.2">
      <c r="J2566" s="358" t="str">
        <f t="shared" si="126"/>
        <v>2009FemaleAllEth233</v>
      </c>
      <c r="K2566" s="359">
        <v>2009</v>
      </c>
      <c r="L2566" t="s">
        <v>8</v>
      </c>
      <c r="M2566" t="s">
        <v>27</v>
      </c>
      <c r="N2566">
        <v>23</v>
      </c>
      <c r="O2566">
        <v>3</v>
      </c>
      <c r="P2566">
        <v>9</v>
      </c>
      <c r="Q2566">
        <v>7.2762881222033</v>
      </c>
      <c r="R2566">
        <v>4.8</v>
      </c>
      <c r="T2566" s="358" t="str">
        <f t="shared" si="127"/>
        <v>2008AllSexNon-Maori23Submersion (drowning)</v>
      </c>
      <c r="U2566" s="360">
        <v>2008</v>
      </c>
      <c r="V2566" s="360" t="s">
        <v>17</v>
      </c>
      <c r="W2566" s="360" t="s">
        <v>19</v>
      </c>
      <c r="X2566" s="360">
        <v>23</v>
      </c>
      <c r="Y2566" s="360" t="s">
        <v>49</v>
      </c>
      <c r="Z2566" s="360">
        <v>1</v>
      </c>
      <c r="AA2566" s="360">
        <v>145</v>
      </c>
      <c r="AB2566" s="360">
        <v>0.7</v>
      </c>
    </row>
    <row r="2567" spans="10:28" x14ac:dyDescent="0.2">
      <c r="J2567" s="358" t="str">
        <f t="shared" si="126"/>
        <v>2009FemaleAllEth234</v>
      </c>
      <c r="K2567" s="359">
        <v>2009</v>
      </c>
      <c r="L2567" t="s">
        <v>8</v>
      </c>
      <c r="M2567" t="s">
        <v>27</v>
      </c>
      <c r="N2567">
        <v>23</v>
      </c>
      <c r="O2567">
        <v>4</v>
      </c>
      <c r="P2567">
        <v>10</v>
      </c>
      <c r="Q2567">
        <v>8.2424651691585993</v>
      </c>
      <c r="R2567">
        <v>5.0999999999999996</v>
      </c>
      <c r="T2567" s="358" t="str">
        <f t="shared" si="127"/>
        <v>2008AllSexNon-Maori24Submersion (drowning)</v>
      </c>
      <c r="U2567" s="360">
        <v>2008</v>
      </c>
      <c r="V2567" s="360" t="s">
        <v>17</v>
      </c>
      <c r="W2567" s="360" t="s">
        <v>19</v>
      </c>
      <c r="X2567" s="360">
        <v>24</v>
      </c>
      <c r="Y2567" s="360" t="s">
        <v>49</v>
      </c>
      <c r="Z2567" s="360">
        <v>4</v>
      </c>
      <c r="AA2567" s="360">
        <v>149</v>
      </c>
      <c r="AB2567" s="360">
        <v>2.7</v>
      </c>
    </row>
    <row r="2568" spans="10:28" x14ac:dyDescent="0.2">
      <c r="J2568" s="358" t="str">
        <f t="shared" si="126"/>
        <v>2009FemaleAllEth235</v>
      </c>
      <c r="K2568" s="359">
        <v>2009</v>
      </c>
      <c r="L2568" t="s">
        <v>8</v>
      </c>
      <c r="M2568" t="s">
        <v>27</v>
      </c>
      <c r="N2568">
        <v>23</v>
      </c>
      <c r="O2568">
        <v>5</v>
      </c>
      <c r="P2568">
        <v>13</v>
      </c>
      <c r="Q2568">
        <v>11.210394802678399</v>
      </c>
      <c r="R2568">
        <v>6.1</v>
      </c>
      <c r="T2568" s="358" t="str">
        <f t="shared" si="127"/>
        <v>2008AllSexNon-Maori25Submersion (drowning)</v>
      </c>
      <c r="U2568" s="360">
        <v>2008</v>
      </c>
      <c r="V2568" s="360" t="s">
        <v>17</v>
      </c>
      <c r="W2568" s="360" t="s">
        <v>19</v>
      </c>
      <c r="X2568" s="360">
        <v>25</v>
      </c>
      <c r="Y2568" s="360" t="s">
        <v>49</v>
      </c>
      <c r="Z2568" s="360">
        <v>3</v>
      </c>
      <c r="AA2568" s="360">
        <v>50</v>
      </c>
      <c r="AB2568" s="360">
        <v>6</v>
      </c>
    </row>
    <row r="2569" spans="10:28" x14ac:dyDescent="0.2">
      <c r="J2569" s="358" t="str">
        <f t="shared" si="126"/>
        <v>2009FemaleAllEth241</v>
      </c>
      <c r="K2569" s="359">
        <v>2009</v>
      </c>
      <c r="L2569" t="s">
        <v>8</v>
      </c>
      <c r="M2569" t="s">
        <v>27</v>
      </c>
      <c r="N2569">
        <v>24</v>
      </c>
      <c r="O2569">
        <v>1</v>
      </c>
      <c r="P2569">
        <v>5</v>
      </c>
      <c r="Q2569">
        <v>3.7327240044808301</v>
      </c>
      <c r="R2569">
        <v>3.3</v>
      </c>
      <c r="T2569" s="358" t="str">
        <f t="shared" si="127"/>
        <v>2008FemaleAllEth22Firearms and explosives</v>
      </c>
      <c r="U2569" s="360">
        <v>2008</v>
      </c>
      <c r="V2569" s="360" t="s">
        <v>8</v>
      </c>
      <c r="W2569" s="360" t="s">
        <v>27</v>
      </c>
      <c r="X2569" s="360">
        <v>22</v>
      </c>
      <c r="Y2569" s="360" t="s">
        <v>42</v>
      </c>
      <c r="Z2569" s="360">
        <v>1</v>
      </c>
      <c r="AA2569" s="360">
        <v>38</v>
      </c>
      <c r="AB2569" s="360">
        <v>2.6</v>
      </c>
    </row>
    <row r="2570" spans="10:28" x14ac:dyDescent="0.2">
      <c r="J2570" s="358" t="str">
        <f t="shared" si="126"/>
        <v>2009FemaleAllEth242</v>
      </c>
      <c r="K2570" s="359">
        <v>2009</v>
      </c>
      <c r="L2570" t="s">
        <v>8</v>
      </c>
      <c r="M2570" t="s">
        <v>27</v>
      </c>
      <c r="N2570">
        <v>24</v>
      </c>
      <c r="O2570">
        <v>2</v>
      </c>
      <c r="P2570">
        <v>6</v>
      </c>
      <c r="Q2570">
        <v>5.0213095941022301</v>
      </c>
      <c r="R2570">
        <v>4</v>
      </c>
      <c r="T2570" s="358" t="str">
        <f t="shared" si="127"/>
        <v>2008FemaleAllEth23Firearms and explosives</v>
      </c>
      <c r="U2570" s="360">
        <v>2008</v>
      </c>
      <c r="V2570" s="360" t="s">
        <v>8</v>
      </c>
      <c r="W2570" s="360" t="s">
        <v>27</v>
      </c>
      <c r="X2570" s="360">
        <v>23</v>
      </c>
      <c r="Y2570" s="360" t="s">
        <v>42</v>
      </c>
      <c r="Z2570" s="360">
        <v>1</v>
      </c>
      <c r="AA2570" s="360">
        <v>49</v>
      </c>
      <c r="AB2570" s="360">
        <v>2</v>
      </c>
    </row>
    <row r="2571" spans="10:28" x14ac:dyDescent="0.2">
      <c r="J2571" s="358" t="str">
        <f t="shared" si="126"/>
        <v>2009FemaleAllEth243</v>
      </c>
      <c r="K2571" s="359">
        <v>2009</v>
      </c>
      <c r="L2571" t="s">
        <v>8</v>
      </c>
      <c r="M2571" t="s">
        <v>27</v>
      </c>
      <c r="N2571">
        <v>24</v>
      </c>
      <c r="O2571">
        <v>3</v>
      </c>
      <c r="P2571">
        <v>9</v>
      </c>
      <c r="Q2571">
        <v>8.2709099384739009</v>
      </c>
      <c r="R2571">
        <v>5.4</v>
      </c>
      <c r="T2571" s="358" t="str">
        <f t="shared" si="127"/>
        <v>2008FemaleAllEth21Hanging, strangulation and suffocation</v>
      </c>
      <c r="U2571" s="360">
        <v>2008</v>
      </c>
      <c r="V2571" s="360" t="s">
        <v>8</v>
      </c>
      <c r="W2571" s="360" t="s">
        <v>27</v>
      </c>
      <c r="X2571" s="360">
        <v>21</v>
      </c>
      <c r="Y2571" s="360" t="s">
        <v>43</v>
      </c>
      <c r="Z2571" s="360">
        <v>3</v>
      </c>
      <c r="AA2571" s="360">
        <v>3</v>
      </c>
      <c r="AB2571" s="360">
        <v>100</v>
      </c>
    </row>
    <row r="2572" spans="10:28" x14ac:dyDescent="0.2">
      <c r="J2572" s="358" t="str">
        <f t="shared" si="126"/>
        <v>2009FemaleAllEth244</v>
      </c>
      <c r="K2572" s="359">
        <v>2009</v>
      </c>
      <c r="L2572" t="s">
        <v>8</v>
      </c>
      <c r="M2572" t="s">
        <v>27</v>
      </c>
      <c r="N2572">
        <v>24</v>
      </c>
      <c r="O2572">
        <v>4</v>
      </c>
      <c r="P2572">
        <v>12</v>
      </c>
      <c r="Q2572">
        <v>12.011255405954699</v>
      </c>
      <c r="R2572">
        <v>6.8</v>
      </c>
      <c r="T2572" s="358" t="str">
        <f t="shared" si="127"/>
        <v>2008FemaleAllEth22Hanging, strangulation and suffocation</v>
      </c>
      <c r="U2572" s="360">
        <v>2008</v>
      </c>
      <c r="V2572" s="360" t="s">
        <v>8</v>
      </c>
      <c r="W2572" s="360" t="s">
        <v>27</v>
      </c>
      <c r="X2572" s="360">
        <v>22</v>
      </c>
      <c r="Y2572" s="360" t="s">
        <v>43</v>
      </c>
      <c r="Z2572" s="360">
        <v>29</v>
      </c>
      <c r="AA2572" s="360">
        <v>38</v>
      </c>
      <c r="AB2572" s="360">
        <v>76.3</v>
      </c>
    </row>
    <row r="2573" spans="10:28" x14ac:dyDescent="0.2">
      <c r="J2573" s="358" t="str">
        <f t="shared" si="126"/>
        <v>2009FemaleAllEth245</v>
      </c>
      <c r="K2573" s="359">
        <v>2009</v>
      </c>
      <c r="L2573" t="s">
        <v>8</v>
      </c>
      <c r="M2573" t="s">
        <v>27</v>
      </c>
      <c r="N2573">
        <v>24</v>
      </c>
      <c r="O2573">
        <v>5</v>
      </c>
      <c r="P2573">
        <v>6</v>
      </c>
      <c r="Q2573">
        <v>6.7493522273595001</v>
      </c>
      <c r="R2573">
        <v>5.4</v>
      </c>
      <c r="T2573" s="358" t="str">
        <f t="shared" si="127"/>
        <v>2008FemaleAllEth23Hanging, strangulation and suffocation</v>
      </c>
      <c r="U2573" s="360">
        <v>2008</v>
      </c>
      <c r="V2573" s="360" t="s">
        <v>8</v>
      </c>
      <c r="W2573" s="360" t="s">
        <v>27</v>
      </c>
      <c r="X2573" s="360">
        <v>23</v>
      </c>
      <c r="Y2573" s="360" t="s">
        <v>43</v>
      </c>
      <c r="Z2573" s="360">
        <v>29</v>
      </c>
      <c r="AA2573" s="360">
        <v>49</v>
      </c>
      <c r="AB2573" s="360">
        <v>59.2</v>
      </c>
    </row>
    <row r="2574" spans="10:28" x14ac:dyDescent="0.2">
      <c r="J2574" s="358" t="str">
        <f t="shared" si="126"/>
        <v>2009FemaleAllEth251</v>
      </c>
      <c r="K2574" s="359">
        <v>2009</v>
      </c>
      <c r="L2574" t="s">
        <v>8</v>
      </c>
      <c r="M2574" t="s">
        <v>27</v>
      </c>
      <c r="N2574">
        <v>25</v>
      </c>
      <c r="O2574">
        <v>1</v>
      </c>
      <c r="P2574">
        <v>3</v>
      </c>
      <c r="Q2574">
        <v>5.4926762370173901</v>
      </c>
      <c r="R2574">
        <v>6.2</v>
      </c>
      <c r="T2574" s="358" t="str">
        <f t="shared" si="127"/>
        <v>2008FemaleAllEth24Hanging, strangulation and suffocation</v>
      </c>
      <c r="U2574" s="360">
        <v>2008</v>
      </c>
      <c r="V2574" s="360" t="s">
        <v>8</v>
      </c>
      <c r="W2574" s="360" t="s">
        <v>27</v>
      </c>
      <c r="X2574" s="360">
        <v>24</v>
      </c>
      <c r="Y2574" s="360" t="s">
        <v>43</v>
      </c>
      <c r="Z2574" s="360">
        <v>16</v>
      </c>
      <c r="AA2574" s="360">
        <v>34</v>
      </c>
      <c r="AB2574" s="360">
        <v>47.1</v>
      </c>
    </row>
    <row r="2575" spans="10:28" x14ac:dyDescent="0.2">
      <c r="J2575" s="358" t="str">
        <f t="shared" si="126"/>
        <v>2009FemaleAllEth252</v>
      </c>
      <c r="K2575" s="359">
        <v>2009</v>
      </c>
      <c r="L2575" t="s">
        <v>8</v>
      </c>
      <c r="M2575" t="s">
        <v>27</v>
      </c>
      <c r="N2575">
        <v>25</v>
      </c>
      <c r="O2575">
        <v>2</v>
      </c>
      <c r="P2575">
        <v>3</v>
      </c>
      <c r="Q2575">
        <v>4.9026439314800401</v>
      </c>
      <c r="R2575">
        <v>5.5</v>
      </c>
      <c r="T2575" s="358" t="str">
        <f t="shared" si="127"/>
        <v>2008FemaleAllEth25Hanging, strangulation and suffocation</v>
      </c>
      <c r="U2575" s="360">
        <v>2008</v>
      </c>
      <c r="V2575" s="360" t="s">
        <v>8</v>
      </c>
      <c r="W2575" s="360" t="s">
        <v>27</v>
      </c>
      <c r="X2575" s="360">
        <v>25</v>
      </c>
      <c r="Y2575" s="360" t="s">
        <v>43</v>
      </c>
      <c r="Z2575" s="360">
        <v>3</v>
      </c>
      <c r="AA2575" s="360">
        <v>15</v>
      </c>
      <c r="AB2575" s="360">
        <v>20</v>
      </c>
    </row>
    <row r="2576" spans="10:28" x14ac:dyDescent="0.2">
      <c r="J2576" s="358" t="str">
        <f t="shared" si="126"/>
        <v>2009FemaleAllEth253</v>
      </c>
      <c r="K2576" s="359">
        <v>2009</v>
      </c>
      <c r="L2576" t="s">
        <v>8</v>
      </c>
      <c r="M2576" t="s">
        <v>27</v>
      </c>
      <c r="N2576">
        <v>25</v>
      </c>
      <c r="O2576">
        <v>3</v>
      </c>
      <c r="P2576">
        <v>2</v>
      </c>
      <c r="Q2576">
        <v>3.0748134163643299</v>
      </c>
      <c r="R2576">
        <v>4.3</v>
      </c>
      <c r="T2576" s="358" t="str">
        <f t="shared" si="127"/>
        <v>2008FemaleAllEth23Jumping from a high place</v>
      </c>
      <c r="U2576" s="360">
        <v>2008</v>
      </c>
      <c r="V2576" s="360" t="s">
        <v>8</v>
      </c>
      <c r="W2576" s="360" t="s">
        <v>27</v>
      </c>
      <c r="X2576" s="360">
        <v>23</v>
      </c>
      <c r="Y2576" s="360" t="s">
        <v>44</v>
      </c>
      <c r="Z2576" s="360">
        <v>1</v>
      </c>
      <c r="AA2576" s="360">
        <v>49</v>
      </c>
      <c r="AB2576" s="360">
        <v>2</v>
      </c>
    </row>
    <row r="2577" spans="10:28" x14ac:dyDescent="0.2">
      <c r="J2577" s="358" t="str">
        <f t="shared" si="126"/>
        <v>2009FemaleAllEth254</v>
      </c>
      <c r="K2577" s="359">
        <v>2009</v>
      </c>
      <c r="L2577" t="s">
        <v>8</v>
      </c>
      <c r="M2577" t="s">
        <v>27</v>
      </c>
      <c r="N2577">
        <v>25</v>
      </c>
      <c r="O2577">
        <v>4</v>
      </c>
      <c r="P2577">
        <v>4</v>
      </c>
      <c r="Q2577">
        <v>5.9328091024439802</v>
      </c>
      <c r="R2577">
        <v>5.8</v>
      </c>
      <c r="T2577" s="358" t="str">
        <f t="shared" si="127"/>
        <v>2008FemaleAllEth24Jumping from a high place</v>
      </c>
      <c r="U2577" s="360">
        <v>2008</v>
      </c>
      <c r="V2577" s="360" t="s">
        <v>8</v>
      </c>
      <c r="W2577" s="360" t="s">
        <v>27</v>
      </c>
      <c r="X2577" s="360">
        <v>24</v>
      </c>
      <c r="Y2577" s="360" t="s">
        <v>44</v>
      </c>
      <c r="Z2577" s="360">
        <v>1</v>
      </c>
      <c r="AA2577" s="360">
        <v>34</v>
      </c>
      <c r="AB2577" s="360">
        <v>2.9</v>
      </c>
    </row>
    <row r="2578" spans="10:28" x14ac:dyDescent="0.2">
      <c r="J2578" s="358" t="str">
        <f t="shared" si="126"/>
        <v>2009FemaleAllEth255</v>
      </c>
      <c r="K2578" s="359">
        <v>2009</v>
      </c>
      <c r="L2578" t="s">
        <v>8</v>
      </c>
      <c r="M2578" t="s">
        <v>27</v>
      </c>
      <c r="N2578">
        <v>25</v>
      </c>
      <c r="O2578">
        <v>5</v>
      </c>
      <c r="P2578">
        <v>0</v>
      </c>
      <c r="Q2578">
        <v>0</v>
      </c>
      <c r="T2578" s="358" t="str">
        <f t="shared" si="127"/>
        <v>2008FemaleAllEth22Other</v>
      </c>
      <c r="U2578" s="360">
        <v>2008</v>
      </c>
      <c r="V2578" s="360" t="s">
        <v>8</v>
      </c>
      <c r="W2578" s="360" t="s">
        <v>27</v>
      </c>
      <c r="X2578" s="360">
        <v>22</v>
      </c>
      <c r="Y2578" s="360" t="s">
        <v>45</v>
      </c>
      <c r="Z2578" s="360">
        <v>2</v>
      </c>
      <c r="AA2578" s="360">
        <v>38</v>
      </c>
      <c r="AB2578" s="360">
        <v>5.3</v>
      </c>
    </row>
    <row r="2579" spans="10:28" x14ac:dyDescent="0.2">
      <c r="J2579" s="358" t="str">
        <f t="shared" si="126"/>
        <v>2009FemaleMaori211</v>
      </c>
      <c r="K2579" s="359">
        <v>2009</v>
      </c>
      <c r="L2579" t="s">
        <v>8</v>
      </c>
      <c r="M2579" t="s">
        <v>18</v>
      </c>
      <c r="N2579">
        <v>21</v>
      </c>
      <c r="O2579">
        <v>1</v>
      </c>
      <c r="P2579">
        <v>0</v>
      </c>
      <c r="T2579" s="358" t="str">
        <f t="shared" si="127"/>
        <v>2008FemaleAllEth24Other</v>
      </c>
      <c r="U2579" s="360">
        <v>2008</v>
      </c>
      <c r="V2579" s="360" t="s">
        <v>8</v>
      </c>
      <c r="W2579" s="360" t="s">
        <v>27</v>
      </c>
      <c r="X2579" s="360">
        <v>24</v>
      </c>
      <c r="Y2579" s="360" t="s">
        <v>45</v>
      </c>
      <c r="Z2579" s="360">
        <v>3</v>
      </c>
      <c r="AA2579" s="360">
        <v>34</v>
      </c>
      <c r="AB2579" s="360">
        <v>8.8000000000000007</v>
      </c>
    </row>
    <row r="2580" spans="10:28" x14ac:dyDescent="0.2">
      <c r="J2580" s="358" t="str">
        <f t="shared" si="126"/>
        <v>2009FemaleMaori212</v>
      </c>
      <c r="K2580" s="359">
        <v>2009</v>
      </c>
      <c r="L2580" t="s">
        <v>8</v>
      </c>
      <c r="M2580" t="s">
        <v>18</v>
      </c>
      <c r="N2580">
        <v>21</v>
      </c>
      <c r="O2580">
        <v>2</v>
      </c>
      <c r="P2580">
        <v>0</v>
      </c>
      <c r="T2580" s="358" t="str">
        <f t="shared" si="127"/>
        <v>2008FemaleAllEth25Other</v>
      </c>
      <c r="U2580" s="360">
        <v>2008</v>
      </c>
      <c r="V2580" s="360" t="s">
        <v>8</v>
      </c>
      <c r="W2580" s="360" t="s">
        <v>27</v>
      </c>
      <c r="X2580" s="360">
        <v>25</v>
      </c>
      <c r="Y2580" s="360" t="s">
        <v>45</v>
      </c>
      <c r="Z2580" s="360">
        <v>1</v>
      </c>
      <c r="AA2580" s="360">
        <v>15</v>
      </c>
      <c r="AB2580" s="360">
        <v>6.7</v>
      </c>
    </row>
    <row r="2581" spans="10:28" x14ac:dyDescent="0.2">
      <c r="J2581" s="358" t="str">
        <f t="shared" si="126"/>
        <v>2009FemaleMaori213</v>
      </c>
      <c r="K2581" s="359">
        <v>2009</v>
      </c>
      <c r="L2581" t="s">
        <v>8</v>
      </c>
      <c r="M2581" t="s">
        <v>18</v>
      </c>
      <c r="N2581">
        <v>21</v>
      </c>
      <c r="O2581">
        <v>3</v>
      </c>
      <c r="P2581">
        <v>0</v>
      </c>
      <c r="T2581" s="358" t="str">
        <f t="shared" si="127"/>
        <v>2008FemaleAllEth22Poisoning by gases and vapours</v>
      </c>
      <c r="U2581" s="360">
        <v>2008</v>
      </c>
      <c r="V2581" s="360" t="s">
        <v>8</v>
      </c>
      <c r="W2581" s="360" t="s">
        <v>27</v>
      </c>
      <c r="X2581" s="360">
        <v>22</v>
      </c>
      <c r="Y2581" s="360" t="s">
        <v>46</v>
      </c>
      <c r="Z2581" s="360">
        <v>1</v>
      </c>
      <c r="AA2581" s="360">
        <v>38</v>
      </c>
      <c r="AB2581" s="360">
        <v>2.6</v>
      </c>
    </row>
    <row r="2582" spans="10:28" x14ac:dyDescent="0.2">
      <c r="J2582" s="358" t="str">
        <f t="shared" si="126"/>
        <v>2009FemaleMaori214</v>
      </c>
      <c r="K2582" s="359">
        <v>2009</v>
      </c>
      <c r="L2582" t="s">
        <v>8</v>
      </c>
      <c r="M2582" t="s">
        <v>18</v>
      </c>
      <c r="N2582">
        <v>21</v>
      </c>
      <c r="O2582">
        <v>4</v>
      </c>
      <c r="P2582">
        <v>1</v>
      </c>
      <c r="T2582" s="358" t="str">
        <f t="shared" si="127"/>
        <v>2008FemaleAllEth23Poisoning by gases and vapours</v>
      </c>
      <c r="U2582" s="360">
        <v>2008</v>
      </c>
      <c r="V2582" s="360" t="s">
        <v>8</v>
      </c>
      <c r="W2582" s="360" t="s">
        <v>27</v>
      </c>
      <c r="X2582" s="360">
        <v>23</v>
      </c>
      <c r="Y2582" s="360" t="s">
        <v>46</v>
      </c>
      <c r="Z2582" s="360">
        <v>6</v>
      </c>
      <c r="AA2582" s="360">
        <v>49</v>
      </c>
      <c r="AB2582" s="360">
        <v>12.2</v>
      </c>
    </row>
    <row r="2583" spans="10:28" x14ac:dyDescent="0.2">
      <c r="J2583" s="358" t="str">
        <f t="shared" si="126"/>
        <v>2009FemaleMaori215</v>
      </c>
      <c r="K2583" s="359">
        <v>2009</v>
      </c>
      <c r="L2583" t="s">
        <v>8</v>
      </c>
      <c r="M2583" t="s">
        <v>18</v>
      </c>
      <c r="N2583">
        <v>21</v>
      </c>
      <c r="O2583">
        <v>5</v>
      </c>
      <c r="P2583">
        <v>1</v>
      </c>
      <c r="T2583" s="358" t="str">
        <f t="shared" si="127"/>
        <v>2008FemaleAllEth24Poisoning by gases and vapours</v>
      </c>
      <c r="U2583" s="360">
        <v>2008</v>
      </c>
      <c r="V2583" s="360" t="s">
        <v>8</v>
      </c>
      <c r="W2583" s="360" t="s">
        <v>27</v>
      </c>
      <c r="X2583" s="360">
        <v>24</v>
      </c>
      <c r="Y2583" s="360" t="s">
        <v>46</v>
      </c>
      <c r="Z2583" s="360">
        <v>3</v>
      </c>
      <c r="AA2583" s="360">
        <v>34</v>
      </c>
      <c r="AB2583" s="360">
        <v>8.8000000000000007</v>
      </c>
    </row>
    <row r="2584" spans="10:28" x14ac:dyDescent="0.2">
      <c r="J2584" s="358" t="str">
        <f t="shared" si="126"/>
        <v>2009FemaleMaori221</v>
      </c>
      <c r="K2584" s="359">
        <v>2009</v>
      </c>
      <c r="L2584" t="s">
        <v>8</v>
      </c>
      <c r="M2584" t="s">
        <v>18</v>
      </c>
      <c r="N2584">
        <v>22</v>
      </c>
      <c r="O2584">
        <v>1</v>
      </c>
      <c r="P2584">
        <v>0</v>
      </c>
      <c r="Q2584">
        <v>0</v>
      </c>
      <c r="T2584" s="358" t="str">
        <f t="shared" si="127"/>
        <v>2008FemaleAllEth22Poisoning by solids and liquids</v>
      </c>
      <c r="U2584" s="360">
        <v>2008</v>
      </c>
      <c r="V2584" s="360" t="s">
        <v>8</v>
      </c>
      <c r="W2584" s="360" t="s">
        <v>27</v>
      </c>
      <c r="X2584" s="360">
        <v>22</v>
      </c>
      <c r="Y2584" s="360" t="s">
        <v>47</v>
      </c>
      <c r="Z2584" s="360">
        <v>4</v>
      </c>
      <c r="AA2584" s="360">
        <v>38</v>
      </c>
      <c r="AB2584" s="360">
        <v>10.5</v>
      </c>
    </row>
    <row r="2585" spans="10:28" x14ac:dyDescent="0.2">
      <c r="J2585" s="358" t="str">
        <f t="shared" si="126"/>
        <v>2009FemaleMaori222</v>
      </c>
      <c r="K2585" s="359">
        <v>2009</v>
      </c>
      <c r="L2585" t="s">
        <v>8</v>
      </c>
      <c r="M2585" t="s">
        <v>18</v>
      </c>
      <c r="N2585">
        <v>22</v>
      </c>
      <c r="O2585">
        <v>2</v>
      </c>
      <c r="P2585">
        <v>1</v>
      </c>
      <c r="Q2585">
        <v>15.9890608823713</v>
      </c>
      <c r="R2585">
        <v>31.3</v>
      </c>
      <c r="T2585" s="358" t="str">
        <f t="shared" si="127"/>
        <v>2008FemaleAllEth23Poisoning by solids and liquids</v>
      </c>
      <c r="U2585" s="360">
        <v>2008</v>
      </c>
      <c r="V2585" s="360" t="s">
        <v>8</v>
      </c>
      <c r="W2585" s="360" t="s">
        <v>27</v>
      </c>
      <c r="X2585" s="360">
        <v>23</v>
      </c>
      <c r="Y2585" s="360" t="s">
        <v>47</v>
      </c>
      <c r="Z2585" s="360">
        <v>11</v>
      </c>
      <c r="AA2585" s="360">
        <v>49</v>
      </c>
      <c r="AB2585" s="360">
        <v>22.4</v>
      </c>
    </row>
    <row r="2586" spans="10:28" x14ac:dyDescent="0.2">
      <c r="J2586" s="358" t="str">
        <f t="shared" si="126"/>
        <v>2009FemaleMaori223</v>
      </c>
      <c r="K2586" s="359">
        <v>2009</v>
      </c>
      <c r="L2586" t="s">
        <v>8</v>
      </c>
      <c r="M2586" t="s">
        <v>18</v>
      </c>
      <c r="N2586">
        <v>22</v>
      </c>
      <c r="O2586">
        <v>3</v>
      </c>
      <c r="P2586">
        <v>2</v>
      </c>
      <c r="Q2586">
        <v>20.5585143710511</v>
      </c>
      <c r="R2586">
        <v>28.5</v>
      </c>
      <c r="T2586" s="358" t="str">
        <f t="shared" si="127"/>
        <v>2008FemaleAllEth24Poisoning by solids and liquids</v>
      </c>
      <c r="U2586" s="360">
        <v>2008</v>
      </c>
      <c r="V2586" s="360" t="s">
        <v>8</v>
      </c>
      <c r="W2586" s="360" t="s">
        <v>27</v>
      </c>
      <c r="X2586" s="360">
        <v>24</v>
      </c>
      <c r="Y2586" s="360" t="s">
        <v>47</v>
      </c>
      <c r="Z2586" s="360">
        <v>11</v>
      </c>
      <c r="AA2586" s="360">
        <v>34</v>
      </c>
      <c r="AB2586" s="360">
        <v>32.4</v>
      </c>
    </row>
    <row r="2587" spans="10:28" x14ac:dyDescent="0.2">
      <c r="J2587" s="358" t="str">
        <f t="shared" si="126"/>
        <v>2009FemaleMaori224</v>
      </c>
      <c r="K2587" s="359">
        <v>2009</v>
      </c>
      <c r="L2587" t="s">
        <v>8</v>
      </c>
      <c r="M2587" t="s">
        <v>18</v>
      </c>
      <c r="N2587">
        <v>22</v>
      </c>
      <c r="O2587">
        <v>4</v>
      </c>
      <c r="P2587">
        <v>3</v>
      </c>
      <c r="Q2587">
        <v>20.3952167128163</v>
      </c>
      <c r="R2587">
        <v>23.1</v>
      </c>
      <c r="T2587" s="358" t="str">
        <f t="shared" si="127"/>
        <v>2008FemaleAllEth25Poisoning by solids and liquids</v>
      </c>
      <c r="U2587" s="360">
        <v>2008</v>
      </c>
      <c r="V2587" s="360" t="s">
        <v>8</v>
      </c>
      <c r="W2587" s="360" t="s">
        <v>27</v>
      </c>
      <c r="X2587" s="360">
        <v>25</v>
      </c>
      <c r="Y2587" s="360" t="s">
        <v>47</v>
      </c>
      <c r="Z2587" s="360">
        <v>8</v>
      </c>
      <c r="AA2587" s="360">
        <v>15</v>
      </c>
      <c r="AB2587" s="360">
        <v>53.3</v>
      </c>
    </row>
    <row r="2588" spans="10:28" x14ac:dyDescent="0.2">
      <c r="J2588" s="358" t="str">
        <f t="shared" si="126"/>
        <v>2009FemaleMaori225</v>
      </c>
      <c r="K2588" s="359">
        <v>2009</v>
      </c>
      <c r="L2588" t="s">
        <v>8</v>
      </c>
      <c r="M2588" t="s">
        <v>18</v>
      </c>
      <c r="N2588">
        <v>22</v>
      </c>
      <c r="O2588">
        <v>5</v>
      </c>
      <c r="P2588">
        <v>5</v>
      </c>
      <c r="Q2588">
        <v>18.834872000644499</v>
      </c>
      <c r="R2588">
        <v>16.5</v>
      </c>
      <c r="T2588" s="358" t="str">
        <f t="shared" si="127"/>
        <v>2008FemaleAllEth22Sharp object</v>
      </c>
      <c r="U2588" s="360">
        <v>2008</v>
      </c>
      <c r="V2588" s="360" t="s">
        <v>8</v>
      </c>
      <c r="W2588" s="360" t="s">
        <v>27</v>
      </c>
      <c r="X2588" s="360">
        <v>22</v>
      </c>
      <c r="Y2588" s="360" t="s">
        <v>48</v>
      </c>
      <c r="Z2588" s="360">
        <v>1</v>
      </c>
      <c r="AA2588" s="360">
        <v>38</v>
      </c>
      <c r="AB2588" s="360">
        <v>2.6</v>
      </c>
    </row>
    <row r="2589" spans="10:28" x14ac:dyDescent="0.2">
      <c r="J2589" s="358" t="str">
        <f t="shared" si="126"/>
        <v>2009FemaleMaori231</v>
      </c>
      <c r="K2589" s="359">
        <v>2009</v>
      </c>
      <c r="L2589" t="s">
        <v>8</v>
      </c>
      <c r="M2589" t="s">
        <v>18</v>
      </c>
      <c r="N2589">
        <v>23</v>
      </c>
      <c r="O2589">
        <v>1</v>
      </c>
      <c r="P2589">
        <v>0</v>
      </c>
      <c r="Q2589">
        <v>0</v>
      </c>
      <c r="T2589" s="358" t="str">
        <f t="shared" si="127"/>
        <v>2008FemaleAllEth25Sharp object</v>
      </c>
      <c r="U2589" s="360">
        <v>2008</v>
      </c>
      <c r="V2589" s="360" t="s">
        <v>8</v>
      </c>
      <c r="W2589" s="360" t="s">
        <v>27</v>
      </c>
      <c r="X2589" s="360">
        <v>25</v>
      </c>
      <c r="Y2589" s="360" t="s">
        <v>48</v>
      </c>
      <c r="Z2589" s="360">
        <v>1</v>
      </c>
      <c r="AA2589" s="360">
        <v>15</v>
      </c>
      <c r="AB2589" s="360">
        <v>6.7</v>
      </c>
    </row>
    <row r="2590" spans="10:28" x14ac:dyDescent="0.2">
      <c r="J2590" s="358" t="str">
        <f t="shared" si="126"/>
        <v>2009FemaleMaori232</v>
      </c>
      <c r="K2590" s="359">
        <v>2009</v>
      </c>
      <c r="L2590" t="s">
        <v>8</v>
      </c>
      <c r="M2590" t="s">
        <v>18</v>
      </c>
      <c r="N2590">
        <v>23</v>
      </c>
      <c r="O2590">
        <v>2</v>
      </c>
      <c r="P2590">
        <v>0</v>
      </c>
      <c r="Q2590">
        <v>0</v>
      </c>
      <c r="T2590" s="358" t="str">
        <f t="shared" si="127"/>
        <v>2008FemaleAllEth23Submersion (drowning)</v>
      </c>
      <c r="U2590" s="360">
        <v>2008</v>
      </c>
      <c r="V2590" s="360" t="s">
        <v>8</v>
      </c>
      <c r="W2590" s="360" t="s">
        <v>27</v>
      </c>
      <c r="X2590" s="360">
        <v>23</v>
      </c>
      <c r="Y2590" s="360" t="s">
        <v>49</v>
      </c>
      <c r="Z2590" s="360">
        <v>1</v>
      </c>
      <c r="AA2590" s="360">
        <v>49</v>
      </c>
      <c r="AB2590" s="360">
        <v>2</v>
      </c>
    </row>
    <row r="2591" spans="10:28" x14ac:dyDescent="0.2">
      <c r="J2591" s="358" t="str">
        <f t="shared" si="126"/>
        <v>2009FemaleMaori233</v>
      </c>
      <c r="K2591" s="359">
        <v>2009</v>
      </c>
      <c r="L2591" t="s">
        <v>8</v>
      </c>
      <c r="M2591" t="s">
        <v>18</v>
      </c>
      <c r="N2591">
        <v>23</v>
      </c>
      <c r="O2591">
        <v>3</v>
      </c>
      <c r="P2591">
        <v>3</v>
      </c>
      <c r="Q2591">
        <v>21.034861712107698</v>
      </c>
      <c r="R2591">
        <v>23.8</v>
      </c>
      <c r="T2591" s="358" t="str">
        <f t="shared" si="127"/>
        <v>2008FemaleAllEth25Submersion (drowning)</v>
      </c>
      <c r="U2591" s="360">
        <v>2008</v>
      </c>
      <c r="V2591" s="360" t="s">
        <v>8</v>
      </c>
      <c r="W2591" s="360" t="s">
        <v>27</v>
      </c>
      <c r="X2591" s="360">
        <v>25</v>
      </c>
      <c r="Y2591" s="360" t="s">
        <v>49</v>
      </c>
      <c r="Z2591" s="360">
        <v>2</v>
      </c>
      <c r="AA2591" s="360">
        <v>15</v>
      </c>
      <c r="AB2591" s="360">
        <v>13.3</v>
      </c>
    </row>
    <row r="2592" spans="10:28" x14ac:dyDescent="0.2">
      <c r="J2592" s="358" t="str">
        <f t="shared" si="126"/>
        <v>2009FemaleMaori234</v>
      </c>
      <c r="K2592" s="359">
        <v>2009</v>
      </c>
      <c r="L2592" t="s">
        <v>8</v>
      </c>
      <c r="M2592" t="s">
        <v>18</v>
      </c>
      <c r="N2592">
        <v>23</v>
      </c>
      <c r="O2592">
        <v>4</v>
      </c>
      <c r="P2592">
        <v>1</v>
      </c>
      <c r="Q2592">
        <v>4.7135471718210002</v>
      </c>
      <c r="R2592">
        <v>9.1999999999999993</v>
      </c>
      <c r="T2592" s="358" t="str">
        <f t="shared" si="127"/>
        <v>2008FemaleMaori22Firearms and explosives</v>
      </c>
      <c r="U2592" s="360">
        <v>2008</v>
      </c>
      <c r="V2592" s="360" t="s">
        <v>8</v>
      </c>
      <c r="W2592" s="360" t="s">
        <v>18</v>
      </c>
      <c r="X2592" s="360">
        <v>22</v>
      </c>
      <c r="Y2592" s="360" t="s">
        <v>42</v>
      </c>
      <c r="Z2592" s="360">
        <v>1</v>
      </c>
      <c r="AA2592" s="360">
        <v>18</v>
      </c>
      <c r="AB2592" s="360">
        <v>5.6</v>
      </c>
    </row>
    <row r="2593" spans="10:28" x14ac:dyDescent="0.2">
      <c r="J2593" s="358" t="str">
        <f t="shared" si="126"/>
        <v>2009FemaleMaori235</v>
      </c>
      <c r="K2593" s="359">
        <v>2009</v>
      </c>
      <c r="L2593" t="s">
        <v>8</v>
      </c>
      <c r="M2593" t="s">
        <v>18</v>
      </c>
      <c r="N2593">
        <v>23</v>
      </c>
      <c r="O2593">
        <v>5</v>
      </c>
      <c r="P2593">
        <v>4</v>
      </c>
      <c r="Q2593">
        <v>10.9356704814049</v>
      </c>
      <c r="R2593">
        <v>10.7</v>
      </c>
      <c r="T2593" s="358" t="str">
        <f t="shared" si="127"/>
        <v>2008FemaleMaori21Hanging, strangulation and suffocation</v>
      </c>
      <c r="U2593" s="360">
        <v>2008</v>
      </c>
      <c r="V2593" s="360" t="s">
        <v>8</v>
      </c>
      <c r="W2593" s="360" t="s">
        <v>18</v>
      </c>
      <c r="X2593" s="360">
        <v>21</v>
      </c>
      <c r="Y2593" s="360" t="s">
        <v>43</v>
      </c>
      <c r="Z2593" s="360">
        <v>2</v>
      </c>
      <c r="AA2593" s="360">
        <v>2</v>
      </c>
      <c r="AB2593" s="360">
        <v>100</v>
      </c>
    </row>
    <row r="2594" spans="10:28" x14ac:dyDescent="0.2">
      <c r="J2594" s="358" t="str">
        <f t="shared" si="126"/>
        <v>2009FemaleMaori241</v>
      </c>
      <c r="K2594" s="359">
        <v>2009</v>
      </c>
      <c r="L2594" t="s">
        <v>8</v>
      </c>
      <c r="M2594" t="s">
        <v>18</v>
      </c>
      <c r="N2594">
        <v>24</v>
      </c>
      <c r="O2594">
        <v>1</v>
      </c>
      <c r="P2594">
        <v>0</v>
      </c>
      <c r="Q2594">
        <v>0</v>
      </c>
      <c r="T2594" s="358" t="str">
        <f t="shared" si="127"/>
        <v>2008FemaleMaori22Hanging, strangulation and suffocation</v>
      </c>
      <c r="U2594" s="360">
        <v>2008</v>
      </c>
      <c r="V2594" s="360" t="s">
        <v>8</v>
      </c>
      <c r="W2594" s="360" t="s">
        <v>18</v>
      </c>
      <c r="X2594" s="360">
        <v>22</v>
      </c>
      <c r="Y2594" s="360" t="s">
        <v>43</v>
      </c>
      <c r="Z2594" s="360">
        <v>16</v>
      </c>
      <c r="AA2594" s="360">
        <v>18</v>
      </c>
      <c r="AB2594" s="360">
        <v>88.9</v>
      </c>
    </row>
    <row r="2595" spans="10:28" x14ac:dyDescent="0.2">
      <c r="J2595" s="358" t="str">
        <f t="shared" si="126"/>
        <v>2009FemaleMaori242</v>
      </c>
      <c r="K2595" s="359">
        <v>2009</v>
      </c>
      <c r="L2595" t="s">
        <v>8</v>
      </c>
      <c r="M2595" t="s">
        <v>18</v>
      </c>
      <c r="N2595">
        <v>24</v>
      </c>
      <c r="O2595">
        <v>2</v>
      </c>
      <c r="P2595">
        <v>0</v>
      </c>
      <c r="Q2595">
        <v>0</v>
      </c>
      <c r="T2595" s="358" t="str">
        <f t="shared" si="127"/>
        <v>2008FemaleMaori23Hanging, strangulation and suffocation</v>
      </c>
      <c r="U2595" s="360">
        <v>2008</v>
      </c>
      <c r="V2595" s="360" t="s">
        <v>8</v>
      </c>
      <c r="W2595" s="360" t="s">
        <v>18</v>
      </c>
      <c r="X2595" s="360">
        <v>23</v>
      </c>
      <c r="Y2595" s="360" t="s">
        <v>43</v>
      </c>
      <c r="Z2595" s="360">
        <v>8</v>
      </c>
      <c r="AA2595" s="360">
        <v>9</v>
      </c>
      <c r="AB2595" s="360">
        <v>88.9</v>
      </c>
    </row>
    <row r="2596" spans="10:28" x14ac:dyDescent="0.2">
      <c r="J2596" s="358" t="str">
        <f t="shared" si="126"/>
        <v>2009FemaleMaori243</v>
      </c>
      <c r="K2596" s="359">
        <v>2009</v>
      </c>
      <c r="L2596" t="s">
        <v>8</v>
      </c>
      <c r="M2596" t="s">
        <v>18</v>
      </c>
      <c r="N2596">
        <v>24</v>
      </c>
      <c r="O2596">
        <v>3</v>
      </c>
      <c r="P2596">
        <v>0</v>
      </c>
      <c r="Q2596">
        <v>0</v>
      </c>
      <c r="T2596" s="358" t="str">
        <f t="shared" si="127"/>
        <v>2008FemaleMaori24Hanging, strangulation and suffocation</v>
      </c>
      <c r="U2596" s="360">
        <v>2008</v>
      </c>
      <c r="V2596" s="360" t="s">
        <v>8</v>
      </c>
      <c r="W2596" s="360" t="s">
        <v>18</v>
      </c>
      <c r="X2596" s="360">
        <v>24</v>
      </c>
      <c r="Y2596" s="360" t="s">
        <v>43</v>
      </c>
      <c r="Z2596" s="360">
        <v>2</v>
      </c>
      <c r="AA2596" s="360">
        <v>2</v>
      </c>
      <c r="AB2596" s="360">
        <v>100</v>
      </c>
    </row>
    <row r="2597" spans="10:28" x14ac:dyDescent="0.2">
      <c r="J2597" s="358" t="str">
        <f t="shared" si="126"/>
        <v>2009FemaleMaori244</v>
      </c>
      <c r="K2597" s="359">
        <v>2009</v>
      </c>
      <c r="L2597" t="s">
        <v>8</v>
      </c>
      <c r="M2597" t="s">
        <v>18</v>
      </c>
      <c r="N2597">
        <v>24</v>
      </c>
      <c r="O2597">
        <v>4</v>
      </c>
      <c r="P2597">
        <v>3</v>
      </c>
      <c r="Q2597">
        <v>22.0329132903362</v>
      </c>
      <c r="R2597">
        <v>24.9</v>
      </c>
      <c r="T2597" s="358" t="str">
        <f t="shared" si="127"/>
        <v>2008FemaleMaori22Poisoning by solids and liquids</v>
      </c>
      <c r="U2597" s="360">
        <v>2008</v>
      </c>
      <c r="V2597" s="360" t="s">
        <v>8</v>
      </c>
      <c r="W2597" s="360" t="s">
        <v>18</v>
      </c>
      <c r="X2597" s="360">
        <v>22</v>
      </c>
      <c r="Y2597" s="360" t="s">
        <v>47</v>
      </c>
      <c r="Z2597" s="360">
        <v>1</v>
      </c>
      <c r="AA2597" s="360">
        <v>18</v>
      </c>
      <c r="AB2597" s="360">
        <v>5.6</v>
      </c>
    </row>
    <row r="2598" spans="10:28" x14ac:dyDescent="0.2">
      <c r="J2598" s="358" t="str">
        <f t="shared" si="126"/>
        <v>2009FemaleMaori245</v>
      </c>
      <c r="K2598" s="359">
        <v>2009</v>
      </c>
      <c r="L2598" t="s">
        <v>8</v>
      </c>
      <c r="M2598" t="s">
        <v>18</v>
      </c>
      <c r="N2598">
        <v>24</v>
      </c>
      <c r="O2598">
        <v>5</v>
      </c>
      <c r="P2598">
        <v>1</v>
      </c>
      <c r="Q2598">
        <v>4.0328593414714602</v>
      </c>
      <c r="R2598">
        <v>7.9</v>
      </c>
      <c r="T2598" s="358" t="str">
        <f t="shared" si="127"/>
        <v>2008FemaleMaori23Poisoning by solids and liquids</v>
      </c>
      <c r="U2598" s="360">
        <v>2008</v>
      </c>
      <c r="V2598" s="360" t="s">
        <v>8</v>
      </c>
      <c r="W2598" s="360" t="s">
        <v>18</v>
      </c>
      <c r="X2598" s="360">
        <v>23</v>
      </c>
      <c r="Y2598" s="360" t="s">
        <v>47</v>
      </c>
      <c r="Z2598" s="360">
        <v>1</v>
      </c>
      <c r="AA2598" s="360">
        <v>9</v>
      </c>
      <c r="AB2598" s="360">
        <v>11.1</v>
      </c>
    </row>
    <row r="2599" spans="10:28" x14ac:dyDescent="0.2">
      <c r="J2599" s="358" t="str">
        <f t="shared" si="126"/>
        <v>2009FemaleMaori251</v>
      </c>
      <c r="K2599" s="359">
        <v>2009</v>
      </c>
      <c r="L2599" t="s">
        <v>8</v>
      </c>
      <c r="M2599" t="s">
        <v>18</v>
      </c>
      <c r="N2599">
        <v>25</v>
      </c>
      <c r="O2599">
        <v>1</v>
      </c>
      <c r="P2599">
        <v>0</v>
      </c>
      <c r="Q2599">
        <v>0</v>
      </c>
      <c r="T2599" s="358" t="str">
        <f t="shared" si="127"/>
        <v>2008FemaleNon-Maori23Firearms and explosives</v>
      </c>
      <c r="U2599" s="360">
        <v>2008</v>
      </c>
      <c r="V2599" s="360" t="s">
        <v>8</v>
      </c>
      <c r="W2599" s="360" t="s">
        <v>19</v>
      </c>
      <c r="X2599" s="360">
        <v>23</v>
      </c>
      <c r="Y2599" s="360" t="s">
        <v>42</v>
      </c>
      <c r="Z2599" s="360">
        <v>1</v>
      </c>
      <c r="AA2599" s="360">
        <v>40</v>
      </c>
      <c r="AB2599" s="360">
        <v>2.5</v>
      </c>
    </row>
    <row r="2600" spans="10:28" x14ac:dyDescent="0.2">
      <c r="J2600" s="358" t="str">
        <f t="shared" si="126"/>
        <v>2009FemaleMaori252</v>
      </c>
      <c r="K2600" s="359">
        <v>2009</v>
      </c>
      <c r="L2600" t="s">
        <v>8</v>
      </c>
      <c r="M2600" t="s">
        <v>18</v>
      </c>
      <c r="N2600">
        <v>25</v>
      </c>
      <c r="O2600">
        <v>2</v>
      </c>
      <c r="P2600">
        <v>0</v>
      </c>
      <c r="Q2600">
        <v>0</v>
      </c>
      <c r="T2600" s="358" t="str">
        <f t="shared" si="127"/>
        <v>2008FemaleNon-Maori21Hanging, strangulation and suffocation</v>
      </c>
      <c r="U2600" s="360">
        <v>2008</v>
      </c>
      <c r="V2600" s="360" t="s">
        <v>8</v>
      </c>
      <c r="W2600" s="360" t="s">
        <v>19</v>
      </c>
      <c r="X2600" s="360">
        <v>21</v>
      </c>
      <c r="Y2600" s="360" t="s">
        <v>43</v>
      </c>
      <c r="Z2600" s="360">
        <v>1</v>
      </c>
      <c r="AA2600" s="360">
        <v>1</v>
      </c>
      <c r="AB2600" s="360">
        <v>100</v>
      </c>
    </row>
    <row r="2601" spans="10:28" x14ac:dyDescent="0.2">
      <c r="J2601" s="358" t="str">
        <f t="shared" si="126"/>
        <v>2009FemaleMaori253</v>
      </c>
      <c r="K2601" s="359">
        <v>2009</v>
      </c>
      <c r="L2601" t="s">
        <v>8</v>
      </c>
      <c r="M2601" t="s">
        <v>18</v>
      </c>
      <c r="N2601">
        <v>25</v>
      </c>
      <c r="O2601">
        <v>3</v>
      </c>
      <c r="P2601">
        <v>0</v>
      </c>
      <c r="Q2601">
        <v>0</v>
      </c>
      <c r="T2601" s="358" t="str">
        <f t="shared" si="127"/>
        <v>2008FemaleNon-Maori22Hanging, strangulation and suffocation</v>
      </c>
      <c r="U2601" s="360">
        <v>2008</v>
      </c>
      <c r="V2601" s="360" t="s">
        <v>8</v>
      </c>
      <c r="W2601" s="360" t="s">
        <v>19</v>
      </c>
      <c r="X2601" s="360">
        <v>22</v>
      </c>
      <c r="Y2601" s="360" t="s">
        <v>43</v>
      </c>
      <c r="Z2601" s="360">
        <v>13</v>
      </c>
      <c r="AA2601" s="360">
        <v>20</v>
      </c>
      <c r="AB2601" s="360">
        <v>65</v>
      </c>
    </row>
    <row r="2602" spans="10:28" x14ac:dyDescent="0.2">
      <c r="J2602" s="358" t="str">
        <f t="shared" si="126"/>
        <v>2009FemaleMaori254</v>
      </c>
      <c r="K2602" s="359">
        <v>2009</v>
      </c>
      <c r="L2602" t="s">
        <v>8</v>
      </c>
      <c r="M2602" t="s">
        <v>18</v>
      </c>
      <c r="N2602">
        <v>25</v>
      </c>
      <c r="O2602">
        <v>4</v>
      </c>
      <c r="P2602">
        <v>0</v>
      </c>
      <c r="Q2602">
        <v>0</v>
      </c>
      <c r="T2602" s="358" t="str">
        <f t="shared" si="127"/>
        <v>2008FemaleNon-Maori23Hanging, strangulation and suffocation</v>
      </c>
      <c r="U2602" s="360">
        <v>2008</v>
      </c>
      <c r="V2602" s="360" t="s">
        <v>8</v>
      </c>
      <c r="W2602" s="360" t="s">
        <v>19</v>
      </c>
      <c r="X2602" s="360">
        <v>23</v>
      </c>
      <c r="Y2602" s="360" t="s">
        <v>43</v>
      </c>
      <c r="Z2602" s="360">
        <v>21</v>
      </c>
      <c r="AA2602" s="360">
        <v>40</v>
      </c>
      <c r="AB2602" s="360">
        <v>52.5</v>
      </c>
    </row>
    <row r="2603" spans="10:28" x14ac:dyDescent="0.2">
      <c r="J2603" s="358" t="str">
        <f t="shared" si="126"/>
        <v>2009FemaleMaori255</v>
      </c>
      <c r="K2603" s="359">
        <v>2009</v>
      </c>
      <c r="L2603" t="s">
        <v>8</v>
      </c>
      <c r="M2603" t="s">
        <v>18</v>
      </c>
      <c r="N2603">
        <v>25</v>
      </c>
      <c r="O2603">
        <v>5</v>
      </c>
      <c r="P2603">
        <v>0</v>
      </c>
      <c r="Q2603">
        <v>0</v>
      </c>
      <c r="T2603" s="358" t="str">
        <f t="shared" si="127"/>
        <v>2008FemaleNon-Maori24Hanging, strangulation and suffocation</v>
      </c>
      <c r="U2603" s="360">
        <v>2008</v>
      </c>
      <c r="V2603" s="360" t="s">
        <v>8</v>
      </c>
      <c r="W2603" s="360" t="s">
        <v>19</v>
      </c>
      <c r="X2603" s="360">
        <v>24</v>
      </c>
      <c r="Y2603" s="360" t="s">
        <v>43</v>
      </c>
      <c r="Z2603" s="360">
        <v>14</v>
      </c>
      <c r="AA2603" s="360">
        <v>32</v>
      </c>
      <c r="AB2603" s="360">
        <v>43.8</v>
      </c>
    </row>
    <row r="2604" spans="10:28" x14ac:dyDescent="0.2">
      <c r="J2604" s="358" t="str">
        <f t="shared" si="126"/>
        <v>2009FemaleNon-Maori211</v>
      </c>
      <c r="K2604" s="359">
        <v>2009</v>
      </c>
      <c r="L2604" t="s">
        <v>8</v>
      </c>
      <c r="M2604" t="s">
        <v>19</v>
      </c>
      <c r="N2604">
        <v>21</v>
      </c>
      <c r="O2604">
        <v>1</v>
      </c>
      <c r="P2604">
        <v>0</v>
      </c>
      <c r="T2604" s="358" t="str">
        <f t="shared" si="127"/>
        <v>2008FemaleNon-Maori25Hanging, strangulation and suffocation</v>
      </c>
      <c r="U2604" s="360">
        <v>2008</v>
      </c>
      <c r="V2604" s="360" t="s">
        <v>8</v>
      </c>
      <c r="W2604" s="360" t="s">
        <v>19</v>
      </c>
      <c r="X2604" s="360">
        <v>25</v>
      </c>
      <c r="Y2604" s="360" t="s">
        <v>43</v>
      </c>
      <c r="Z2604" s="360">
        <v>3</v>
      </c>
      <c r="AA2604" s="360">
        <v>15</v>
      </c>
      <c r="AB2604" s="360">
        <v>20</v>
      </c>
    </row>
    <row r="2605" spans="10:28" x14ac:dyDescent="0.2">
      <c r="J2605" s="358" t="str">
        <f t="shared" si="126"/>
        <v>2009FemaleNon-Maori212</v>
      </c>
      <c r="K2605" s="359">
        <v>2009</v>
      </c>
      <c r="L2605" t="s">
        <v>8</v>
      </c>
      <c r="M2605" t="s">
        <v>19</v>
      </c>
      <c r="N2605">
        <v>21</v>
      </c>
      <c r="O2605">
        <v>2</v>
      </c>
      <c r="P2605">
        <v>1</v>
      </c>
      <c r="T2605" s="358" t="str">
        <f t="shared" si="127"/>
        <v>2008FemaleNon-Maori23Jumping from a high place</v>
      </c>
      <c r="U2605" s="360">
        <v>2008</v>
      </c>
      <c r="V2605" s="360" t="s">
        <v>8</v>
      </c>
      <c r="W2605" s="360" t="s">
        <v>19</v>
      </c>
      <c r="X2605" s="360">
        <v>23</v>
      </c>
      <c r="Y2605" s="360" t="s">
        <v>44</v>
      </c>
      <c r="Z2605" s="360">
        <v>1</v>
      </c>
      <c r="AA2605" s="360">
        <v>40</v>
      </c>
      <c r="AB2605" s="360">
        <v>2.5</v>
      </c>
    </row>
    <row r="2606" spans="10:28" x14ac:dyDescent="0.2">
      <c r="J2606" s="358" t="str">
        <f t="shared" si="126"/>
        <v>2009FemaleNon-Maori213</v>
      </c>
      <c r="K2606" s="359">
        <v>2009</v>
      </c>
      <c r="L2606" t="s">
        <v>8</v>
      </c>
      <c r="M2606" t="s">
        <v>19</v>
      </c>
      <c r="N2606">
        <v>21</v>
      </c>
      <c r="O2606">
        <v>3</v>
      </c>
      <c r="P2606">
        <v>0</v>
      </c>
      <c r="T2606" s="358" t="str">
        <f t="shared" si="127"/>
        <v>2008FemaleNon-Maori24Jumping from a high place</v>
      </c>
      <c r="U2606" s="360">
        <v>2008</v>
      </c>
      <c r="V2606" s="360" t="s">
        <v>8</v>
      </c>
      <c r="W2606" s="360" t="s">
        <v>19</v>
      </c>
      <c r="X2606" s="360">
        <v>24</v>
      </c>
      <c r="Y2606" s="360" t="s">
        <v>44</v>
      </c>
      <c r="Z2606" s="360">
        <v>1</v>
      </c>
      <c r="AA2606" s="360">
        <v>32</v>
      </c>
      <c r="AB2606" s="360">
        <v>3.1</v>
      </c>
    </row>
    <row r="2607" spans="10:28" x14ac:dyDescent="0.2">
      <c r="J2607" s="358" t="str">
        <f t="shared" si="126"/>
        <v>2009FemaleNon-Maori214</v>
      </c>
      <c r="K2607" s="359">
        <v>2009</v>
      </c>
      <c r="L2607" t="s">
        <v>8</v>
      </c>
      <c r="M2607" t="s">
        <v>19</v>
      </c>
      <c r="N2607">
        <v>21</v>
      </c>
      <c r="O2607">
        <v>4</v>
      </c>
      <c r="P2607">
        <v>0</v>
      </c>
      <c r="T2607" s="358" t="str">
        <f t="shared" si="127"/>
        <v>2008FemaleNon-Maori22Other</v>
      </c>
      <c r="U2607" s="360">
        <v>2008</v>
      </c>
      <c r="V2607" s="360" t="s">
        <v>8</v>
      </c>
      <c r="W2607" s="360" t="s">
        <v>19</v>
      </c>
      <c r="X2607" s="360">
        <v>22</v>
      </c>
      <c r="Y2607" s="360" t="s">
        <v>45</v>
      </c>
      <c r="Z2607" s="360">
        <v>2</v>
      </c>
      <c r="AA2607" s="360">
        <v>20</v>
      </c>
      <c r="AB2607" s="360">
        <v>10</v>
      </c>
    </row>
    <row r="2608" spans="10:28" x14ac:dyDescent="0.2">
      <c r="J2608" s="358" t="str">
        <f t="shared" si="126"/>
        <v>2009FemaleNon-Maori215</v>
      </c>
      <c r="K2608" s="359">
        <v>2009</v>
      </c>
      <c r="L2608" t="s">
        <v>8</v>
      </c>
      <c r="M2608" t="s">
        <v>19</v>
      </c>
      <c r="N2608">
        <v>21</v>
      </c>
      <c r="O2608">
        <v>5</v>
      </c>
      <c r="P2608">
        <v>1</v>
      </c>
      <c r="T2608" s="358" t="str">
        <f t="shared" si="127"/>
        <v>2008FemaleNon-Maori24Other</v>
      </c>
      <c r="U2608" s="360">
        <v>2008</v>
      </c>
      <c r="V2608" s="360" t="s">
        <v>8</v>
      </c>
      <c r="W2608" s="360" t="s">
        <v>19</v>
      </c>
      <c r="X2608" s="360">
        <v>24</v>
      </c>
      <c r="Y2608" s="360" t="s">
        <v>45</v>
      </c>
      <c r="Z2608" s="360">
        <v>3</v>
      </c>
      <c r="AA2608" s="360">
        <v>32</v>
      </c>
      <c r="AB2608" s="360">
        <v>9.4</v>
      </c>
    </row>
    <row r="2609" spans="10:28" x14ac:dyDescent="0.2">
      <c r="J2609" s="358" t="str">
        <f t="shared" si="126"/>
        <v>2009FemaleNon-Maori221</v>
      </c>
      <c r="K2609" s="359">
        <v>2009</v>
      </c>
      <c r="L2609" t="s">
        <v>8</v>
      </c>
      <c r="M2609" t="s">
        <v>19</v>
      </c>
      <c r="N2609">
        <v>22</v>
      </c>
      <c r="O2609">
        <v>1</v>
      </c>
      <c r="P2609">
        <v>1</v>
      </c>
      <c r="Q2609">
        <v>2.2237276615313002</v>
      </c>
      <c r="R2609">
        <v>4.4000000000000004</v>
      </c>
      <c r="T2609" s="358" t="str">
        <f t="shared" si="127"/>
        <v>2008FemaleNon-Maori25Other</v>
      </c>
      <c r="U2609" s="360">
        <v>2008</v>
      </c>
      <c r="V2609" s="360" t="s">
        <v>8</v>
      </c>
      <c r="W2609" s="360" t="s">
        <v>19</v>
      </c>
      <c r="X2609" s="360">
        <v>25</v>
      </c>
      <c r="Y2609" s="360" t="s">
        <v>45</v>
      </c>
      <c r="Z2609" s="360">
        <v>1</v>
      </c>
      <c r="AA2609" s="360">
        <v>15</v>
      </c>
      <c r="AB2609" s="360">
        <v>6.7</v>
      </c>
    </row>
    <row r="2610" spans="10:28" x14ac:dyDescent="0.2">
      <c r="J2610" s="358" t="str">
        <f t="shared" si="126"/>
        <v>2009FemaleNon-Maori222</v>
      </c>
      <c r="K2610" s="359">
        <v>2009</v>
      </c>
      <c r="L2610" t="s">
        <v>8</v>
      </c>
      <c r="M2610" t="s">
        <v>19</v>
      </c>
      <c r="N2610">
        <v>22</v>
      </c>
      <c r="O2610">
        <v>2</v>
      </c>
      <c r="P2610">
        <v>1</v>
      </c>
      <c r="Q2610">
        <v>2.1518001721539499</v>
      </c>
      <c r="R2610">
        <v>4.2</v>
      </c>
      <c r="T2610" s="358" t="str">
        <f t="shared" si="127"/>
        <v>2008FemaleNon-Maori22Poisoning by gases and vapours</v>
      </c>
      <c r="U2610" s="360">
        <v>2008</v>
      </c>
      <c r="V2610" s="360" t="s">
        <v>8</v>
      </c>
      <c r="W2610" s="360" t="s">
        <v>19</v>
      </c>
      <c r="X2610" s="360">
        <v>22</v>
      </c>
      <c r="Y2610" s="360" t="s">
        <v>46</v>
      </c>
      <c r="Z2610" s="360">
        <v>1</v>
      </c>
      <c r="AA2610" s="360">
        <v>20</v>
      </c>
      <c r="AB2610" s="360">
        <v>5</v>
      </c>
    </row>
    <row r="2611" spans="10:28" x14ac:dyDescent="0.2">
      <c r="J2611" s="358" t="str">
        <f t="shared" si="126"/>
        <v>2009FemaleNon-Maori223</v>
      </c>
      <c r="K2611" s="359">
        <v>2009</v>
      </c>
      <c r="L2611" t="s">
        <v>8</v>
      </c>
      <c r="M2611" t="s">
        <v>19</v>
      </c>
      <c r="N2611">
        <v>22</v>
      </c>
      <c r="O2611">
        <v>3</v>
      </c>
      <c r="P2611">
        <v>2</v>
      </c>
      <c r="Q2611">
        <v>4.1403799422288401</v>
      </c>
      <c r="R2611">
        <v>5.7</v>
      </c>
      <c r="T2611" s="358" t="str">
        <f t="shared" si="127"/>
        <v>2008FemaleNon-Maori23Poisoning by gases and vapours</v>
      </c>
      <c r="U2611" s="360">
        <v>2008</v>
      </c>
      <c r="V2611" s="360" t="s">
        <v>8</v>
      </c>
      <c r="W2611" s="360" t="s">
        <v>19</v>
      </c>
      <c r="X2611" s="360">
        <v>23</v>
      </c>
      <c r="Y2611" s="360" t="s">
        <v>46</v>
      </c>
      <c r="Z2611" s="360">
        <v>6</v>
      </c>
      <c r="AA2611" s="360">
        <v>40</v>
      </c>
      <c r="AB2611" s="360">
        <v>15</v>
      </c>
    </row>
    <row r="2612" spans="10:28" x14ac:dyDescent="0.2">
      <c r="J2612" s="358" t="str">
        <f t="shared" si="126"/>
        <v>2009FemaleNon-Maori224</v>
      </c>
      <c r="K2612" s="359">
        <v>2009</v>
      </c>
      <c r="L2612" t="s">
        <v>8</v>
      </c>
      <c r="M2612" t="s">
        <v>19</v>
      </c>
      <c r="N2612">
        <v>22</v>
      </c>
      <c r="O2612">
        <v>4</v>
      </c>
      <c r="P2612">
        <v>4</v>
      </c>
      <c r="Q2612">
        <v>7.9965349753743897</v>
      </c>
      <c r="R2612">
        <v>7.8</v>
      </c>
      <c r="T2612" s="358" t="str">
        <f t="shared" si="127"/>
        <v>2008FemaleNon-Maori24Poisoning by gases and vapours</v>
      </c>
      <c r="U2612" s="360">
        <v>2008</v>
      </c>
      <c r="V2612" s="360" t="s">
        <v>8</v>
      </c>
      <c r="W2612" s="360" t="s">
        <v>19</v>
      </c>
      <c r="X2612" s="360">
        <v>24</v>
      </c>
      <c r="Y2612" s="360" t="s">
        <v>46</v>
      </c>
      <c r="Z2612" s="360">
        <v>3</v>
      </c>
      <c r="AA2612" s="360">
        <v>32</v>
      </c>
      <c r="AB2612" s="360">
        <v>9.4</v>
      </c>
    </row>
    <row r="2613" spans="10:28" x14ac:dyDescent="0.2">
      <c r="J2613" s="358" t="str">
        <f t="shared" si="126"/>
        <v>2009FemaleNon-Maori225</v>
      </c>
      <c r="K2613" s="359">
        <v>2009</v>
      </c>
      <c r="L2613" t="s">
        <v>8</v>
      </c>
      <c r="M2613" t="s">
        <v>19</v>
      </c>
      <c r="N2613">
        <v>22</v>
      </c>
      <c r="O2613">
        <v>5</v>
      </c>
      <c r="P2613">
        <v>2</v>
      </c>
      <c r="Q2613">
        <v>3.90081504652332</v>
      </c>
      <c r="R2613">
        <v>5.4</v>
      </c>
      <c r="T2613" s="358" t="str">
        <f t="shared" si="127"/>
        <v>2008FemaleNon-Maori22Poisoning by solids and liquids</v>
      </c>
      <c r="U2613" s="360">
        <v>2008</v>
      </c>
      <c r="V2613" s="360" t="s">
        <v>8</v>
      </c>
      <c r="W2613" s="360" t="s">
        <v>19</v>
      </c>
      <c r="X2613" s="360">
        <v>22</v>
      </c>
      <c r="Y2613" s="360" t="s">
        <v>47</v>
      </c>
      <c r="Z2613" s="360">
        <v>3</v>
      </c>
      <c r="AA2613" s="360">
        <v>20</v>
      </c>
      <c r="AB2613" s="360">
        <v>15</v>
      </c>
    </row>
    <row r="2614" spans="10:28" x14ac:dyDescent="0.2">
      <c r="J2614" s="358" t="str">
        <f t="shared" si="126"/>
        <v>2009FemaleNon-Maori231</v>
      </c>
      <c r="K2614" s="359">
        <v>2009</v>
      </c>
      <c r="L2614" t="s">
        <v>8</v>
      </c>
      <c r="M2614" t="s">
        <v>19</v>
      </c>
      <c r="N2614">
        <v>23</v>
      </c>
      <c r="O2614">
        <v>1</v>
      </c>
      <c r="P2614">
        <v>3</v>
      </c>
      <c r="Q2614">
        <v>2.6478099393451</v>
      </c>
      <c r="R2614">
        <v>3</v>
      </c>
      <c r="T2614" s="358" t="str">
        <f t="shared" si="127"/>
        <v>2008FemaleNon-Maori23Poisoning by solids and liquids</v>
      </c>
      <c r="U2614" s="360">
        <v>2008</v>
      </c>
      <c r="V2614" s="360" t="s">
        <v>8</v>
      </c>
      <c r="W2614" s="360" t="s">
        <v>19</v>
      </c>
      <c r="X2614" s="360">
        <v>23</v>
      </c>
      <c r="Y2614" s="360" t="s">
        <v>47</v>
      </c>
      <c r="Z2614" s="360">
        <v>10</v>
      </c>
      <c r="AA2614" s="360">
        <v>40</v>
      </c>
      <c r="AB2614" s="360">
        <v>25</v>
      </c>
    </row>
    <row r="2615" spans="10:28" x14ac:dyDescent="0.2">
      <c r="J2615" s="358" t="str">
        <f t="shared" si="126"/>
        <v>2009FemaleNon-Maori232</v>
      </c>
      <c r="K2615" s="359">
        <v>2009</v>
      </c>
      <c r="L2615" t="s">
        <v>8</v>
      </c>
      <c r="M2615" t="s">
        <v>19</v>
      </c>
      <c r="N2615">
        <v>23</v>
      </c>
      <c r="O2615">
        <v>2</v>
      </c>
      <c r="P2615">
        <v>6</v>
      </c>
      <c r="Q2615">
        <v>5.2158790445506904</v>
      </c>
      <c r="R2615">
        <v>4.2</v>
      </c>
      <c r="T2615" s="358" t="str">
        <f t="shared" si="127"/>
        <v>2008FemaleNon-Maori24Poisoning by solids and liquids</v>
      </c>
      <c r="U2615" s="360">
        <v>2008</v>
      </c>
      <c r="V2615" s="360" t="s">
        <v>8</v>
      </c>
      <c r="W2615" s="360" t="s">
        <v>19</v>
      </c>
      <c r="X2615" s="360">
        <v>24</v>
      </c>
      <c r="Y2615" s="360" t="s">
        <v>47</v>
      </c>
      <c r="Z2615" s="360">
        <v>11</v>
      </c>
      <c r="AA2615" s="360">
        <v>32</v>
      </c>
      <c r="AB2615" s="360">
        <v>34.4</v>
      </c>
    </row>
    <row r="2616" spans="10:28" x14ac:dyDescent="0.2">
      <c r="J2616" s="358" t="str">
        <f t="shared" si="126"/>
        <v>2009FemaleNon-Maori233</v>
      </c>
      <c r="K2616" s="359">
        <v>2009</v>
      </c>
      <c r="L2616" t="s">
        <v>8</v>
      </c>
      <c r="M2616" t="s">
        <v>19</v>
      </c>
      <c r="N2616">
        <v>23</v>
      </c>
      <c r="O2616">
        <v>3</v>
      </c>
      <c r="P2616">
        <v>6</v>
      </c>
      <c r="Q2616">
        <v>5.4677857207776199</v>
      </c>
      <c r="R2616">
        <v>4.4000000000000004</v>
      </c>
      <c r="T2616" s="358" t="str">
        <f t="shared" si="127"/>
        <v>2008FemaleNon-Maori25Poisoning by solids and liquids</v>
      </c>
      <c r="U2616" s="360">
        <v>2008</v>
      </c>
      <c r="V2616" s="360" t="s">
        <v>8</v>
      </c>
      <c r="W2616" s="360" t="s">
        <v>19</v>
      </c>
      <c r="X2616" s="360">
        <v>25</v>
      </c>
      <c r="Y2616" s="360" t="s">
        <v>47</v>
      </c>
      <c r="Z2616" s="360">
        <v>8</v>
      </c>
      <c r="AA2616" s="360">
        <v>15</v>
      </c>
      <c r="AB2616" s="360">
        <v>53.3</v>
      </c>
    </row>
    <row r="2617" spans="10:28" x14ac:dyDescent="0.2">
      <c r="J2617" s="358" t="str">
        <f t="shared" si="126"/>
        <v>2009FemaleNon-Maori234</v>
      </c>
      <c r="K2617" s="359">
        <v>2009</v>
      </c>
      <c r="L2617" t="s">
        <v>8</v>
      </c>
      <c r="M2617" t="s">
        <v>19</v>
      </c>
      <c r="N2617">
        <v>23</v>
      </c>
      <c r="O2617">
        <v>4</v>
      </c>
      <c r="P2617">
        <v>9</v>
      </c>
      <c r="Q2617">
        <v>8.9872421215155107</v>
      </c>
      <c r="R2617">
        <v>5.9</v>
      </c>
      <c r="T2617" s="358" t="str">
        <f t="shared" si="127"/>
        <v>2008FemaleNon-Maori22Sharp object</v>
      </c>
      <c r="U2617" s="360">
        <v>2008</v>
      </c>
      <c r="V2617" s="360" t="s">
        <v>8</v>
      </c>
      <c r="W2617" s="360" t="s">
        <v>19</v>
      </c>
      <c r="X2617" s="360">
        <v>22</v>
      </c>
      <c r="Y2617" s="360" t="s">
        <v>48</v>
      </c>
      <c r="Z2617" s="360">
        <v>1</v>
      </c>
      <c r="AA2617" s="360">
        <v>20</v>
      </c>
      <c r="AB2617" s="360">
        <v>5</v>
      </c>
    </row>
    <row r="2618" spans="10:28" x14ac:dyDescent="0.2">
      <c r="J2618" s="358" t="str">
        <f t="shared" si="126"/>
        <v>2009FemaleNon-Maori235</v>
      </c>
      <c r="K2618" s="359">
        <v>2009</v>
      </c>
      <c r="L2618" t="s">
        <v>8</v>
      </c>
      <c r="M2618" t="s">
        <v>19</v>
      </c>
      <c r="N2618">
        <v>23</v>
      </c>
      <c r="O2618">
        <v>5</v>
      </c>
      <c r="P2618">
        <v>9</v>
      </c>
      <c r="Q2618">
        <v>11.473754846461</v>
      </c>
      <c r="R2618">
        <v>7.5</v>
      </c>
      <c r="T2618" s="358" t="str">
        <f t="shared" si="127"/>
        <v>2008FemaleNon-Maori25Sharp object</v>
      </c>
      <c r="U2618" s="360">
        <v>2008</v>
      </c>
      <c r="V2618" s="360" t="s">
        <v>8</v>
      </c>
      <c r="W2618" s="360" t="s">
        <v>19</v>
      </c>
      <c r="X2618" s="360">
        <v>25</v>
      </c>
      <c r="Y2618" s="360" t="s">
        <v>48</v>
      </c>
      <c r="Z2618" s="360">
        <v>1</v>
      </c>
      <c r="AA2618" s="360">
        <v>15</v>
      </c>
      <c r="AB2618" s="360">
        <v>6.7</v>
      </c>
    </row>
    <row r="2619" spans="10:28" x14ac:dyDescent="0.2">
      <c r="J2619" s="358" t="str">
        <f t="shared" si="126"/>
        <v>2009FemaleNon-Maori241</v>
      </c>
      <c r="K2619" s="359">
        <v>2009</v>
      </c>
      <c r="L2619" t="s">
        <v>8</v>
      </c>
      <c r="M2619" t="s">
        <v>19</v>
      </c>
      <c r="N2619">
        <v>24</v>
      </c>
      <c r="O2619">
        <v>1</v>
      </c>
      <c r="P2619">
        <v>5</v>
      </c>
      <c r="Q2619">
        <v>3.8729520787648202</v>
      </c>
      <c r="R2619">
        <v>3.4</v>
      </c>
      <c r="T2619" s="358" t="str">
        <f t="shared" si="127"/>
        <v>2008FemaleNon-Maori23Submersion (drowning)</v>
      </c>
      <c r="U2619" s="360">
        <v>2008</v>
      </c>
      <c r="V2619" s="360" t="s">
        <v>8</v>
      </c>
      <c r="W2619" s="360" t="s">
        <v>19</v>
      </c>
      <c r="X2619" s="360">
        <v>23</v>
      </c>
      <c r="Y2619" s="360" t="s">
        <v>49</v>
      </c>
      <c r="Z2619" s="360">
        <v>1</v>
      </c>
      <c r="AA2619" s="360">
        <v>40</v>
      </c>
      <c r="AB2619" s="360">
        <v>2.5</v>
      </c>
    </row>
    <row r="2620" spans="10:28" x14ac:dyDescent="0.2">
      <c r="J2620" s="358" t="str">
        <f t="shared" si="126"/>
        <v>2009FemaleNon-Maori242</v>
      </c>
      <c r="K2620" s="359">
        <v>2009</v>
      </c>
      <c r="L2620" t="s">
        <v>8</v>
      </c>
      <c r="M2620" t="s">
        <v>19</v>
      </c>
      <c r="N2620">
        <v>24</v>
      </c>
      <c r="O2620">
        <v>2</v>
      </c>
      <c r="P2620">
        <v>6</v>
      </c>
      <c r="Q2620">
        <v>5.3063479527800199</v>
      </c>
      <c r="R2620">
        <v>4.2</v>
      </c>
      <c r="T2620" s="358" t="str">
        <f t="shared" si="127"/>
        <v>2008FemaleNon-Maori25Submersion (drowning)</v>
      </c>
      <c r="U2620" s="360">
        <v>2008</v>
      </c>
      <c r="V2620" s="360" t="s">
        <v>8</v>
      </c>
      <c r="W2620" s="360" t="s">
        <v>19</v>
      </c>
      <c r="X2620" s="360">
        <v>25</v>
      </c>
      <c r="Y2620" s="360" t="s">
        <v>49</v>
      </c>
      <c r="Z2620" s="360">
        <v>2</v>
      </c>
      <c r="AA2620" s="360">
        <v>15</v>
      </c>
      <c r="AB2620" s="360">
        <v>13.3</v>
      </c>
    </row>
    <row r="2621" spans="10:28" x14ac:dyDescent="0.2">
      <c r="J2621" s="358" t="str">
        <f t="shared" si="126"/>
        <v>2009FemaleNon-Maori243</v>
      </c>
      <c r="K2621" s="359">
        <v>2009</v>
      </c>
      <c r="L2621" t="s">
        <v>8</v>
      </c>
      <c r="M2621" t="s">
        <v>19</v>
      </c>
      <c r="N2621">
        <v>24</v>
      </c>
      <c r="O2621">
        <v>3</v>
      </c>
      <c r="P2621">
        <v>9</v>
      </c>
      <c r="Q2621">
        <v>9.0263270479099695</v>
      </c>
      <c r="R2621">
        <v>5.9</v>
      </c>
      <c r="T2621" s="358" t="str">
        <f t="shared" si="127"/>
        <v>2008MaleAllEth22Firearms and explosives</v>
      </c>
      <c r="U2621" s="360">
        <v>2008</v>
      </c>
      <c r="V2621" s="360" t="s">
        <v>20</v>
      </c>
      <c r="W2621" s="360" t="s">
        <v>27</v>
      </c>
      <c r="X2621" s="360">
        <v>22</v>
      </c>
      <c r="Y2621" s="360" t="s">
        <v>42</v>
      </c>
      <c r="Z2621" s="360">
        <v>5</v>
      </c>
      <c r="AA2621" s="360">
        <v>83</v>
      </c>
      <c r="AB2621" s="360">
        <v>6</v>
      </c>
    </row>
    <row r="2622" spans="10:28" x14ac:dyDescent="0.2">
      <c r="J2622" s="358" t="str">
        <f t="shared" si="126"/>
        <v>2009FemaleNon-Maori244</v>
      </c>
      <c r="K2622" s="359">
        <v>2009</v>
      </c>
      <c r="L2622" t="s">
        <v>8</v>
      </c>
      <c r="M2622" t="s">
        <v>19</v>
      </c>
      <c r="N2622">
        <v>24</v>
      </c>
      <c r="O2622">
        <v>4</v>
      </c>
      <c r="P2622">
        <v>9</v>
      </c>
      <c r="Q2622">
        <v>10.418451002239699</v>
      </c>
      <c r="R2622">
        <v>6.8</v>
      </c>
      <c r="T2622" s="358" t="str">
        <f t="shared" si="127"/>
        <v>2008MaleAllEth23Firearms and explosives</v>
      </c>
      <c r="U2622" s="360">
        <v>2008</v>
      </c>
      <c r="V2622" s="360" t="s">
        <v>20</v>
      </c>
      <c r="W2622" s="360" t="s">
        <v>27</v>
      </c>
      <c r="X2622" s="360">
        <v>23</v>
      </c>
      <c r="Y2622" s="360" t="s">
        <v>42</v>
      </c>
      <c r="Z2622" s="360">
        <v>7</v>
      </c>
      <c r="AA2622" s="360">
        <v>133</v>
      </c>
      <c r="AB2622" s="360">
        <v>5.3</v>
      </c>
    </row>
    <row r="2623" spans="10:28" x14ac:dyDescent="0.2">
      <c r="J2623" s="358" t="str">
        <f t="shared" si="126"/>
        <v>2009FemaleNon-Maori245</v>
      </c>
      <c r="K2623" s="359">
        <v>2009</v>
      </c>
      <c r="L2623" t="s">
        <v>8</v>
      </c>
      <c r="M2623" t="s">
        <v>19</v>
      </c>
      <c r="N2623">
        <v>24</v>
      </c>
      <c r="O2623">
        <v>5</v>
      </c>
      <c r="P2623">
        <v>5</v>
      </c>
      <c r="Q2623">
        <v>7.7876934906775199</v>
      </c>
      <c r="R2623">
        <v>6.8</v>
      </c>
      <c r="T2623" s="358" t="str">
        <f t="shared" si="127"/>
        <v>2008MaleAllEth24Firearms and explosives</v>
      </c>
      <c r="U2623" s="360">
        <v>2008</v>
      </c>
      <c r="V2623" s="360" t="s">
        <v>20</v>
      </c>
      <c r="W2623" s="360" t="s">
        <v>27</v>
      </c>
      <c r="X2623" s="360">
        <v>24</v>
      </c>
      <c r="Y2623" s="360" t="s">
        <v>42</v>
      </c>
      <c r="Z2623" s="360">
        <v>17</v>
      </c>
      <c r="AA2623" s="360">
        <v>125</v>
      </c>
      <c r="AB2623" s="360">
        <v>13.6</v>
      </c>
    </row>
    <row r="2624" spans="10:28" x14ac:dyDescent="0.2">
      <c r="J2624" s="358" t="str">
        <f t="shared" si="126"/>
        <v>2009FemaleNon-Maori251</v>
      </c>
      <c r="K2624" s="359">
        <v>2009</v>
      </c>
      <c r="L2624" t="s">
        <v>8</v>
      </c>
      <c r="M2624" t="s">
        <v>19</v>
      </c>
      <c r="N2624">
        <v>25</v>
      </c>
      <c r="O2624">
        <v>1</v>
      </c>
      <c r="P2624">
        <v>3</v>
      </c>
      <c r="Q2624">
        <v>5.55918223296253</v>
      </c>
      <c r="R2624">
        <v>6.3</v>
      </c>
      <c r="T2624" s="358" t="str">
        <f t="shared" si="127"/>
        <v>2008MaleAllEth25Firearms and explosives</v>
      </c>
      <c r="U2624" s="360">
        <v>2008</v>
      </c>
      <c r="V2624" s="360" t="s">
        <v>20</v>
      </c>
      <c r="W2624" s="360" t="s">
        <v>27</v>
      </c>
      <c r="X2624" s="360">
        <v>25</v>
      </c>
      <c r="Y2624" s="360" t="s">
        <v>42</v>
      </c>
      <c r="Z2624" s="360">
        <v>11</v>
      </c>
      <c r="AA2624" s="360">
        <v>36</v>
      </c>
      <c r="AB2624" s="360">
        <v>30.6</v>
      </c>
    </row>
    <row r="2625" spans="10:28" x14ac:dyDescent="0.2">
      <c r="J2625" s="358" t="str">
        <f t="shared" si="126"/>
        <v>2009FemaleNon-Maori252</v>
      </c>
      <c r="K2625" s="359">
        <v>2009</v>
      </c>
      <c r="L2625" t="s">
        <v>8</v>
      </c>
      <c r="M2625" t="s">
        <v>19</v>
      </c>
      <c r="N2625">
        <v>25</v>
      </c>
      <c r="O2625">
        <v>2</v>
      </c>
      <c r="P2625">
        <v>3</v>
      </c>
      <c r="Q2625">
        <v>5.0160620554873603</v>
      </c>
      <c r="R2625">
        <v>5.7</v>
      </c>
      <c r="T2625" s="358" t="str">
        <f t="shared" si="127"/>
        <v>2008MaleAllEth21Hanging, strangulation and suffocation</v>
      </c>
      <c r="U2625" s="360">
        <v>2008</v>
      </c>
      <c r="V2625" s="360" t="s">
        <v>20</v>
      </c>
      <c r="W2625" s="360" t="s">
        <v>27</v>
      </c>
      <c r="X2625" s="360">
        <v>21</v>
      </c>
      <c r="Y2625" s="360" t="s">
        <v>43</v>
      </c>
      <c r="Z2625" s="360">
        <v>2</v>
      </c>
      <c r="AA2625" s="360">
        <v>2</v>
      </c>
      <c r="AB2625" s="360">
        <v>100</v>
      </c>
    </row>
    <row r="2626" spans="10:28" x14ac:dyDescent="0.2">
      <c r="J2626" s="358" t="str">
        <f t="shared" si="126"/>
        <v>2009FemaleNon-Maori253</v>
      </c>
      <c r="K2626" s="359">
        <v>2009</v>
      </c>
      <c r="L2626" t="s">
        <v>8</v>
      </c>
      <c r="M2626" t="s">
        <v>19</v>
      </c>
      <c r="N2626">
        <v>25</v>
      </c>
      <c r="O2626">
        <v>3</v>
      </c>
      <c r="P2626">
        <v>2</v>
      </c>
      <c r="Q2626">
        <v>3.1931776088589401</v>
      </c>
      <c r="R2626">
        <v>4.4000000000000004</v>
      </c>
      <c r="T2626" s="358" t="str">
        <f t="shared" si="127"/>
        <v>2008MaleAllEth22Hanging, strangulation and suffocation</v>
      </c>
      <c r="U2626" s="360">
        <v>2008</v>
      </c>
      <c r="V2626" s="360" t="s">
        <v>20</v>
      </c>
      <c r="W2626" s="360" t="s">
        <v>27</v>
      </c>
      <c r="X2626" s="360">
        <v>22</v>
      </c>
      <c r="Y2626" s="360" t="s">
        <v>43</v>
      </c>
      <c r="Z2626" s="360">
        <v>58</v>
      </c>
      <c r="AA2626" s="360">
        <v>83</v>
      </c>
      <c r="AB2626" s="360">
        <v>69.900000000000006</v>
      </c>
    </row>
    <row r="2627" spans="10:28" x14ac:dyDescent="0.2">
      <c r="J2627" s="358" t="str">
        <f t="shared" si="126"/>
        <v>2009FemaleNon-Maori254</v>
      </c>
      <c r="K2627" s="359">
        <v>2009</v>
      </c>
      <c r="L2627" t="s">
        <v>8</v>
      </c>
      <c r="M2627" t="s">
        <v>19</v>
      </c>
      <c r="N2627">
        <v>25</v>
      </c>
      <c r="O2627">
        <v>4</v>
      </c>
      <c r="P2627">
        <v>4</v>
      </c>
      <c r="Q2627">
        <v>6.3264968746202497</v>
      </c>
      <c r="R2627">
        <v>6.2</v>
      </c>
      <c r="T2627" s="358" t="str">
        <f t="shared" si="127"/>
        <v>2008MaleAllEth23Hanging, strangulation and suffocation</v>
      </c>
      <c r="U2627" s="360">
        <v>2008</v>
      </c>
      <c r="V2627" s="360" t="s">
        <v>20</v>
      </c>
      <c r="W2627" s="360" t="s">
        <v>27</v>
      </c>
      <c r="X2627" s="360">
        <v>23</v>
      </c>
      <c r="Y2627" s="360" t="s">
        <v>43</v>
      </c>
      <c r="Z2627" s="360">
        <v>81</v>
      </c>
      <c r="AA2627" s="360">
        <v>133</v>
      </c>
      <c r="AB2627" s="360">
        <v>60.9</v>
      </c>
    </row>
    <row r="2628" spans="10:28" x14ac:dyDescent="0.2">
      <c r="J2628" s="358" t="str">
        <f t="shared" ref="J2628:J2691" si="128">K2628&amp;L2628&amp;M2628&amp;N2628&amp;O2628</f>
        <v>2009FemaleNon-Maori255</v>
      </c>
      <c r="K2628" s="359">
        <v>2009</v>
      </c>
      <c r="L2628" t="s">
        <v>8</v>
      </c>
      <c r="M2628" t="s">
        <v>19</v>
      </c>
      <c r="N2628">
        <v>25</v>
      </c>
      <c r="O2628">
        <v>5</v>
      </c>
      <c r="P2628">
        <v>0</v>
      </c>
      <c r="Q2628">
        <v>0</v>
      </c>
      <c r="T2628" s="358" t="str">
        <f t="shared" si="127"/>
        <v>2008MaleAllEth24Hanging, strangulation and suffocation</v>
      </c>
      <c r="U2628" s="360">
        <v>2008</v>
      </c>
      <c r="V2628" s="360" t="s">
        <v>20</v>
      </c>
      <c r="W2628" s="360" t="s">
        <v>27</v>
      </c>
      <c r="X2628" s="360">
        <v>24</v>
      </c>
      <c r="Y2628" s="360" t="s">
        <v>43</v>
      </c>
      <c r="Z2628" s="360">
        <v>61</v>
      </c>
      <c r="AA2628" s="360">
        <v>125</v>
      </c>
      <c r="AB2628" s="360">
        <v>48.8</v>
      </c>
    </row>
    <row r="2629" spans="10:28" x14ac:dyDescent="0.2">
      <c r="J2629" s="358" t="str">
        <f t="shared" si="128"/>
        <v>2009MaleAllEth211</v>
      </c>
      <c r="K2629" s="359">
        <v>2009</v>
      </c>
      <c r="L2629" t="s">
        <v>20</v>
      </c>
      <c r="M2629" t="s">
        <v>27</v>
      </c>
      <c r="N2629">
        <v>21</v>
      </c>
      <c r="O2629">
        <v>1</v>
      </c>
      <c r="P2629">
        <v>1</v>
      </c>
      <c r="T2629" s="358" t="str">
        <f t="shared" ref="T2629:T2692" si="129">U2629&amp;V2629&amp;W2629&amp;X2629&amp;Y2629</f>
        <v>2008MaleAllEth25Hanging, strangulation and suffocation</v>
      </c>
      <c r="U2629" s="360">
        <v>2008</v>
      </c>
      <c r="V2629" s="360" t="s">
        <v>20</v>
      </c>
      <c r="W2629" s="360" t="s">
        <v>27</v>
      </c>
      <c r="X2629" s="360">
        <v>25</v>
      </c>
      <c r="Y2629" s="360" t="s">
        <v>43</v>
      </c>
      <c r="Z2629" s="360">
        <v>8</v>
      </c>
      <c r="AA2629" s="360">
        <v>36</v>
      </c>
      <c r="AB2629" s="360">
        <v>22.2</v>
      </c>
    </row>
    <row r="2630" spans="10:28" x14ac:dyDescent="0.2">
      <c r="J2630" s="358" t="str">
        <f t="shared" si="128"/>
        <v>2009MaleAllEth212</v>
      </c>
      <c r="K2630" s="359">
        <v>2009</v>
      </c>
      <c r="L2630" t="s">
        <v>20</v>
      </c>
      <c r="M2630" t="s">
        <v>27</v>
      </c>
      <c r="N2630">
        <v>21</v>
      </c>
      <c r="O2630">
        <v>2</v>
      </c>
      <c r="P2630">
        <v>2</v>
      </c>
      <c r="T2630" s="358" t="str">
        <f t="shared" si="129"/>
        <v>2008MaleAllEth22Jumping from a high place</v>
      </c>
      <c r="U2630" s="360">
        <v>2008</v>
      </c>
      <c r="V2630" s="360" t="s">
        <v>20</v>
      </c>
      <c r="W2630" s="360" t="s">
        <v>27</v>
      </c>
      <c r="X2630" s="360">
        <v>22</v>
      </c>
      <c r="Y2630" s="360" t="s">
        <v>44</v>
      </c>
      <c r="Z2630" s="360">
        <v>3</v>
      </c>
      <c r="AA2630" s="360">
        <v>83</v>
      </c>
      <c r="AB2630" s="360">
        <v>3.6</v>
      </c>
    </row>
    <row r="2631" spans="10:28" x14ac:dyDescent="0.2">
      <c r="J2631" s="358" t="str">
        <f t="shared" si="128"/>
        <v>2009MaleAllEth213</v>
      </c>
      <c r="K2631" s="359">
        <v>2009</v>
      </c>
      <c r="L2631" t="s">
        <v>20</v>
      </c>
      <c r="M2631" t="s">
        <v>27</v>
      </c>
      <c r="N2631">
        <v>21</v>
      </c>
      <c r="O2631">
        <v>3</v>
      </c>
      <c r="P2631">
        <v>1</v>
      </c>
      <c r="T2631" s="358" t="str">
        <f t="shared" si="129"/>
        <v>2008MaleAllEth23Jumping from a high place</v>
      </c>
      <c r="U2631" s="360">
        <v>2008</v>
      </c>
      <c r="V2631" s="360" t="s">
        <v>20</v>
      </c>
      <c r="W2631" s="360" t="s">
        <v>27</v>
      </c>
      <c r="X2631" s="360">
        <v>23</v>
      </c>
      <c r="Y2631" s="360" t="s">
        <v>44</v>
      </c>
      <c r="Z2631" s="360">
        <v>4</v>
      </c>
      <c r="AA2631" s="360">
        <v>133</v>
      </c>
      <c r="AB2631" s="360">
        <v>3</v>
      </c>
    </row>
    <row r="2632" spans="10:28" x14ac:dyDescent="0.2">
      <c r="J2632" s="358" t="str">
        <f t="shared" si="128"/>
        <v>2009MaleAllEth214</v>
      </c>
      <c r="K2632" s="359">
        <v>2009</v>
      </c>
      <c r="L2632" t="s">
        <v>20</v>
      </c>
      <c r="M2632" t="s">
        <v>27</v>
      </c>
      <c r="N2632">
        <v>21</v>
      </c>
      <c r="O2632">
        <v>4</v>
      </c>
      <c r="P2632">
        <v>1</v>
      </c>
      <c r="T2632" s="358" t="str">
        <f t="shared" si="129"/>
        <v>2008MaleAllEth24Jumping from a high place</v>
      </c>
      <c r="U2632" s="360">
        <v>2008</v>
      </c>
      <c r="V2632" s="360" t="s">
        <v>20</v>
      </c>
      <c r="W2632" s="360" t="s">
        <v>27</v>
      </c>
      <c r="X2632" s="360">
        <v>24</v>
      </c>
      <c r="Y2632" s="360" t="s">
        <v>44</v>
      </c>
      <c r="Z2632" s="360">
        <v>5</v>
      </c>
      <c r="AA2632" s="360">
        <v>125</v>
      </c>
      <c r="AB2632" s="360">
        <v>4</v>
      </c>
    </row>
    <row r="2633" spans="10:28" x14ac:dyDescent="0.2">
      <c r="J2633" s="358" t="str">
        <f t="shared" si="128"/>
        <v>2009MaleAllEth215</v>
      </c>
      <c r="K2633" s="359">
        <v>2009</v>
      </c>
      <c r="L2633" t="s">
        <v>20</v>
      </c>
      <c r="M2633" t="s">
        <v>27</v>
      </c>
      <c r="N2633">
        <v>21</v>
      </c>
      <c r="O2633">
        <v>5</v>
      </c>
      <c r="P2633">
        <v>1</v>
      </c>
      <c r="T2633" s="358" t="str">
        <f t="shared" si="129"/>
        <v>2008MaleAllEth22Other</v>
      </c>
      <c r="U2633" s="360">
        <v>2008</v>
      </c>
      <c r="V2633" s="360" t="s">
        <v>20</v>
      </c>
      <c r="W2633" s="360" t="s">
        <v>27</v>
      </c>
      <c r="X2633" s="360">
        <v>22</v>
      </c>
      <c r="Y2633" s="360" t="s">
        <v>45</v>
      </c>
      <c r="Z2633" s="360">
        <v>3</v>
      </c>
      <c r="AA2633" s="360">
        <v>83</v>
      </c>
      <c r="AB2633" s="360">
        <v>3.6</v>
      </c>
    </row>
    <row r="2634" spans="10:28" x14ac:dyDescent="0.2">
      <c r="J2634" s="358" t="str">
        <f t="shared" si="128"/>
        <v>2009MaleAllEth221</v>
      </c>
      <c r="K2634" s="359">
        <v>2009</v>
      </c>
      <c r="L2634" t="s">
        <v>20</v>
      </c>
      <c r="M2634" t="s">
        <v>27</v>
      </c>
      <c r="N2634">
        <v>22</v>
      </c>
      <c r="O2634">
        <v>1</v>
      </c>
      <c r="P2634">
        <v>15</v>
      </c>
      <c r="Q2634">
        <v>28.164917766248902</v>
      </c>
      <c r="R2634">
        <v>14.3</v>
      </c>
      <c r="T2634" s="358" t="str">
        <f t="shared" si="129"/>
        <v>2008MaleAllEth23Other</v>
      </c>
      <c r="U2634" s="360">
        <v>2008</v>
      </c>
      <c r="V2634" s="360" t="s">
        <v>20</v>
      </c>
      <c r="W2634" s="360" t="s">
        <v>27</v>
      </c>
      <c r="X2634" s="360">
        <v>23</v>
      </c>
      <c r="Y2634" s="360" t="s">
        <v>45</v>
      </c>
      <c r="Z2634" s="360">
        <v>6</v>
      </c>
      <c r="AA2634" s="360">
        <v>133</v>
      </c>
      <c r="AB2634" s="360">
        <v>4.5</v>
      </c>
    </row>
    <row r="2635" spans="10:28" x14ac:dyDescent="0.2">
      <c r="J2635" s="358" t="str">
        <f t="shared" si="128"/>
        <v>2009MaleAllEth222</v>
      </c>
      <c r="K2635" s="359">
        <v>2009</v>
      </c>
      <c r="L2635" t="s">
        <v>20</v>
      </c>
      <c r="M2635" t="s">
        <v>27</v>
      </c>
      <c r="N2635">
        <v>22</v>
      </c>
      <c r="O2635">
        <v>2</v>
      </c>
      <c r="P2635">
        <v>10</v>
      </c>
      <c r="Q2635">
        <v>17.773916589734899</v>
      </c>
      <c r="R2635">
        <v>11</v>
      </c>
      <c r="T2635" s="358" t="str">
        <f t="shared" si="129"/>
        <v>2008MaleAllEth24Other</v>
      </c>
      <c r="U2635" s="360">
        <v>2008</v>
      </c>
      <c r="V2635" s="360" t="s">
        <v>20</v>
      </c>
      <c r="W2635" s="360" t="s">
        <v>27</v>
      </c>
      <c r="X2635" s="360">
        <v>24</v>
      </c>
      <c r="Y2635" s="360" t="s">
        <v>45</v>
      </c>
      <c r="Z2635" s="360">
        <v>4</v>
      </c>
      <c r="AA2635" s="360">
        <v>125</v>
      </c>
      <c r="AB2635" s="360">
        <v>3.2</v>
      </c>
    </row>
    <row r="2636" spans="10:28" x14ac:dyDescent="0.2">
      <c r="J2636" s="358" t="str">
        <f t="shared" si="128"/>
        <v>2009MaleAllEth223</v>
      </c>
      <c r="K2636" s="359">
        <v>2009</v>
      </c>
      <c r="L2636" t="s">
        <v>20</v>
      </c>
      <c r="M2636" t="s">
        <v>27</v>
      </c>
      <c r="N2636">
        <v>22</v>
      </c>
      <c r="O2636">
        <v>3</v>
      </c>
      <c r="P2636">
        <v>18</v>
      </c>
      <c r="Q2636">
        <v>30.082087373683599</v>
      </c>
      <c r="R2636">
        <v>13.9</v>
      </c>
      <c r="T2636" s="358" t="str">
        <f t="shared" si="129"/>
        <v>2008MaleAllEth25Other</v>
      </c>
      <c r="U2636" s="360">
        <v>2008</v>
      </c>
      <c r="V2636" s="360" t="s">
        <v>20</v>
      </c>
      <c r="W2636" s="360" t="s">
        <v>27</v>
      </c>
      <c r="X2636" s="360">
        <v>25</v>
      </c>
      <c r="Y2636" s="360" t="s">
        <v>45</v>
      </c>
      <c r="Z2636" s="360">
        <v>1</v>
      </c>
      <c r="AA2636" s="360">
        <v>36</v>
      </c>
      <c r="AB2636" s="360">
        <v>2.8</v>
      </c>
    </row>
    <row r="2637" spans="10:28" x14ac:dyDescent="0.2">
      <c r="J2637" s="358" t="str">
        <f t="shared" si="128"/>
        <v>2009MaleAllEth224</v>
      </c>
      <c r="K2637" s="359">
        <v>2009</v>
      </c>
      <c r="L2637" t="s">
        <v>20</v>
      </c>
      <c r="M2637" t="s">
        <v>27</v>
      </c>
      <c r="N2637">
        <v>22</v>
      </c>
      <c r="O2637">
        <v>4</v>
      </c>
      <c r="P2637">
        <v>22</v>
      </c>
      <c r="Q2637">
        <v>34.122141338269003</v>
      </c>
      <c r="R2637">
        <v>14.3</v>
      </c>
      <c r="T2637" s="358" t="str">
        <f t="shared" si="129"/>
        <v>2008MaleAllEth22Poisoning by gases and vapours</v>
      </c>
      <c r="U2637" s="360">
        <v>2008</v>
      </c>
      <c r="V2637" s="360" t="s">
        <v>20</v>
      </c>
      <c r="W2637" s="360" t="s">
        <v>27</v>
      </c>
      <c r="X2637" s="360">
        <v>22</v>
      </c>
      <c r="Y2637" s="360" t="s">
        <v>46</v>
      </c>
      <c r="Z2637" s="360">
        <v>13</v>
      </c>
      <c r="AA2637" s="360">
        <v>83</v>
      </c>
      <c r="AB2637" s="360">
        <v>15.7</v>
      </c>
    </row>
    <row r="2638" spans="10:28" x14ac:dyDescent="0.2">
      <c r="J2638" s="358" t="str">
        <f t="shared" si="128"/>
        <v>2009MaleAllEth225</v>
      </c>
      <c r="K2638" s="359">
        <v>2009</v>
      </c>
      <c r="L2638" t="s">
        <v>20</v>
      </c>
      <c r="M2638" t="s">
        <v>27</v>
      </c>
      <c r="N2638">
        <v>22</v>
      </c>
      <c r="O2638">
        <v>5</v>
      </c>
      <c r="P2638">
        <v>30</v>
      </c>
      <c r="Q2638">
        <v>41.051185751395003</v>
      </c>
      <c r="R2638">
        <v>14.7</v>
      </c>
      <c r="T2638" s="358" t="str">
        <f t="shared" si="129"/>
        <v>2008MaleAllEth23Poisoning by gases and vapours</v>
      </c>
      <c r="U2638" s="360">
        <v>2008</v>
      </c>
      <c r="V2638" s="360" t="s">
        <v>20</v>
      </c>
      <c r="W2638" s="360" t="s">
        <v>27</v>
      </c>
      <c r="X2638" s="360">
        <v>23</v>
      </c>
      <c r="Y2638" s="360" t="s">
        <v>46</v>
      </c>
      <c r="Z2638" s="360">
        <v>26</v>
      </c>
      <c r="AA2638" s="360">
        <v>133</v>
      </c>
      <c r="AB2638" s="360">
        <v>19.5</v>
      </c>
    </row>
    <row r="2639" spans="10:28" x14ac:dyDescent="0.2">
      <c r="J2639" s="358" t="str">
        <f t="shared" si="128"/>
        <v>2009MaleAllEth231</v>
      </c>
      <c r="K2639" s="359">
        <v>2009</v>
      </c>
      <c r="L2639" t="s">
        <v>20</v>
      </c>
      <c r="M2639" t="s">
        <v>27</v>
      </c>
      <c r="N2639">
        <v>23</v>
      </c>
      <c r="O2639">
        <v>1</v>
      </c>
      <c r="P2639">
        <v>16</v>
      </c>
      <c r="Q2639">
        <v>14.865517454432</v>
      </c>
      <c r="R2639">
        <v>7.3</v>
      </c>
      <c r="T2639" s="358" t="str">
        <f t="shared" si="129"/>
        <v>2008MaleAllEth24Poisoning by gases and vapours</v>
      </c>
      <c r="U2639" s="360">
        <v>2008</v>
      </c>
      <c r="V2639" s="360" t="s">
        <v>20</v>
      </c>
      <c r="W2639" s="360" t="s">
        <v>27</v>
      </c>
      <c r="X2639" s="360">
        <v>24</v>
      </c>
      <c r="Y2639" s="360" t="s">
        <v>46</v>
      </c>
      <c r="Z2639" s="360">
        <v>18</v>
      </c>
      <c r="AA2639" s="360">
        <v>125</v>
      </c>
      <c r="AB2639" s="360">
        <v>14.4</v>
      </c>
    </row>
    <row r="2640" spans="10:28" x14ac:dyDescent="0.2">
      <c r="J2640" s="358" t="str">
        <f t="shared" si="128"/>
        <v>2009MaleAllEth232</v>
      </c>
      <c r="K2640" s="359">
        <v>2009</v>
      </c>
      <c r="L2640" t="s">
        <v>20</v>
      </c>
      <c r="M2640" t="s">
        <v>27</v>
      </c>
      <c r="N2640">
        <v>23</v>
      </c>
      <c r="O2640">
        <v>2</v>
      </c>
      <c r="P2640">
        <v>25</v>
      </c>
      <c r="Q2640">
        <v>21.742961264162599</v>
      </c>
      <c r="R2640">
        <v>8.5</v>
      </c>
      <c r="T2640" s="358" t="str">
        <f t="shared" si="129"/>
        <v>2008MaleAllEth25Poisoning by gases and vapours</v>
      </c>
      <c r="U2640" s="360">
        <v>2008</v>
      </c>
      <c r="V2640" s="360" t="s">
        <v>20</v>
      </c>
      <c r="W2640" s="360" t="s">
        <v>27</v>
      </c>
      <c r="X2640" s="360">
        <v>25</v>
      </c>
      <c r="Y2640" s="360" t="s">
        <v>46</v>
      </c>
      <c r="Z2640" s="360">
        <v>8</v>
      </c>
      <c r="AA2640" s="360">
        <v>36</v>
      </c>
      <c r="AB2640" s="360">
        <v>22.2</v>
      </c>
    </row>
    <row r="2641" spans="10:28" x14ac:dyDescent="0.2">
      <c r="J2641" s="358" t="str">
        <f t="shared" si="128"/>
        <v>2009MaleAllEth233</v>
      </c>
      <c r="K2641" s="359">
        <v>2009</v>
      </c>
      <c r="L2641" t="s">
        <v>20</v>
      </c>
      <c r="M2641" t="s">
        <v>27</v>
      </c>
      <c r="N2641">
        <v>23</v>
      </c>
      <c r="O2641">
        <v>3</v>
      </c>
      <c r="P2641">
        <v>22</v>
      </c>
      <c r="Q2641">
        <v>18.892870170975598</v>
      </c>
      <c r="R2641">
        <v>7.9</v>
      </c>
      <c r="T2641" s="358" t="str">
        <f t="shared" si="129"/>
        <v>2008MaleAllEth22Poisoning by solids and liquids</v>
      </c>
      <c r="U2641" s="360">
        <v>2008</v>
      </c>
      <c r="V2641" s="360" t="s">
        <v>20</v>
      </c>
      <c r="W2641" s="360" t="s">
        <v>27</v>
      </c>
      <c r="X2641" s="360">
        <v>22</v>
      </c>
      <c r="Y2641" s="360" t="s">
        <v>47</v>
      </c>
      <c r="Z2641" s="360">
        <v>1</v>
      </c>
      <c r="AA2641" s="360">
        <v>83</v>
      </c>
      <c r="AB2641" s="360">
        <v>1.2</v>
      </c>
    </row>
    <row r="2642" spans="10:28" x14ac:dyDescent="0.2">
      <c r="J2642" s="358" t="str">
        <f t="shared" si="128"/>
        <v>2009MaleAllEth234</v>
      </c>
      <c r="K2642" s="359">
        <v>2009</v>
      </c>
      <c r="L2642" t="s">
        <v>20</v>
      </c>
      <c r="M2642" t="s">
        <v>27</v>
      </c>
      <c r="N2642">
        <v>23</v>
      </c>
      <c r="O2642">
        <v>4</v>
      </c>
      <c r="P2642">
        <v>31</v>
      </c>
      <c r="Q2642">
        <v>27.029107333088199</v>
      </c>
      <c r="R2642">
        <v>9.5</v>
      </c>
      <c r="T2642" s="358" t="str">
        <f t="shared" si="129"/>
        <v>2008MaleAllEth23Poisoning by solids and liquids</v>
      </c>
      <c r="U2642" s="360">
        <v>2008</v>
      </c>
      <c r="V2642" s="360" t="s">
        <v>20</v>
      </c>
      <c r="W2642" s="360" t="s">
        <v>27</v>
      </c>
      <c r="X2642" s="360">
        <v>23</v>
      </c>
      <c r="Y2642" s="360" t="s">
        <v>47</v>
      </c>
      <c r="Z2642" s="360">
        <v>6</v>
      </c>
      <c r="AA2642" s="360">
        <v>133</v>
      </c>
      <c r="AB2642" s="360">
        <v>4.5</v>
      </c>
    </row>
    <row r="2643" spans="10:28" x14ac:dyDescent="0.2">
      <c r="J2643" s="358" t="str">
        <f t="shared" si="128"/>
        <v>2009MaleAllEth235</v>
      </c>
      <c r="K2643" s="359">
        <v>2009</v>
      </c>
      <c r="L2643" t="s">
        <v>20</v>
      </c>
      <c r="M2643" t="s">
        <v>27</v>
      </c>
      <c r="N2643">
        <v>23</v>
      </c>
      <c r="O2643">
        <v>5</v>
      </c>
      <c r="P2643">
        <v>38</v>
      </c>
      <c r="Q2643">
        <v>35.8654983851957</v>
      </c>
      <c r="R2643">
        <v>11.4</v>
      </c>
      <c r="T2643" s="358" t="str">
        <f t="shared" si="129"/>
        <v>2008MaleAllEth24Poisoning by solids and liquids</v>
      </c>
      <c r="U2643" s="360">
        <v>2008</v>
      </c>
      <c r="V2643" s="360" t="s">
        <v>20</v>
      </c>
      <c r="W2643" s="360" t="s">
        <v>27</v>
      </c>
      <c r="X2643" s="360">
        <v>24</v>
      </c>
      <c r="Y2643" s="360" t="s">
        <v>47</v>
      </c>
      <c r="Z2643" s="360">
        <v>9</v>
      </c>
      <c r="AA2643" s="360">
        <v>125</v>
      </c>
      <c r="AB2643" s="360">
        <v>7.2</v>
      </c>
    </row>
    <row r="2644" spans="10:28" x14ac:dyDescent="0.2">
      <c r="J2644" s="358" t="str">
        <f t="shared" si="128"/>
        <v>2009MaleAllEth241</v>
      </c>
      <c r="K2644" s="359">
        <v>2009</v>
      </c>
      <c r="L2644" t="s">
        <v>20</v>
      </c>
      <c r="M2644" t="s">
        <v>27</v>
      </c>
      <c r="N2644">
        <v>24</v>
      </c>
      <c r="O2644">
        <v>1</v>
      </c>
      <c r="P2644">
        <v>20</v>
      </c>
      <c r="Q2644">
        <v>15.170119517774699</v>
      </c>
      <c r="R2644">
        <v>6.6</v>
      </c>
      <c r="T2644" s="358" t="str">
        <f t="shared" si="129"/>
        <v>2008MaleAllEth25Poisoning by solids and liquids</v>
      </c>
      <c r="U2644" s="360">
        <v>2008</v>
      </c>
      <c r="V2644" s="360" t="s">
        <v>20</v>
      </c>
      <c r="W2644" s="360" t="s">
        <v>27</v>
      </c>
      <c r="X2644" s="360">
        <v>25</v>
      </c>
      <c r="Y2644" s="360" t="s">
        <v>47</v>
      </c>
      <c r="Z2644" s="360">
        <v>5</v>
      </c>
      <c r="AA2644" s="360">
        <v>36</v>
      </c>
      <c r="AB2644" s="360">
        <v>13.9</v>
      </c>
    </row>
    <row r="2645" spans="10:28" x14ac:dyDescent="0.2">
      <c r="J2645" s="358" t="str">
        <f t="shared" si="128"/>
        <v>2009MaleAllEth242</v>
      </c>
      <c r="K2645" s="359">
        <v>2009</v>
      </c>
      <c r="L2645" t="s">
        <v>20</v>
      </c>
      <c r="M2645" t="s">
        <v>27</v>
      </c>
      <c r="N2645">
        <v>24</v>
      </c>
      <c r="O2645">
        <v>2</v>
      </c>
      <c r="P2645">
        <v>28</v>
      </c>
      <c r="Q2645">
        <v>24.278807964491701</v>
      </c>
      <c r="R2645">
        <v>9</v>
      </c>
      <c r="T2645" s="358" t="str">
        <f t="shared" si="129"/>
        <v>2008MaleAllEth23Sharp object</v>
      </c>
      <c r="U2645" s="360">
        <v>2008</v>
      </c>
      <c r="V2645" s="360" t="s">
        <v>20</v>
      </c>
      <c r="W2645" s="360" t="s">
        <v>27</v>
      </c>
      <c r="X2645" s="360">
        <v>23</v>
      </c>
      <c r="Y2645" s="360" t="s">
        <v>48</v>
      </c>
      <c r="Z2645" s="360">
        <v>3</v>
      </c>
      <c r="AA2645" s="360">
        <v>133</v>
      </c>
      <c r="AB2645" s="360">
        <v>2.2999999999999998</v>
      </c>
    </row>
    <row r="2646" spans="10:28" x14ac:dyDescent="0.2">
      <c r="J2646" s="358" t="str">
        <f t="shared" si="128"/>
        <v>2009MaleAllEth243</v>
      </c>
      <c r="K2646" s="359">
        <v>2009</v>
      </c>
      <c r="L2646" t="s">
        <v>20</v>
      </c>
      <c r="M2646" t="s">
        <v>27</v>
      </c>
      <c r="N2646">
        <v>24</v>
      </c>
      <c r="O2646">
        <v>3</v>
      </c>
      <c r="P2646">
        <v>15</v>
      </c>
      <c r="Q2646">
        <v>14.558199814064499</v>
      </c>
      <c r="R2646">
        <v>7.4</v>
      </c>
      <c r="T2646" s="358" t="str">
        <f t="shared" si="129"/>
        <v>2008MaleAllEth24Sharp object</v>
      </c>
      <c r="U2646" s="360">
        <v>2008</v>
      </c>
      <c r="V2646" s="360" t="s">
        <v>20</v>
      </c>
      <c r="W2646" s="360" t="s">
        <v>27</v>
      </c>
      <c r="X2646" s="360">
        <v>24</v>
      </c>
      <c r="Y2646" s="360" t="s">
        <v>48</v>
      </c>
      <c r="Z2646" s="360">
        <v>7</v>
      </c>
      <c r="AA2646" s="360">
        <v>125</v>
      </c>
      <c r="AB2646" s="360">
        <v>5.6</v>
      </c>
    </row>
    <row r="2647" spans="10:28" x14ac:dyDescent="0.2">
      <c r="J2647" s="358" t="str">
        <f t="shared" si="128"/>
        <v>2009MaleAllEth244</v>
      </c>
      <c r="K2647" s="359">
        <v>2009</v>
      </c>
      <c r="L2647" t="s">
        <v>20</v>
      </c>
      <c r="M2647" t="s">
        <v>27</v>
      </c>
      <c r="N2647">
        <v>24</v>
      </c>
      <c r="O2647">
        <v>4</v>
      </c>
      <c r="P2647">
        <v>32</v>
      </c>
      <c r="Q2647">
        <v>34.1317636224681</v>
      </c>
      <c r="R2647">
        <v>11.8</v>
      </c>
      <c r="T2647" s="358" t="str">
        <f t="shared" si="129"/>
        <v>2008MaleAllEth25Sharp object</v>
      </c>
      <c r="U2647" s="360">
        <v>2008</v>
      </c>
      <c r="V2647" s="360" t="s">
        <v>20</v>
      </c>
      <c r="W2647" s="360" t="s">
        <v>27</v>
      </c>
      <c r="X2647" s="360">
        <v>25</v>
      </c>
      <c r="Y2647" s="360" t="s">
        <v>48</v>
      </c>
      <c r="Z2647" s="360">
        <v>2</v>
      </c>
      <c r="AA2647" s="360">
        <v>36</v>
      </c>
      <c r="AB2647" s="360">
        <v>5.6</v>
      </c>
    </row>
    <row r="2648" spans="10:28" x14ac:dyDescent="0.2">
      <c r="J2648" s="358" t="str">
        <f t="shared" si="128"/>
        <v>2009MaleAllEth245</v>
      </c>
      <c r="K2648" s="359">
        <v>2009</v>
      </c>
      <c r="L2648" t="s">
        <v>20</v>
      </c>
      <c r="M2648" t="s">
        <v>27</v>
      </c>
      <c r="N2648">
        <v>24</v>
      </c>
      <c r="O2648">
        <v>5</v>
      </c>
      <c r="P2648">
        <v>23</v>
      </c>
      <c r="Q2648">
        <v>27.585895980860901</v>
      </c>
      <c r="R2648">
        <v>11.3</v>
      </c>
      <c r="T2648" s="358" t="str">
        <f t="shared" si="129"/>
        <v>2008MaleAllEth24Submersion (drowning)</v>
      </c>
      <c r="U2648" s="360">
        <v>2008</v>
      </c>
      <c r="V2648" s="360" t="s">
        <v>20</v>
      </c>
      <c r="W2648" s="360" t="s">
        <v>27</v>
      </c>
      <c r="X2648" s="360">
        <v>24</v>
      </c>
      <c r="Y2648" s="360" t="s">
        <v>49</v>
      </c>
      <c r="Z2648" s="360">
        <v>4</v>
      </c>
      <c r="AA2648" s="360">
        <v>125</v>
      </c>
      <c r="AB2648" s="360">
        <v>3.2</v>
      </c>
    </row>
    <row r="2649" spans="10:28" x14ac:dyDescent="0.2">
      <c r="J2649" s="358" t="str">
        <f t="shared" si="128"/>
        <v>2009MaleAllEth251</v>
      </c>
      <c r="K2649" s="359">
        <v>2009</v>
      </c>
      <c r="L2649" t="s">
        <v>20</v>
      </c>
      <c r="M2649" t="s">
        <v>27</v>
      </c>
      <c r="N2649">
        <v>25</v>
      </c>
      <c r="O2649">
        <v>1</v>
      </c>
      <c r="P2649">
        <v>10</v>
      </c>
      <c r="Q2649">
        <v>19.667136601592802</v>
      </c>
      <c r="R2649">
        <v>12.2</v>
      </c>
      <c r="T2649" s="358" t="str">
        <f t="shared" si="129"/>
        <v>2008MaleAllEth25Submersion (drowning)</v>
      </c>
      <c r="U2649" s="360">
        <v>2008</v>
      </c>
      <c r="V2649" s="360" t="s">
        <v>20</v>
      </c>
      <c r="W2649" s="360" t="s">
        <v>27</v>
      </c>
      <c r="X2649" s="360">
        <v>25</v>
      </c>
      <c r="Y2649" s="360" t="s">
        <v>49</v>
      </c>
      <c r="Z2649" s="360">
        <v>1</v>
      </c>
      <c r="AA2649" s="360">
        <v>36</v>
      </c>
      <c r="AB2649" s="360">
        <v>2.8</v>
      </c>
    </row>
    <row r="2650" spans="10:28" x14ac:dyDescent="0.2">
      <c r="J2650" s="358" t="str">
        <f t="shared" si="128"/>
        <v>2009MaleAllEth252</v>
      </c>
      <c r="K2650" s="359">
        <v>2009</v>
      </c>
      <c r="L2650" t="s">
        <v>20</v>
      </c>
      <c r="M2650" t="s">
        <v>27</v>
      </c>
      <c r="N2650">
        <v>25</v>
      </c>
      <c r="O2650">
        <v>2</v>
      </c>
      <c r="P2650">
        <v>6</v>
      </c>
      <c r="Q2650">
        <v>11.5649188746376</v>
      </c>
      <c r="R2650">
        <v>9.3000000000000007</v>
      </c>
      <c r="T2650" s="358" t="str">
        <f t="shared" si="129"/>
        <v>2008MaleMaori24Firearms and explosives</v>
      </c>
      <c r="U2650" s="360">
        <v>2008</v>
      </c>
      <c r="V2650" s="360" t="s">
        <v>20</v>
      </c>
      <c r="W2650" s="360" t="s">
        <v>18</v>
      </c>
      <c r="X2650" s="360">
        <v>24</v>
      </c>
      <c r="Y2650" s="360" t="s">
        <v>42</v>
      </c>
      <c r="Z2650" s="360">
        <v>2</v>
      </c>
      <c r="AA2650" s="360">
        <v>8</v>
      </c>
      <c r="AB2650" s="360">
        <v>25</v>
      </c>
    </row>
    <row r="2651" spans="10:28" x14ac:dyDescent="0.2">
      <c r="J2651" s="358" t="str">
        <f t="shared" si="128"/>
        <v>2009MaleAllEth253</v>
      </c>
      <c r="K2651" s="359">
        <v>2009</v>
      </c>
      <c r="L2651" t="s">
        <v>20</v>
      </c>
      <c r="M2651" t="s">
        <v>27</v>
      </c>
      <c r="N2651">
        <v>25</v>
      </c>
      <c r="O2651">
        <v>3</v>
      </c>
      <c r="P2651">
        <v>7</v>
      </c>
      <c r="Q2651">
        <v>13.2183262030567</v>
      </c>
      <c r="R2651">
        <v>9.8000000000000007</v>
      </c>
      <c r="T2651" s="358" t="str">
        <f t="shared" si="129"/>
        <v>2008MaleMaori21Hanging, strangulation and suffocation</v>
      </c>
      <c r="U2651" s="360">
        <v>2008</v>
      </c>
      <c r="V2651" s="360" t="s">
        <v>20</v>
      </c>
      <c r="W2651" s="360" t="s">
        <v>18</v>
      </c>
      <c r="X2651" s="360">
        <v>21</v>
      </c>
      <c r="Y2651" s="360" t="s">
        <v>43</v>
      </c>
      <c r="Z2651" s="360">
        <v>2</v>
      </c>
      <c r="AA2651" s="360">
        <v>2</v>
      </c>
      <c r="AB2651" s="360">
        <v>100</v>
      </c>
    </row>
    <row r="2652" spans="10:28" x14ac:dyDescent="0.2">
      <c r="J2652" s="358" t="str">
        <f t="shared" si="128"/>
        <v>2009MaleAllEth254</v>
      </c>
      <c r="K2652" s="359">
        <v>2009</v>
      </c>
      <c r="L2652" t="s">
        <v>20</v>
      </c>
      <c r="M2652" t="s">
        <v>27</v>
      </c>
      <c r="N2652">
        <v>25</v>
      </c>
      <c r="O2652">
        <v>4</v>
      </c>
      <c r="P2652">
        <v>9</v>
      </c>
      <c r="Q2652">
        <v>17.4621556014257</v>
      </c>
      <c r="R2652">
        <v>11.4</v>
      </c>
      <c r="T2652" s="358" t="str">
        <f t="shared" si="129"/>
        <v>2008MaleMaori22Hanging, strangulation and suffocation</v>
      </c>
      <c r="U2652" s="360">
        <v>2008</v>
      </c>
      <c r="V2652" s="360" t="s">
        <v>20</v>
      </c>
      <c r="W2652" s="360" t="s">
        <v>18</v>
      </c>
      <c r="X2652" s="360">
        <v>22</v>
      </c>
      <c r="Y2652" s="360" t="s">
        <v>43</v>
      </c>
      <c r="Z2652" s="360">
        <v>17</v>
      </c>
      <c r="AA2652" s="360">
        <v>17</v>
      </c>
      <c r="AB2652" s="360">
        <v>100</v>
      </c>
    </row>
    <row r="2653" spans="10:28" x14ac:dyDescent="0.2">
      <c r="J2653" s="358" t="str">
        <f t="shared" si="128"/>
        <v>2009MaleAllEth255</v>
      </c>
      <c r="K2653" s="359">
        <v>2009</v>
      </c>
      <c r="L2653" t="s">
        <v>20</v>
      </c>
      <c r="M2653" t="s">
        <v>27</v>
      </c>
      <c r="N2653">
        <v>25</v>
      </c>
      <c r="O2653">
        <v>5</v>
      </c>
      <c r="P2653">
        <v>8</v>
      </c>
      <c r="Q2653">
        <v>19.316248384314399</v>
      </c>
      <c r="R2653">
        <v>13.4</v>
      </c>
      <c r="T2653" s="358" t="str">
        <f t="shared" si="129"/>
        <v>2008MaleMaori23Hanging, strangulation and suffocation</v>
      </c>
      <c r="U2653" s="360">
        <v>2008</v>
      </c>
      <c r="V2653" s="360" t="s">
        <v>20</v>
      </c>
      <c r="W2653" s="360" t="s">
        <v>18</v>
      </c>
      <c r="X2653" s="360">
        <v>23</v>
      </c>
      <c r="Y2653" s="360" t="s">
        <v>43</v>
      </c>
      <c r="Z2653" s="360">
        <v>24</v>
      </c>
      <c r="AA2653" s="360">
        <v>28</v>
      </c>
      <c r="AB2653" s="360">
        <v>85.7</v>
      </c>
    </row>
    <row r="2654" spans="10:28" x14ac:dyDescent="0.2">
      <c r="J2654" s="358" t="str">
        <f t="shared" si="128"/>
        <v>2009MaleMaori211</v>
      </c>
      <c r="K2654" s="359">
        <v>2009</v>
      </c>
      <c r="L2654" t="s">
        <v>20</v>
      </c>
      <c r="M2654" t="s">
        <v>18</v>
      </c>
      <c r="N2654">
        <v>21</v>
      </c>
      <c r="O2654">
        <v>1</v>
      </c>
      <c r="P2654">
        <v>1</v>
      </c>
      <c r="T2654" s="358" t="str">
        <f t="shared" si="129"/>
        <v>2008MaleMaori24Hanging, strangulation and suffocation</v>
      </c>
      <c r="U2654" s="360">
        <v>2008</v>
      </c>
      <c r="V2654" s="360" t="s">
        <v>20</v>
      </c>
      <c r="W2654" s="360" t="s">
        <v>18</v>
      </c>
      <c r="X2654" s="360">
        <v>24</v>
      </c>
      <c r="Y2654" s="360" t="s">
        <v>43</v>
      </c>
      <c r="Z2654" s="360">
        <v>5</v>
      </c>
      <c r="AA2654" s="360">
        <v>8</v>
      </c>
      <c r="AB2654" s="360">
        <v>62.5</v>
      </c>
    </row>
    <row r="2655" spans="10:28" x14ac:dyDescent="0.2">
      <c r="J2655" s="358" t="str">
        <f t="shared" si="128"/>
        <v>2009MaleMaori212</v>
      </c>
      <c r="K2655" s="359">
        <v>2009</v>
      </c>
      <c r="L2655" t="s">
        <v>20</v>
      </c>
      <c r="M2655" t="s">
        <v>18</v>
      </c>
      <c r="N2655">
        <v>21</v>
      </c>
      <c r="O2655">
        <v>2</v>
      </c>
      <c r="P2655">
        <v>1</v>
      </c>
      <c r="T2655" s="358" t="str">
        <f t="shared" si="129"/>
        <v>2008MaleMaori23Other</v>
      </c>
      <c r="U2655" s="360">
        <v>2008</v>
      </c>
      <c r="V2655" s="360" t="s">
        <v>20</v>
      </c>
      <c r="W2655" s="360" t="s">
        <v>18</v>
      </c>
      <c r="X2655" s="360">
        <v>23</v>
      </c>
      <c r="Y2655" s="360" t="s">
        <v>45</v>
      </c>
      <c r="Z2655" s="360">
        <v>1</v>
      </c>
      <c r="AA2655" s="360">
        <v>28</v>
      </c>
      <c r="AB2655" s="360">
        <v>3.6</v>
      </c>
    </row>
    <row r="2656" spans="10:28" x14ac:dyDescent="0.2">
      <c r="J2656" s="358" t="str">
        <f t="shared" si="128"/>
        <v>2009MaleMaori213</v>
      </c>
      <c r="K2656" s="359">
        <v>2009</v>
      </c>
      <c r="L2656" t="s">
        <v>20</v>
      </c>
      <c r="M2656" t="s">
        <v>18</v>
      </c>
      <c r="N2656">
        <v>21</v>
      </c>
      <c r="O2656">
        <v>3</v>
      </c>
      <c r="P2656">
        <v>1</v>
      </c>
      <c r="T2656" s="358" t="str">
        <f t="shared" si="129"/>
        <v>2008MaleMaori24Other</v>
      </c>
      <c r="U2656" s="360">
        <v>2008</v>
      </c>
      <c r="V2656" s="360" t="s">
        <v>20</v>
      </c>
      <c r="W2656" s="360" t="s">
        <v>18</v>
      </c>
      <c r="X2656" s="360">
        <v>24</v>
      </c>
      <c r="Y2656" s="360" t="s">
        <v>45</v>
      </c>
      <c r="Z2656" s="360">
        <v>1</v>
      </c>
      <c r="AA2656" s="360">
        <v>8</v>
      </c>
      <c r="AB2656" s="360">
        <v>12.5</v>
      </c>
    </row>
    <row r="2657" spans="10:28" x14ac:dyDescent="0.2">
      <c r="J2657" s="358" t="str">
        <f t="shared" si="128"/>
        <v>2009MaleMaori214</v>
      </c>
      <c r="K2657" s="359">
        <v>2009</v>
      </c>
      <c r="L2657" t="s">
        <v>20</v>
      </c>
      <c r="M2657" t="s">
        <v>18</v>
      </c>
      <c r="N2657">
        <v>21</v>
      </c>
      <c r="O2657">
        <v>4</v>
      </c>
      <c r="P2657">
        <v>0</v>
      </c>
      <c r="T2657" s="358" t="str">
        <f t="shared" si="129"/>
        <v>2008MaleMaori23Poisoning by gases and vapours</v>
      </c>
      <c r="U2657" s="360">
        <v>2008</v>
      </c>
      <c r="V2657" s="360" t="s">
        <v>20</v>
      </c>
      <c r="W2657" s="360" t="s">
        <v>18</v>
      </c>
      <c r="X2657" s="360">
        <v>23</v>
      </c>
      <c r="Y2657" s="360" t="s">
        <v>46</v>
      </c>
      <c r="Z2657" s="360">
        <v>2</v>
      </c>
      <c r="AA2657" s="360">
        <v>28</v>
      </c>
      <c r="AB2657" s="360">
        <v>7.1</v>
      </c>
    </row>
    <row r="2658" spans="10:28" x14ac:dyDescent="0.2">
      <c r="J2658" s="358" t="str">
        <f t="shared" si="128"/>
        <v>2009MaleMaori215</v>
      </c>
      <c r="K2658" s="359">
        <v>2009</v>
      </c>
      <c r="L2658" t="s">
        <v>20</v>
      </c>
      <c r="M2658" t="s">
        <v>18</v>
      </c>
      <c r="N2658">
        <v>21</v>
      </c>
      <c r="O2658">
        <v>5</v>
      </c>
      <c r="P2658">
        <v>0</v>
      </c>
      <c r="T2658" s="358" t="str">
        <f t="shared" si="129"/>
        <v>2008MaleMaori23Poisoning by solids and liquids</v>
      </c>
      <c r="U2658" s="360">
        <v>2008</v>
      </c>
      <c r="V2658" s="360" t="s">
        <v>20</v>
      </c>
      <c r="W2658" s="360" t="s">
        <v>18</v>
      </c>
      <c r="X2658" s="360">
        <v>23</v>
      </c>
      <c r="Y2658" s="360" t="s">
        <v>47</v>
      </c>
      <c r="Z2658" s="360">
        <v>1</v>
      </c>
      <c r="AA2658" s="360">
        <v>28</v>
      </c>
      <c r="AB2658" s="360">
        <v>3.6</v>
      </c>
    </row>
    <row r="2659" spans="10:28" x14ac:dyDescent="0.2">
      <c r="J2659" s="358" t="str">
        <f t="shared" si="128"/>
        <v>2009MaleMaori221</v>
      </c>
      <c r="K2659" s="359">
        <v>2009</v>
      </c>
      <c r="L2659" t="s">
        <v>20</v>
      </c>
      <c r="M2659" t="s">
        <v>18</v>
      </c>
      <c r="N2659">
        <v>22</v>
      </c>
      <c r="O2659">
        <v>1</v>
      </c>
      <c r="P2659">
        <v>1</v>
      </c>
      <c r="Q2659">
        <v>22.273904800321102</v>
      </c>
      <c r="R2659">
        <v>43.7</v>
      </c>
      <c r="T2659" s="358" t="str">
        <f t="shared" si="129"/>
        <v>2008MaleMaori25Sharp object</v>
      </c>
      <c r="U2659" s="360">
        <v>2008</v>
      </c>
      <c r="V2659" s="360" t="s">
        <v>20</v>
      </c>
      <c r="W2659" s="360" t="s">
        <v>18</v>
      </c>
      <c r="X2659" s="360">
        <v>25</v>
      </c>
      <c r="Y2659" s="360" t="s">
        <v>48</v>
      </c>
      <c r="Z2659" s="360">
        <v>1</v>
      </c>
      <c r="AA2659" s="360">
        <v>1</v>
      </c>
      <c r="AB2659" s="360">
        <v>100</v>
      </c>
    </row>
    <row r="2660" spans="10:28" x14ac:dyDescent="0.2">
      <c r="J2660" s="358" t="str">
        <f t="shared" si="128"/>
        <v>2009MaleMaori222</v>
      </c>
      <c r="K2660" s="359">
        <v>2009</v>
      </c>
      <c r="L2660" t="s">
        <v>20</v>
      </c>
      <c r="M2660" t="s">
        <v>18</v>
      </c>
      <c r="N2660">
        <v>22</v>
      </c>
      <c r="O2660">
        <v>2</v>
      </c>
      <c r="P2660">
        <v>1</v>
      </c>
      <c r="Q2660">
        <v>15.086297384160201</v>
      </c>
      <c r="R2660">
        <v>29.6</v>
      </c>
      <c r="T2660" s="358" t="str">
        <f t="shared" si="129"/>
        <v>2008MaleNon-Maori22Firearms and explosives</v>
      </c>
      <c r="U2660" s="360">
        <v>2008</v>
      </c>
      <c r="V2660" s="360" t="s">
        <v>20</v>
      </c>
      <c r="W2660" s="360" t="s">
        <v>19</v>
      </c>
      <c r="X2660" s="360">
        <v>22</v>
      </c>
      <c r="Y2660" s="360" t="s">
        <v>42</v>
      </c>
      <c r="Z2660" s="360">
        <v>5</v>
      </c>
      <c r="AA2660" s="360">
        <v>66</v>
      </c>
      <c r="AB2660" s="360">
        <v>7.6</v>
      </c>
    </row>
    <row r="2661" spans="10:28" x14ac:dyDescent="0.2">
      <c r="J2661" s="358" t="str">
        <f t="shared" si="128"/>
        <v>2009MaleMaori223</v>
      </c>
      <c r="K2661" s="359">
        <v>2009</v>
      </c>
      <c r="L2661" t="s">
        <v>20</v>
      </c>
      <c r="M2661" t="s">
        <v>18</v>
      </c>
      <c r="N2661">
        <v>22</v>
      </c>
      <c r="O2661">
        <v>3</v>
      </c>
      <c r="P2661">
        <v>4</v>
      </c>
      <c r="Q2661">
        <v>40.672735918141697</v>
      </c>
      <c r="R2661">
        <v>39.9</v>
      </c>
      <c r="T2661" s="358" t="str">
        <f t="shared" si="129"/>
        <v>2008MaleNon-Maori23Firearms and explosives</v>
      </c>
      <c r="U2661" s="360">
        <v>2008</v>
      </c>
      <c r="V2661" s="360" t="s">
        <v>20</v>
      </c>
      <c r="W2661" s="360" t="s">
        <v>19</v>
      </c>
      <c r="X2661" s="360">
        <v>23</v>
      </c>
      <c r="Y2661" s="360" t="s">
        <v>42</v>
      </c>
      <c r="Z2661" s="360">
        <v>7</v>
      </c>
      <c r="AA2661" s="360">
        <v>105</v>
      </c>
      <c r="AB2661" s="360">
        <v>6.7</v>
      </c>
    </row>
    <row r="2662" spans="10:28" x14ac:dyDescent="0.2">
      <c r="J2662" s="358" t="str">
        <f t="shared" si="128"/>
        <v>2009MaleMaori224</v>
      </c>
      <c r="K2662" s="359">
        <v>2009</v>
      </c>
      <c r="L2662" t="s">
        <v>20</v>
      </c>
      <c r="M2662" t="s">
        <v>18</v>
      </c>
      <c r="N2662">
        <v>22</v>
      </c>
      <c r="O2662">
        <v>4</v>
      </c>
      <c r="P2662">
        <v>4</v>
      </c>
      <c r="Q2662">
        <v>27.976926755755599</v>
      </c>
      <c r="R2662">
        <v>27.4</v>
      </c>
      <c r="T2662" s="358" t="str">
        <f t="shared" si="129"/>
        <v>2008MaleNon-Maori24Firearms and explosives</v>
      </c>
      <c r="U2662" s="360">
        <v>2008</v>
      </c>
      <c r="V2662" s="360" t="s">
        <v>20</v>
      </c>
      <c r="W2662" s="360" t="s">
        <v>19</v>
      </c>
      <c r="X2662" s="360">
        <v>24</v>
      </c>
      <c r="Y2662" s="360" t="s">
        <v>42</v>
      </c>
      <c r="Z2662" s="360">
        <v>15</v>
      </c>
      <c r="AA2662" s="360">
        <v>117</v>
      </c>
      <c r="AB2662" s="360">
        <v>12.8</v>
      </c>
    </row>
    <row r="2663" spans="10:28" x14ac:dyDescent="0.2">
      <c r="J2663" s="358" t="str">
        <f t="shared" si="128"/>
        <v>2009MaleMaori225</v>
      </c>
      <c r="K2663" s="359">
        <v>2009</v>
      </c>
      <c r="L2663" t="s">
        <v>20</v>
      </c>
      <c r="M2663" t="s">
        <v>18</v>
      </c>
      <c r="N2663">
        <v>22</v>
      </c>
      <c r="O2663">
        <v>5</v>
      </c>
      <c r="P2663">
        <v>14</v>
      </c>
      <c r="Q2663">
        <v>57.1666200470737</v>
      </c>
      <c r="R2663">
        <v>29.9</v>
      </c>
      <c r="T2663" s="358" t="str">
        <f t="shared" si="129"/>
        <v>2008MaleNon-Maori25Firearms and explosives</v>
      </c>
      <c r="U2663" s="360">
        <v>2008</v>
      </c>
      <c r="V2663" s="360" t="s">
        <v>20</v>
      </c>
      <c r="W2663" s="360" t="s">
        <v>19</v>
      </c>
      <c r="X2663" s="360">
        <v>25</v>
      </c>
      <c r="Y2663" s="360" t="s">
        <v>42</v>
      </c>
      <c r="Z2663" s="360">
        <v>11</v>
      </c>
      <c r="AA2663" s="360">
        <v>35</v>
      </c>
      <c r="AB2663" s="360">
        <v>31.4</v>
      </c>
    </row>
    <row r="2664" spans="10:28" x14ac:dyDescent="0.2">
      <c r="J2664" s="358" t="str">
        <f t="shared" si="128"/>
        <v>2009MaleMaori231</v>
      </c>
      <c r="K2664" s="359">
        <v>2009</v>
      </c>
      <c r="L2664" t="s">
        <v>20</v>
      </c>
      <c r="M2664" t="s">
        <v>18</v>
      </c>
      <c r="N2664">
        <v>23</v>
      </c>
      <c r="O2664">
        <v>1</v>
      </c>
      <c r="P2664">
        <v>1</v>
      </c>
      <c r="Q2664">
        <v>14.4299743366775</v>
      </c>
      <c r="R2664">
        <v>28.3</v>
      </c>
      <c r="T2664" s="358" t="str">
        <f t="shared" si="129"/>
        <v>2008MaleNon-Maori22Hanging, strangulation and suffocation</v>
      </c>
      <c r="U2664" s="360">
        <v>2008</v>
      </c>
      <c r="V2664" s="360" t="s">
        <v>20</v>
      </c>
      <c r="W2664" s="360" t="s">
        <v>19</v>
      </c>
      <c r="X2664" s="360">
        <v>22</v>
      </c>
      <c r="Y2664" s="360" t="s">
        <v>43</v>
      </c>
      <c r="Z2664" s="360">
        <v>41</v>
      </c>
      <c r="AA2664" s="360">
        <v>66</v>
      </c>
      <c r="AB2664" s="360">
        <v>62.1</v>
      </c>
    </row>
    <row r="2665" spans="10:28" x14ac:dyDescent="0.2">
      <c r="J2665" s="358" t="str">
        <f t="shared" si="128"/>
        <v>2009MaleMaori232</v>
      </c>
      <c r="K2665" s="359">
        <v>2009</v>
      </c>
      <c r="L2665" t="s">
        <v>20</v>
      </c>
      <c r="M2665" t="s">
        <v>18</v>
      </c>
      <c r="N2665">
        <v>23</v>
      </c>
      <c r="O2665">
        <v>2</v>
      </c>
      <c r="P2665">
        <v>4</v>
      </c>
      <c r="Q2665">
        <v>40.4658146024221</v>
      </c>
      <c r="R2665">
        <v>39.700000000000003</v>
      </c>
      <c r="T2665" s="358" t="str">
        <f t="shared" si="129"/>
        <v>2008MaleNon-Maori23Hanging, strangulation and suffocation</v>
      </c>
      <c r="U2665" s="360">
        <v>2008</v>
      </c>
      <c r="V2665" s="360" t="s">
        <v>20</v>
      </c>
      <c r="W2665" s="360" t="s">
        <v>19</v>
      </c>
      <c r="X2665" s="360">
        <v>23</v>
      </c>
      <c r="Y2665" s="360" t="s">
        <v>43</v>
      </c>
      <c r="Z2665" s="360">
        <v>57</v>
      </c>
      <c r="AA2665" s="360">
        <v>105</v>
      </c>
      <c r="AB2665" s="360">
        <v>54.3</v>
      </c>
    </row>
    <row r="2666" spans="10:28" x14ac:dyDescent="0.2">
      <c r="J2666" s="358" t="str">
        <f t="shared" si="128"/>
        <v>2009MaleMaori233</v>
      </c>
      <c r="K2666" s="359">
        <v>2009</v>
      </c>
      <c r="L2666" t="s">
        <v>20</v>
      </c>
      <c r="M2666" t="s">
        <v>18</v>
      </c>
      <c r="N2666">
        <v>23</v>
      </c>
      <c r="O2666">
        <v>3</v>
      </c>
      <c r="P2666">
        <v>3</v>
      </c>
      <c r="Q2666">
        <v>21.997401196265901</v>
      </c>
      <c r="R2666">
        <v>24.9</v>
      </c>
      <c r="T2666" s="358" t="str">
        <f t="shared" si="129"/>
        <v>2008MaleNon-Maori24Hanging, strangulation and suffocation</v>
      </c>
      <c r="U2666" s="360">
        <v>2008</v>
      </c>
      <c r="V2666" s="360" t="s">
        <v>20</v>
      </c>
      <c r="W2666" s="360" t="s">
        <v>19</v>
      </c>
      <c r="X2666" s="360">
        <v>24</v>
      </c>
      <c r="Y2666" s="360" t="s">
        <v>43</v>
      </c>
      <c r="Z2666" s="360">
        <v>56</v>
      </c>
      <c r="AA2666" s="360">
        <v>117</v>
      </c>
      <c r="AB2666" s="360">
        <v>47.9</v>
      </c>
    </row>
    <row r="2667" spans="10:28" x14ac:dyDescent="0.2">
      <c r="J2667" s="358" t="str">
        <f t="shared" si="128"/>
        <v>2009MaleMaori234</v>
      </c>
      <c r="K2667" s="359">
        <v>2009</v>
      </c>
      <c r="L2667" t="s">
        <v>20</v>
      </c>
      <c r="M2667" t="s">
        <v>18</v>
      </c>
      <c r="N2667">
        <v>23</v>
      </c>
      <c r="O2667">
        <v>4</v>
      </c>
      <c r="P2667">
        <v>6</v>
      </c>
      <c r="Q2667">
        <v>32.0889021429088</v>
      </c>
      <c r="R2667">
        <v>25.7</v>
      </c>
      <c r="T2667" s="358" t="str">
        <f t="shared" si="129"/>
        <v>2008MaleNon-Maori25Hanging, strangulation and suffocation</v>
      </c>
      <c r="U2667" s="360">
        <v>2008</v>
      </c>
      <c r="V2667" s="360" t="s">
        <v>20</v>
      </c>
      <c r="W2667" s="360" t="s">
        <v>19</v>
      </c>
      <c r="X2667" s="360">
        <v>25</v>
      </c>
      <c r="Y2667" s="360" t="s">
        <v>43</v>
      </c>
      <c r="Z2667" s="360">
        <v>8</v>
      </c>
      <c r="AA2667" s="360">
        <v>35</v>
      </c>
      <c r="AB2667" s="360">
        <v>22.9</v>
      </c>
    </row>
    <row r="2668" spans="10:28" x14ac:dyDescent="0.2">
      <c r="J2668" s="358" t="str">
        <f t="shared" si="128"/>
        <v>2009MaleMaori235</v>
      </c>
      <c r="K2668" s="359">
        <v>2009</v>
      </c>
      <c r="L2668" t="s">
        <v>20</v>
      </c>
      <c r="M2668" t="s">
        <v>18</v>
      </c>
      <c r="N2668">
        <v>23</v>
      </c>
      <c r="O2668">
        <v>5</v>
      </c>
      <c r="P2668">
        <v>9</v>
      </c>
      <c r="Q2668">
        <v>30.8757749010548</v>
      </c>
      <c r="R2668">
        <v>20.2</v>
      </c>
      <c r="T2668" s="358" t="str">
        <f t="shared" si="129"/>
        <v>2008MaleNon-Maori22Jumping from a high place</v>
      </c>
      <c r="U2668" s="360">
        <v>2008</v>
      </c>
      <c r="V2668" s="360" t="s">
        <v>20</v>
      </c>
      <c r="W2668" s="360" t="s">
        <v>19</v>
      </c>
      <c r="X2668" s="360">
        <v>22</v>
      </c>
      <c r="Y2668" s="360" t="s">
        <v>44</v>
      </c>
      <c r="Z2668" s="360">
        <v>3</v>
      </c>
      <c r="AA2668" s="360">
        <v>66</v>
      </c>
      <c r="AB2668" s="360">
        <v>4.5</v>
      </c>
    </row>
    <row r="2669" spans="10:28" x14ac:dyDescent="0.2">
      <c r="J2669" s="358" t="str">
        <f t="shared" si="128"/>
        <v>2009MaleMaori241</v>
      </c>
      <c r="K2669" s="359">
        <v>2009</v>
      </c>
      <c r="L2669" t="s">
        <v>20</v>
      </c>
      <c r="M2669" t="s">
        <v>18</v>
      </c>
      <c r="N2669">
        <v>24</v>
      </c>
      <c r="O2669">
        <v>1</v>
      </c>
      <c r="P2669">
        <v>0</v>
      </c>
      <c r="Q2669">
        <v>0</v>
      </c>
      <c r="T2669" s="358" t="str">
        <f t="shared" si="129"/>
        <v>2008MaleNon-Maori23Jumping from a high place</v>
      </c>
      <c r="U2669" s="360">
        <v>2008</v>
      </c>
      <c r="V2669" s="360" t="s">
        <v>20</v>
      </c>
      <c r="W2669" s="360" t="s">
        <v>19</v>
      </c>
      <c r="X2669" s="360">
        <v>23</v>
      </c>
      <c r="Y2669" s="360" t="s">
        <v>44</v>
      </c>
      <c r="Z2669" s="360">
        <v>4</v>
      </c>
      <c r="AA2669" s="360">
        <v>105</v>
      </c>
      <c r="AB2669" s="360">
        <v>3.8</v>
      </c>
    </row>
    <row r="2670" spans="10:28" x14ac:dyDescent="0.2">
      <c r="J2670" s="358" t="str">
        <f t="shared" si="128"/>
        <v>2009MaleMaori242</v>
      </c>
      <c r="K2670" s="359">
        <v>2009</v>
      </c>
      <c r="L2670" t="s">
        <v>20</v>
      </c>
      <c r="M2670" t="s">
        <v>18</v>
      </c>
      <c r="N2670">
        <v>24</v>
      </c>
      <c r="O2670">
        <v>2</v>
      </c>
      <c r="P2670">
        <v>1</v>
      </c>
      <c r="Q2670">
        <v>15.8805877089326</v>
      </c>
      <c r="R2670">
        <v>31.1</v>
      </c>
      <c r="T2670" s="358" t="str">
        <f t="shared" si="129"/>
        <v>2008MaleNon-Maori24Jumping from a high place</v>
      </c>
      <c r="U2670" s="360">
        <v>2008</v>
      </c>
      <c r="V2670" s="360" t="s">
        <v>20</v>
      </c>
      <c r="W2670" s="360" t="s">
        <v>19</v>
      </c>
      <c r="X2670" s="360">
        <v>24</v>
      </c>
      <c r="Y2670" s="360" t="s">
        <v>44</v>
      </c>
      <c r="Z2670" s="360">
        <v>5</v>
      </c>
      <c r="AA2670" s="360">
        <v>117</v>
      </c>
      <c r="AB2670" s="360">
        <v>4.3</v>
      </c>
    </row>
    <row r="2671" spans="10:28" x14ac:dyDescent="0.2">
      <c r="J2671" s="358" t="str">
        <f t="shared" si="128"/>
        <v>2009MaleMaori243</v>
      </c>
      <c r="K2671" s="359">
        <v>2009</v>
      </c>
      <c r="L2671" t="s">
        <v>20</v>
      </c>
      <c r="M2671" t="s">
        <v>18</v>
      </c>
      <c r="N2671">
        <v>24</v>
      </c>
      <c r="O2671">
        <v>3</v>
      </c>
      <c r="P2671">
        <v>1</v>
      </c>
      <c r="Q2671">
        <v>11.5050402666163</v>
      </c>
      <c r="R2671">
        <v>22.5</v>
      </c>
      <c r="T2671" s="358" t="str">
        <f t="shared" si="129"/>
        <v>2008MaleNon-Maori22Other</v>
      </c>
      <c r="U2671" s="360">
        <v>2008</v>
      </c>
      <c r="V2671" s="360" t="s">
        <v>20</v>
      </c>
      <c r="W2671" s="360" t="s">
        <v>19</v>
      </c>
      <c r="X2671" s="360">
        <v>22</v>
      </c>
      <c r="Y2671" s="360" t="s">
        <v>45</v>
      </c>
      <c r="Z2671" s="360">
        <v>3</v>
      </c>
      <c r="AA2671" s="360">
        <v>66</v>
      </c>
      <c r="AB2671" s="360">
        <v>4.5</v>
      </c>
    </row>
    <row r="2672" spans="10:28" x14ac:dyDescent="0.2">
      <c r="J2672" s="358" t="str">
        <f t="shared" si="128"/>
        <v>2009MaleMaori244</v>
      </c>
      <c r="K2672" s="359">
        <v>2009</v>
      </c>
      <c r="L2672" t="s">
        <v>20</v>
      </c>
      <c r="M2672" t="s">
        <v>18</v>
      </c>
      <c r="N2672">
        <v>24</v>
      </c>
      <c r="O2672">
        <v>4</v>
      </c>
      <c r="P2672">
        <v>1</v>
      </c>
      <c r="Q2672">
        <v>8.2578249900464407</v>
      </c>
      <c r="R2672">
        <v>16.2</v>
      </c>
      <c r="T2672" s="358" t="str">
        <f t="shared" si="129"/>
        <v>2008MaleNon-Maori23Other</v>
      </c>
      <c r="U2672" s="360">
        <v>2008</v>
      </c>
      <c r="V2672" s="360" t="s">
        <v>20</v>
      </c>
      <c r="W2672" s="360" t="s">
        <v>19</v>
      </c>
      <c r="X2672" s="360">
        <v>23</v>
      </c>
      <c r="Y2672" s="360" t="s">
        <v>45</v>
      </c>
      <c r="Z2672" s="360">
        <v>5</v>
      </c>
      <c r="AA2672" s="360">
        <v>105</v>
      </c>
      <c r="AB2672" s="360">
        <v>4.8</v>
      </c>
    </row>
    <row r="2673" spans="10:28" x14ac:dyDescent="0.2">
      <c r="J2673" s="358" t="str">
        <f t="shared" si="128"/>
        <v>2009MaleMaori245</v>
      </c>
      <c r="K2673" s="359">
        <v>2009</v>
      </c>
      <c r="L2673" t="s">
        <v>20</v>
      </c>
      <c r="M2673" t="s">
        <v>18</v>
      </c>
      <c r="N2673">
        <v>24</v>
      </c>
      <c r="O2673">
        <v>5</v>
      </c>
      <c r="P2673">
        <v>4</v>
      </c>
      <c r="Q2673">
        <v>19.204652366840001</v>
      </c>
      <c r="R2673">
        <v>18.8</v>
      </c>
      <c r="T2673" s="358" t="str">
        <f t="shared" si="129"/>
        <v>2008MaleNon-Maori24Other</v>
      </c>
      <c r="U2673" s="360">
        <v>2008</v>
      </c>
      <c r="V2673" s="360" t="s">
        <v>20</v>
      </c>
      <c r="W2673" s="360" t="s">
        <v>19</v>
      </c>
      <c r="X2673" s="360">
        <v>24</v>
      </c>
      <c r="Y2673" s="360" t="s">
        <v>45</v>
      </c>
      <c r="Z2673" s="360">
        <v>3</v>
      </c>
      <c r="AA2673" s="360">
        <v>117</v>
      </c>
      <c r="AB2673" s="360">
        <v>2.6</v>
      </c>
    </row>
    <row r="2674" spans="10:28" x14ac:dyDescent="0.2">
      <c r="J2674" s="358" t="str">
        <f t="shared" si="128"/>
        <v>2009MaleMaori251</v>
      </c>
      <c r="K2674" s="359">
        <v>2009</v>
      </c>
      <c r="L2674" t="s">
        <v>20</v>
      </c>
      <c r="M2674" t="s">
        <v>18</v>
      </c>
      <c r="N2674">
        <v>25</v>
      </c>
      <c r="O2674">
        <v>1</v>
      </c>
      <c r="P2674">
        <v>1</v>
      </c>
      <c r="Q2674">
        <v>121.801996535203</v>
      </c>
      <c r="R2674">
        <v>238.7</v>
      </c>
      <c r="T2674" s="358" t="str">
        <f t="shared" si="129"/>
        <v>2008MaleNon-Maori25Other</v>
      </c>
      <c r="U2674" s="360">
        <v>2008</v>
      </c>
      <c r="V2674" s="360" t="s">
        <v>20</v>
      </c>
      <c r="W2674" s="360" t="s">
        <v>19</v>
      </c>
      <c r="X2674" s="360">
        <v>25</v>
      </c>
      <c r="Y2674" s="360" t="s">
        <v>45</v>
      </c>
      <c r="Z2674" s="360">
        <v>1</v>
      </c>
      <c r="AA2674" s="360">
        <v>35</v>
      </c>
      <c r="AB2674" s="360">
        <v>2.9</v>
      </c>
    </row>
    <row r="2675" spans="10:28" x14ac:dyDescent="0.2">
      <c r="J2675" s="358" t="str">
        <f t="shared" si="128"/>
        <v>2009MaleMaori252</v>
      </c>
      <c r="K2675" s="359">
        <v>2009</v>
      </c>
      <c r="L2675" t="s">
        <v>20</v>
      </c>
      <c r="M2675" t="s">
        <v>18</v>
      </c>
      <c r="N2675">
        <v>25</v>
      </c>
      <c r="O2675">
        <v>2</v>
      </c>
      <c r="P2675">
        <v>0</v>
      </c>
      <c r="Q2675">
        <v>0</v>
      </c>
      <c r="T2675" s="358" t="str">
        <f t="shared" si="129"/>
        <v>2008MaleNon-Maori22Poisoning by gases and vapours</v>
      </c>
      <c r="U2675" s="360">
        <v>2008</v>
      </c>
      <c r="V2675" s="360" t="s">
        <v>20</v>
      </c>
      <c r="W2675" s="360" t="s">
        <v>19</v>
      </c>
      <c r="X2675" s="360">
        <v>22</v>
      </c>
      <c r="Y2675" s="360" t="s">
        <v>46</v>
      </c>
      <c r="Z2675" s="360">
        <v>13</v>
      </c>
      <c r="AA2675" s="360">
        <v>66</v>
      </c>
      <c r="AB2675" s="360">
        <v>19.7</v>
      </c>
    </row>
    <row r="2676" spans="10:28" x14ac:dyDescent="0.2">
      <c r="J2676" s="358" t="str">
        <f t="shared" si="128"/>
        <v>2009MaleMaori253</v>
      </c>
      <c r="K2676" s="359">
        <v>2009</v>
      </c>
      <c r="L2676" t="s">
        <v>20</v>
      </c>
      <c r="M2676" t="s">
        <v>18</v>
      </c>
      <c r="N2676">
        <v>25</v>
      </c>
      <c r="O2676">
        <v>3</v>
      </c>
      <c r="P2676">
        <v>0</v>
      </c>
      <c r="Q2676">
        <v>0</v>
      </c>
      <c r="T2676" s="358" t="str">
        <f t="shared" si="129"/>
        <v>2008MaleNon-Maori23Poisoning by gases and vapours</v>
      </c>
      <c r="U2676" s="360">
        <v>2008</v>
      </c>
      <c r="V2676" s="360" t="s">
        <v>20</v>
      </c>
      <c r="W2676" s="360" t="s">
        <v>19</v>
      </c>
      <c r="X2676" s="360">
        <v>23</v>
      </c>
      <c r="Y2676" s="360" t="s">
        <v>46</v>
      </c>
      <c r="Z2676" s="360">
        <v>24</v>
      </c>
      <c r="AA2676" s="360">
        <v>105</v>
      </c>
      <c r="AB2676" s="360">
        <v>22.9</v>
      </c>
    </row>
    <row r="2677" spans="10:28" x14ac:dyDescent="0.2">
      <c r="J2677" s="358" t="str">
        <f t="shared" si="128"/>
        <v>2009MaleMaori254</v>
      </c>
      <c r="K2677" s="359">
        <v>2009</v>
      </c>
      <c r="L2677" t="s">
        <v>20</v>
      </c>
      <c r="M2677" t="s">
        <v>18</v>
      </c>
      <c r="N2677">
        <v>25</v>
      </c>
      <c r="O2677">
        <v>4</v>
      </c>
      <c r="P2677">
        <v>0</v>
      </c>
      <c r="Q2677">
        <v>0</v>
      </c>
      <c r="T2677" s="358" t="str">
        <f t="shared" si="129"/>
        <v>2008MaleNon-Maori24Poisoning by gases and vapours</v>
      </c>
      <c r="U2677" s="360">
        <v>2008</v>
      </c>
      <c r="V2677" s="360" t="s">
        <v>20</v>
      </c>
      <c r="W2677" s="360" t="s">
        <v>19</v>
      </c>
      <c r="X2677" s="360">
        <v>24</v>
      </c>
      <c r="Y2677" s="360" t="s">
        <v>46</v>
      </c>
      <c r="Z2677" s="360">
        <v>18</v>
      </c>
      <c r="AA2677" s="360">
        <v>117</v>
      </c>
      <c r="AB2677" s="360">
        <v>15.4</v>
      </c>
    </row>
    <row r="2678" spans="10:28" x14ac:dyDescent="0.2">
      <c r="J2678" s="358" t="str">
        <f t="shared" si="128"/>
        <v>2009MaleMaori255</v>
      </c>
      <c r="K2678" s="359">
        <v>2009</v>
      </c>
      <c r="L2678" t="s">
        <v>20</v>
      </c>
      <c r="M2678" t="s">
        <v>18</v>
      </c>
      <c r="N2678">
        <v>25</v>
      </c>
      <c r="O2678">
        <v>5</v>
      </c>
      <c r="P2678">
        <v>0</v>
      </c>
      <c r="Q2678">
        <v>0</v>
      </c>
      <c r="T2678" s="358" t="str">
        <f t="shared" si="129"/>
        <v>2008MaleNon-Maori25Poisoning by gases and vapours</v>
      </c>
      <c r="U2678" s="360">
        <v>2008</v>
      </c>
      <c r="V2678" s="360" t="s">
        <v>20</v>
      </c>
      <c r="W2678" s="360" t="s">
        <v>19</v>
      </c>
      <c r="X2678" s="360">
        <v>25</v>
      </c>
      <c r="Y2678" s="360" t="s">
        <v>46</v>
      </c>
      <c r="Z2678" s="360">
        <v>8</v>
      </c>
      <c r="AA2678" s="360">
        <v>35</v>
      </c>
      <c r="AB2678" s="360">
        <v>22.9</v>
      </c>
    </row>
    <row r="2679" spans="10:28" x14ac:dyDescent="0.2">
      <c r="J2679" s="358" t="str">
        <f t="shared" si="128"/>
        <v>2009MaleNon-Maori211</v>
      </c>
      <c r="K2679" s="359">
        <v>2009</v>
      </c>
      <c r="L2679" t="s">
        <v>20</v>
      </c>
      <c r="M2679" t="s">
        <v>19</v>
      </c>
      <c r="N2679">
        <v>21</v>
      </c>
      <c r="O2679">
        <v>1</v>
      </c>
      <c r="P2679">
        <v>0</v>
      </c>
      <c r="T2679" s="358" t="str">
        <f t="shared" si="129"/>
        <v>2008MaleNon-Maori22Poisoning by solids and liquids</v>
      </c>
      <c r="U2679" s="360">
        <v>2008</v>
      </c>
      <c r="V2679" s="360" t="s">
        <v>20</v>
      </c>
      <c r="W2679" s="360" t="s">
        <v>19</v>
      </c>
      <c r="X2679" s="360">
        <v>22</v>
      </c>
      <c r="Y2679" s="360" t="s">
        <v>47</v>
      </c>
      <c r="Z2679" s="360">
        <v>1</v>
      </c>
      <c r="AA2679" s="360">
        <v>66</v>
      </c>
      <c r="AB2679" s="360">
        <v>1.5</v>
      </c>
    </row>
    <row r="2680" spans="10:28" x14ac:dyDescent="0.2">
      <c r="J2680" s="358" t="str">
        <f t="shared" si="128"/>
        <v>2009MaleNon-Maori212</v>
      </c>
      <c r="K2680" s="359">
        <v>2009</v>
      </c>
      <c r="L2680" t="s">
        <v>20</v>
      </c>
      <c r="M2680" t="s">
        <v>19</v>
      </c>
      <c r="N2680">
        <v>21</v>
      </c>
      <c r="O2680">
        <v>2</v>
      </c>
      <c r="P2680">
        <v>1</v>
      </c>
      <c r="T2680" s="358" t="str">
        <f t="shared" si="129"/>
        <v>2008MaleNon-Maori23Poisoning by solids and liquids</v>
      </c>
      <c r="U2680" s="360">
        <v>2008</v>
      </c>
      <c r="V2680" s="360" t="s">
        <v>20</v>
      </c>
      <c r="W2680" s="360" t="s">
        <v>19</v>
      </c>
      <c r="X2680" s="360">
        <v>23</v>
      </c>
      <c r="Y2680" s="360" t="s">
        <v>47</v>
      </c>
      <c r="Z2680" s="360">
        <v>5</v>
      </c>
      <c r="AA2680" s="360">
        <v>105</v>
      </c>
      <c r="AB2680" s="360">
        <v>4.8</v>
      </c>
    </row>
    <row r="2681" spans="10:28" x14ac:dyDescent="0.2">
      <c r="J2681" s="358" t="str">
        <f t="shared" si="128"/>
        <v>2009MaleNon-Maori213</v>
      </c>
      <c r="K2681" s="359">
        <v>2009</v>
      </c>
      <c r="L2681" t="s">
        <v>20</v>
      </c>
      <c r="M2681" t="s">
        <v>19</v>
      </c>
      <c r="N2681">
        <v>21</v>
      </c>
      <c r="O2681">
        <v>3</v>
      </c>
      <c r="P2681">
        <v>0</v>
      </c>
      <c r="T2681" s="358" t="str">
        <f t="shared" si="129"/>
        <v>2008MaleNon-Maori24Poisoning by solids and liquids</v>
      </c>
      <c r="U2681" s="360">
        <v>2008</v>
      </c>
      <c r="V2681" s="360" t="s">
        <v>20</v>
      </c>
      <c r="W2681" s="360" t="s">
        <v>19</v>
      </c>
      <c r="X2681" s="360">
        <v>24</v>
      </c>
      <c r="Y2681" s="360" t="s">
        <v>47</v>
      </c>
      <c r="Z2681" s="360">
        <v>9</v>
      </c>
      <c r="AA2681" s="360">
        <v>117</v>
      </c>
      <c r="AB2681" s="360">
        <v>7.7</v>
      </c>
    </row>
    <row r="2682" spans="10:28" x14ac:dyDescent="0.2">
      <c r="J2682" s="358" t="str">
        <f t="shared" si="128"/>
        <v>2009MaleNon-Maori214</v>
      </c>
      <c r="K2682" s="359">
        <v>2009</v>
      </c>
      <c r="L2682" t="s">
        <v>20</v>
      </c>
      <c r="M2682" t="s">
        <v>19</v>
      </c>
      <c r="N2682">
        <v>21</v>
      </c>
      <c r="O2682">
        <v>4</v>
      </c>
      <c r="P2682">
        <v>1</v>
      </c>
      <c r="T2682" s="358" t="str">
        <f t="shared" si="129"/>
        <v>2008MaleNon-Maori25Poisoning by solids and liquids</v>
      </c>
      <c r="U2682" s="360">
        <v>2008</v>
      </c>
      <c r="V2682" s="360" t="s">
        <v>20</v>
      </c>
      <c r="W2682" s="360" t="s">
        <v>19</v>
      </c>
      <c r="X2682" s="360">
        <v>25</v>
      </c>
      <c r="Y2682" s="360" t="s">
        <v>47</v>
      </c>
      <c r="Z2682" s="360">
        <v>5</v>
      </c>
      <c r="AA2682" s="360">
        <v>35</v>
      </c>
      <c r="AB2682" s="360">
        <v>14.3</v>
      </c>
    </row>
    <row r="2683" spans="10:28" x14ac:dyDescent="0.2">
      <c r="J2683" s="358" t="str">
        <f t="shared" si="128"/>
        <v>2009MaleNon-Maori215</v>
      </c>
      <c r="K2683" s="359">
        <v>2009</v>
      </c>
      <c r="L2683" t="s">
        <v>20</v>
      </c>
      <c r="M2683" t="s">
        <v>19</v>
      </c>
      <c r="N2683">
        <v>21</v>
      </c>
      <c r="O2683">
        <v>5</v>
      </c>
      <c r="P2683">
        <v>1</v>
      </c>
      <c r="T2683" s="358" t="str">
        <f t="shared" si="129"/>
        <v>2008MaleNon-Maori23Sharp object</v>
      </c>
      <c r="U2683" s="360">
        <v>2008</v>
      </c>
      <c r="V2683" s="360" t="s">
        <v>20</v>
      </c>
      <c r="W2683" s="360" t="s">
        <v>19</v>
      </c>
      <c r="X2683" s="360">
        <v>23</v>
      </c>
      <c r="Y2683" s="360" t="s">
        <v>48</v>
      </c>
      <c r="Z2683" s="360">
        <v>3</v>
      </c>
      <c r="AA2683" s="360">
        <v>105</v>
      </c>
      <c r="AB2683" s="360">
        <v>2.9</v>
      </c>
    </row>
    <row r="2684" spans="10:28" x14ac:dyDescent="0.2">
      <c r="J2684" s="358" t="str">
        <f t="shared" si="128"/>
        <v>2009MaleNon-Maori221</v>
      </c>
      <c r="K2684" s="359">
        <v>2009</v>
      </c>
      <c r="L2684" t="s">
        <v>20</v>
      </c>
      <c r="M2684" t="s">
        <v>19</v>
      </c>
      <c r="N2684">
        <v>22</v>
      </c>
      <c r="O2684">
        <v>1</v>
      </c>
      <c r="P2684">
        <v>14</v>
      </c>
      <c r="Q2684">
        <v>28.8372402334846</v>
      </c>
      <c r="R2684">
        <v>15.1</v>
      </c>
      <c r="T2684" s="358" t="str">
        <f t="shared" si="129"/>
        <v>2008MaleNon-Maori24Sharp object</v>
      </c>
      <c r="U2684" s="360">
        <v>2008</v>
      </c>
      <c r="V2684" s="360" t="s">
        <v>20</v>
      </c>
      <c r="W2684" s="360" t="s">
        <v>19</v>
      </c>
      <c r="X2684" s="360">
        <v>24</v>
      </c>
      <c r="Y2684" s="360" t="s">
        <v>48</v>
      </c>
      <c r="Z2684" s="360">
        <v>7</v>
      </c>
      <c r="AA2684" s="360">
        <v>117</v>
      </c>
      <c r="AB2684" s="360">
        <v>6</v>
      </c>
    </row>
    <row r="2685" spans="10:28" x14ac:dyDescent="0.2">
      <c r="J2685" s="358" t="str">
        <f t="shared" si="128"/>
        <v>2009MaleNon-Maori222</v>
      </c>
      <c r="K2685" s="359">
        <v>2009</v>
      </c>
      <c r="L2685" t="s">
        <v>20</v>
      </c>
      <c r="M2685" t="s">
        <v>19</v>
      </c>
      <c r="N2685">
        <v>22</v>
      </c>
      <c r="O2685">
        <v>2</v>
      </c>
      <c r="P2685">
        <v>9</v>
      </c>
      <c r="Q2685">
        <v>18.150587274559498</v>
      </c>
      <c r="R2685">
        <v>11.9</v>
      </c>
      <c r="T2685" s="358" t="str">
        <f t="shared" si="129"/>
        <v>2008MaleNon-Maori25Sharp object</v>
      </c>
      <c r="U2685" s="360">
        <v>2008</v>
      </c>
      <c r="V2685" s="360" t="s">
        <v>20</v>
      </c>
      <c r="W2685" s="360" t="s">
        <v>19</v>
      </c>
      <c r="X2685" s="360">
        <v>25</v>
      </c>
      <c r="Y2685" s="360" t="s">
        <v>48</v>
      </c>
      <c r="Z2685" s="360">
        <v>1</v>
      </c>
      <c r="AA2685" s="360">
        <v>35</v>
      </c>
      <c r="AB2685" s="360">
        <v>2.9</v>
      </c>
    </row>
    <row r="2686" spans="10:28" x14ac:dyDescent="0.2">
      <c r="J2686" s="358" t="str">
        <f t="shared" si="128"/>
        <v>2009MaleNon-Maori223</v>
      </c>
      <c r="K2686" s="359">
        <v>2009</v>
      </c>
      <c r="L2686" t="s">
        <v>20</v>
      </c>
      <c r="M2686" t="s">
        <v>19</v>
      </c>
      <c r="N2686">
        <v>22</v>
      </c>
      <c r="O2686">
        <v>3</v>
      </c>
      <c r="P2686">
        <v>14</v>
      </c>
      <c r="Q2686">
        <v>27.967777287431801</v>
      </c>
      <c r="R2686">
        <v>14.7</v>
      </c>
      <c r="T2686" s="358" t="str">
        <f t="shared" si="129"/>
        <v>2008MaleNon-Maori24Submersion (drowning)</v>
      </c>
      <c r="U2686" s="360">
        <v>2008</v>
      </c>
      <c r="V2686" s="360" t="s">
        <v>20</v>
      </c>
      <c r="W2686" s="360" t="s">
        <v>19</v>
      </c>
      <c r="X2686" s="360">
        <v>24</v>
      </c>
      <c r="Y2686" s="360" t="s">
        <v>49</v>
      </c>
      <c r="Z2686" s="360">
        <v>4</v>
      </c>
      <c r="AA2686" s="360">
        <v>117</v>
      </c>
      <c r="AB2686" s="360">
        <v>3.4</v>
      </c>
    </row>
    <row r="2687" spans="10:28" x14ac:dyDescent="0.2">
      <c r="J2687" s="358" t="str">
        <f t="shared" si="128"/>
        <v>2009MaleNon-Maori224</v>
      </c>
      <c r="K2687" s="359">
        <v>2009</v>
      </c>
      <c r="L2687" t="s">
        <v>20</v>
      </c>
      <c r="M2687" t="s">
        <v>19</v>
      </c>
      <c r="N2687">
        <v>22</v>
      </c>
      <c r="O2687">
        <v>4</v>
      </c>
      <c r="P2687">
        <v>18</v>
      </c>
      <c r="Q2687">
        <v>35.907586284194501</v>
      </c>
      <c r="R2687">
        <v>16.600000000000001</v>
      </c>
      <c r="T2687" s="358" t="str">
        <f t="shared" si="129"/>
        <v>2008MaleNon-Maori25Submersion (drowning)</v>
      </c>
      <c r="U2687" s="360">
        <v>2008</v>
      </c>
      <c r="V2687" s="360" t="s">
        <v>20</v>
      </c>
      <c r="W2687" s="360" t="s">
        <v>19</v>
      </c>
      <c r="X2687" s="360">
        <v>25</v>
      </c>
      <c r="Y2687" s="360" t="s">
        <v>49</v>
      </c>
      <c r="Z2687" s="360">
        <v>1</v>
      </c>
      <c r="AA2687" s="360">
        <v>35</v>
      </c>
      <c r="AB2687" s="360">
        <v>2.9</v>
      </c>
    </row>
    <row r="2688" spans="10:28" x14ac:dyDescent="0.2">
      <c r="J2688" s="358" t="str">
        <f t="shared" si="128"/>
        <v>2009MaleNon-Maori225</v>
      </c>
      <c r="K2688" s="359">
        <v>2009</v>
      </c>
      <c r="L2688" t="s">
        <v>20</v>
      </c>
      <c r="M2688" t="s">
        <v>19</v>
      </c>
      <c r="N2688">
        <v>22</v>
      </c>
      <c r="O2688">
        <v>5</v>
      </c>
      <c r="P2688">
        <v>16</v>
      </c>
      <c r="Q2688">
        <v>32.759896622286398</v>
      </c>
      <c r="R2688">
        <v>16.100000000000001</v>
      </c>
      <c r="T2688" s="358" t="str">
        <f t="shared" si="129"/>
        <v>2009AllSexAllEth21Firearms and explosives</v>
      </c>
      <c r="U2688" s="360">
        <v>2009</v>
      </c>
      <c r="V2688" s="360" t="s">
        <v>17</v>
      </c>
      <c r="W2688" s="360" t="s">
        <v>27</v>
      </c>
      <c r="X2688" s="360">
        <v>21</v>
      </c>
      <c r="Y2688" s="360" t="s">
        <v>42</v>
      </c>
      <c r="Z2688" s="360">
        <v>1</v>
      </c>
      <c r="AA2688" s="360">
        <v>10</v>
      </c>
      <c r="AB2688" s="360">
        <v>10</v>
      </c>
    </row>
    <row r="2689" spans="10:28" x14ac:dyDescent="0.2">
      <c r="J2689" s="358" t="str">
        <f t="shared" si="128"/>
        <v>2009MaleNon-Maori231</v>
      </c>
      <c r="K2689" s="359">
        <v>2009</v>
      </c>
      <c r="L2689" t="s">
        <v>20</v>
      </c>
      <c r="M2689" t="s">
        <v>19</v>
      </c>
      <c r="N2689">
        <v>23</v>
      </c>
      <c r="O2689">
        <v>1</v>
      </c>
      <c r="P2689">
        <v>15</v>
      </c>
      <c r="Q2689">
        <v>14.893027219110399</v>
      </c>
      <c r="R2689">
        <v>7.5</v>
      </c>
      <c r="T2689" s="358" t="str">
        <f t="shared" si="129"/>
        <v>2009AllSexAllEth22Firearms and explosives</v>
      </c>
      <c r="U2689" s="360">
        <v>2009</v>
      </c>
      <c r="V2689" s="360" t="s">
        <v>17</v>
      </c>
      <c r="W2689" s="360" t="s">
        <v>27</v>
      </c>
      <c r="X2689" s="360">
        <v>22</v>
      </c>
      <c r="Y2689" s="360" t="s">
        <v>42</v>
      </c>
      <c r="Z2689" s="360">
        <v>9</v>
      </c>
      <c r="AA2689" s="360">
        <v>116</v>
      </c>
      <c r="AB2689" s="360">
        <v>7.8</v>
      </c>
    </row>
    <row r="2690" spans="10:28" x14ac:dyDescent="0.2">
      <c r="J2690" s="358" t="str">
        <f t="shared" si="128"/>
        <v>2009MaleNon-Maori232</v>
      </c>
      <c r="K2690" s="359">
        <v>2009</v>
      </c>
      <c r="L2690" t="s">
        <v>20</v>
      </c>
      <c r="M2690" t="s">
        <v>19</v>
      </c>
      <c r="N2690">
        <v>23</v>
      </c>
      <c r="O2690">
        <v>2</v>
      </c>
      <c r="P2690">
        <v>21</v>
      </c>
      <c r="Q2690">
        <v>19.935865902478898</v>
      </c>
      <c r="R2690">
        <v>8.5</v>
      </c>
      <c r="T2690" s="358" t="str">
        <f t="shared" si="129"/>
        <v>2009AllSexAllEth23Firearms and explosives</v>
      </c>
      <c r="U2690" s="360">
        <v>2009</v>
      </c>
      <c r="V2690" s="360" t="s">
        <v>17</v>
      </c>
      <c r="W2690" s="360" t="s">
        <v>27</v>
      </c>
      <c r="X2690" s="360">
        <v>23</v>
      </c>
      <c r="Y2690" s="360" t="s">
        <v>42</v>
      </c>
      <c r="Z2690" s="360">
        <v>13</v>
      </c>
      <c r="AA2690" s="360">
        <v>173</v>
      </c>
      <c r="AB2690" s="360">
        <v>7.5</v>
      </c>
    </row>
    <row r="2691" spans="10:28" x14ac:dyDescent="0.2">
      <c r="J2691" s="358" t="str">
        <f t="shared" si="128"/>
        <v>2009MaleNon-Maori233</v>
      </c>
      <c r="K2691" s="359">
        <v>2009</v>
      </c>
      <c r="L2691" t="s">
        <v>20</v>
      </c>
      <c r="M2691" t="s">
        <v>19</v>
      </c>
      <c r="N2691">
        <v>23</v>
      </c>
      <c r="O2691">
        <v>3</v>
      </c>
      <c r="P2691">
        <v>19</v>
      </c>
      <c r="Q2691">
        <v>18.409534926362799</v>
      </c>
      <c r="R2691">
        <v>8.3000000000000007</v>
      </c>
      <c r="T2691" s="358" t="str">
        <f t="shared" si="129"/>
        <v>2009AllSexAllEth24Firearms and explosives</v>
      </c>
      <c r="U2691" s="360">
        <v>2009</v>
      </c>
      <c r="V2691" s="360" t="s">
        <v>17</v>
      </c>
      <c r="W2691" s="360" t="s">
        <v>27</v>
      </c>
      <c r="X2691" s="360">
        <v>24</v>
      </c>
      <c r="Y2691" s="360" t="s">
        <v>42</v>
      </c>
      <c r="Z2691" s="360">
        <v>23</v>
      </c>
      <c r="AA2691" s="360">
        <v>159</v>
      </c>
      <c r="AB2691" s="360">
        <v>14.5</v>
      </c>
    </row>
    <row r="2692" spans="10:28" x14ac:dyDescent="0.2">
      <c r="J2692" s="358" t="str">
        <f t="shared" ref="J2692:J2755" si="130">K2692&amp;L2692&amp;M2692&amp;N2692&amp;O2692</f>
        <v>2009MaleNon-Maori234</v>
      </c>
      <c r="K2692" s="359">
        <v>2009</v>
      </c>
      <c r="L2692" t="s">
        <v>20</v>
      </c>
      <c r="M2692" t="s">
        <v>19</v>
      </c>
      <c r="N2692">
        <v>23</v>
      </c>
      <c r="O2692">
        <v>4</v>
      </c>
      <c r="P2692">
        <v>25</v>
      </c>
      <c r="Q2692">
        <v>26.004350842744099</v>
      </c>
      <c r="R2692">
        <v>10.199999999999999</v>
      </c>
      <c r="T2692" s="358" t="str">
        <f t="shared" si="129"/>
        <v>2009AllSexAllEth25Firearms and explosives</v>
      </c>
      <c r="U2692" s="360">
        <v>2009</v>
      </c>
      <c r="V2692" s="360" t="s">
        <v>17</v>
      </c>
      <c r="W2692" s="360" t="s">
        <v>27</v>
      </c>
      <c r="X2692" s="360">
        <v>25</v>
      </c>
      <c r="Y2692" s="360" t="s">
        <v>42</v>
      </c>
      <c r="Z2692" s="360">
        <v>7</v>
      </c>
      <c r="AA2692" s="360">
        <v>54</v>
      </c>
      <c r="AB2692" s="360">
        <v>13</v>
      </c>
    </row>
    <row r="2693" spans="10:28" x14ac:dyDescent="0.2">
      <c r="J2693" s="358" t="str">
        <f t="shared" si="130"/>
        <v>2009MaleNon-Maori235</v>
      </c>
      <c r="K2693" s="359">
        <v>2009</v>
      </c>
      <c r="L2693" t="s">
        <v>20</v>
      </c>
      <c r="M2693" t="s">
        <v>19</v>
      </c>
      <c r="N2693">
        <v>23</v>
      </c>
      <c r="O2693">
        <v>5</v>
      </c>
      <c r="P2693">
        <v>29</v>
      </c>
      <c r="Q2693">
        <v>38.158500825912299</v>
      </c>
      <c r="R2693">
        <v>13.9</v>
      </c>
      <c r="T2693" s="358" t="str">
        <f t="shared" ref="T2693:T2756" si="131">U2693&amp;V2693&amp;W2693&amp;X2693&amp;Y2693</f>
        <v>2009AllSexAllEth21Hanging, strangulation and suffocation</v>
      </c>
      <c r="U2693" s="360">
        <v>2009</v>
      </c>
      <c r="V2693" s="360" t="s">
        <v>17</v>
      </c>
      <c r="W2693" s="360" t="s">
        <v>27</v>
      </c>
      <c r="X2693" s="360">
        <v>21</v>
      </c>
      <c r="Y2693" s="360" t="s">
        <v>43</v>
      </c>
      <c r="Z2693" s="360">
        <v>7</v>
      </c>
      <c r="AA2693" s="360">
        <v>10</v>
      </c>
      <c r="AB2693" s="360">
        <v>70</v>
      </c>
    </row>
    <row r="2694" spans="10:28" x14ac:dyDescent="0.2">
      <c r="J2694" s="358" t="str">
        <f t="shared" si="130"/>
        <v>2009MaleNon-Maori241</v>
      </c>
      <c r="K2694" s="359">
        <v>2009</v>
      </c>
      <c r="L2694" t="s">
        <v>20</v>
      </c>
      <c r="M2694" t="s">
        <v>19</v>
      </c>
      <c r="N2694">
        <v>24</v>
      </c>
      <c r="O2694">
        <v>1</v>
      </c>
      <c r="P2694">
        <v>20</v>
      </c>
      <c r="Q2694">
        <v>15.7242890098046</v>
      </c>
      <c r="R2694">
        <v>6.9</v>
      </c>
      <c r="T2694" s="358" t="str">
        <f t="shared" si="131"/>
        <v>2009AllSexAllEth22Hanging, strangulation and suffocation</v>
      </c>
      <c r="U2694" s="360">
        <v>2009</v>
      </c>
      <c r="V2694" s="360" t="s">
        <v>17</v>
      </c>
      <c r="W2694" s="360" t="s">
        <v>27</v>
      </c>
      <c r="X2694" s="360">
        <v>22</v>
      </c>
      <c r="Y2694" s="360" t="s">
        <v>43</v>
      </c>
      <c r="Z2694" s="360">
        <v>95</v>
      </c>
      <c r="AA2694" s="360">
        <v>116</v>
      </c>
      <c r="AB2694" s="360">
        <v>81.900000000000006</v>
      </c>
    </row>
    <row r="2695" spans="10:28" x14ac:dyDescent="0.2">
      <c r="J2695" s="358" t="str">
        <f t="shared" si="130"/>
        <v>2009MaleNon-Maori242</v>
      </c>
      <c r="K2695" s="359">
        <v>2009</v>
      </c>
      <c r="L2695" t="s">
        <v>20</v>
      </c>
      <c r="M2695" t="s">
        <v>19</v>
      </c>
      <c r="N2695">
        <v>24</v>
      </c>
      <c r="O2695">
        <v>2</v>
      </c>
      <c r="P2695">
        <v>27</v>
      </c>
      <c r="Q2695">
        <v>24.7251729723613</v>
      </c>
      <c r="R2695">
        <v>9.3000000000000007</v>
      </c>
      <c r="T2695" s="358" t="str">
        <f t="shared" si="131"/>
        <v>2009AllSexAllEth23Hanging, strangulation and suffocation</v>
      </c>
      <c r="U2695" s="360">
        <v>2009</v>
      </c>
      <c r="V2695" s="360" t="s">
        <v>17</v>
      </c>
      <c r="W2695" s="360" t="s">
        <v>27</v>
      </c>
      <c r="X2695" s="360">
        <v>23</v>
      </c>
      <c r="Y2695" s="360" t="s">
        <v>43</v>
      </c>
      <c r="Z2695" s="360">
        <v>100</v>
      </c>
      <c r="AA2695" s="360">
        <v>173</v>
      </c>
      <c r="AB2695" s="360">
        <v>57.8</v>
      </c>
    </row>
    <row r="2696" spans="10:28" x14ac:dyDescent="0.2">
      <c r="J2696" s="358" t="str">
        <f t="shared" si="130"/>
        <v>2009MaleNon-Maori243</v>
      </c>
      <c r="K2696" s="359">
        <v>2009</v>
      </c>
      <c r="L2696" t="s">
        <v>20</v>
      </c>
      <c r="M2696" t="s">
        <v>19</v>
      </c>
      <c r="N2696">
        <v>24</v>
      </c>
      <c r="O2696">
        <v>3</v>
      </c>
      <c r="P2696">
        <v>14</v>
      </c>
      <c r="Q2696">
        <v>14.856811344459301</v>
      </c>
      <c r="R2696">
        <v>7.8</v>
      </c>
      <c r="T2696" s="358" t="str">
        <f t="shared" si="131"/>
        <v>2009AllSexAllEth24Hanging, strangulation and suffocation</v>
      </c>
      <c r="U2696" s="360">
        <v>2009</v>
      </c>
      <c r="V2696" s="360" t="s">
        <v>17</v>
      </c>
      <c r="W2696" s="360" t="s">
        <v>27</v>
      </c>
      <c r="X2696" s="360">
        <v>24</v>
      </c>
      <c r="Y2696" s="360" t="s">
        <v>43</v>
      </c>
      <c r="Z2696" s="360">
        <v>81</v>
      </c>
      <c r="AA2696" s="360">
        <v>159</v>
      </c>
      <c r="AB2696" s="360">
        <v>50.9</v>
      </c>
    </row>
    <row r="2697" spans="10:28" x14ac:dyDescent="0.2">
      <c r="J2697" s="358" t="str">
        <f t="shared" si="130"/>
        <v>2009MaleNon-Maori244</v>
      </c>
      <c r="K2697" s="359">
        <v>2009</v>
      </c>
      <c r="L2697" t="s">
        <v>20</v>
      </c>
      <c r="M2697" t="s">
        <v>19</v>
      </c>
      <c r="N2697">
        <v>24</v>
      </c>
      <c r="O2697">
        <v>4</v>
      </c>
      <c r="P2697">
        <v>31</v>
      </c>
      <c r="Q2697">
        <v>38.052010570451998</v>
      </c>
      <c r="R2697">
        <v>13.4</v>
      </c>
      <c r="T2697" s="358" t="str">
        <f t="shared" si="131"/>
        <v>2009AllSexAllEth25Hanging, strangulation and suffocation</v>
      </c>
      <c r="U2697" s="360">
        <v>2009</v>
      </c>
      <c r="V2697" s="360" t="s">
        <v>17</v>
      </c>
      <c r="W2697" s="360" t="s">
        <v>27</v>
      </c>
      <c r="X2697" s="360">
        <v>25</v>
      </c>
      <c r="Y2697" s="360" t="s">
        <v>43</v>
      </c>
      <c r="Z2697" s="360">
        <v>19</v>
      </c>
      <c r="AA2697" s="360">
        <v>54</v>
      </c>
      <c r="AB2697" s="360">
        <v>35.200000000000003</v>
      </c>
    </row>
    <row r="2698" spans="10:28" x14ac:dyDescent="0.2">
      <c r="J2698" s="358" t="str">
        <f t="shared" si="130"/>
        <v>2009MaleNon-Maori245</v>
      </c>
      <c r="K2698" s="359">
        <v>2009</v>
      </c>
      <c r="L2698" t="s">
        <v>20</v>
      </c>
      <c r="M2698" t="s">
        <v>19</v>
      </c>
      <c r="N2698">
        <v>24</v>
      </c>
      <c r="O2698">
        <v>5</v>
      </c>
      <c r="P2698">
        <v>19</v>
      </c>
      <c r="Q2698">
        <v>30.352661798936499</v>
      </c>
      <c r="R2698">
        <v>13.6</v>
      </c>
      <c r="T2698" s="358" t="str">
        <f t="shared" si="131"/>
        <v>2009AllSexAllEth22Jumping from a high place</v>
      </c>
      <c r="U2698" s="360">
        <v>2009</v>
      </c>
      <c r="V2698" s="360" t="s">
        <v>17</v>
      </c>
      <c r="W2698" s="360" t="s">
        <v>27</v>
      </c>
      <c r="X2698" s="360">
        <v>22</v>
      </c>
      <c r="Y2698" s="360" t="s">
        <v>44</v>
      </c>
      <c r="Z2698" s="360">
        <v>5</v>
      </c>
      <c r="AA2698" s="360">
        <v>116</v>
      </c>
      <c r="AB2698" s="360">
        <v>4.3</v>
      </c>
    </row>
    <row r="2699" spans="10:28" x14ac:dyDescent="0.2">
      <c r="J2699" s="358" t="str">
        <f t="shared" si="130"/>
        <v>2009MaleNon-Maori251</v>
      </c>
      <c r="K2699" s="359">
        <v>2009</v>
      </c>
      <c r="L2699" t="s">
        <v>20</v>
      </c>
      <c r="M2699" t="s">
        <v>19</v>
      </c>
      <c r="N2699">
        <v>25</v>
      </c>
      <c r="O2699">
        <v>1</v>
      </c>
      <c r="P2699">
        <v>9</v>
      </c>
      <c r="Q2699">
        <v>17.845641702691299</v>
      </c>
      <c r="R2699">
        <v>11.7</v>
      </c>
      <c r="T2699" s="358" t="str">
        <f t="shared" si="131"/>
        <v>2009AllSexAllEth23Jumping from a high place</v>
      </c>
      <c r="U2699" s="360">
        <v>2009</v>
      </c>
      <c r="V2699" s="360" t="s">
        <v>17</v>
      </c>
      <c r="W2699" s="360" t="s">
        <v>27</v>
      </c>
      <c r="X2699" s="360">
        <v>23</v>
      </c>
      <c r="Y2699" s="360" t="s">
        <v>44</v>
      </c>
      <c r="Z2699" s="360">
        <v>6</v>
      </c>
      <c r="AA2699" s="360">
        <v>173</v>
      </c>
      <c r="AB2699" s="360">
        <v>3.5</v>
      </c>
    </row>
    <row r="2700" spans="10:28" x14ac:dyDescent="0.2">
      <c r="J2700" s="358" t="str">
        <f t="shared" si="130"/>
        <v>2009MaleNon-Maori252</v>
      </c>
      <c r="K2700" s="359">
        <v>2009</v>
      </c>
      <c r="L2700" t="s">
        <v>20</v>
      </c>
      <c r="M2700" t="s">
        <v>19</v>
      </c>
      <c r="N2700">
        <v>25</v>
      </c>
      <c r="O2700">
        <v>2</v>
      </c>
      <c r="P2700">
        <v>6</v>
      </c>
      <c r="Q2700">
        <v>11.807012959157101</v>
      </c>
      <c r="R2700">
        <v>9.4</v>
      </c>
      <c r="T2700" s="358" t="str">
        <f t="shared" si="131"/>
        <v>2009AllSexAllEth24Jumping from a high place</v>
      </c>
      <c r="U2700" s="360">
        <v>2009</v>
      </c>
      <c r="V2700" s="360" t="s">
        <v>17</v>
      </c>
      <c r="W2700" s="360" t="s">
        <v>27</v>
      </c>
      <c r="X2700" s="360">
        <v>24</v>
      </c>
      <c r="Y2700" s="360" t="s">
        <v>44</v>
      </c>
      <c r="Z2700" s="360">
        <v>6</v>
      </c>
      <c r="AA2700" s="360">
        <v>159</v>
      </c>
      <c r="AB2700" s="360">
        <v>3.8</v>
      </c>
    </row>
    <row r="2701" spans="10:28" x14ac:dyDescent="0.2">
      <c r="J2701" s="358" t="str">
        <f t="shared" si="130"/>
        <v>2009MaleNon-Maori253</v>
      </c>
      <c r="K2701" s="359">
        <v>2009</v>
      </c>
      <c r="L2701" t="s">
        <v>20</v>
      </c>
      <c r="M2701" t="s">
        <v>19</v>
      </c>
      <c r="N2701">
        <v>25</v>
      </c>
      <c r="O2701">
        <v>3</v>
      </c>
      <c r="P2701">
        <v>7</v>
      </c>
      <c r="Q2701">
        <v>13.762764148025299</v>
      </c>
      <c r="R2701">
        <v>10.199999999999999</v>
      </c>
      <c r="T2701" s="358" t="str">
        <f t="shared" si="131"/>
        <v>2009AllSexAllEth21Other</v>
      </c>
      <c r="U2701" s="360">
        <v>2009</v>
      </c>
      <c r="V2701" s="360" t="s">
        <v>17</v>
      </c>
      <c r="W2701" s="360" t="s">
        <v>27</v>
      </c>
      <c r="X2701" s="360">
        <v>21</v>
      </c>
      <c r="Y2701" s="360" t="s">
        <v>45</v>
      </c>
      <c r="Z2701" s="360">
        <v>1</v>
      </c>
      <c r="AA2701" s="360">
        <v>10</v>
      </c>
      <c r="AB2701" s="360">
        <v>10</v>
      </c>
    </row>
    <row r="2702" spans="10:28" x14ac:dyDescent="0.2">
      <c r="J2702" s="358" t="str">
        <f t="shared" si="130"/>
        <v>2009MaleNon-Maori254</v>
      </c>
      <c r="K2702" s="359">
        <v>2009</v>
      </c>
      <c r="L2702" t="s">
        <v>20</v>
      </c>
      <c r="M2702" t="s">
        <v>19</v>
      </c>
      <c r="N2702">
        <v>25</v>
      </c>
      <c r="O2702">
        <v>4</v>
      </c>
      <c r="P2702">
        <v>9</v>
      </c>
      <c r="Q2702">
        <v>18.7084211564569</v>
      </c>
      <c r="R2702">
        <v>12.2</v>
      </c>
      <c r="T2702" s="358" t="str">
        <f t="shared" si="131"/>
        <v>2009AllSexAllEth23Other</v>
      </c>
      <c r="U2702" s="360">
        <v>2009</v>
      </c>
      <c r="V2702" s="360" t="s">
        <v>17</v>
      </c>
      <c r="W2702" s="360" t="s">
        <v>27</v>
      </c>
      <c r="X2702" s="360">
        <v>23</v>
      </c>
      <c r="Y2702" s="360" t="s">
        <v>45</v>
      </c>
      <c r="Z2702" s="360">
        <v>8</v>
      </c>
      <c r="AA2702" s="360">
        <v>173</v>
      </c>
      <c r="AB2702" s="360">
        <v>4.5999999999999996</v>
      </c>
    </row>
    <row r="2703" spans="10:28" x14ac:dyDescent="0.2">
      <c r="J2703" s="358" t="str">
        <f t="shared" si="130"/>
        <v>2009MaleNon-Maori255</v>
      </c>
      <c r="K2703" s="359">
        <v>2009</v>
      </c>
      <c r="L2703" t="s">
        <v>20</v>
      </c>
      <c r="M2703" t="s">
        <v>19</v>
      </c>
      <c r="N2703">
        <v>25</v>
      </c>
      <c r="O2703">
        <v>5</v>
      </c>
      <c r="P2703">
        <v>8</v>
      </c>
      <c r="Q2703">
        <v>22.771451876166999</v>
      </c>
      <c r="R2703">
        <v>15.8</v>
      </c>
      <c r="T2703" s="358" t="str">
        <f t="shared" si="131"/>
        <v>2009AllSexAllEth24Other</v>
      </c>
      <c r="U2703" s="360">
        <v>2009</v>
      </c>
      <c r="V2703" s="360" t="s">
        <v>17</v>
      </c>
      <c r="W2703" s="360" t="s">
        <v>27</v>
      </c>
      <c r="X2703" s="360">
        <v>24</v>
      </c>
      <c r="Y2703" s="360" t="s">
        <v>45</v>
      </c>
      <c r="Z2703" s="360">
        <v>2</v>
      </c>
      <c r="AA2703" s="360">
        <v>159</v>
      </c>
      <c r="AB2703" s="360">
        <v>1.3</v>
      </c>
    </row>
    <row r="2704" spans="10:28" x14ac:dyDescent="0.2">
      <c r="J2704" s="358" t="str">
        <f t="shared" si="130"/>
        <v>2010AllSexAllEth211</v>
      </c>
      <c r="K2704" s="359">
        <v>2010</v>
      </c>
      <c r="L2704" t="s">
        <v>17</v>
      </c>
      <c r="M2704" t="s">
        <v>27</v>
      </c>
      <c r="N2704">
        <v>21</v>
      </c>
      <c r="O2704">
        <v>1</v>
      </c>
      <c r="P2704">
        <v>0</v>
      </c>
      <c r="T2704" s="358" t="str">
        <f t="shared" si="131"/>
        <v>2009AllSexAllEth25Other</v>
      </c>
      <c r="U2704" s="360">
        <v>2009</v>
      </c>
      <c r="V2704" s="360" t="s">
        <v>17</v>
      </c>
      <c r="W2704" s="360" t="s">
        <v>27</v>
      </c>
      <c r="X2704" s="360">
        <v>25</v>
      </c>
      <c r="Y2704" s="360" t="s">
        <v>45</v>
      </c>
      <c r="Z2704" s="360">
        <v>4</v>
      </c>
      <c r="AA2704" s="360">
        <v>54</v>
      </c>
      <c r="AB2704" s="360">
        <v>7.4</v>
      </c>
    </row>
    <row r="2705" spans="10:28" x14ac:dyDescent="0.2">
      <c r="J2705" s="358" t="str">
        <f t="shared" si="130"/>
        <v>2010AllSexAllEth212</v>
      </c>
      <c r="K2705" s="359">
        <v>2010</v>
      </c>
      <c r="L2705" t="s">
        <v>17</v>
      </c>
      <c r="M2705" t="s">
        <v>27</v>
      </c>
      <c r="N2705">
        <v>21</v>
      </c>
      <c r="O2705">
        <v>2</v>
      </c>
      <c r="P2705">
        <v>0</v>
      </c>
      <c r="T2705" s="358" t="str">
        <f t="shared" si="131"/>
        <v>2009AllSexAllEth22Poisoning by gases and vapours</v>
      </c>
      <c r="U2705" s="360">
        <v>2009</v>
      </c>
      <c r="V2705" s="360" t="s">
        <v>17</v>
      </c>
      <c r="W2705" s="360" t="s">
        <v>27</v>
      </c>
      <c r="X2705" s="360">
        <v>22</v>
      </c>
      <c r="Y2705" s="360" t="s">
        <v>46</v>
      </c>
      <c r="Z2705" s="360">
        <v>4</v>
      </c>
      <c r="AA2705" s="360">
        <v>116</v>
      </c>
      <c r="AB2705" s="360">
        <v>3.4</v>
      </c>
    </row>
    <row r="2706" spans="10:28" x14ac:dyDescent="0.2">
      <c r="J2706" s="358" t="str">
        <f t="shared" si="130"/>
        <v>2010AllSexAllEth213</v>
      </c>
      <c r="K2706" s="359">
        <v>2010</v>
      </c>
      <c r="L2706" t="s">
        <v>17</v>
      </c>
      <c r="M2706" t="s">
        <v>27</v>
      </c>
      <c r="N2706">
        <v>21</v>
      </c>
      <c r="O2706">
        <v>3</v>
      </c>
      <c r="P2706">
        <v>1</v>
      </c>
      <c r="T2706" s="358" t="str">
        <f t="shared" si="131"/>
        <v>2009AllSexAllEth23Poisoning by gases and vapours</v>
      </c>
      <c r="U2706" s="360">
        <v>2009</v>
      </c>
      <c r="V2706" s="360" t="s">
        <v>17</v>
      </c>
      <c r="W2706" s="360" t="s">
        <v>27</v>
      </c>
      <c r="X2706" s="360">
        <v>23</v>
      </c>
      <c r="Y2706" s="360" t="s">
        <v>46</v>
      </c>
      <c r="Z2706" s="360">
        <v>22</v>
      </c>
      <c r="AA2706" s="360">
        <v>173</v>
      </c>
      <c r="AB2706" s="360">
        <v>12.7</v>
      </c>
    </row>
    <row r="2707" spans="10:28" x14ac:dyDescent="0.2">
      <c r="J2707" s="358" t="str">
        <f t="shared" si="130"/>
        <v>2010AllSexAllEth214</v>
      </c>
      <c r="K2707" s="359">
        <v>2010</v>
      </c>
      <c r="L2707" t="s">
        <v>17</v>
      </c>
      <c r="M2707" t="s">
        <v>27</v>
      </c>
      <c r="N2707">
        <v>21</v>
      </c>
      <c r="O2707">
        <v>4</v>
      </c>
      <c r="P2707">
        <v>1</v>
      </c>
      <c r="T2707" s="358" t="str">
        <f t="shared" si="131"/>
        <v>2009AllSexAllEth24Poisoning by gases and vapours</v>
      </c>
      <c r="U2707" s="360">
        <v>2009</v>
      </c>
      <c r="V2707" s="360" t="s">
        <v>17</v>
      </c>
      <c r="W2707" s="360" t="s">
        <v>27</v>
      </c>
      <c r="X2707" s="360">
        <v>24</v>
      </c>
      <c r="Y2707" s="360" t="s">
        <v>46</v>
      </c>
      <c r="Z2707" s="360">
        <v>16</v>
      </c>
      <c r="AA2707" s="360">
        <v>159</v>
      </c>
      <c r="AB2707" s="360">
        <v>10.1</v>
      </c>
    </row>
    <row r="2708" spans="10:28" x14ac:dyDescent="0.2">
      <c r="J2708" s="358" t="str">
        <f t="shared" si="130"/>
        <v>2010AllSexAllEth215</v>
      </c>
      <c r="K2708" s="359">
        <v>2010</v>
      </c>
      <c r="L2708" t="s">
        <v>17</v>
      </c>
      <c r="M2708" t="s">
        <v>27</v>
      </c>
      <c r="N2708">
        <v>21</v>
      </c>
      <c r="O2708">
        <v>5</v>
      </c>
      <c r="P2708">
        <v>3</v>
      </c>
      <c r="T2708" s="358" t="str">
        <f t="shared" si="131"/>
        <v>2009AllSexAllEth25Poisoning by gases and vapours</v>
      </c>
      <c r="U2708" s="360">
        <v>2009</v>
      </c>
      <c r="V2708" s="360" t="s">
        <v>17</v>
      </c>
      <c r="W2708" s="360" t="s">
        <v>27</v>
      </c>
      <c r="X2708" s="360">
        <v>25</v>
      </c>
      <c r="Y2708" s="360" t="s">
        <v>46</v>
      </c>
      <c r="Z2708" s="360">
        <v>8</v>
      </c>
      <c r="AA2708" s="360">
        <v>54</v>
      </c>
      <c r="AB2708" s="360">
        <v>14.8</v>
      </c>
    </row>
    <row r="2709" spans="10:28" x14ac:dyDescent="0.2">
      <c r="J2709" s="358" t="str">
        <f t="shared" si="130"/>
        <v>2010AllSexAllEth221</v>
      </c>
      <c r="K2709" s="359">
        <v>2010</v>
      </c>
      <c r="L2709" t="s">
        <v>17</v>
      </c>
      <c r="M2709" t="s">
        <v>27</v>
      </c>
      <c r="N2709">
        <v>22</v>
      </c>
      <c r="O2709">
        <v>1</v>
      </c>
      <c r="P2709">
        <v>11</v>
      </c>
      <c r="Q2709">
        <v>10.0563462654691</v>
      </c>
      <c r="R2709">
        <v>5.9</v>
      </c>
      <c r="T2709" s="358" t="str">
        <f t="shared" si="131"/>
        <v>2009AllSexAllEth21Poisoning by solids and liquids</v>
      </c>
      <c r="U2709" s="360">
        <v>2009</v>
      </c>
      <c r="V2709" s="360" t="s">
        <v>17</v>
      </c>
      <c r="W2709" s="360" t="s">
        <v>27</v>
      </c>
      <c r="X2709" s="360">
        <v>21</v>
      </c>
      <c r="Y2709" s="360" t="s">
        <v>47</v>
      </c>
      <c r="Z2709" s="360">
        <v>1</v>
      </c>
      <c r="AA2709" s="360">
        <v>10</v>
      </c>
      <c r="AB2709" s="360">
        <v>10</v>
      </c>
    </row>
    <row r="2710" spans="10:28" x14ac:dyDescent="0.2">
      <c r="J2710" s="358" t="str">
        <f t="shared" si="130"/>
        <v>2010AllSexAllEth222</v>
      </c>
      <c r="K2710" s="359">
        <v>2010</v>
      </c>
      <c r="L2710" t="s">
        <v>17</v>
      </c>
      <c r="M2710" t="s">
        <v>27</v>
      </c>
      <c r="N2710">
        <v>22</v>
      </c>
      <c r="O2710">
        <v>2</v>
      </c>
      <c r="P2710">
        <v>13</v>
      </c>
      <c r="Q2710">
        <v>11.7754172294279</v>
      </c>
      <c r="R2710">
        <v>6.4</v>
      </c>
      <c r="T2710" s="358" t="str">
        <f t="shared" si="131"/>
        <v>2009AllSexAllEth22Poisoning by solids and liquids</v>
      </c>
      <c r="U2710" s="360">
        <v>2009</v>
      </c>
      <c r="V2710" s="360" t="s">
        <v>17</v>
      </c>
      <c r="W2710" s="360" t="s">
        <v>27</v>
      </c>
      <c r="X2710" s="360">
        <v>22</v>
      </c>
      <c r="Y2710" s="360" t="s">
        <v>47</v>
      </c>
      <c r="Z2710" s="360">
        <v>2</v>
      </c>
      <c r="AA2710" s="360">
        <v>116</v>
      </c>
      <c r="AB2710" s="360">
        <v>1.7</v>
      </c>
    </row>
    <row r="2711" spans="10:28" x14ac:dyDescent="0.2">
      <c r="J2711" s="358" t="str">
        <f t="shared" si="130"/>
        <v>2010AllSexAllEth223</v>
      </c>
      <c r="K2711" s="359">
        <v>2010</v>
      </c>
      <c r="L2711" t="s">
        <v>17</v>
      </c>
      <c r="M2711" t="s">
        <v>27</v>
      </c>
      <c r="N2711">
        <v>22</v>
      </c>
      <c r="O2711">
        <v>3</v>
      </c>
      <c r="P2711">
        <v>19</v>
      </c>
      <c r="Q2711">
        <v>16.283162914851601</v>
      </c>
      <c r="R2711">
        <v>7.3</v>
      </c>
      <c r="T2711" s="358" t="str">
        <f t="shared" si="131"/>
        <v>2009AllSexAllEth23Poisoning by solids and liquids</v>
      </c>
      <c r="U2711" s="360">
        <v>2009</v>
      </c>
      <c r="V2711" s="360" t="s">
        <v>17</v>
      </c>
      <c r="W2711" s="360" t="s">
        <v>27</v>
      </c>
      <c r="X2711" s="360">
        <v>23</v>
      </c>
      <c r="Y2711" s="360" t="s">
        <v>47</v>
      </c>
      <c r="Z2711" s="360">
        <v>21</v>
      </c>
      <c r="AA2711" s="360">
        <v>173</v>
      </c>
      <c r="AB2711" s="360">
        <v>12.1</v>
      </c>
    </row>
    <row r="2712" spans="10:28" x14ac:dyDescent="0.2">
      <c r="J2712" s="358" t="str">
        <f t="shared" si="130"/>
        <v>2010AllSexAllEth224</v>
      </c>
      <c r="K2712" s="359">
        <v>2010</v>
      </c>
      <c r="L2712" t="s">
        <v>17</v>
      </c>
      <c r="M2712" t="s">
        <v>27</v>
      </c>
      <c r="N2712">
        <v>22</v>
      </c>
      <c r="O2712">
        <v>4</v>
      </c>
      <c r="P2712">
        <v>25</v>
      </c>
      <c r="Q2712">
        <v>19.059862588335498</v>
      </c>
      <c r="R2712">
        <v>7.5</v>
      </c>
      <c r="T2712" s="358" t="str">
        <f t="shared" si="131"/>
        <v>2009AllSexAllEth24Poisoning by solids and liquids</v>
      </c>
      <c r="U2712" s="360">
        <v>2009</v>
      </c>
      <c r="V2712" s="360" t="s">
        <v>17</v>
      </c>
      <c r="W2712" s="360" t="s">
        <v>27</v>
      </c>
      <c r="X2712" s="360">
        <v>24</v>
      </c>
      <c r="Y2712" s="360" t="s">
        <v>47</v>
      </c>
      <c r="Z2712" s="360">
        <v>23</v>
      </c>
      <c r="AA2712" s="360">
        <v>159</v>
      </c>
      <c r="AB2712" s="360">
        <v>14.5</v>
      </c>
    </row>
    <row r="2713" spans="10:28" x14ac:dyDescent="0.2">
      <c r="J2713" s="358" t="str">
        <f t="shared" si="130"/>
        <v>2010AllSexAllEth225</v>
      </c>
      <c r="K2713" s="359">
        <v>2010</v>
      </c>
      <c r="L2713" t="s">
        <v>17</v>
      </c>
      <c r="M2713" t="s">
        <v>27</v>
      </c>
      <c r="N2713">
        <v>22</v>
      </c>
      <c r="O2713">
        <v>5</v>
      </c>
      <c r="P2713">
        <v>41</v>
      </c>
      <c r="Q2713">
        <v>27.469658845595099</v>
      </c>
      <c r="R2713">
        <v>8.4</v>
      </c>
      <c r="T2713" s="358" t="str">
        <f t="shared" si="131"/>
        <v>2009AllSexAllEth25Poisoning by solids and liquids</v>
      </c>
      <c r="U2713" s="360">
        <v>2009</v>
      </c>
      <c r="V2713" s="360" t="s">
        <v>17</v>
      </c>
      <c r="W2713" s="360" t="s">
        <v>27</v>
      </c>
      <c r="X2713" s="360">
        <v>25</v>
      </c>
      <c r="Y2713" s="360" t="s">
        <v>47</v>
      </c>
      <c r="Z2713" s="360">
        <v>12</v>
      </c>
      <c r="AA2713" s="360">
        <v>54</v>
      </c>
      <c r="AB2713" s="360">
        <v>22.2</v>
      </c>
    </row>
    <row r="2714" spans="10:28" x14ac:dyDescent="0.2">
      <c r="J2714" s="358" t="str">
        <f t="shared" si="130"/>
        <v>2010AllSexAllEth231</v>
      </c>
      <c r="K2714" s="359">
        <v>2010</v>
      </c>
      <c r="L2714" t="s">
        <v>17</v>
      </c>
      <c r="M2714" t="s">
        <v>27</v>
      </c>
      <c r="N2714">
        <v>23</v>
      </c>
      <c r="O2714">
        <v>1</v>
      </c>
      <c r="P2714">
        <v>35</v>
      </c>
      <c r="Q2714">
        <v>15.8243637928763</v>
      </c>
      <c r="R2714">
        <v>5.2</v>
      </c>
      <c r="T2714" s="358" t="str">
        <f t="shared" si="131"/>
        <v>2009AllSexAllEth23Sharp object</v>
      </c>
      <c r="U2714" s="360">
        <v>2009</v>
      </c>
      <c r="V2714" s="360" t="s">
        <v>17</v>
      </c>
      <c r="W2714" s="360" t="s">
        <v>27</v>
      </c>
      <c r="X2714" s="360">
        <v>23</v>
      </c>
      <c r="Y2714" s="360" t="s">
        <v>48</v>
      </c>
      <c r="Z2714" s="360">
        <v>1</v>
      </c>
      <c r="AA2714" s="360">
        <v>173</v>
      </c>
      <c r="AB2714" s="360">
        <v>0.6</v>
      </c>
    </row>
    <row r="2715" spans="10:28" x14ac:dyDescent="0.2">
      <c r="J2715" s="358" t="str">
        <f t="shared" si="130"/>
        <v>2010AllSexAllEth232</v>
      </c>
      <c r="K2715" s="359">
        <v>2010</v>
      </c>
      <c r="L2715" t="s">
        <v>17</v>
      </c>
      <c r="M2715" t="s">
        <v>27</v>
      </c>
      <c r="N2715">
        <v>23</v>
      </c>
      <c r="O2715">
        <v>2</v>
      </c>
      <c r="P2715">
        <v>33</v>
      </c>
      <c r="Q2715">
        <v>13.8633531553544</v>
      </c>
      <c r="R2715">
        <v>4.7</v>
      </c>
      <c r="T2715" s="358" t="str">
        <f t="shared" si="131"/>
        <v>2009AllSexAllEth24Sharp object</v>
      </c>
      <c r="U2715" s="360">
        <v>2009</v>
      </c>
      <c r="V2715" s="360" t="s">
        <v>17</v>
      </c>
      <c r="W2715" s="360" t="s">
        <v>27</v>
      </c>
      <c r="X2715" s="360">
        <v>24</v>
      </c>
      <c r="Y2715" s="360" t="s">
        <v>48</v>
      </c>
      <c r="Z2715" s="360">
        <v>6</v>
      </c>
      <c r="AA2715" s="360">
        <v>159</v>
      </c>
      <c r="AB2715" s="360">
        <v>3.8</v>
      </c>
    </row>
    <row r="2716" spans="10:28" x14ac:dyDescent="0.2">
      <c r="J2716" s="358" t="str">
        <f t="shared" si="130"/>
        <v>2010AllSexAllEth233</v>
      </c>
      <c r="K2716" s="359">
        <v>2010</v>
      </c>
      <c r="L2716" t="s">
        <v>17</v>
      </c>
      <c r="M2716" t="s">
        <v>27</v>
      </c>
      <c r="N2716">
        <v>23</v>
      </c>
      <c r="O2716">
        <v>3</v>
      </c>
      <c r="P2716">
        <v>37</v>
      </c>
      <c r="Q2716">
        <v>15.275189025334999</v>
      </c>
      <c r="R2716">
        <v>4.9000000000000004</v>
      </c>
      <c r="T2716" s="358" t="str">
        <f t="shared" si="131"/>
        <v>2009AllSexAllEth25Sharp object</v>
      </c>
      <c r="U2716" s="360">
        <v>2009</v>
      </c>
      <c r="V2716" s="360" t="s">
        <v>17</v>
      </c>
      <c r="W2716" s="360" t="s">
        <v>27</v>
      </c>
      <c r="X2716" s="360">
        <v>25</v>
      </c>
      <c r="Y2716" s="360" t="s">
        <v>48</v>
      </c>
      <c r="Z2716" s="360">
        <v>3</v>
      </c>
      <c r="AA2716" s="360">
        <v>54</v>
      </c>
      <c r="AB2716" s="360">
        <v>5.6</v>
      </c>
    </row>
    <row r="2717" spans="10:28" x14ac:dyDescent="0.2">
      <c r="J2717" s="358" t="str">
        <f t="shared" si="130"/>
        <v>2010AllSexAllEth234</v>
      </c>
      <c r="K2717" s="359">
        <v>2010</v>
      </c>
      <c r="L2717" t="s">
        <v>17</v>
      </c>
      <c r="M2717" t="s">
        <v>27</v>
      </c>
      <c r="N2717">
        <v>23</v>
      </c>
      <c r="O2717">
        <v>4</v>
      </c>
      <c r="P2717">
        <v>41</v>
      </c>
      <c r="Q2717">
        <v>17.297876759946501</v>
      </c>
      <c r="R2717">
        <v>5.3</v>
      </c>
      <c r="T2717" s="358" t="str">
        <f t="shared" si="131"/>
        <v>2009AllSexAllEth22Submersion (drowning)</v>
      </c>
      <c r="U2717" s="360">
        <v>2009</v>
      </c>
      <c r="V2717" s="360" t="s">
        <v>17</v>
      </c>
      <c r="W2717" s="360" t="s">
        <v>27</v>
      </c>
      <c r="X2717" s="360">
        <v>22</v>
      </c>
      <c r="Y2717" s="360" t="s">
        <v>49</v>
      </c>
      <c r="Z2717" s="360">
        <v>1</v>
      </c>
      <c r="AA2717" s="360">
        <v>116</v>
      </c>
      <c r="AB2717" s="360">
        <v>0.9</v>
      </c>
    </row>
    <row r="2718" spans="10:28" x14ac:dyDescent="0.2">
      <c r="J2718" s="358" t="str">
        <f t="shared" si="130"/>
        <v>2010AllSexAllEth235</v>
      </c>
      <c r="K2718" s="359">
        <v>2010</v>
      </c>
      <c r="L2718" t="s">
        <v>17</v>
      </c>
      <c r="M2718" t="s">
        <v>27</v>
      </c>
      <c r="N2718">
        <v>23</v>
      </c>
      <c r="O2718">
        <v>5</v>
      </c>
      <c r="P2718">
        <v>46</v>
      </c>
      <c r="Q2718">
        <v>20.571696514574999</v>
      </c>
      <c r="R2718">
        <v>5.9</v>
      </c>
      <c r="T2718" s="358" t="str">
        <f t="shared" si="131"/>
        <v>2009AllSexAllEth23Submersion (drowning)</v>
      </c>
      <c r="U2718" s="360">
        <v>2009</v>
      </c>
      <c r="V2718" s="360" t="s">
        <v>17</v>
      </c>
      <c r="W2718" s="360" t="s">
        <v>27</v>
      </c>
      <c r="X2718" s="360">
        <v>23</v>
      </c>
      <c r="Y2718" s="360" t="s">
        <v>49</v>
      </c>
      <c r="Z2718" s="360">
        <v>2</v>
      </c>
      <c r="AA2718" s="360">
        <v>173</v>
      </c>
      <c r="AB2718" s="360">
        <v>1.2</v>
      </c>
    </row>
    <row r="2719" spans="10:28" x14ac:dyDescent="0.2">
      <c r="J2719" s="358" t="str">
        <f t="shared" si="130"/>
        <v>2010AllSexAllEth241</v>
      </c>
      <c r="K2719" s="359">
        <v>2010</v>
      </c>
      <c r="L2719" t="s">
        <v>17</v>
      </c>
      <c r="M2719" t="s">
        <v>27</v>
      </c>
      <c r="N2719">
        <v>24</v>
      </c>
      <c r="O2719">
        <v>1</v>
      </c>
      <c r="P2719">
        <v>33</v>
      </c>
      <c r="Q2719">
        <v>12.328896914508899</v>
      </c>
      <c r="R2719">
        <v>4.2</v>
      </c>
      <c r="T2719" s="358" t="str">
        <f t="shared" si="131"/>
        <v>2009AllSexAllEth24Submersion (drowning)</v>
      </c>
      <c r="U2719" s="360">
        <v>2009</v>
      </c>
      <c r="V2719" s="360" t="s">
        <v>17</v>
      </c>
      <c r="W2719" s="360" t="s">
        <v>27</v>
      </c>
      <c r="X2719" s="360">
        <v>24</v>
      </c>
      <c r="Y2719" s="360" t="s">
        <v>49</v>
      </c>
      <c r="Z2719" s="360">
        <v>2</v>
      </c>
      <c r="AA2719" s="360">
        <v>159</v>
      </c>
      <c r="AB2719" s="360">
        <v>1.3</v>
      </c>
    </row>
    <row r="2720" spans="10:28" x14ac:dyDescent="0.2">
      <c r="J2720" s="358" t="str">
        <f t="shared" si="130"/>
        <v>2010AllSexAllEth242</v>
      </c>
      <c r="K2720" s="359">
        <v>2010</v>
      </c>
      <c r="L2720" t="s">
        <v>17</v>
      </c>
      <c r="M2720" t="s">
        <v>27</v>
      </c>
      <c r="N2720">
        <v>24</v>
      </c>
      <c r="O2720">
        <v>2</v>
      </c>
      <c r="P2720">
        <v>31</v>
      </c>
      <c r="Q2720">
        <v>12.971305078521601</v>
      </c>
      <c r="R2720">
        <v>4.5999999999999996</v>
      </c>
      <c r="T2720" s="358" t="str">
        <f t="shared" si="131"/>
        <v>2009AllSexAllEth25Submersion (drowning)</v>
      </c>
      <c r="U2720" s="360">
        <v>2009</v>
      </c>
      <c r="V2720" s="360" t="s">
        <v>17</v>
      </c>
      <c r="W2720" s="360" t="s">
        <v>27</v>
      </c>
      <c r="X2720" s="360">
        <v>25</v>
      </c>
      <c r="Y2720" s="360" t="s">
        <v>49</v>
      </c>
      <c r="Z2720" s="360">
        <v>1</v>
      </c>
      <c r="AA2720" s="360">
        <v>54</v>
      </c>
      <c r="AB2720" s="360">
        <v>1.9</v>
      </c>
    </row>
    <row r="2721" spans="10:28" x14ac:dyDescent="0.2">
      <c r="J2721" s="358" t="str">
        <f t="shared" si="130"/>
        <v>2010AllSexAllEth243</v>
      </c>
      <c r="K2721" s="359">
        <v>2010</v>
      </c>
      <c r="L2721" t="s">
        <v>17</v>
      </c>
      <c r="M2721" t="s">
        <v>27</v>
      </c>
      <c r="N2721">
        <v>24</v>
      </c>
      <c r="O2721">
        <v>3</v>
      </c>
      <c r="P2721">
        <v>27</v>
      </c>
      <c r="Q2721">
        <v>12.4815703580578</v>
      </c>
      <c r="R2721">
        <v>4.7</v>
      </c>
      <c r="T2721" s="358" t="str">
        <f t="shared" si="131"/>
        <v>2009AllSexMaori23Firearms and explosives</v>
      </c>
      <c r="U2721" s="360">
        <v>2009</v>
      </c>
      <c r="V2721" s="360" t="s">
        <v>17</v>
      </c>
      <c r="W2721" s="360" t="s">
        <v>18</v>
      </c>
      <c r="X2721" s="360">
        <v>23</v>
      </c>
      <c r="Y2721" s="360" t="s">
        <v>42</v>
      </c>
      <c r="Z2721" s="360">
        <v>2</v>
      </c>
      <c r="AA2721" s="360">
        <v>31</v>
      </c>
      <c r="AB2721" s="360">
        <v>6.5</v>
      </c>
    </row>
    <row r="2722" spans="10:28" x14ac:dyDescent="0.2">
      <c r="J2722" s="358" t="str">
        <f t="shared" si="130"/>
        <v>2010AllSexAllEth244</v>
      </c>
      <c r="K2722" s="359">
        <v>2010</v>
      </c>
      <c r="L2722" t="s">
        <v>17</v>
      </c>
      <c r="M2722" t="s">
        <v>27</v>
      </c>
      <c r="N2722">
        <v>24</v>
      </c>
      <c r="O2722">
        <v>4</v>
      </c>
      <c r="P2722">
        <v>33</v>
      </c>
      <c r="Q2722">
        <v>16.7969263326627</v>
      </c>
      <c r="R2722">
        <v>5.7</v>
      </c>
      <c r="T2722" s="358" t="str">
        <f t="shared" si="131"/>
        <v>2009AllSexMaori24Firearms and explosives</v>
      </c>
      <c r="U2722" s="360">
        <v>2009</v>
      </c>
      <c r="V2722" s="360" t="s">
        <v>17</v>
      </c>
      <c r="W2722" s="360" t="s">
        <v>18</v>
      </c>
      <c r="X2722" s="360">
        <v>24</v>
      </c>
      <c r="Y2722" s="360" t="s">
        <v>42</v>
      </c>
      <c r="Z2722" s="360">
        <v>1</v>
      </c>
      <c r="AA2722" s="360">
        <v>11</v>
      </c>
      <c r="AB2722" s="360">
        <v>9.1</v>
      </c>
    </row>
    <row r="2723" spans="10:28" x14ac:dyDescent="0.2">
      <c r="J2723" s="358" t="str">
        <f t="shared" si="130"/>
        <v>2010AllSexAllEth245</v>
      </c>
      <c r="K2723" s="359">
        <v>2010</v>
      </c>
      <c r="L2723" t="s">
        <v>17</v>
      </c>
      <c r="M2723" t="s">
        <v>27</v>
      </c>
      <c r="N2723">
        <v>24</v>
      </c>
      <c r="O2723">
        <v>5</v>
      </c>
      <c r="P2723">
        <v>31</v>
      </c>
      <c r="Q2723">
        <v>17.1580379944476</v>
      </c>
      <c r="R2723">
        <v>6</v>
      </c>
      <c r="T2723" s="358" t="str">
        <f t="shared" si="131"/>
        <v>2009AllSexMaori21Hanging, strangulation and suffocation</v>
      </c>
      <c r="U2723" s="360">
        <v>2009</v>
      </c>
      <c r="V2723" s="360" t="s">
        <v>17</v>
      </c>
      <c r="W2723" s="360" t="s">
        <v>18</v>
      </c>
      <c r="X2723" s="360">
        <v>21</v>
      </c>
      <c r="Y2723" s="360" t="s">
        <v>43</v>
      </c>
      <c r="Z2723" s="360">
        <v>5</v>
      </c>
      <c r="AA2723" s="360">
        <v>5</v>
      </c>
      <c r="AB2723" s="360">
        <v>100</v>
      </c>
    </row>
    <row r="2724" spans="10:28" x14ac:dyDescent="0.2">
      <c r="J2724" s="358" t="str">
        <f t="shared" si="130"/>
        <v>2010AllSexAllEth251</v>
      </c>
      <c r="K2724" s="359">
        <v>2010</v>
      </c>
      <c r="L2724" t="s">
        <v>17</v>
      </c>
      <c r="M2724" t="s">
        <v>27</v>
      </c>
      <c r="N2724">
        <v>25</v>
      </c>
      <c r="O2724">
        <v>1</v>
      </c>
      <c r="P2724">
        <v>11</v>
      </c>
      <c r="Q2724">
        <v>9.4553636332856392</v>
      </c>
      <c r="R2724">
        <v>5.6</v>
      </c>
      <c r="T2724" s="358" t="str">
        <f t="shared" si="131"/>
        <v>2009AllSexMaori22Hanging, strangulation and suffocation</v>
      </c>
      <c r="U2724" s="360">
        <v>2009</v>
      </c>
      <c r="V2724" s="360" t="s">
        <v>17</v>
      </c>
      <c r="W2724" s="360" t="s">
        <v>18</v>
      </c>
      <c r="X2724" s="360">
        <v>22</v>
      </c>
      <c r="Y2724" s="360" t="s">
        <v>43</v>
      </c>
      <c r="Z2724" s="360">
        <v>34</v>
      </c>
      <c r="AA2724" s="360">
        <v>35</v>
      </c>
      <c r="AB2724" s="360">
        <v>97.1</v>
      </c>
    </row>
    <row r="2725" spans="10:28" x14ac:dyDescent="0.2">
      <c r="J2725" s="358" t="str">
        <f t="shared" si="130"/>
        <v>2010AllSexAllEth252</v>
      </c>
      <c r="K2725" s="359">
        <v>2010</v>
      </c>
      <c r="L2725" t="s">
        <v>17</v>
      </c>
      <c r="M2725" t="s">
        <v>27</v>
      </c>
      <c r="N2725">
        <v>25</v>
      </c>
      <c r="O2725">
        <v>2</v>
      </c>
      <c r="P2725">
        <v>11</v>
      </c>
      <c r="Q2725">
        <v>9.3563239638140008</v>
      </c>
      <c r="R2725">
        <v>5.5</v>
      </c>
      <c r="T2725" s="358" t="str">
        <f t="shared" si="131"/>
        <v>2009AllSexMaori23Hanging, strangulation and suffocation</v>
      </c>
      <c r="U2725" s="360">
        <v>2009</v>
      </c>
      <c r="V2725" s="360" t="s">
        <v>17</v>
      </c>
      <c r="W2725" s="360" t="s">
        <v>18</v>
      </c>
      <c r="X2725" s="360">
        <v>23</v>
      </c>
      <c r="Y2725" s="360" t="s">
        <v>43</v>
      </c>
      <c r="Z2725" s="360">
        <v>21</v>
      </c>
      <c r="AA2725" s="360">
        <v>31</v>
      </c>
      <c r="AB2725" s="360">
        <v>67.7</v>
      </c>
    </row>
    <row r="2726" spans="10:28" x14ac:dyDescent="0.2">
      <c r="J2726" s="358" t="str">
        <f t="shared" si="130"/>
        <v>2010AllSexAllEth253</v>
      </c>
      <c r="K2726" s="359">
        <v>2010</v>
      </c>
      <c r="L2726" t="s">
        <v>17</v>
      </c>
      <c r="M2726" t="s">
        <v>27</v>
      </c>
      <c r="N2726">
        <v>25</v>
      </c>
      <c r="O2726">
        <v>3</v>
      </c>
      <c r="P2726">
        <v>14</v>
      </c>
      <c r="Q2726">
        <v>12.031282125541701</v>
      </c>
      <c r="R2726">
        <v>6.3</v>
      </c>
      <c r="T2726" s="358" t="str">
        <f t="shared" si="131"/>
        <v>2009AllSexMaori24Hanging, strangulation and suffocation</v>
      </c>
      <c r="U2726" s="360">
        <v>2009</v>
      </c>
      <c r="V2726" s="360" t="s">
        <v>17</v>
      </c>
      <c r="W2726" s="360" t="s">
        <v>18</v>
      </c>
      <c r="X2726" s="360">
        <v>24</v>
      </c>
      <c r="Y2726" s="360" t="s">
        <v>43</v>
      </c>
      <c r="Z2726" s="360">
        <v>9</v>
      </c>
      <c r="AA2726" s="360">
        <v>11</v>
      </c>
      <c r="AB2726" s="360">
        <v>81.8</v>
      </c>
    </row>
    <row r="2727" spans="10:28" x14ac:dyDescent="0.2">
      <c r="J2727" s="358" t="str">
        <f t="shared" si="130"/>
        <v>2010AllSexAllEth254</v>
      </c>
      <c r="K2727" s="359">
        <v>2010</v>
      </c>
      <c r="L2727" t="s">
        <v>17</v>
      </c>
      <c r="M2727" t="s">
        <v>27</v>
      </c>
      <c r="N2727">
        <v>25</v>
      </c>
      <c r="O2727">
        <v>4</v>
      </c>
      <c r="P2727">
        <v>15</v>
      </c>
      <c r="Q2727">
        <v>12.741884980701499</v>
      </c>
      <c r="R2727">
        <v>6.4</v>
      </c>
      <c r="T2727" s="358" t="str">
        <f t="shared" si="131"/>
        <v>2009AllSexMaori25Hanging, strangulation and suffocation</v>
      </c>
      <c r="U2727" s="360">
        <v>2009</v>
      </c>
      <c r="V2727" s="360" t="s">
        <v>17</v>
      </c>
      <c r="W2727" s="360" t="s">
        <v>18</v>
      </c>
      <c r="X2727" s="360">
        <v>25</v>
      </c>
      <c r="Y2727" s="360" t="s">
        <v>43</v>
      </c>
      <c r="Z2727" s="360">
        <v>1</v>
      </c>
      <c r="AA2727" s="360">
        <v>1</v>
      </c>
      <c r="AB2727" s="360">
        <v>100</v>
      </c>
    </row>
    <row r="2728" spans="10:28" x14ac:dyDescent="0.2">
      <c r="J2728" s="358" t="str">
        <f t="shared" si="130"/>
        <v>2010AllSexAllEth255</v>
      </c>
      <c r="K2728" s="359">
        <v>2010</v>
      </c>
      <c r="L2728" t="s">
        <v>17</v>
      </c>
      <c r="M2728" t="s">
        <v>27</v>
      </c>
      <c r="N2728">
        <v>25</v>
      </c>
      <c r="O2728">
        <v>5</v>
      </c>
      <c r="P2728">
        <v>4</v>
      </c>
      <c r="Q2728">
        <v>4.1868427552038199</v>
      </c>
      <c r="R2728">
        <v>4.0999999999999996</v>
      </c>
      <c r="T2728" s="358" t="str">
        <f t="shared" si="131"/>
        <v>2009AllSexMaori22Jumping from a high place</v>
      </c>
      <c r="U2728" s="360">
        <v>2009</v>
      </c>
      <c r="V2728" s="360" t="s">
        <v>17</v>
      </c>
      <c r="W2728" s="360" t="s">
        <v>18</v>
      </c>
      <c r="X2728" s="360">
        <v>22</v>
      </c>
      <c r="Y2728" s="360" t="s">
        <v>44</v>
      </c>
      <c r="Z2728" s="360">
        <v>1</v>
      </c>
      <c r="AA2728" s="360">
        <v>35</v>
      </c>
      <c r="AB2728" s="360">
        <v>2.9</v>
      </c>
    </row>
    <row r="2729" spans="10:28" x14ac:dyDescent="0.2">
      <c r="J2729" s="358" t="str">
        <f t="shared" si="130"/>
        <v>2010AllSexMaori211</v>
      </c>
      <c r="K2729" s="359">
        <v>2010</v>
      </c>
      <c r="L2729" t="s">
        <v>17</v>
      </c>
      <c r="M2729" t="s">
        <v>18</v>
      </c>
      <c r="N2729">
        <v>21</v>
      </c>
      <c r="O2729">
        <v>1</v>
      </c>
      <c r="P2729">
        <v>0</v>
      </c>
      <c r="T2729" s="358" t="str">
        <f t="shared" si="131"/>
        <v>2009AllSexMaori23Jumping from a high place</v>
      </c>
      <c r="U2729" s="360">
        <v>2009</v>
      </c>
      <c r="V2729" s="360" t="s">
        <v>17</v>
      </c>
      <c r="W2729" s="360" t="s">
        <v>18</v>
      </c>
      <c r="X2729" s="360">
        <v>23</v>
      </c>
      <c r="Y2729" s="360" t="s">
        <v>44</v>
      </c>
      <c r="Z2729" s="360">
        <v>2</v>
      </c>
      <c r="AA2729" s="360">
        <v>31</v>
      </c>
      <c r="AB2729" s="360">
        <v>6.5</v>
      </c>
    </row>
    <row r="2730" spans="10:28" x14ac:dyDescent="0.2">
      <c r="J2730" s="358" t="str">
        <f t="shared" si="130"/>
        <v>2010AllSexMaori212</v>
      </c>
      <c r="K2730" s="359">
        <v>2010</v>
      </c>
      <c r="L2730" t="s">
        <v>17</v>
      </c>
      <c r="M2730" t="s">
        <v>18</v>
      </c>
      <c r="N2730">
        <v>21</v>
      </c>
      <c r="O2730">
        <v>2</v>
      </c>
      <c r="P2730">
        <v>0</v>
      </c>
      <c r="T2730" s="358" t="str">
        <f t="shared" si="131"/>
        <v>2009AllSexMaori23Poisoning by gases and vapours</v>
      </c>
      <c r="U2730" s="360">
        <v>2009</v>
      </c>
      <c r="V2730" s="360" t="s">
        <v>17</v>
      </c>
      <c r="W2730" s="360" t="s">
        <v>18</v>
      </c>
      <c r="X2730" s="360">
        <v>23</v>
      </c>
      <c r="Y2730" s="360" t="s">
        <v>46</v>
      </c>
      <c r="Z2730" s="360">
        <v>3</v>
      </c>
      <c r="AA2730" s="360">
        <v>31</v>
      </c>
      <c r="AB2730" s="360">
        <v>9.6999999999999993</v>
      </c>
    </row>
    <row r="2731" spans="10:28" x14ac:dyDescent="0.2">
      <c r="J2731" s="358" t="str">
        <f t="shared" si="130"/>
        <v>2010AllSexMaori213</v>
      </c>
      <c r="K2731" s="359">
        <v>2010</v>
      </c>
      <c r="L2731" t="s">
        <v>17</v>
      </c>
      <c r="M2731" t="s">
        <v>18</v>
      </c>
      <c r="N2731">
        <v>21</v>
      </c>
      <c r="O2731">
        <v>3</v>
      </c>
      <c r="P2731">
        <v>1</v>
      </c>
      <c r="T2731" s="358" t="str">
        <f t="shared" si="131"/>
        <v>2009AllSexMaori23Poisoning by solids and liquids</v>
      </c>
      <c r="U2731" s="360">
        <v>2009</v>
      </c>
      <c r="V2731" s="360" t="s">
        <v>17</v>
      </c>
      <c r="W2731" s="360" t="s">
        <v>18</v>
      </c>
      <c r="X2731" s="360">
        <v>23</v>
      </c>
      <c r="Y2731" s="360" t="s">
        <v>47</v>
      </c>
      <c r="Z2731" s="360">
        <v>3</v>
      </c>
      <c r="AA2731" s="360">
        <v>31</v>
      </c>
      <c r="AB2731" s="360">
        <v>9.6999999999999993</v>
      </c>
    </row>
    <row r="2732" spans="10:28" x14ac:dyDescent="0.2">
      <c r="J2732" s="358" t="str">
        <f t="shared" si="130"/>
        <v>2010AllSexMaori214</v>
      </c>
      <c r="K2732" s="359">
        <v>2010</v>
      </c>
      <c r="L2732" t="s">
        <v>17</v>
      </c>
      <c r="M2732" t="s">
        <v>18</v>
      </c>
      <c r="N2732">
        <v>21</v>
      </c>
      <c r="O2732">
        <v>4</v>
      </c>
      <c r="P2732">
        <v>1</v>
      </c>
      <c r="T2732" s="358" t="str">
        <f t="shared" si="131"/>
        <v>2009AllSexMaori24Poisoning by solids and liquids</v>
      </c>
      <c r="U2732" s="360">
        <v>2009</v>
      </c>
      <c r="V2732" s="360" t="s">
        <v>17</v>
      </c>
      <c r="W2732" s="360" t="s">
        <v>18</v>
      </c>
      <c r="X2732" s="360">
        <v>24</v>
      </c>
      <c r="Y2732" s="360" t="s">
        <v>47</v>
      </c>
      <c r="Z2732" s="360">
        <v>1</v>
      </c>
      <c r="AA2732" s="360">
        <v>11</v>
      </c>
      <c r="AB2732" s="360">
        <v>9.1</v>
      </c>
    </row>
    <row r="2733" spans="10:28" x14ac:dyDescent="0.2">
      <c r="J2733" s="358" t="str">
        <f t="shared" si="130"/>
        <v>2010AllSexMaori215</v>
      </c>
      <c r="K2733" s="359">
        <v>2010</v>
      </c>
      <c r="L2733" t="s">
        <v>17</v>
      </c>
      <c r="M2733" t="s">
        <v>18</v>
      </c>
      <c r="N2733">
        <v>21</v>
      </c>
      <c r="O2733">
        <v>5</v>
      </c>
      <c r="P2733">
        <v>2</v>
      </c>
      <c r="T2733" s="358" t="str">
        <f t="shared" si="131"/>
        <v>2009AllSexNon-Maori21Firearms and explosives</v>
      </c>
      <c r="U2733" s="360">
        <v>2009</v>
      </c>
      <c r="V2733" s="360" t="s">
        <v>17</v>
      </c>
      <c r="W2733" s="360" t="s">
        <v>19</v>
      </c>
      <c r="X2733" s="360">
        <v>21</v>
      </c>
      <c r="Y2733" s="360" t="s">
        <v>42</v>
      </c>
      <c r="Z2733" s="360">
        <v>1</v>
      </c>
      <c r="AA2733" s="360">
        <v>5</v>
      </c>
      <c r="AB2733" s="360">
        <v>20</v>
      </c>
    </row>
    <row r="2734" spans="10:28" x14ac:dyDescent="0.2">
      <c r="J2734" s="358" t="str">
        <f t="shared" si="130"/>
        <v>2010AllSexMaori221</v>
      </c>
      <c r="K2734" s="359">
        <v>2010</v>
      </c>
      <c r="L2734" t="s">
        <v>17</v>
      </c>
      <c r="M2734" t="s">
        <v>18</v>
      </c>
      <c r="N2734">
        <v>22</v>
      </c>
      <c r="O2734">
        <v>1</v>
      </c>
      <c r="P2734">
        <v>1</v>
      </c>
      <c r="Q2734">
        <v>9.6410576938184605</v>
      </c>
      <c r="R2734">
        <v>18.899999999999999</v>
      </c>
      <c r="T2734" s="358" t="str">
        <f t="shared" si="131"/>
        <v>2009AllSexNon-Maori22Firearms and explosives</v>
      </c>
      <c r="U2734" s="360">
        <v>2009</v>
      </c>
      <c r="V2734" s="360" t="s">
        <v>17</v>
      </c>
      <c r="W2734" s="360" t="s">
        <v>19</v>
      </c>
      <c r="X2734" s="360">
        <v>22</v>
      </c>
      <c r="Y2734" s="360" t="s">
        <v>42</v>
      </c>
      <c r="Z2734" s="360">
        <v>9</v>
      </c>
      <c r="AA2734" s="360">
        <v>81</v>
      </c>
      <c r="AB2734" s="360">
        <v>11.1</v>
      </c>
    </row>
    <row r="2735" spans="10:28" x14ac:dyDescent="0.2">
      <c r="J2735" s="358" t="str">
        <f t="shared" si="130"/>
        <v>2010AllSexMaori222</v>
      </c>
      <c r="K2735" s="359">
        <v>2010</v>
      </c>
      <c r="L2735" t="s">
        <v>17</v>
      </c>
      <c r="M2735" t="s">
        <v>18</v>
      </c>
      <c r="N2735">
        <v>22</v>
      </c>
      <c r="O2735">
        <v>2</v>
      </c>
      <c r="P2735">
        <v>1</v>
      </c>
      <c r="Q2735">
        <v>7.2430251179448097</v>
      </c>
      <c r="R2735">
        <v>14.2</v>
      </c>
      <c r="T2735" s="358" t="str">
        <f t="shared" si="131"/>
        <v>2009AllSexNon-Maori23Firearms and explosives</v>
      </c>
      <c r="U2735" s="360">
        <v>2009</v>
      </c>
      <c r="V2735" s="360" t="s">
        <v>17</v>
      </c>
      <c r="W2735" s="360" t="s">
        <v>19</v>
      </c>
      <c r="X2735" s="360">
        <v>23</v>
      </c>
      <c r="Y2735" s="360" t="s">
        <v>42</v>
      </c>
      <c r="Z2735" s="360">
        <v>11</v>
      </c>
      <c r="AA2735" s="360">
        <v>142</v>
      </c>
      <c r="AB2735" s="360">
        <v>7.7</v>
      </c>
    </row>
    <row r="2736" spans="10:28" x14ac:dyDescent="0.2">
      <c r="J2736" s="358" t="str">
        <f t="shared" si="130"/>
        <v>2010AllSexMaori223</v>
      </c>
      <c r="K2736" s="359">
        <v>2010</v>
      </c>
      <c r="L2736" t="s">
        <v>17</v>
      </c>
      <c r="M2736" t="s">
        <v>18</v>
      </c>
      <c r="N2736">
        <v>22</v>
      </c>
      <c r="O2736">
        <v>3</v>
      </c>
      <c r="P2736">
        <v>2</v>
      </c>
      <c r="Q2736">
        <v>9.9754738364058007</v>
      </c>
      <c r="R2736">
        <v>13.8</v>
      </c>
      <c r="T2736" s="358" t="str">
        <f t="shared" si="131"/>
        <v>2009AllSexNon-Maori24Firearms and explosives</v>
      </c>
      <c r="U2736" s="360">
        <v>2009</v>
      </c>
      <c r="V2736" s="360" t="s">
        <v>17</v>
      </c>
      <c r="W2736" s="360" t="s">
        <v>19</v>
      </c>
      <c r="X2736" s="360">
        <v>24</v>
      </c>
      <c r="Y2736" s="360" t="s">
        <v>42</v>
      </c>
      <c r="Z2736" s="360">
        <v>22</v>
      </c>
      <c r="AA2736" s="360">
        <v>148</v>
      </c>
      <c r="AB2736" s="360">
        <v>14.9</v>
      </c>
    </row>
    <row r="2737" spans="10:28" x14ac:dyDescent="0.2">
      <c r="J2737" s="358" t="str">
        <f t="shared" si="130"/>
        <v>2010AllSexMaori224</v>
      </c>
      <c r="K2737" s="359">
        <v>2010</v>
      </c>
      <c r="L2737" t="s">
        <v>17</v>
      </c>
      <c r="M2737" t="s">
        <v>18</v>
      </c>
      <c r="N2737">
        <v>22</v>
      </c>
      <c r="O2737">
        <v>4</v>
      </c>
      <c r="P2737">
        <v>10</v>
      </c>
      <c r="Q2737">
        <v>34.533945857877498</v>
      </c>
      <c r="R2737">
        <v>21.4</v>
      </c>
      <c r="T2737" s="358" t="str">
        <f t="shared" si="131"/>
        <v>2009AllSexNon-Maori25Firearms and explosives</v>
      </c>
      <c r="U2737" s="360">
        <v>2009</v>
      </c>
      <c r="V2737" s="360" t="s">
        <v>17</v>
      </c>
      <c r="W2737" s="360" t="s">
        <v>19</v>
      </c>
      <c r="X2737" s="360">
        <v>25</v>
      </c>
      <c r="Y2737" s="360" t="s">
        <v>42</v>
      </c>
      <c r="Z2737" s="360">
        <v>7</v>
      </c>
      <c r="AA2737" s="360">
        <v>53</v>
      </c>
      <c r="AB2737" s="360">
        <v>13.2</v>
      </c>
    </row>
    <row r="2738" spans="10:28" x14ac:dyDescent="0.2">
      <c r="J2738" s="358" t="str">
        <f t="shared" si="130"/>
        <v>2010AllSexMaori225</v>
      </c>
      <c r="K2738" s="359">
        <v>2010</v>
      </c>
      <c r="L2738" t="s">
        <v>17</v>
      </c>
      <c r="M2738" t="s">
        <v>18</v>
      </c>
      <c r="N2738">
        <v>22</v>
      </c>
      <c r="O2738">
        <v>5</v>
      </c>
      <c r="P2738">
        <v>28</v>
      </c>
      <c r="Q2738">
        <v>56.2019128346804</v>
      </c>
      <c r="R2738">
        <v>20.8</v>
      </c>
      <c r="T2738" s="358" t="str">
        <f t="shared" si="131"/>
        <v>2009AllSexNon-Maori21Hanging, strangulation and suffocation</v>
      </c>
      <c r="U2738" s="360">
        <v>2009</v>
      </c>
      <c r="V2738" s="360" t="s">
        <v>17</v>
      </c>
      <c r="W2738" s="360" t="s">
        <v>19</v>
      </c>
      <c r="X2738" s="360">
        <v>21</v>
      </c>
      <c r="Y2738" s="360" t="s">
        <v>43</v>
      </c>
      <c r="Z2738" s="360">
        <v>2</v>
      </c>
      <c r="AA2738" s="360">
        <v>5</v>
      </c>
      <c r="AB2738" s="360">
        <v>40</v>
      </c>
    </row>
    <row r="2739" spans="10:28" x14ac:dyDescent="0.2">
      <c r="J2739" s="358" t="str">
        <f t="shared" si="130"/>
        <v>2010AllSexMaori231</v>
      </c>
      <c r="K2739" s="359">
        <v>2010</v>
      </c>
      <c r="L2739" t="s">
        <v>17</v>
      </c>
      <c r="M2739" t="s">
        <v>18</v>
      </c>
      <c r="N2739">
        <v>23</v>
      </c>
      <c r="O2739">
        <v>1</v>
      </c>
      <c r="P2739">
        <v>0</v>
      </c>
      <c r="Q2739">
        <v>0</v>
      </c>
      <c r="T2739" s="358" t="str">
        <f t="shared" si="131"/>
        <v>2009AllSexNon-Maori22Hanging, strangulation and suffocation</v>
      </c>
      <c r="U2739" s="360">
        <v>2009</v>
      </c>
      <c r="V2739" s="360" t="s">
        <v>17</v>
      </c>
      <c r="W2739" s="360" t="s">
        <v>19</v>
      </c>
      <c r="X2739" s="360">
        <v>22</v>
      </c>
      <c r="Y2739" s="360" t="s">
        <v>43</v>
      </c>
      <c r="Z2739" s="360">
        <v>61</v>
      </c>
      <c r="AA2739" s="360">
        <v>81</v>
      </c>
      <c r="AB2739" s="360">
        <v>75.3</v>
      </c>
    </row>
    <row r="2740" spans="10:28" x14ac:dyDescent="0.2">
      <c r="J2740" s="358" t="str">
        <f t="shared" si="130"/>
        <v>2010AllSexMaori232</v>
      </c>
      <c r="K2740" s="359">
        <v>2010</v>
      </c>
      <c r="L2740" t="s">
        <v>17</v>
      </c>
      <c r="M2740" t="s">
        <v>18</v>
      </c>
      <c r="N2740">
        <v>23</v>
      </c>
      <c r="O2740">
        <v>2</v>
      </c>
      <c r="P2740">
        <v>7</v>
      </c>
      <c r="Q2740">
        <v>34.018497463439601</v>
      </c>
      <c r="R2740">
        <v>25.2</v>
      </c>
      <c r="T2740" s="358" t="str">
        <f t="shared" si="131"/>
        <v>2009AllSexNon-Maori23Hanging, strangulation and suffocation</v>
      </c>
      <c r="U2740" s="360">
        <v>2009</v>
      </c>
      <c r="V2740" s="360" t="s">
        <v>17</v>
      </c>
      <c r="W2740" s="360" t="s">
        <v>19</v>
      </c>
      <c r="X2740" s="360">
        <v>23</v>
      </c>
      <c r="Y2740" s="360" t="s">
        <v>43</v>
      </c>
      <c r="Z2740" s="360">
        <v>79</v>
      </c>
      <c r="AA2740" s="360">
        <v>142</v>
      </c>
      <c r="AB2740" s="360">
        <v>55.6</v>
      </c>
    </row>
    <row r="2741" spans="10:28" x14ac:dyDescent="0.2">
      <c r="J2741" s="358" t="str">
        <f t="shared" si="130"/>
        <v>2010AllSexMaori233</v>
      </c>
      <c r="K2741" s="359">
        <v>2010</v>
      </c>
      <c r="L2741" t="s">
        <v>17</v>
      </c>
      <c r="M2741" t="s">
        <v>18</v>
      </c>
      <c r="N2741">
        <v>23</v>
      </c>
      <c r="O2741">
        <v>3</v>
      </c>
      <c r="P2741">
        <v>9</v>
      </c>
      <c r="Q2741">
        <v>31.4489337601545</v>
      </c>
      <c r="R2741">
        <v>20.5</v>
      </c>
      <c r="T2741" s="358" t="str">
        <f t="shared" si="131"/>
        <v>2009AllSexNon-Maori24Hanging, strangulation and suffocation</v>
      </c>
      <c r="U2741" s="360">
        <v>2009</v>
      </c>
      <c r="V2741" s="360" t="s">
        <v>17</v>
      </c>
      <c r="W2741" s="360" t="s">
        <v>19</v>
      </c>
      <c r="X2741" s="360">
        <v>24</v>
      </c>
      <c r="Y2741" s="360" t="s">
        <v>43</v>
      </c>
      <c r="Z2741" s="360">
        <v>72</v>
      </c>
      <c r="AA2741" s="360">
        <v>148</v>
      </c>
      <c r="AB2741" s="360">
        <v>48.6</v>
      </c>
    </row>
    <row r="2742" spans="10:28" x14ac:dyDescent="0.2">
      <c r="J2742" s="358" t="str">
        <f t="shared" si="130"/>
        <v>2010AllSexMaori234</v>
      </c>
      <c r="K2742" s="359">
        <v>2010</v>
      </c>
      <c r="L2742" t="s">
        <v>17</v>
      </c>
      <c r="M2742" t="s">
        <v>18</v>
      </c>
      <c r="N2742">
        <v>23</v>
      </c>
      <c r="O2742">
        <v>4</v>
      </c>
      <c r="P2742">
        <v>7</v>
      </c>
      <c r="Q2742">
        <v>17.731611791875199</v>
      </c>
      <c r="R2742">
        <v>13.1</v>
      </c>
      <c r="T2742" s="358" t="str">
        <f t="shared" si="131"/>
        <v>2009AllSexNon-Maori25Hanging, strangulation and suffocation</v>
      </c>
      <c r="U2742" s="360">
        <v>2009</v>
      </c>
      <c r="V2742" s="360" t="s">
        <v>17</v>
      </c>
      <c r="W2742" s="360" t="s">
        <v>19</v>
      </c>
      <c r="X2742" s="360">
        <v>25</v>
      </c>
      <c r="Y2742" s="360" t="s">
        <v>43</v>
      </c>
      <c r="Z2742" s="360">
        <v>18</v>
      </c>
      <c r="AA2742" s="360">
        <v>53</v>
      </c>
      <c r="AB2742" s="360">
        <v>34</v>
      </c>
    </row>
    <row r="2743" spans="10:28" x14ac:dyDescent="0.2">
      <c r="J2743" s="358" t="str">
        <f t="shared" si="130"/>
        <v>2010AllSexMaori235</v>
      </c>
      <c r="K2743" s="359">
        <v>2010</v>
      </c>
      <c r="L2743" t="s">
        <v>17</v>
      </c>
      <c r="M2743" t="s">
        <v>18</v>
      </c>
      <c r="N2743">
        <v>23</v>
      </c>
      <c r="O2743">
        <v>5</v>
      </c>
      <c r="P2743">
        <v>16</v>
      </c>
      <c r="Q2743">
        <v>25.061355586077202</v>
      </c>
      <c r="R2743">
        <v>12.3</v>
      </c>
      <c r="T2743" s="358" t="str">
        <f t="shared" si="131"/>
        <v>2009AllSexNon-Maori22Jumping from a high place</v>
      </c>
      <c r="U2743" s="360">
        <v>2009</v>
      </c>
      <c r="V2743" s="360" t="s">
        <v>17</v>
      </c>
      <c r="W2743" s="360" t="s">
        <v>19</v>
      </c>
      <c r="X2743" s="360">
        <v>22</v>
      </c>
      <c r="Y2743" s="360" t="s">
        <v>44</v>
      </c>
      <c r="Z2743" s="360">
        <v>4</v>
      </c>
      <c r="AA2743" s="360">
        <v>81</v>
      </c>
      <c r="AB2743" s="360">
        <v>4.9000000000000004</v>
      </c>
    </row>
    <row r="2744" spans="10:28" x14ac:dyDescent="0.2">
      <c r="J2744" s="358" t="str">
        <f t="shared" si="130"/>
        <v>2010AllSexMaori241</v>
      </c>
      <c r="K2744" s="359">
        <v>2010</v>
      </c>
      <c r="L2744" t="s">
        <v>17</v>
      </c>
      <c r="M2744" t="s">
        <v>18</v>
      </c>
      <c r="N2744">
        <v>24</v>
      </c>
      <c r="O2744">
        <v>1</v>
      </c>
      <c r="P2744">
        <v>1</v>
      </c>
      <c r="Q2744">
        <v>8.7991641418899693</v>
      </c>
      <c r="R2744">
        <v>17.2</v>
      </c>
      <c r="T2744" s="358" t="str">
        <f t="shared" si="131"/>
        <v>2009AllSexNon-Maori23Jumping from a high place</v>
      </c>
      <c r="U2744" s="360">
        <v>2009</v>
      </c>
      <c r="V2744" s="360" t="s">
        <v>17</v>
      </c>
      <c r="W2744" s="360" t="s">
        <v>19</v>
      </c>
      <c r="X2744" s="360">
        <v>23</v>
      </c>
      <c r="Y2744" s="360" t="s">
        <v>44</v>
      </c>
      <c r="Z2744" s="360">
        <v>4</v>
      </c>
      <c r="AA2744" s="360">
        <v>142</v>
      </c>
      <c r="AB2744" s="360">
        <v>2.8</v>
      </c>
    </row>
    <row r="2745" spans="10:28" x14ac:dyDescent="0.2">
      <c r="J2745" s="358" t="str">
        <f t="shared" si="130"/>
        <v>2010AllSexMaori242</v>
      </c>
      <c r="K2745" s="359">
        <v>2010</v>
      </c>
      <c r="L2745" t="s">
        <v>17</v>
      </c>
      <c r="M2745" t="s">
        <v>18</v>
      </c>
      <c r="N2745">
        <v>24</v>
      </c>
      <c r="O2745">
        <v>2</v>
      </c>
      <c r="P2745">
        <v>2</v>
      </c>
      <c r="Q2745">
        <v>14.0637579434337</v>
      </c>
      <c r="R2745">
        <v>19.5</v>
      </c>
      <c r="T2745" s="358" t="str">
        <f t="shared" si="131"/>
        <v>2009AllSexNon-Maori24Jumping from a high place</v>
      </c>
      <c r="U2745" s="360">
        <v>2009</v>
      </c>
      <c r="V2745" s="360" t="s">
        <v>17</v>
      </c>
      <c r="W2745" s="360" t="s">
        <v>19</v>
      </c>
      <c r="X2745" s="360">
        <v>24</v>
      </c>
      <c r="Y2745" s="360" t="s">
        <v>44</v>
      </c>
      <c r="Z2745" s="360">
        <v>6</v>
      </c>
      <c r="AA2745" s="360">
        <v>148</v>
      </c>
      <c r="AB2745" s="360">
        <v>4.0999999999999996</v>
      </c>
    </row>
    <row r="2746" spans="10:28" x14ac:dyDescent="0.2">
      <c r="J2746" s="358" t="str">
        <f t="shared" si="130"/>
        <v>2010AllSexMaori243</v>
      </c>
      <c r="K2746" s="359">
        <v>2010</v>
      </c>
      <c r="L2746" t="s">
        <v>17</v>
      </c>
      <c r="M2746" t="s">
        <v>18</v>
      </c>
      <c r="N2746">
        <v>24</v>
      </c>
      <c r="O2746">
        <v>3</v>
      </c>
      <c r="P2746">
        <v>0</v>
      </c>
      <c r="Q2746">
        <v>0</v>
      </c>
      <c r="T2746" s="358" t="str">
        <f t="shared" si="131"/>
        <v>2009AllSexNon-Maori21Other</v>
      </c>
      <c r="U2746" s="360">
        <v>2009</v>
      </c>
      <c r="V2746" s="360" t="s">
        <v>17</v>
      </c>
      <c r="W2746" s="360" t="s">
        <v>19</v>
      </c>
      <c r="X2746" s="360">
        <v>21</v>
      </c>
      <c r="Y2746" s="360" t="s">
        <v>45</v>
      </c>
      <c r="Z2746" s="360">
        <v>1</v>
      </c>
      <c r="AA2746" s="360">
        <v>5</v>
      </c>
      <c r="AB2746" s="360">
        <v>20</v>
      </c>
    </row>
    <row r="2747" spans="10:28" x14ac:dyDescent="0.2">
      <c r="J2747" s="358" t="str">
        <f t="shared" si="130"/>
        <v>2010AllSexMaori244</v>
      </c>
      <c r="K2747" s="359">
        <v>2010</v>
      </c>
      <c r="L2747" t="s">
        <v>17</v>
      </c>
      <c r="M2747" t="s">
        <v>18</v>
      </c>
      <c r="N2747">
        <v>24</v>
      </c>
      <c r="O2747">
        <v>4</v>
      </c>
      <c r="P2747">
        <v>2</v>
      </c>
      <c r="Q2747">
        <v>7.7016165282605398</v>
      </c>
      <c r="R2747">
        <v>10.7</v>
      </c>
      <c r="T2747" s="358" t="str">
        <f t="shared" si="131"/>
        <v>2009AllSexNon-Maori23Other</v>
      </c>
      <c r="U2747" s="360">
        <v>2009</v>
      </c>
      <c r="V2747" s="360" t="s">
        <v>17</v>
      </c>
      <c r="W2747" s="360" t="s">
        <v>19</v>
      </c>
      <c r="X2747" s="360">
        <v>23</v>
      </c>
      <c r="Y2747" s="360" t="s">
        <v>45</v>
      </c>
      <c r="Z2747" s="360">
        <v>8</v>
      </c>
      <c r="AA2747" s="360">
        <v>142</v>
      </c>
      <c r="AB2747" s="360">
        <v>5.6</v>
      </c>
    </row>
    <row r="2748" spans="10:28" x14ac:dyDescent="0.2">
      <c r="J2748" s="358" t="str">
        <f t="shared" si="130"/>
        <v>2010AllSexMaori245</v>
      </c>
      <c r="K2748" s="359">
        <v>2010</v>
      </c>
      <c r="L2748" t="s">
        <v>17</v>
      </c>
      <c r="M2748" t="s">
        <v>18</v>
      </c>
      <c r="N2748">
        <v>24</v>
      </c>
      <c r="O2748">
        <v>5</v>
      </c>
      <c r="P2748">
        <v>10</v>
      </c>
      <c r="Q2748">
        <v>22.058770857299599</v>
      </c>
      <c r="R2748">
        <v>13.7</v>
      </c>
      <c r="T2748" s="358" t="str">
        <f t="shared" si="131"/>
        <v>2009AllSexNon-Maori24Other</v>
      </c>
      <c r="U2748" s="360">
        <v>2009</v>
      </c>
      <c r="V2748" s="360" t="s">
        <v>17</v>
      </c>
      <c r="W2748" s="360" t="s">
        <v>19</v>
      </c>
      <c r="X2748" s="360">
        <v>24</v>
      </c>
      <c r="Y2748" s="360" t="s">
        <v>45</v>
      </c>
      <c r="Z2748" s="360">
        <v>2</v>
      </c>
      <c r="AA2748" s="360">
        <v>148</v>
      </c>
      <c r="AB2748" s="360">
        <v>1.4</v>
      </c>
    </row>
    <row r="2749" spans="10:28" x14ac:dyDescent="0.2">
      <c r="J2749" s="358" t="str">
        <f t="shared" si="130"/>
        <v>2010AllSexMaori251</v>
      </c>
      <c r="K2749" s="359">
        <v>2010</v>
      </c>
      <c r="L2749" t="s">
        <v>17</v>
      </c>
      <c r="M2749" t="s">
        <v>18</v>
      </c>
      <c r="N2749">
        <v>25</v>
      </c>
      <c r="O2749">
        <v>1</v>
      </c>
      <c r="P2749">
        <v>0</v>
      </c>
      <c r="Q2749">
        <v>0</v>
      </c>
      <c r="T2749" s="358" t="str">
        <f t="shared" si="131"/>
        <v>2009AllSexNon-Maori25Other</v>
      </c>
      <c r="U2749" s="360">
        <v>2009</v>
      </c>
      <c r="V2749" s="360" t="s">
        <v>17</v>
      </c>
      <c r="W2749" s="360" t="s">
        <v>19</v>
      </c>
      <c r="X2749" s="360">
        <v>25</v>
      </c>
      <c r="Y2749" s="360" t="s">
        <v>45</v>
      </c>
      <c r="Z2749" s="360">
        <v>4</v>
      </c>
      <c r="AA2749" s="360">
        <v>53</v>
      </c>
      <c r="AB2749" s="360">
        <v>7.5</v>
      </c>
    </row>
    <row r="2750" spans="10:28" x14ac:dyDescent="0.2">
      <c r="J2750" s="358" t="str">
        <f t="shared" si="130"/>
        <v>2010AllSexMaori252</v>
      </c>
      <c r="K2750" s="359">
        <v>2010</v>
      </c>
      <c r="L2750" t="s">
        <v>17</v>
      </c>
      <c r="M2750" t="s">
        <v>18</v>
      </c>
      <c r="N2750">
        <v>25</v>
      </c>
      <c r="O2750">
        <v>2</v>
      </c>
      <c r="P2750">
        <v>0</v>
      </c>
      <c r="Q2750">
        <v>0</v>
      </c>
      <c r="T2750" s="358" t="str">
        <f t="shared" si="131"/>
        <v>2009AllSexNon-Maori22Poisoning by gases and vapours</v>
      </c>
      <c r="U2750" s="360">
        <v>2009</v>
      </c>
      <c r="V2750" s="360" t="s">
        <v>17</v>
      </c>
      <c r="W2750" s="360" t="s">
        <v>19</v>
      </c>
      <c r="X2750" s="360">
        <v>22</v>
      </c>
      <c r="Y2750" s="360" t="s">
        <v>46</v>
      </c>
      <c r="Z2750" s="360">
        <v>4</v>
      </c>
      <c r="AA2750" s="360">
        <v>81</v>
      </c>
      <c r="AB2750" s="360">
        <v>4.9000000000000004</v>
      </c>
    </row>
    <row r="2751" spans="10:28" x14ac:dyDescent="0.2">
      <c r="J2751" s="358" t="str">
        <f t="shared" si="130"/>
        <v>2010AllSexMaori253</v>
      </c>
      <c r="K2751" s="359">
        <v>2010</v>
      </c>
      <c r="L2751" t="s">
        <v>17</v>
      </c>
      <c r="M2751" t="s">
        <v>18</v>
      </c>
      <c r="N2751">
        <v>25</v>
      </c>
      <c r="O2751">
        <v>3</v>
      </c>
      <c r="P2751">
        <v>0</v>
      </c>
      <c r="Q2751">
        <v>0</v>
      </c>
      <c r="T2751" s="358" t="str">
        <f t="shared" si="131"/>
        <v>2009AllSexNon-Maori23Poisoning by gases and vapours</v>
      </c>
      <c r="U2751" s="360">
        <v>2009</v>
      </c>
      <c r="V2751" s="360" t="s">
        <v>17</v>
      </c>
      <c r="W2751" s="360" t="s">
        <v>19</v>
      </c>
      <c r="X2751" s="360">
        <v>23</v>
      </c>
      <c r="Y2751" s="360" t="s">
        <v>46</v>
      </c>
      <c r="Z2751" s="360">
        <v>19</v>
      </c>
      <c r="AA2751" s="360">
        <v>142</v>
      </c>
      <c r="AB2751" s="360">
        <v>13.4</v>
      </c>
    </row>
    <row r="2752" spans="10:28" x14ac:dyDescent="0.2">
      <c r="J2752" s="358" t="str">
        <f t="shared" si="130"/>
        <v>2010AllSexMaori254</v>
      </c>
      <c r="K2752" s="359">
        <v>2010</v>
      </c>
      <c r="L2752" t="s">
        <v>17</v>
      </c>
      <c r="M2752" t="s">
        <v>18</v>
      </c>
      <c r="N2752">
        <v>25</v>
      </c>
      <c r="O2752">
        <v>4</v>
      </c>
      <c r="P2752">
        <v>0</v>
      </c>
      <c r="Q2752">
        <v>0</v>
      </c>
      <c r="T2752" s="358" t="str">
        <f t="shared" si="131"/>
        <v>2009AllSexNon-Maori24Poisoning by gases and vapours</v>
      </c>
      <c r="U2752" s="360">
        <v>2009</v>
      </c>
      <c r="V2752" s="360" t="s">
        <v>17</v>
      </c>
      <c r="W2752" s="360" t="s">
        <v>19</v>
      </c>
      <c r="X2752" s="360">
        <v>24</v>
      </c>
      <c r="Y2752" s="360" t="s">
        <v>46</v>
      </c>
      <c r="Z2752" s="360">
        <v>16</v>
      </c>
      <c r="AA2752" s="360">
        <v>148</v>
      </c>
      <c r="AB2752" s="360">
        <v>10.8</v>
      </c>
    </row>
    <row r="2753" spans="10:28" x14ac:dyDescent="0.2">
      <c r="J2753" s="358" t="str">
        <f t="shared" si="130"/>
        <v>2010AllSexMaori255</v>
      </c>
      <c r="K2753" s="359">
        <v>2010</v>
      </c>
      <c r="L2753" t="s">
        <v>17</v>
      </c>
      <c r="M2753" t="s">
        <v>18</v>
      </c>
      <c r="N2753">
        <v>25</v>
      </c>
      <c r="O2753">
        <v>5</v>
      </c>
      <c r="P2753">
        <v>0</v>
      </c>
      <c r="Q2753">
        <v>0</v>
      </c>
      <c r="T2753" s="358" t="str">
        <f t="shared" si="131"/>
        <v>2009AllSexNon-Maori25Poisoning by gases and vapours</v>
      </c>
      <c r="U2753" s="360">
        <v>2009</v>
      </c>
      <c r="V2753" s="360" t="s">
        <v>17</v>
      </c>
      <c r="W2753" s="360" t="s">
        <v>19</v>
      </c>
      <c r="X2753" s="360">
        <v>25</v>
      </c>
      <c r="Y2753" s="360" t="s">
        <v>46</v>
      </c>
      <c r="Z2753" s="360">
        <v>8</v>
      </c>
      <c r="AA2753" s="360">
        <v>53</v>
      </c>
      <c r="AB2753" s="360">
        <v>15.1</v>
      </c>
    </row>
    <row r="2754" spans="10:28" x14ac:dyDescent="0.2">
      <c r="J2754" s="358" t="str">
        <f t="shared" si="130"/>
        <v>2010AllSexNon-Maori211</v>
      </c>
      <c r="K2754" s="359">
        <v>2010</v>
      </c>
      <c r="L2754" t="s">
        <v>17</v>
      </c>
      <c r="M2754" t="s">
        <v>19</v>
      </c>
      <c r="N2754">
        <v>21</v>
      </c>
      <c r="O2754">
        <v>1</v>
      </c>
      <c r="P2754">
        <v>0</v>
      </c>
      <c r="T2754" s="358" t="str">
        <f t="shared" si="131"/>
        <v>2009AllSexNon-Maori21Poisoning by solids and liquids</v>
      </c>
      <c r="U2754" s="360">
        <v>2009</v>
      </c>
      <c r="V2754" s="360" t="s">
        <v>17</v>
      </c>
      <c r="W2754" s="360" t="s">
        <v>19</v>
      </c>
      <c r="X2754" s="360">
        <v>21</v>
      </c>
      <c r="Y2754" s="360" t="s">
        <v>47</v>
      </c>
      <c r="Z2754" s="360">
        <v>1</v>
      </c>
      <c r="AA2754" s="360">
        <v>5</v>
      </c>
      <c r="AB2754" s="360">
        <v>20</v>
      </c>
    </row>
    <row r="2755" spans="10:28" x14ac:dyDescent="0.2">
      <c r="J2755" s="358" t="str">
        <f t="shared" si="130"/>
        <v>2010AllSexNon-Maori212</v>
      </c>
      <c r="K2755" s="359">
        <v>2010</v>
      </c>
      <c r="L2755" t="s">
        <v>17</v>
      </c>
      <c r="M2755" t="s">
        <v>19</v>
      </c>
      <c r="N2755">
        <v>21</v>
      </c>
      <c r="O2755">
        <v>2</v>
      </c>
      <c r="P2755">
        <v>0</v>
      </c>
      <c r="T2755" s="358" t="str">
        <f t="shared" si="131"/>
        <v>2009AllSexNon-Maori22Poisoning by solids and liquids</v>
      </c>
      <c r="U2755" s="360">
        <v>2009</v>
      </c>
      <c r="V2755" s="360" t="s">
        <v>17</v>
      </c>
      <c r="W2755" s="360" t="s">
        <v>19</v>
      </c>
      <c r="X2755" s="360">
        <v>22</v>
      </c>
      <c r="Y2755" s="360" t="s">
        <v>47</v>
      </c>
      <c r="Z2755" s="360">
        <v>2</v>
      </c>
      <c r="AA2755" s="360">
        <v>81</v>
      </c>
      <c r="AB2755" s="360">
        <v>2.5</v>
      </c>
    </row>
    <row r="2756" spans="10:28" x14ac:dyDescent="0.2">
      <c r="J2756" s="358" t="str">
        <f t="shared" ref="J2756:J2819" si="132">K2756&amp;L2756&amp;M2756&amp;N2756&amp;O2756</f>
        <v>2010AllSexNon-Maori213</v>
      </c>
      <c r="K2756" s="359">
        <v>2010</v>
      </c>
      <c r="L2756" t="s">
        <v>17</v>
      </c>
      <c r="M2756" t="s">
        <v>19</v>
      </c>
      <c r="N2756">
        <v>21</v>
      </c>
      <c r="O2756">
        <v>3</v>
      </c>
      <c r="P2756">
        <v>0</v>
      </c>
      <c r="T2756" s="358" t="str">
        <f t="shared" si="131"/>
        <v>2009AllSexNon-Maori23Poisoning by solids and liquids</v>
      </c>
      <c r="U2756" s="360">
        <v>2009</v>
      </c>
      <c r="V2756" s="360" t="s">
        <v>17</v>
      </c>
      <c r="W2756" s="360" t="s">
        <v>19</v>
      </c>
      <c r="X2756" s="360">
        <v>23</v>
      </c>
      <c r="Y2756" s="360" t="s">
        <v>47</v>
      </c>
      <c r="Z2756" s="360">
        <v>18</v>
      </c>
      <c r="AA2756" s="360">
        <v>142</v>
      </c>
      <c r="AB2756" s="360">
        <v>12.7</v>
      </c>
    </row>
    <row r="2757" spans="10:28" x14ac:dyDescent="0.2">
      <c r="J2757" s="358" t="str">
        <f t="shared" si="132"/>
        <v>2010AllSexNon-Maori214</v>
      </c>
      <c r="K2757" s="359">
        <v>2010</v>
      </c>
      <c r="L2757" t="s">
        <v>17</v>
      </c>
      <c r="M2757" t="s">
        <v>19</v>
      </c>
      <c r="N2757">
        <v>21</v>
      </c>
      <c r="O2757">
        <v>4</v>
      </c>
      <c r="P2757">
        <v>0</v>
      </c>
      <c r="T2757" s="358" t="str">
        <f t="shared" ref="T2757:T2820" si="133">U2757&amp;V2757&amp;W2757&amp;X2757&amp;Y2757</f>
        <v>2009AllSexNon-Maori24Poisoning by solids and liquids</v>
      </c>
      <c r="U2757" s="360">
        <v>2009</v>
      </c>
      <c r="V2757" s="360" t="s">
        <v>17</v>
      </c>
      <c r="W2757" s="360" t="s">
        <v>19</v>
      </c>
      <c r="X2757" s="360">
        <v>24</v>
      </c>
      <c r="Y2757" s="360" t="s">
        <v>47</v>
      </c>
      <c r="Z2757" s="360">
        <v>22</v>
      </c>
      <c r="AA2757" s="360">
        <v>148</v>
      </c>
      <c r="AB2757" s="360">
        <v>14.9</v>
      </c>
    </row>
    <row r="2758" spans="10:28" x14ac:dyDescent="0.2">
      <c r="J2758" s="358" t="str">
        <f t="shared" si="132"/>
        <v>2010AllSexNon-Maori215</v>
      </c>
      <c r="K2758" s="359">
        <v>2010</v>
      </c>
      <c r="L2758" t="s">
        <v>17</v>
      </c>
      <c r="M2758" t="s">
        <v>19</v>
      </c>
      <c r="N2758">
        <v>21</v>
      </c>
      <c r="O2758">
        <v>5</v>
      </c>
      <c r="P2758">
        <v>1</v>
      </c>
      <c r="T2758" s="358" t="str">
        <f t="shared" si="133"/>
        <v>2009AllSexNon-Maori25Poisoning by solids and liquids</v>
      </c>
      <c r="U2758" s="360">
        <v>2009</v>
      </c>
      <c r="V2758" s="360" t="s">
        <v>17</v>
      </c>
      <c r="W2758" s="360" t="s">
        <v>19</v>
      </c>
      <c r="X2758" s="360">
        <v>25</v>
      </c>
      <c r="Y2758" s="360" t="s">
        <v>47</v>
      </c>
      <c r="Z2758" s="360">
        <v>12</v>
      </c>
      <c r="AA2758" s="360">
        <v>53</v>
      </c>
      <c r="AB2758" s="360">
        <v>22.6</v>
      </c>
    </row>
    <row r="2759" spans="10:28" x14ac:dyDescent="0.2">
      <c r="J2759" s="358" t="str">
        <f t="shared" si="132"/>
        <v>2010AllSexNon-Maori221</v>
      </c>
      <c r="K2759" s="359">
        <v>2010</v>
      </c>
      <c r="L2759" t="s">
        <v>17</v>
      </c>
      <c r="M2759" t="s">
        <v>19</v>
      </c>
      <c r="N2759">
        <v>22</v>
      </c>
      <c r="O2759">
        <v>1</v>
      </c>
      <c r="P2759">
        <v>10</v>
      </c>
      <c r="Q2759">
        <v>9.9698377891381291</v>
      </c>
      <c r="R2759">
        <v>6.2</v>
      </c>
      <c r="T2759" s="358" t="str">
        <f t="shared" si="133"/>
        <v>2009AllSexNon-Maori23Sharp object</v>
      </c>
      <c r="U2759" s="360">
        <v>2009</v>
      </c>
      <c r="V2759" s="360" t="s">
        <v>17</v>
      </c>
      <c r="W2759" s="360" t="s">
        <v>19</v>
      </c>
      <c r="X2759" s="360">
        <v>23</v>
      </c>
      <c r="Y2759" s="360" t="s">
        <v>48</v>
      </c>
      <c r="Z2759" s="360">
        <v>1</v>
      </c>
      <c r="AA2759" s="360">
        <v>142</v>
      </c>
      <c r="AB2759" s="360">
        <v>0.7</v>
      </c>
    </row>
    <row r="2760" spans="10:28" x14ac:dyDescent="0.2">
      <c r="J2760" s="358" t="str">
        <f t="shared" si="132"/>
        <v>2010AllSexNon-Maori222</v>
      </c>
      <c r="K2760" s="359">
        <v>2010</v>
      </c>
      <c r="L2760" t="s">
        <v>17</v>
      </c>
      <c r="M2760" t="s">
        <v>19</v>
      </c>
      <c r="N2760">
        <v>22</v>
      </c>
      <c r="O2760">
        <v>2</v>
      </c>
      <c r="P2760">
        <v>12</v>
      </c>
      <c r="Q2760">
        <v>12.340181982136199</v>
      </c>
      <c r="R2760">
        <v>7</v>
      </c>
      <c r="T2760" s="358" t="str">
        <f t="shared" si="133"/>
        <v>2009AllSexNon-Maori24Sharp object</v>
      </c>
      <c r="U2760" s="360">
        <v>2009</v>
      </c>
      <c r="V2760" s="360" t="s">
        <v>17</v>
      </c>
      <c r="W2760" s="360" t="s">
        <v>19</v>
      </c>
      <c r="X2760" s="360">
        <v>24</v>
      </c>
      <c r="Y2760" s="360" t="s">
        <v>48</v>
      </c>
      <c r="Z2760" s="360">
        <v>6</v>
      </c>
      <c r="AA2760" s="360">
        <v>148</v>
      </c>
      <c r="AB2760" s="360">
        <v>4.0999999999999996</v>
      </c>
    </row>
    <row r="2761" spans="10:28" x14ac:dyDescent="0.2">
      <c r="J2761" s="358" t="str">
        <f t="shared" si="132"/>
        <v>2010AllSexNon-Maori223</v>
      </c>
      <c r="K2761" s="359">
        <v>2010</v>
      </c>
      <c r="L2761" t="s">
        <v>17</v>
      </c>
      <c r="M2761" t="s">
        <v>19</v>
      </c>
      <c r="N2761">
        <v>22</v>
      </c>
      <c r="O2761">
        <v>3</v>
      </c>
      <c r="P2761">
        <v>17</v>
      </c>
      <c r="Q2761">
        <v>17.545547733276099</v>
      </c>
      <c r="R2761">
        <v>8.3000000000000007</v>
      </c>
      <c r="T2761" s="358" t="str">
        <f t="shared" si="133"/>
        <v>2009AllSexNon-Maori25Sharp object</v>
      </c>
      <c r="U2761" s="360">
        <v>2009</v>
      </c>
      <c r="V2761" s="360" t="s">
        <v>17</v>
      </c>
      <c r="W2761" s="360" t="s">
        <v>19</v>
      </c>
      <c r="X2761" s="360">
        <v>25</v>
      </c>
      <c r="Y2761" s="360" t="s">
        <v>48</v>
      </c>
      <c r="Z2761" s="360">
        <v>3</v>
      </c>
      <c r="AA2761" s="360">
        <v>53</v>
      </c>
      <c r="AB2761" s="360">
        <v>5.7</v>
      </c>
    </row>
    <row r="2762" spans="10:28" x14ac:dyDescent="0.2">
      <c r="J2762" s="358" t="str">
        <f t="shared" si="132"/>
        <v>2010AllSexNon-Maori224</v>
      </c>
      <c r="K2762" s="359">
        <v>2010</v>
      </c>
      <c r="L2762" t="s">
        <v>17</v>
      </c>
      <c r="M2762" t="s">
        <v>19</v>
      </c>
      <c r="N2762">
        <v>22</v>
      </c>
      <c r="O2762">
        <v>4</v>
      </c>
      <c r="P2762">
        <v>15</v>
      </c>
      <c r="Q2762">
        <v>14.7113239483051</v>
      </c>
      <c r="R2762">
        <v>7.4</v>
      </c>
      <c r="T2762" s="358" t="str">
        <f t="shared" si="133"/>
        <v>2009AllSexNon-Maori22Submersion (drowning)</v>
      </c>
      <c r="U2762" s="360">
        <v>2009</v>
      </c>
      <c r="V2762" s="360" t="s">
        <v>17</v>
      </c>
      <c r="W2762" s="360" t="s">
        <v>19</v>
      </c>
      <c r="X2762" s="360">
        <v>22</v>
      </c>
      <c r="Y2762" s="360" t="s">
        <v>49</v>
      </c>
      <c r="Z2762" s="360">
        <v>1</v>
      </c>
      <c r="AA2762" s="360">
        <v>81</v>
      </c>
      <c r="AB2762" s="360">
        <v>1.2</v>
      </c>
    </row>
    <row r="2763" spans="10:28" x14ac:dyDescent="0.2">
      <c r="J2763" s="358" t="str">
        <f t="shared" si="132"/>
        <v>2010AllSexNon-Maori225</v>
      </c>
      <c r="K2763" s="359">
        <v>2010</v>
      </c>
      <c r="L2763" t="s">
        <v>17</v>
      </c>
      <c r="M2763" t="s">
        <v>19</v>
      </c>
      <c r="N2763">
        <v>22</v>
      </c>
      <c r="O2763">
        <v>5</v>
      </c>
      <c r="P2763">
        <v>13</v>
      </c>
      <c r="Q2763">
        <v>13.343221704969499</v>
      </c>
      <c r="R2763">
        <v>7.3</v>
      </c>
      <c r="T2763" s="358" t="str">
        <f t="shared" si="133"/>
        <v>2009AllSexNon-Maori23Submersion (drowning)</v>
      </c>
      <c r="U2763" s="360">
        <v>2009</v>
      </c>
      <c r="V2763" s="360" t="s">
        <v>17</v>
      </c>
      <c r="W2763" s="360" t="s">
        <v>19</v>
      </c>
      <c r="X2763" s="360">
        <v>23</v>
      </c>
      <c r="Y2763" s="360" t="s">
        <v>49</v>
      </c>
      <c r="Z2763" s="360">
        <v>2</v>
      </c>
      <c r="AA2763" s="360">
        <v>142</v>
      </c>
      <c r="AB2763" s="360">
        <v>1.4</v>
      </c>
    </row>
    <row r="2764" spans="10:28" x14ac:dyDescent="0.2">
      <c r="J2764" s="358" t="str">
        <f t="shared" si="132"/>
        <v>2010AllSexNon-Maori231</v>
      </c>
      <c r="K2764" s="359">
        <v>2010</v>
      </c>
      <c r="L2764" t="s">
        <v>17</v>
      </c>
      <c r="M2764" t="s">
        <v>19</v>
      </c>
      <c r="N2764">
        <v>23</v>
      </c>
      <c r="O2764">
        <v>1</v>
      </c>
      <c r="P2764">
        <v>35</v>
      </c>
      <c r="Q2764">
        <v>16.739334881790899</v>
      </c>
      <c r="R2764">
        <v>5.5</v>
      </c>
      <c r="T2764" s="358" t="str">
        <f t="shared" si="133"/>
        <v>2009AllSexNon-Maori24Submersion (drowning)</v>
      </c>
      <c r="U2764" s="360">
        <v>2009</v>
      </c>
      <c r="V2764" s="360" t="s">
        <v>17</v>
      </c>
      <c r="W2764" s="360" t="s">
        <v>19</v>
      </c>
      <c r="X2764" s="360">
        <v>24</v>
      </c>
      <c r="Y2764" s="360" t="s">
        <v>49</v>
      </c>
      <c r="Z2764" s="360">
        <v>2</v>
      </c>
      <c r="AA2764" s="360">
        <v>148</v>
      </c>
      <c r="AB2764" s="360">
        <v>1.4</v>
      </c>
    </row>
    <row r="2765" spans="10:28" x14ac:dyDescent="0.2">
      <c r="J2765" s="358" t="str">
        <f t="shared" si="132"/>
        <v>2010AllSexNon-Maori232</v>
      </c>
      <c r="K2765" s="359">
        <v>2010</v>
      </c>
      <c r="L2765" t="s">
        <v>17</v>
      </c>
      <c r="M2765" t="s">
        <v>19</v>
      </c>
      <c r="N2765">
        <v>23</v>
      </c>
      <c r="O2765">
        <v>2</v>
      </c>
      <c r="P2765">
        <v>26</v>
      </c>
      <c r="Q2765">
        <v>11.873059086474001</v>
      </c>
      <c r="R2765">
        <v>4.5999999999999996</v>
      </c>
      <c r="T2765" s="358" t="str">
        <f t="shared" si="133"/>
        <v>2009AllSexNon-Maori25Submersion (drowning)</v>
      </c>
      <c r="U2765" s="360">
        <v>2009</v>
      </c>
      <c r="V2765" s="360" t="s">
        <v>17</v>
      </c>
      <c r="W2765" s="360" t="s">
        <v>19</v>
      </c>
      <c r="X2765" s="360">
        <v>25</v>
      </c>
      <c r="Y2765" s="360" t="s">
        <v>49</v>
      </c>
      <c r="Z2765" s="360">
        <v>1</v>
      </c>
      <c r="AA2765" s="360">
        <v>53</v>
      </c>
      <c r="AB2765" s="360">
        <v>1.9</v>
      </c>
    </row>
    <row r="2766" spans="10:28" x14ac:dyDescent="0.2">
      <c r="J2766" s="358" t="str">
        <f t="shared" si="132"/>
        <v>2010AllSexNon-Maori233</v>
      </c>
      <c r="K2766" s="359">
        <v>2010</v>
      </c>
      <c r="L2766" t="s">
        <v>17</v>
      </c>
      <c r="M2766" t="s">
        <v>19</v>
      </c>
      <c r="N2766">
        <v>23</v>
      </c>
      <c r="O2766">
        <v>3</v>
      </c>
      <c r="P2766">
        <v>28</v>
      </c>
      <c r="Q2766">
        <v>13.086131105932701</v>
      </c>
      <c r="R2766">
        <v>4.8</v>
      </c>
      <c r="T2766" s="358" t="str">
        <f t="shared" si="133"/>
        <v>2009FemaleAllEth21Hanging, strangulation and suffocation</v>
      </c>
      <c r="U2766" s="360">
        <v>2009</v>
      </c>
      <c r="V2766" s="360" t="s">
        <v>8</v>
      </c>
      <c r="W2766" s="360" t="s">
        <v>27</v>
      </c>
      <c r="X2766" s="360">
        <v>21</v>
      </c>
      <c r="Y2766" s="360" t="s">
        <v>43</v>
      </c>
      <c r="Z2766" s="360">
        <v>2</v>
      </c>
      <c r="AA2766" s="360">
        <v>4</v>
      </c>
      <c r="AB2766" s="360">
        <v>50</v>
      </c>
    </row>
    <row r="2767" spans="10:28" x14ac:dyDescent="0.2">
      <c r="J2767" s="358" t="str">
        <f t="shared" si="132"/>
        <v>2010AllSexNon-Maori234</v>
      </c>
      <c r="K2767" s="359">
        <v>2010</v>
      </c>
      <c r="L2767" t="s">
        <v>17</v>
      </c>
      <c r="M2767" t="s">
        <v>19</v>
      </c>
      <c r="N2767">
        <v>23</v>
      </c>
      <c r="O2767">
        <v>4</v>
      </c>
      <c r="P2767">
        <v>34</v>
      </c>
      <c r="Q2767">
        <v>17.332969804579999</v>
      </c>
      <c r="R2767">
        <v>5.8</v>
      </c>
      <c r="T2767" s="358" t="str">
        <f t="shared" si="133"/>
        <v>2009FemaleAllEth22Hanging, strangulation and suffocation</v>
      </c>
      <c r="U2767" s="360">
        <v>2009</v>
      </c>
      <c r="V2767" s="360" t="s">
        <v>8</v>
      </c>
      <c r="W2767" s="360" t="s">
        <v>27</v>
      </c>
      <c r="X2767" s="360">
        <v>22</v>
      </c>
      <c r="Y2767" s="360" t="s">
        <v>43</v>
      </c>
      <c r="Z2767" s="360">
        <v>20</v>
      </c>
      <c r="AA2767" s="360">
        <v>21</v>
      </c>
      <c r="AB2767" s="360">
        <v>95.2</v>
      </c>
    </row>
    <row r="2768" spans="10:28" x14ac:dyDescent="0.2">
      <c r="J2768" s="358" t="str">
        <f t="shared" si="132"/>
        <v>2010AllSexNon-Maori235</v>
      </c>
      <c r="K2768" s="359">
        <v>2010</v>
      </c>
      <c r="L2768" t="s">
        <v>17</v>
      </c>
      <c r="M2768" t="s">
        <v>19</v>
      </c>
      <c r="N2768">
        <v>23</v>
      </c>
      <c r="O2768">
        <v>5</v>
      </c>
      <c r="P2768">
        <v>30</v>
      </c>
      <c r="Q2768">
        <v>19.169276893524099</v>
      </c>
      <c r="R2768">
        <v>6.9</v>
      </c>
      <c r="T2768" s="358" t="str">
        <f t="shared" si="133"/>
        <v>2009FemaleAllEth23Hanging, strangulation and suffocation</v>
      </c>
      <c r="U2768" s="360">
        <v>2009</v>
      </c>
      <c r="V2768" s="360" t="s">
        <v>8</v>
      </c>
      <c r="W2768" s="360" t="s">
        <v>27</v>
      </c>
      <c r="X2768" s="360">
        <v>23</v>
      </c>
      <c r="Y2768" s="360" t="s">
        <v>43</v>
      </c>
      <c r="Z2768" s="360">
        <v>18</v>
      </c>
      <c r="AA2768" s="360">
        <v>41</v>
      </c>
      <c r="AB2768" s="360">
        <v>43.9</v>
      </c>
    </row>
    <row r="2769" spans="10:28" x14ac:dyDescent="0.2">
      <c r="J2769" s="358" t="str">
        <f t="shared" si="132"/>
        <v>2010AllSexNon-Maori241</v>
      </c>
      <c r="K2769" s="359">
        <v>2010</v>
      </c>
      <c r="L2769" t="s">
        <v>17</v>
      </c>
      <c r="M2769" t="s">
        <v>19</v>
      </c>
      <c r="N2769">
        <v>24</v>
      </c>
      <c r="O2769">
        <v>1</v>
      </c>
      <c r="P2769">
        <v>32</v>
      </c>
      <c r="Q2769">
        <v>12.3357291753883</v>
      </c>
      <c r="R2769">
        <v>4.3</v>
      </c>
      <c r="T2769" s="358" t="str">
        <f t="shared" si="133"/>
        <v>2009FemaleAllEth24Hanging, strangulation and suffocation</v>
      </c>
      <c r="U2769" s="360">
        <v>2009</v>
      </c>
      <c r="V2769" s="360" t="s">
        <v>8</v>
      </c>
      <c r="W2769" s="360" t="s">
        <v>27</v>
      </c>
      <c r="X2769" s="360">
        <v>24</v>
      </c>
      <c r="Y2769" s="360" t="s">
        <v>43</v>
      </c>
      <c r="Z2769" s="360">
        <v>20</v>
      </c>
      <c r="AA2769" s="360">
        <v>39</v>
      </c>
      <c r="AB2769" s="360">
        <v>51.3</v>
      </c>
    </row>
    <row r="2770" spans="10:28" x14ac:dyDescent="0.2">
      <c r="J2770" s="358" t="str">
        <f t="shared" si="132"/>
        <v>2010AllSexNon-Maori242</v>
      </c>
      <c r="K2770" s="359">
        <v>2010</v>
      </c>
      <c r="L2770" t="s">
        <v>17</v>
      </c>
      <c r="M2770" t="s">
        <v>19</v>
      </c>
      <c r="N2770">
        <v>24</v>
      </c>
      <c r="O2770">
        <v>2</v>
      </c>
      <c r="P2770">
        <v>29</v>
      </c>
      <c r="Q2770">
        <v>12.8130699002089</v>
      </c>
      <c r="R2770">
        <v>4.7</v>
      </c>
      <c r="T2770" s="358" t="str">
        <f t="shared" si="133"/>
        <v>2009FemaleAllEth25Hanging, strangulation and suffocation</v>
      </c>
      <c r="U2770" s="360">
        <v>2009</v>
      </c>
      <c r="V2770" s="360" t="s">
        <v>8</v>
      </c>
      <c r="W2770" s="360" t="s">
        <v>27</v>
      </c>
      <c r="X2770" s="360">
        <v>25</v>
      </c>
      <c r="Y2770" s="360" t="s">
        <v>43</v>
      </c>
      <c r="Z2770" s="360">
        <v>4</v>
      </c>
      <c r="AA2770" s="360">
        <v>13</v>
      </c>
      <c r="AB2770" s="360">
        <v>30.8</v>
      </c>
    </row>
    <row r="2771" spans="10:28" x14ac:dyDescent="0.2">
      <c r="J2771" s="358" t="str">
        <f t="shared" si="132"/>
        <v>2010AllSexNon-Maori243</v>
      </c>
      <c r="K2771" s="359">
        <v>2010</v>
      </c>
      <c r="L2771" t="s">
        <v>17</v>
      </c>
      <c r="M2771" t="s">
        <v>19</v>
      </c>
      <c r="N2771">
        <v>24</v>
      </c>
      <c r="O2771">
        <v>3</v>
      </c>
      <c r="P2771">
        <v>27</v>
      </c>
      <c r="Q2771">
        <v>13.620481158993799</v>
      </c>
      <c r="R2771">
        <v>5.0999999999999996</v>
      </c>
      <c r="T2771" s="358" t="str">
        <f t="shared" si="133"/>
        <v>2009FemaleAllEth22Jumping from a high place</v>
      </c>
      <c r="U2771" s="360">
        <v>2009</v>
      </c>
      <c r="V2771" s="360" t="s">
        <v>8</v>
      </c>
      <c r="W2771" s="360" t="s">
        <v>27</v>
      </c>
      <c r="X2771" s="360">
        <v>22</v>
      </c>
      <c r="Y2771" s="360" t="s">
        <v>44</v>
      </c>
      <c r="Z2771" s="360">
        <v>1</v>
      </c>
      <c r="AA2771" s="360">
        <v>21</v>
      </c>
      <c r="AB2771" s="360">
        <v>4.8</v>
      </c>
    </row>
    <row r="2772" spans="10:28" x14ac:dyDescent="0.2">
      <c r="J2772" s="358" t="str">
        <f t="shared" si="132"/>
        <v>2010AllSexNon-Maori244</v>
      </c>
      <c r="K2772" s="359">
        <v>2010</v>
      </c>
      <c r="L2772" t="s">
        <v>17</v>
      </c>
      <c r="M2772" t="s">
        <v>19</v>
      </c>
      <c r="N2772">
        <v>24</v>
      </c>
      <c r="O2772">
        <v>4</v>
      </c>
      <c r="P2772">
        <v>31</v>
      </c>
      <c r="Q2772">
        <v>18.2786695921865</v>
      </c>
      <c r="R2772">
        <v>6.4</v>
      </c>
      <c r="T2772" s="358" t="str">
        <f t="shared" si="133"/>
        <v>2009FemaleAllEth23Jumping from a high place</v>
      </c>
      <c r="U2772" s="360">
        <v>2009</v>
      </c>
      <c r="V2772" s="360" t="s">
        <v>8</v>
      </c>
      <c r="W2772" s="360" t="s">
        <v>27</v>
      </c>
      <c r="X2772" s="360">
        <v>23</v>
      </c>
      <c r="Y2772" s="360" t="s">
        <v>44</v>
      </c>
      <c r="Z2772" s="360">
        <v>2</v>
      </c>
      <c r="AA2772" s="360">
        <v>41</v>
      </c>
      <c r="AB2772" s="360">
        <v>4.9000000000000004</v>
      </c>
    </row>
    <row r="2773" spans="10:28" x14ac:dyDescent="0.2">
      <c r="J2773" s="358" t="str">
        <f t="shared" si="132"/>
        <v>2010AllSexNon-Maori245</v>
      </c>
      <c r="K2773" s="359">
        <v>2010</v>
      </c>
      <c r="L2773" t="s">
        <v>17</v>
      </c>
      <c r="M2773" t="s">
        <v>19</v>
      </c>
      <c r="N2773">
        <v>24</v>
      </c>
      <c r="O2773">
        <v>5</v>
      </c>
      <c r="P2773">
        <v>21</v>
      </c>
      <c r="Q2773">
        <v>16.042899020836899</v>
      </c>
      <c r="R2773">
        <v>6.9</v>
      </c>
      <c r="T2773" s="358" t="str">
        <f t="shared" si="133"/>
        <v>2009FemaleAllEth24Jumping from a high place</v>
      </c>
      <c r="U2773" s="360">
        <v>2009</v>
      </c>
      <c r="V2773" s="360" t="s">
        <v>8</v>
      </c>
      <c r="W2773" s="360" t="s">
        <v>27</v>
      </c>
      <c r="X2773" s="360">
        <v>24</v>
      </c>
      <c r="Y2773" s="360" t="s">
        <v>44</v>
      </c>
      <c r="Z2773" s="360">
        <v>2</v>
      </c>
      <c r="AA2773" s="360">
        <v>39</v>
      </c>
      <c r="AB2773" s="360">
        <v>5.0999999999999996</v>
      </c>
    </row>
    <row r="2774" spans="10:28" x14ac:dyDescent="0.2">
      <c r="J2774" s="358" t="str">
        <f t="shared" si="132"/>
        <v>2010AllSexNon-Maori251</v>
      </c>
      <c r="K2774" s="359">
        <v>2010</v>
      </c>
      <c r="L2774" t="s">
        <v>17</v>
      </c>
      <c r="M2774" t="s">
        <v>19</v>
      </c>
      <c r="N2774">
        <v>25</v>
      </c>
      <c r="O2774">
        <v>1</v>
      </c>
      <c r="P2774">
        <v>11</v>
      </c>
      <c r="Q2774">
        <v>9.6161849240118595</v>
      </c>
      <c r="R2774">
        <v>5.7</v>
      </c>
      <c r="T2774" s="358" t="str">
        <f t="shared" si="133"/>
        <v>2009FemaleAllEth21Other</v>
      </c>
      <c r="U2774" s="360">
        <v>2009</v>
      </c>
      <c r="V2774" s="360" t="s">
        <v>8</v>
      </c>
      <c r="W2774" s="360" t="s">
        <v>27</v>
      </c>
      <c r="X2774" s="360">
        <v>21</v>
      </c>
      <c r="Y2774" s="360" t="s">
        <v>45</v>
      </c>
      <c r="Z2774" s="360">
        <v>1</v>
      </c>
      <c r="AA2774" s="360">
        <v>4</v>
      </c>
      <c r="AB2774" s="360">
        <v>25</v>
      </c>
    </row>
    <row r="2775" spans="10:28" x14ac:dyDescent="0.2">
      <c r="J2775" s="358" t="str">
        <f t="shared" si="132"/>
        <v>2010AllSexNon-Maori252</v>
      </c>
      <c r="K2775" s="359">
        <v>2010</v>
      </c>
      <c r="L2775" t="s">
        <v>17</v>
      </c>
      <c r="M2775" t="s">
        <v>19</v>
      </c>
      <c r="N2775">
        <v>25</v>
      </c>
      <c r="O2775">
        <v>2</v>
      </c>
      <c r="P2775">
        <v>11</v>
      </c>
      <c r="Q2775">
        <v>9.6006017019435106</v>
      </c>
      <c r="R2775">
        <v>5.7</v>
      </c>
      <c r="T2775" s="358" t="str">
        <f t="shared" si="133"/>
        <v>2009FemaleAllEth23Other</v>
      </c>
      <c r="U2775" s="360">
        <v>2009</v>
      </c>
      <c r="V2775" s="360" t="s">
        <v>8</v>
      </c>
      <c r="W2775" s="360" t="s">
        <v>27</v>
      </c>
      <c r="X2775" s="360">
        <v>23</v>
      </c>
      <c r="Y2775" s="360" t="s">
        <v>45</v>
      </c>
      <c r="Z2775" s="360">
        <v>4</v>
      </c>
      <c r="AA2775" s="360">
        <v>41</v>
      </c>
      <c r="AB2775" s="360">
        <v>9.8000000000000007</v>
      </c>
    </row>
    <row r="2776" spans="10:28" x14ac:dyDescent="0.2">
      <c r="J2776" s="358" t="str">
        <f t="shared" si="132"/>
        <v>2010AllSexNon-Maori253</v>
      </c>
      <c r="K2776" s="359">
        <v>2010</v>
      </c>
      <c r="L2776" t="s">
        <v>17</v>
      </c>
      <c r="M2776" t="s">
        <v>19</v>
      </c>
      <c r="N2776">
        <v>25</v>
      </c>
      <c r="O2776">
        <v>3</v>
      </c>
      <c r="P2776">
        <v>14</v>
      </c>
      <c r="Q2776">
        <v>12.5210057839746</v>
      </c>
      <c r="R2776">
        <v>6.6</v>
      </c>
      <c r="T2776" s="358" t="str">
        <f t="shared" si="133"/>
        <v>2009FemaleAllEth25Other</v>
      </c>
      <c r="U2776" s="360">
        <v>2009</v>
      </c>
      <c r="V2776" s="360" t="s">
        <v>8</v>
      </c>
      <c r="W2776" s="360" t="s">
        <v>27</v>
      </c>
      <c r="X2776" s="360">
        <v>25</v>
      </c>
      <c r="Y2776" s="360" t="s">
        <v>45</v>
      </c>
      <c r="Z2776" s="360">
        <v>1</v>
      </c>
      <c r="AA2776" s="360">
        <v>13</v>
      </c>
      <c r="AB2776" s="360">
        <v>7.7</v>
      </c>
    </row>
    <row r="2777" spans="10:28" x14ac:dyDescent="0.2">
      <c r="J2777" s="358" t="str">
        <f t="shared" si="132"/>
        <v>2010AllSexNon-Maori254</v>
      </c>
      <c r="K2777" s="359">
        <v>2010</v>
      </c>
      <c r="L2777" t="s">
        <v>17</v>
      </c>
      <c r="M2777" t="s">
        <v>19</v>
      </c>
      <c r="N2777">
        <v>25</v>
      </c>
      <c r="O2777">
        <v>4</v>
      </c>
      <c r="P2777">
        <v>15</v>
      </c>
      <c r="Q2777">
        <v>13.561640049177299</v>
      </c>
      <c r="R2777">
        <v>6.9</v>
      </c>
      <c r="T2777" s="358" t="str">
        <f t="shared" si="133"/>
        <v>2009FemaleAllEth23Poisoning by gases and vapours</v>
      </c>
      <c r="U2777" s="360">
        <v>2009</v>
      </c>
      <c r="V2777" s="360" t="s">
        <v>8</v>
      </c>
      <c r="W2777" s="360" t="s">
        <v>27</v>
      </c>
      <c r="X2777" s="360">
        <v>23</v>
      </c>
      <c r="Y2777" s="360" t="s">
        <v>46</v>
      </c>
      <c r="Z2777" s="360">
        <v>6</v>
      </c>
      <c r="AA2777" s="360">
        <v>41</v>
      </c>
      <c r="AB2777" s="360">
        <v>14.6</v>
      </c>
    </row>
    <row r="2778" spans="10:28" x14ac:dyDescent="0.2">
      <c r="J2778" s="358" t="str">
        <f t="shared" si="132"/>
        <v>2010AllSexNon-Maori255</v>
      </c>
      <c r="K2778" s="359">
        <v>2010</v>
      </c>
      <c r="L2778" t="s">
        <v>17</v>
      </c>
      <c r="M2778" t="s">
        <v>19</v>
      </c>
      <c r="N2778">
        <v>25</v>
      </c>
      <c r="O2778">
        <v>5</v>
      </c>
      <c r="P2778">
        <v>4</v>
      </c>
      <c r="Q2778">
        <v>4.9220605782510898</v>
      </c>
      <c r="R2778">
        <v>4.8</v>
      </c>
      <c r="T2778" s="358" t="str">
        <f t="shared" si="133"/>
        <v>2009FemaleAllEth24Poisoning by gases and vapours</v>
      </c>
      <c r="U2778" s="360">
        <v>2009</v>
      </c>
      <c r="V2778" s="360" t="s">
        <v>8</v>
      </c>
      <c r="W2778" s="360" t="s">
        <v>27</v>
      </c>
      <c r="X2778" s="360">
        <v>24</v>
      </c>
      <c r="Y2778" s="360" t="s">
        <v>46</v>
      </c>
      <c r="Z2778" s="360">
        <v>1</v>
      </c>
      <c r="AA2778" s="360">
        <v>39</v>
      </c>
      <c r="AB2778" s="360">
        <v>2.6</v>
      </c>
    </row>
    <row r="2779" spans="10:28" x14ac:dyDescent="0.2">
      <c r="J2779" s="358" t="str">
        <f t="shared" si="132"/>
        <v>2010FemaleAllEth211</v>
      </c>
      <c r="K2779" s="359">
        <v>2010</v>
      </c>
      <c r="L2779" t="s">
        <v>8</v>
      </c>
      <c r="M2779" t="s">
        <v>27</v>
      </c>
      <c r="N2779">
        <v>21</v>
      </c>
      <c r="O2779">
        <v>1</v>
      </c>
      <c r="P2779">
        <v>0</v>
      </c>
      <c r="T2779" s="358" t="str">
        <f t="shared" si="133"/>
        <v>2009FemaleAllEth25Poisoning by gases and vapours</v>
      </c>
      <c r="U2779" s="360">
        <v>2009</v>
      </c>
      <c r="V2779" s="360" t="s">
        <v>8</v>
      </c>
      <c r="W2779" s="360" t="s">
        <v>27</v>
      </c>
      <c r="X2779" s="360">
        <v>25</v>
      </c>
      <c r="Y2779" s="360" t="s">
        <v>46</v>
      </c>
      <c r="Z2779" s="360">
        <v>4</v>
      </c>
      <c r="AA2779" s="360">
        <v>13</v>
      </c>
      <c r="AB2779" s="360">
        <v>30.8</v>
      </c>
    </row>
    <row r="2780" spans="10:28" x14ac:dyDescent="0.2">
      <c r="J2780" s="358" t="str">
        <f t="shared" si="132"/>
        <v>2010FemaleAllEth212</v>
      </c>
      <c r="K2780" s="359">
        <v>2010</v>
      </c>
      <c r="L2780" t="s">
        <v>8</v>
      </c>
      <c r="M2780" t="s">
        <v>27</v>
      </c>
      <c r="N2780">
        <v>21</v>
      </c>
      <c r="O2780">
        <v>2</v>
      </c>
      <c r="P2780">
        <v>0</v>
      </c>
      <c r="T2780" s="358" t="str">
        <f t="shared" si="133"/>
        <v>2009FemaleAllEth21Poisoning by solids and liquids</v>
      </c>
      <c r="U2780" s="360">
        <v>2009</v>
      </c>
      <c r="V2780" s="360" t="s">
        <v>8</v>
      </c>
      <c r="W2780" s="360" t="s">
        <v>27</v>
      </c>
      <c r="X2780" s="360">
        <v>21</v>
      </c>
      <c r="Y2780" s="360" t="s">
        <v>47</v>
      </c>
      <c r="Z2780" s="360">
        <v>1</v>
      </c>
      <c r="AA2780" s="360">
        <v>4</v>
      </c>
      <c r="AB2780" s="360">
        <v>25</v>
      </c>
    </row>
    <row r="2781" spans="10:28" x14ac:dyDescent="0.2">
      <c r="J2781" s="358" t="str">
        <f t="shared" si="132"/>
        <v>2010FemaleAllEth213</v>
      </c>
      <c r="K2781" s="359">
        <v>2010</v>
      </c>
      <c r="L2781" t="s">
        <v>8</v>
      </c>
      <c r="M2781" t="s">
        <v>27</v>
      </c>
      <c r="N2781">
        <v>21</v>
      </c>
      <c r="O2781">
        <v>3</v>
      </c>
      <c r="P2781">
        <v>0</v>
      </c>
      <c r="T2781" s="358" t="str">
        <f t="shared" si="133"/>
        <v>2009FemaleAllEth23Poisoning by solids and liquids</v>
      </c>
      <c r="U2781" s="360">
        <v>2009</v>
      </c>
      <c r="V2781" s="360" t="s">
        <v>8</v>
      </c>
      <c r="W2781" s="360" t="s">
        <v>27</v>
      </c>
      <c r="X2781" s="360">
        <v>23</v>
      </c>
      <c r="Y2781" s="360" t="s">
        <v>47</v>
      </c>
      <c r="Z2781" s="360">
        <v>10</v>
      </c>
      <c r="AA2781" s="360">
        <v>41</v>
      </c>
      <c r="AB2781" s="360">
        <v>24.4</v>
      </c>
    </row>
    <row r="2782" spans="10:28" x14ac:dyDescent="0.2">
      <c r="J2782" s="358" t="str">
        <f t="shared" si="132"/>
        <v>2010FemaleAllEth214</v>
      </c>
      <c r="K2782" s="359">
        <v>2010</v>
      </c>
      <c r="L2782" t="s">
        <v>8</v>
      </c>
      <c r="M2782" t="s">
        <v>27</v>
      </c>
      <c r="N2782">
        <v>21</v>
      </c>
      <c r="O2782">
        <v>4</v>
      </c>
      <c r="P2782">
        <v>1</v>
      </c>
      <c r="T2782" s="358" t="str">
        <f t="shared" si="133"/>
        <v>2009FemaleAllEth24Poisoning by solids and liquids</v>
      </c>
      <c r="U2782" s="360">
        <v>2009</v>
      </c>
      <c r="V2782" s="360" t="s">
        <v>8</v>
      </c>
      <c r="W2782" s="360" t="s">
        <v>27</v>
      </c>
      <c r="X2782" s="360">
        <v>24</v>
      </c>
      <c r="Y2782" s="360" t="s">
        <v>47</v>
      </c>
      <c r="Z2782" s="360">
        <v>12</v>
      </c>
      <c r="AA2782" s="360">
        <v>39</v>
      </c>
      <c r="AB2782" s="360">
        <v>30.8</v>
      </c>
    </row>
    <row r="2783" spans="10:28" x14ac:dyDescent="0.2">
      <c r="J2783" s="358" t="str">
        <f t="shared" si="132"/>
        <v>2010FemaleAllEth215</v>
      </c>
      <c r="K2783" s="359">
        <v>2010</v>
      </c>
      <c r="L2783" t="s">
        <v>8</v>
      </c>
      <c r="M2783" t="s">
        <v>27</v>
      </c>
      <c r="N2783">
        <v>21</v>
      </c>
      <c r="O2783">
        <v>5</v>
      </c>
      <c r="P2783">
        <v>1</v>
      </c>
      <c r="T2783" s="358" t="str">
        <f t="shared" si="133"/>
        <v>2009FemaleAllEth25Poisoning by solids and liquids</v>
      </c>
      <c r="U2783" s="360">
        <v>2009</v>
      </c>
      <c r="V2783" s="360" t="s">
        <v>8</v>
      </c>
      <c r="W2783" s="360" t="s">
        <v>27</v>
      </c>
      <c r="X2783" s="360">
        <v>25</v>
      </c>
      <c r="Y2783" s="360" t="s">
        <v>47</v>
      </c>
      <c r="Z2783" s="360">
        <v>4</v>
      </c>
      <c r="AA2783" s="360">
        <v>13</v>
      </c>
      <c r="AB2783" s="360">
        <v>30.8</v>
      </c>
    </row>
    <row r="2784" spans="10:28" x14ac:dyDescent="0.2">
      <c r="J2784" s="358" t="str">
        <f t="shared" si="132"/>
        <v>2010FemaleAllEth221</v>
      </c>
      <c r="K2784" s="359">
        <v>2010</v>
      </c>
      <c r="L2784" t="s">
        <v>8</v>
      </c>
      <c r="M2784" t="s">
        <v>27</v>
      </c>
      <c r="N2784">
        <v>22</v>
      </c>
      <c r="O2784">
        <v>1</v>
      </c>
      <c r="P2784">
        <v>2</v>
      </c>
      <c r="Q2784">
        <v>3.76178804971509</v>
      </c>
      <c r="R2784">
        <v>5.2</v>
      </c>
      <c r="T2784" s="358" t="str">
        <f t="shared" si="133"/>
        <v>2009FemaleAllEth24Sharp object</v>
      </c>
      <c r="U2784" s="360">
        <v>2009</v>
      </c>
      <c r="V2784" s="360" t="s">
        <v>8</v>
      </c>
      <c r="W2784" s="360" t="s">
        <v>27</v>
      </c>
      <c r="X2784" s="360">
        <v>24</v>
      </c>
      <c r="Y2784" s="360" t="s">
        <v>48</v>
      </c>
      <c r="Z2784" s="360">
        <v>2</v>
      </c>
      <c r="AA2784" s="360">
        <v>39</v>
      </c>
      <c r="AB2784" s="360">
        <v>5.0999999999999996</v>
      </c>
    </row>
    <row r="2785" spans="10:28" x14ac:dyDescent="0.2">
      <c r="J2785" s="358" t="str">
        <f t="shared" si="132"/>
        <v>2010FemaleAllEth222</v>
      </c>
      <c r="K2785" s="359">
        <v>2010</v>
      </c>
      <c r="L2785" t="s">
        <v>8</v>
      </c>
      <c r="M2785" t="s">
        <v>27</v>
      </c>
      <c r="N2785">
        <v>22</v>
      </c>
      <c r="O2785">
        <v>2</v>
      </c>
      <c r="P2785">
        <v>7</v>
      </c>
      <c r="Q2785">
        <v>13.0354518250511</v>
      </c>
      <c r="R2785">
        <v>9.6999999999999993</v>
      </c>
      <c r="T2785" s="358" t="str">
        <f t="shared" si="133"/>
        <v>2009FemaleAllEth23Submersion (drowning)</v>
      </c>
      <c r="U2785" s="360">
        <v>2009</v>
      </c>
      <c r="V2785" s="360" t="s">
        <v>8</v>
      </c>
      <c r="W2785" s="360" t="s">
        <v>27</v>
      </c>
      <c r="X2785" s="360">
        <v>23</v>
      </c>
      <c r="Y2785" s="360" t="s">
        <v>49</v>
      </c>
      <c r="Z2785" s="360">
        <v>1</v>
      </c>
      <c r="AA2785" s="360">
        <v>41</v>
      </c>
      <c r="AB2785" s="360">
        <v>2.4</v>
      </c>
    </row>
    <row r="2786" spans="10:28" x14ac:dyDescent="0.2">
      <c r="J2786" s="358" t="str">
        <f t="shared" si="132"/>
        <v>2010FemaleAllEth223</v>
      </c>
      <c r="K2786" s="359">
        <v>2010</v>
      </c>
      <c r="L2786" t="s">
        <v>8</v>
      </c>
      <c r="M2786" t="s">
        <v>27</v>
      </c>
      <c r="N2786">
        <v>22</v>
      </c>
      <c r="O2786">
        <v>3</v>
      </c>
      <c r="P2786">
        <v>5</v>
      </c>
      <c r="Q2786">
        <v>8.7582621578577307</v>
      </c>
      <c r="R2786">
        <v>7.7</v>
      </c>
      <c r="T2786" s="358" t="str">
        <f t="shared" si="133"/>
        <v>2009FemaleAllEth24Submersion (drowning)</v>
      </c>
      <c r="U2786" s="360">
        <v>2009</v>
      </c>
      <c r="V2786" s="360" t="s">
        <v>8</v>
      </c>
      <c r="W2786" s="360" t="s">
        <v>27</v>
      </c>
      <c r="X2786" s="360">
        <v>24</v>
      </c>
      <c r="Y2786" s="360" t="s">
        <v>49</v>
      </c>
      <c r="Z2786" s="360">
        <v>2</v>
      </c>
      <c r="AA2786" s="360">
        <v>39</v>
      </c>
      <c r="AB2786" s="360">
        <v>5.0999999999999996</v>
      </c>
    </row>
    <row r="2787" spans="10:28" x14ac:dyDescent="0.2">
      <c r="J2787" s="358" t="str">
        <f t="shared" si="132"/>
        <v>2010FemaleAllEth224</v>
      </c>
      <c r="K2787" s="359">
        <v>2010</v>
      </c>
      <c r="L2787" t="s">
        <v>8</v>
      </c>
      <c r="M2787" t="s">
        <v>27</v>
      </c>
      <c r="N2787">
        <v>22</v>
      </c>
      <c r="O2787">
        <v>4</v>
      </c>
      <c r="P2787">
        <v>4</v>
      </c>
      <c r="Q2787">
        <v>6.0977831883385196</v>
      </c>
      <c r="R2787">
        <v>6</v>
      </c>
      <c r="T2787" s="358" t="str">
        <f t="shared" si="133"/>
        <v>2009FemaleMaori21Hanging, strangulation and suffocation</v>
      </c>
      <c r="U2787" s="360">
        <v>2009</v>
      </c>
      <c r="V2787" s="360" t="s">
        <v>8</v>
      </c>
      <c r="W2787" s="360" t="s">
        <v>18</v>
      </c>
      <c r="X2787" s="360">
        <v>21</v>
      </c>
      <c r="Y2787" s="360" t="s">
        <v>43</v>
      </c>
      <c r="Z2787" s="360">
        <v>2</v>
      </c>
      <c r="AA2787" s="360">
        <v>2</v>
      </c>
      <c r="AB2787" s="360">
        <v>100</v>
      </c>
    </row>
    <row r="2788" spans="10:28" x14ac:dyDescent="0.2">
      <c r="J2788" s="358" t="str">
        <f t="shared" si="132"/>
        <v>2010FemaleAllEth225</v>
      </c>
      <c r="K2788" s="359">
        <v>2010</v>
      </c>
      <c r="L2788" t="s">
        <v>8</v>
      </c>
      <c r="M2788" t="s">
        <v>27</v>
      </c>
      <c r="N2788">
        <v>22</v>
      </c>
      <c r="O2788">
        <v>5</v>
      </c>
      <c r="P2788">
        <v>16</v>
      </c>
      <c r="Q2788">
        <v>21.044897681444201</v>
      </c>
      <c r="R2788">
        <v>10.3</v>
      </c>
      <c r="T2788" s="358" t="str">
        <f t="shared" si="133"/>
        <v>2009FemaleMaori22Hanging, strangulation and suffocation</v>
      </c>
      <c r="U2788" s="360">
        <v>2009</v>
      </c>
      <c r="V2788" s="360" t="s">
        <v>8</v>
      </c>
      <c r="W2788" s="360" t="s">
        <v>18</v>
      </c>
      <c r="X2788" s="360">
        <v>22</v>
      </c>
      <c r="Y2788" s="360" t="s">
        <v>43</v>
      </c>
      <c r="Z2788" s="360">
        <v>11</v>
      </c>
      <c r="AA2788" s="360">
        <v>11</v>
      </c>
      <c r="AB2788" s="360">
        <v>100</v>
      </c>
    </row>
    <row r="2789" spans="10:28" x14ac:dyDescent="0.2">
      <c r="J2789" s="358" t="str">
        <f t="shared" si="132"/>
        <v>2010FemaleAllEth231</v>
      </c>
      <c r="K2789" s="359">
        <v>2010</v>
      </c>
      <c r="L2789" t="s">
        <v>8</v>
      </c>
      <c r="M2789" t="s">
        <v>27</v>
      </c>
      <c r="N2789">
        <v>23</v>
      </c>
      <c r="O2789">
        <v>1</v>
      </c>
      <c r="P2789">
        <v>11</v>
      </c>
      <c r="Q2789">
        <v>9.4367145346295391</v>
      </c>
      <c r="R2789">
        <v>5.6</v>
      </c>
      <c r="T2789" s="358" t="str">
        <f t="shared" si="133"/>
        <v>2009FemaleMaori23Hanging, strangulation and suffocation</v>
      </c>
      <c r="U2789" s="360">
        <v>2009</v>
      </c>
      <c r="V2789" s="360" t="s">
        <v>8</v>
      </c>
      <c r="W2789" s="360" t="s">
        <v>18</v>
      </c>
      <c r="X2789" s="360">
        <v>23</v>
      </c>
      <c r="Y2789" s="360" t="s">
        <v>43</v>
      </c>
      <c r="Z2789" s="360">
        <v>5</v>
      </c>
      <c r="AA2789" s="360">
        <v>8</v>
      </c>
      <c r="AB2789" s="360">
        <v>62.5</v>
      </c>
    </row>
    <row r="2790" spans="10:28" x14ac:dyDescent="0.2">
      <c r="J2790" s="358" t="str">
        <f t="shared" si="132"/>
        <v>2010FemaleAllEth232</v>
      </c>
      <c r="K2790" s="359">
        <v>2010</v>
      </c>
      <c r="L2790" t="s">
        <v>8</v>
      </c>
      <c r="M2790" t="s">
        <v>27</v>
      </c>
      <c r="N2790">
        <v>23</v>
      </c>
      <c r="O2790">
        <v>2</v>
      </c>
      <c r="P2790">
        <v>12</v>
      </c>
      <c r="Q2790">
        <v>9.6754778604457297</v>
      </c>
      <c r="R2790">
        <v>5.5</v>
      </c>
      <c r="T2790" s="358" t="str">
        <f t="shared" si="133"/>
        <v>2009FemaleMaori24Hanging, strangulation and suffocation</v>
      </c>
      <c r="U2790" s="360">
        <v>2009</v>
      </c>
      <c r="V2790" s="360" t="s">
        <v>8</v>
      </c>
      <c r="W2790" s="360" t="s">
        <v>18</v>
      </c>
      <c r="X2790" s="360">
        <v>24</v>
      </c>
      <c r="Y2790" s="360" t="s">
        <v>43</v>
      </c>
      <c r="Z2790" s="360">
        <v>4</v>
      </c>
      <c r="AA2790" s="360">
        <v>4</v>
      </c>
      <c r="AB2790" s="360">
        <v>100</v>
      </c>
    </row>
    <row r="2791" spans="10:28" x14ac:dyDescent="0.2">
      <c r="J2791" s="358" t="str">
        <f t="shared" si="132"/>
        <v>2010FemaleAllEth233</v>
      </c>
      <c r="K2791" s="359">
        <v>2010</v>
      </c>
      <c r="L2791" t="s">
        <v>8</v>
      </c>
      <c r="M2791" t="s">
        <v>27</v>
      </c>
      <c r="N2791">
        <v>23</v>
      </c>
      <c r="O2791">
        <v>3</v>
      </c>
      <c r="P2791">
        <v>9</v>
      </c>
      <c r="Q2791">
        <v>7.2162320313927104</v>
      </c>
      <c r="R2791">
        <v>4.7</v>
      </c>
      <c r="T2791" s="358" t="str">
        <f t="shared" si="133"/>
        <v>2009FemaleMaori23Poisoning by gases and vapours</v>
      </c>
      <c r="U2791" s="360">
        <v>2009</v>
      </c>
      <c r="V2791" s="360" t="s">
        <v>8</v>
      </c>
      <c r="W2791" s="360" t="s">
        <v>18</v>
      </c>
      <c r="X2791" s="360">
        <v>23</v>
      </c>
      <c r="Y2791" s="360" t="s">
        <v>46</v>
      </c>
      <c r="Z2791" s="360">
        <v>1</v>
      </c>
      <c r="AA2791" s="360">
        <v>8</v>
      </c>
      <c r="AB2791" s="360">
        <v>12.5</v>
      </c>
    </row>
    <row r="2792" spans="10:28" x14ac:dyDescent="0.2">
      <c r="J2792" s="358" t="str">
        <f t="shared" si="132"/>
        <v>2010FemaleAllEth234</v>
      </c>
      <c r="K2792" s="359">
        <v>2010</v>
      </c>
      <c r="L2792" t="s">
        <v>8</v>
      </c>
      <c r="M2792" t="s">
        <v>27</v>
      </c>
      <c r="N2792">
        <v>23</v>
      </c>
      <c r="O2792">
        <v>4</v>
      </c>
      <c r="P2792">
        <v>11</v>
      </c>
      <c r="Q2792">
        <v>9.0370763437490602</v>
      </c>
      <c r="R2792">
        <v>5.3</v>
      </c>
      <c r="T2792" s="358" t="str">
        <f t="shared" si="133"/>
        <v>2009FemaleMaori23Poisoning by solids and liquids</v>
      </c>
      <c r="U2792" s="360">
        <v>2009</v>
      </c>
      <c r="V2792" s="360" t="s">
        <v>8</v>
      </c>
      <c r="W2792" s="360" t="s">
        <v>18</v>
      </c>
      <c r="X2792" s="360">
        <v>23</v>
      </c>
      <c r="Y2792" s="360" t="s">
        <v>47</v>
      </c>
      <c r="Z2792" s="360">
        <v>2</v>
      </c>
      <c r="AA2792" s="360">
        <v>8</v>
      </c>
      <c r="AB2792" s="360">
        <v>25</v>
      </c>
    </row>
    <row r="2793" spans="10:28" x14ac:dyDescent="0.2">
      <c r="J2793" s="358" t="str">
        <f t="shared" si="132"/>
        <v>2010FemaleAllEth235</v>
      </c>
      <c r="K2793" s="359">
        <v>2010</v>
      </c>
      <c r="L2793" t="s">
        <v>8</v>
      </c>
      <c r="M2793" t="s">
        <v>27</v>
      </c>
      <c r="N2793">
        <v>23</v>
      </c>
      <c r="O2793">
        <v>5</v>
      </c>
      <c r="P2793">
        <v>9</v>
      </c>
      <c r="Q2793">
        <v>7.6393734719439399</v>
      </c>
      <c r="R2793">
        <v>5</v>
      </c>
      <c r="T2793" s="358" t="str">
        <f t="shared" si="133"/>
        <v>2009FemaleNon-Maori22Hanging, strangulation and suffocation</v>
      </c>
      <c r="U2793" s="360">
        <v>2009</v>
      </c>
      <c r="V2793" s="360" t="s">
        <v>8</v>
      </c>
      <c r="W2793" s="360" t="s">
        <v>19</v>
      </c>
      <c r="X2793" s="360">
        <v>22</v>
      </c>
      <c r="Y2793" s="360" t="s">
        <v>43</v>
      </c>
      <c r="Z2793" s="360">
        <v>9</v>
      </c>
      <c r="AA2793" s="360">
        <v>10</v>
      </c>
      <c r="AB2793" s="360">
        <v>90</v>
      </c>
    </row>
    <row r="2794" spans="10:28" x14ac:dyDescent="0.2">
      <c r="J2794" s="358" t="str">
        <f t="shared" si="132"/>
        <v>2010FemaleAllEth241</v>
      </c>
      <c r="K2794" s="359">
        <v>2010</v>
      </c>
      <c r="L2794" t="s">
        <v>8</v>
      </c>
      <c r="M2794" t="s">
        <v>27</v>
      </c>
      <c r="N2794">
        <v>24</v>
      </c>
      <c r="O2794">
        <v>1</v>
      </c>
      <c r="P2794">
        <v>14</v>
      </c>
      <c r="Q2794">
        <v>10.305662743608901</v>
      </c>
      <c r="R2794">
        <v>5.4</v>
      </c>
      <c r="T2794" s="358" t="str">
        <f t="shared" si="133"/>
        <v>2009FemaleNon-Maori23Hanging, strangulation and suffocation</v>
      </c>
      <c r="U2794" s="360">
        <v>2009</v>
      </c>
      <c r="V2794" s="360" t="s">
        <v>8</v>
      </c>
      <c r="W2794" s="360" t="s">
        <v>19</v>
      </c>
      <c r="X2794" s="360">
        <v>23</v>
      </c>
      <c r="Y2794" s="360" t="s">
        <v>43</v>
      </c>
      <c r="Z2794" s="360">
        <v>13</v>
      </c>
      <c r="AA2794" s="360">
        <v>33</v>
      </c>
      <c r="AB2794" s="360">
        <v>39.4</v>
      </c>
    </row>
    <row r="2795" spans="10:28" x14ac:dyDescent="0.2">
      <c r="J2795" s="358" t="str">
        <f t="shared" si="132"/>
        <v>2010FemaleAllEth242</v>
      </c>
      <c r="K2795" s="359">
        <v>2010</v>
      </c>
      <c r="L2795" t="s">
        <v>8</v>
      </c>
      <c r="M2795" t="s">
        <v>27</v>
      </c>
      <c r="N2795">
        <v>24</v>
      </c>
      <c r="O2795">
        <v>2</v>
      </c>
      <c r="P2795">
        <v>7</v>
      </c>
      <c r="Q2795">
        <v>5.7345525266151904</v>
      </c>
      <c r="R2795">
        <v>4.2</v>
      </c>
      <c r="T2795" s="358" t="str">
        <f t="shared" si="133"/>
        <v>2009FemaleNon-Maori24Hanging, strangulation and suffocation</v>
      </c>
      <c r="U2795" s="360">
        <v>2009</v>
      </c>
      <c r="V2795" s="360" t="s">
        <v>8</v>
      </c>
      <c r="W2795" s="360" t="s">
        <v>19</v>
      </c>
      <c r="X2795" s="360">
        <v>24</v>
      </c>
      <c r="Y2795" s="360" t="s">
        <v>43</v>
      </c>
      <c r="Z2795" s="360">
        <v>16</v>
      </c>
      <c r="AA2795" s="360">
        <v>35</v>
      </c>
      <c r="AB2795" s="360">
        <v>45.7</v>
      </c>
    </row>
    <row r="2796" spans="10:28" x14ac:dyDescent="0.2">
      <c r="J2796" s="358" t="str">
        <f t="shared" si="132"/>
        <v>2010FemaleAllEth243</v>
      </c>
      <c r="K2796" s="359">
        <v>2010</v>
      </c>
      <c r="L2796" t="s">
        <v>8</v>
      </c>
      <c r="M2796" t="s">
        <v>27</v>
      </c>
      <c r="N2796">
        <v>24</v>
      </c>
      <c r="O2796">
        <v>3</v>
      </c>
      <c r="P2796">
        <v>6</v>
      </c>
      <c r="Q2796">
        <v>5.4043280546561903</v>
      </c>
      <c r="R2796">
        <v>4.3</v>
      </c>
      <c r="T2796" s="358" t="str">
        <f t="shared" si="133"/>
        <v>2009FemaleNon-Maori25Hanging, strangulation and suffocation</v>
      </c>
      <c r="U2796" s="360">
        <v>2009</v>
      </c>
      <c r="V2796" s="360" t="s">
        <v>8</v>
      </c>
      <c r="W2796" s="360" t="s">
        <v>19</v>
      </c>
      <c r="X2796" s="360">
        <v>25</v>
      </c>
      <c r="Y2796" s="360" t="s">
        <v>43</v>
      </c>
      <c r="Z2796" s="360">
        <v>4</v>
      </c>
      <c r="AA2796" s="360">
        <v>13</v>
      </c>
      <c r="AB2796" s="360">
        <v>30.8</v>
      </c>
    </row>
    <row r="2797" spans="10:28" x14ac:dyDescent="0.2">
      <c r="J2797" s="358" t="str">
        <f t="shared" si="132"/>
        <v>2010FemaleAllEth244</v>
      </c>
      <c r="K2797" s="359">
        <v>2010</v>
      </c>
      <c r="L2797" t="s">
        <v>8</v>
      </c>
      <c r="M2797" t="s">
        <v>27</v>
      </c>
      <c r="N2797">
        <v>24</v>
      </c>
      <c r="O2797">
        <v>4</v>
      </c>
      <c r="P2797">
        <v>6</v>
      </c>
      <c r="Q2797">
        <v>5.9494839039338903</v>
      </c>
      <c r="R2797">
        <v>4.8</v>
      </c>
      <c r="T2797" s="358" t="str">
        <f t="shared" si="133"/>
        <v>2009FemaleNon-Maori22Jumping from a high place</v>
      </c>
      <c r="U2797" s="360">
        <v>2009</v>
      </c>
      <c r="V2797" s="360" t="s">
        <v>8</v>
      </c>
      <c r="W2797" s="360" t="s">
        <v>19</v>
      </c>
      <c r="X2797" s="360">
        <v>22</v>
      </c>
      <c r="Y2797" s="360" t="s">
        <v>44</v>
      </c>
      <c r="Z2797" s="360">
        <v>1</v>
      </c>
      <c r="AA2797" s="360">
        <v>10</v>
      </c>
      <c r="AB2797" s="360">
        <v>10</v>
      </c>
    </row>
    <row r="2798" spans="10:28" x14ac:dyDescent="0.2">
      <c r="J2798" s="358" t="str">
        <f t="shared" si="132"/>
        <v>2010FemaleAllEth245</v>
      </c>
      <c r="K2798" s="359">
        <v>2010</v>
      </c>
      <c r="L2798" t="s">
        <v>8</v>
      </c>
      <c r="M2798" t="s">
        <v>27</v>
      </c>
      <c r="N2798">
        <v>24</v>
      </c>
      <c r="O2798">
        <v>5</v>
      </c>
      <c r="P2798">
        <v>10</v>
      </c>
      <c r="Q2798">
        <v>10.713178162736099</v>
      </c>
      <c r="R2798">
        <v>6.6</v>
      </c>
      <c r="T2798" s="358" t="str">
        <f t="shared" si="133"/>
        <v>2009FemaleNon-Maori23Jumping from a high place</v>
      </c>
      <c r="U2798" s="360">
        <v>2009</v>
      </c>
      <c r="V2798" s="360" t="s">
        <v>8</v>
      </c>
      <c r="W2798" s="360" t="s">
        <v>19</v>
      </c>
      <c r="X2798" s="360">
        <v>23</v>
      </c>
      <c r="Y2798" s="360" t="s">
        <v>44</v>
      </c>
      <c r="Z2798" s="360">
        <v>2</v>
      </c>
      <c r="AA2798" s="360">
        <v>33</v>
      </c>
      <c r="AB2798" s="360">
        <v>6.1</v>
      </c>
    </row>
    <row r="2799" spans="10:28" x14ac:dyDescent="0.2">
      <c r="J2799" s="358" t="str">
        <f t="shared" si="132"/>
        <v>2010FemaleAllEth251</v>
      </c>
      <c r="K2799" s="359">
        <v>2010</v>
      </c>
      <c r="L2799" t="s">
        <v>8</v>
      </c>
      <c r="M2799" t="s">
        <v>27</v>
      </c>
      <c r="N2799">
        <v>25</v>
      </c>
      <c r="O2799">
        <v>1</v>
      </c>
      <c r="P2799">
        <v>3</v>
      </c>
      <c r="Q2799">
        <v>4.9343210353944604</v>
      </c>
      <c r="R2799">
        <v>5.6</v>
      </c>
      <c r="T2799" s="358" t="str">
        <f t="shared" si="133"/>
        <v>2009FemaleNon-Maori24Jumping from a high place</v>
      </c>
      <c r="U2799" s="360">
        <v>2009</v>
      </c>
      <c r="V2799" s="360" t="s">
        <v>8</v>
      </c>
      <c r="W2799" s="360" t="s">
        <v>19</v>
      </c>
      <c r="X2799" s="360">
        <v>24</v>
      </c>
      <c r="Y2799" s="360" t="s">
        <v>44</v>
      </c>
      <c r="Z2799" s="360">
        <v>2</v>
      </c>
      <c r="AA2799" s="360">
        <v>35</v>
      </c>
      <c r="AB2799" s="360">
        <v>5.7</v>
      </c>
    </row>
    <row r="2800" spans="10:28" x14ac:dyDescent="0.2">
      <c r="J2800" s="358" t="str">
        <f t="shared" si="132"/>
        <v>2010FemaleAllEth252</v>
      </c>
      <c r="K2800" s="359">
        <v>2010</v>
      </c>
      <c r="L2800" t="s">
        <v>8</v>
      </c>
      <c r="M2800" t="s">
        <v>27</v>
      </c>
      <c r="N2800">
        <v>25</v>
      </c>
      <c r="O2800">
        <v>2</v>
      </c>
      <c r="P2800">
        <v>1</v>
      </c>
      <c r="Q2800">
        <v>1.5934353273533199</v>
      </c>
      <c r="R2800">
        <v>3.1</v>
      </c>
      <c r="T2800" s="358" t="str">
        <f t="shared" si="133"/>
        <v>2009FemaleNon-Maori21Other</v>
      </c>
      <c r="U2800" s="360">
        <v>2009</v>
      </c>
      <c r="V2800" s="360" t="s">
        <v>8</v>
      </c>
      <c r="W2800" s="360" t="s">
        <v>19</v>
      </c>
      <c r="X2800" s="360">
        <v>21</v>
      </c>
      <c r="Y2800" s="360" t="s">
        <v>45</v>
      </c>
      <c r="Z2800" s="360">
        <v>1</v>
      </c>
      <c r="AA2800" s="360">
        <v>2</v>
      </c>
      <c r="AB2800" s="360">
        <v>50</v>
      </c>
    </row>
    <row r="2801" spans="10:28" x14ac:dyDescent="0.2">
      <c r="J2801" s="358" t="str">
        <f t="shared" si="132"/>
        <v>2010FemaleAllEth253</v>
      </c>
      <c r="K2801" s="359">
        <v>2010</v>
      </c>
      <c r="L2801" t="s">
        <v>8</v>
      </c>
      <c r="M2801" t="s">
        <v>27</v>
      </c>
      <c r="N2801">
        <v>25</v>
      </c>
      <c r="O2801">
        <v>3</v>
      </c>
      <c r="P2801">
        <v>4</v>
      </c>
      <c r="Q2801">
        <v>6.2898653312167196</v>
      </c>
      <c r="R2801">
        <v>6.2</v>
      </c>
      <c r="T2801" s="358" t="str">
        <f t="shared" si="133"/>
        <v>2009FemaleNon-Maori23Other</v>
      </c>
      <c r="U2801" s="360">
        <v>2009</v>
      </c>
      <c r="V2801" s="360" t="s">
        <v>8</v>
      </c>
      <c r="W2801" s="360" t="s">
        <v>19</v>
      </c>
      <c r="X2801" s="360">
        <v>23</v>
      </c>
      <c r="Y2801" s="360" t="s">
        <v>45</v>
      </c>
      <c r="Z2801" s="360">
        <v>4</v>
      </c>
      <c r="AA2801" s="360">
        <v>33</v>
      </c>
      <c r="AB2801" s="360">
        <v>12.1</v>
      </c>
    </row>
    <row r="2802" spans="10:28" x14ac:dyDescent="0.2">
      <c r="J2802" s="358" t="str">
        <f t="shared" si="132"/>
        <v>2010FemaleAllEth254</v>
      </c>
      <c r="K2802" s="359">
        <v>2010</v>
      </c>
      <c r="L2802" t="s">
        <v>8</v>
      </c>
      <c r="M2802" t="s">
        <v>27</v>
      </c>
      <c r="N2802">
        <v>25</v>
      </c>
      <c r="O2802">
        <v>4</v>
      </c>
      <c r="P2802">
        <v>5</v>
      </c>
      <c r="Q2802">
        <v>7.5091435459808604</v>
      </c>
      <c r="R2802">
        <v>6.6</v>
      </c>
      <c r="T2802" s="358" t="str">
        <f t="shared" si="133"/>
        <v>2009FemaleNon-Maori25Other</v>
      </c>
      <c r="U2802" s="360">
        <v>2009</v>
      </c>
      <c r="V2802" s="360" t="s">
        <v>8</v>
      </c>
      <c r="W2802" s="360" t="s">
        <v>19</v>
      </c>
      <c r="X2802" s="360">
        <v>25</v>
      </c>
      <c r="Y2802" s="360" t="s">
        <v>45</v>
      </c>
      <c r="Z2802" s="360">
        <v>1</v>
      </c>
      <c r="AA2802" s="360">
        <v>13</v>
      </c>
      <c r="AB2802" s="360">
        <v>7.7</v>
      </c>
    </row>
    <row r="2803" spans="10:28" x14ac:dyDescent="0.2">
      <c r="J2803" s="358" t="str">
        <f t="shared" si="132"/>
        <v>2010FemaleAllEth255</v>
      </c>
      <c r="K2803" s="359">
        <v>2010</v>
      </c>
      <c r="L2803" t="s">
        <v>8</v>
      </c>
      <c r="M2803" t="s">
        <v>27</v>
      </c>
      <c r="N2803">
        <v>25</v>
      </c>
      <c r="O2803">
        <v>5</v>
      </c>
      <c r="P2803">
        <v>1</v>
      </c>
      <c r="Q2803">
        <v>1.8771101760709701</v>
      </c>
      <c r="R2803">
        <v>3.7</v>
      </c>
      <c r="T2803" s="358" t="str">
        <f t="shared" si="133"/>
        <v>2009FemaleNon-Maori23Poisoning by gases and vapours</v>
      </c>
      <c r="U2803" s="360">
        <v>2009</v>
      </c>
      <c r="V2803" s="360" t="s">
        <v>8</v>
      </c>
      <c r="W2803" s="360" t="s">
        <v>19</v>
      </c>
      <c r="X2803" s="360">
        <v>23</v>
      </c>
      <c r="Y2803" s="360" t="s">
        <v>46</v>
      </c>
      <c r="Z2803" s="360">
        <v>5</v>
      </c>
      <c r="AA2803" s="360">
        <v>33</v>
      </c>
      <c r="AB2803" s="360">
        <v>15.2</v>
      </c>
    </row>
    <row r="2804" spans="10:28" x14ac:dyDescent="0.2">
      <c r="J2804" s="358" t="str">
        <f t="shared" si="132"/>
        <v>2010FemaleMaori211</v>
      </c>
      <c r="K2804" s="359">
        <v>2010</v>
      </c>
      <c r="L2804" t="s">
        <v>8</v>
      </c>
      <c r="M2804" t="s">
        <v>18</v>
      </c>
      <c r="N2804">
        <v>21</v>
      </c>
      <c r="O2804">
        <v>1</v>
      </c>
      <c r="P2804">
        <v>0</v>
      </c>
      <c r="T2804" s="358" t="str">
        <f t="shared" si="133"/>
        <v>2009FemaleNon-Maori24Poisoning by gases and vapours</v>
      </c>
      <c r="U2804" s="360">
        <v>2009</v>
      </c>
      <c r="V2804" s="360" t="s">
        <v>8</v>
      </c>
      <c r="W2804" s="360" t="s">
        <v>19</v>
      </c>
      <c r="X2804" s="360">
        <v>24</v>
      </c>
      <c r="Y2804" s="360" t="s">
        <v>46</v>
      </c>
      <c r="Z2804" s="360">
        <v>1</v>
      </c>
      <c r="AA2804" s="360">
        <v>35</v>
      </c>
      <c r="AB2804" s="360">
        <v>2.9</v>
      </c>
    </row>
    <row r="2805" spans="10:28" x14ac:dyDescent="0.2">
      <c r="J2805" s="358" t="str">
        <f t="shared" si="132"/>
        <v>2010FemaleMaori212</v>
      </c>
      <c r="K2805" s="359">
        <v>2010</v>
      </c>
      <c r="L2805" t="s">
        <v>8</v>
      </c>
      <c r="M2805" t="s">
        <v>18</v>
      </c>
      <c r="N2805">
        <v>21</v>
      </c>
      <c r="O2805">
        <v>2</v>
      </c>
      <c r="P2805">
        <v>0</v>
      </c>
      <c r="T2805" s="358" t="str">
        <f t="shared" si="133"/>
        <v>2009FemaleNon-Maori25Poisoning by gases and vapours</v>
      </c>
      <c r="U2805" s="360">
        <v>2009</v>
      </c>
      <c r="V2805" s="360" t="s">
        <v>8</v>
      </c>
      <c r="W2805" s="360" t="s">
        <v>19</v>
      </c>
      <c r="X2805" s="360">
        <v>25</v>
      </c>
      <c r="Y2805" s="360" t="s">
        <v>46</v>
      </c>
      <c r="Z2805" s="360">
        <v>4</v>
      </c>
      <c r="AA2805" s="360">
        <v>13</v>
      </c>
      <c r="AB2805" s="360">
        <v>30.8</v>
      </c>
    </row>
    <row r="2806" spans="10:28" x14ac:dyDescent="0.2">
      <c r="J2806" s="358" t="str">
        <f t="shared" si="132"/>
        <v>2010FemaleMaori213</v>
      </c>
      <c r="K2806" s="359">
        <v>2010</v>
      </c>
      <c r="L2806" t="s">
        <v>8</v>
      </c>
      <c r="M2806" t="s">
        <v>18</v>
      </c>
      <c r="N2806">
        <v>21</v>
      </c>
      <c r="O2806">
        <v>3</v>
      </c>
      <c r="P2806">
        <v>0</v>
      </c>
      <c r="T2806" s="358" t="str">
        <f t="shared" si="133"/>
        <v>2009FemaleNon-Maori21Poisoning by solids and liquids</v>
      </c>
      <c r="U2806" s="360">
        <v>2009</v>
      </c>
      <c r="V2806" s="360" t="s">
        <v>8</v>
      </c>
      <c r="W2806" s="360" t="s">
        <v>19</v>
      </c>
      <c r="X2806" s="360">
        <v>21</v>
      </c>
      <c r="Y2806" s="360" t="s">
        <v>47</v>
      </c>
      <c r="Z2806" s="360">
        <v>1</v>
      </c>
      <c r="AA2806" s="360">
        <v>2</v>
      </c>
      <c r="AB2806" s="360">
        <v>50</v>
      </c>
    </row>
    <row r="2807" spans="10:28" x14ac:dyDescent="0.2">
      <c r="J2807" s="358" t="str">
        <f t="shared" si="132"/>
        <v>2010FemaleMaori214</v>
      </c>
      <c r="K2807" s="359">
        <v>2010</v>
      </c>
      <c r="L2807" t="s">
        <v>8</v>
      </c>
      <c r="M2807" t="s">
        <v>18</v>
      </c>
      <c r="N2807">
        <v>21</v>
      </c>
      <c r="O2807">
        <v>4</v>
      </c>
      <c r="P2807">
        <v>1</v>
      </c>
      <c r="T2807" s="358" t="str">
        <f t="shared" si="133"/>
        <v>2009FemaleNon-Maori23Poisoning by solids and liquids</v>
      </c>
      <c r="U2807" s="360">
        <v>2009</v>
      </c>
      <c r="V2807" s="360" t="s">
        <v>8</v>
      </c>
      <c r="W2807" s="360" t="s">
        <v>19</v>
      </c>
      <c r="X2807" s="360">
        <v>23</v>
      </c>
      <c r="Y2807" s="360" t="s">
        <v>47</v>
      </c>
      <c r="Z2807" s="360">
        <v>8</v>
      </c>
      <c r="AA2807" s="360">
        <v>33</v>
      </c>
      <c r="AB2807" s="360">
        <v>24.2</v>
      </c>
    </row>
    <row r="2808" spans="10:28" x14ac:dyDescent="0.2">
      <c r="J2808" s="358" t="str">
        <f t="shared" si="132"/>
        <v>2010FemaleMaori215</v>
      </c>
      <c r="K2808" s="359">
        <v>2010</v>
      </c>
      <c r="L2808" t="s">
        <v>8</v>
      </c>
      <c r="M2808" t="s">
        <v>18</v>
      </c>
      <c r="N2808">
        <v>21</v>
      </c>
      <c r="O2808">
        <v>5</v>
      </c>
      <c r="P2808">
        <v>1</v>
      </c>
      <c r="T2808" s="358" t="str">
        <f t="shared" si="133"/>
        <v>2009FemaleNon-Maori24Poisoning by solids and liquids</v>
      </c>
      <c r="U2808" s="360">
        <v>2009</v>
      </c>
      <c r="V2808" s="360" t="s">
        <v>8</v>
      </c>
      <c r="W2808" s="360" t="s">
        <v>19</v>
      </c>
      <c r="X2808" s="360">
        <v>24</v>
      </c>
      <c r="Y2808" s="360" t="s">
        <v>47</v>
      </c>
      <c r="Z2808" s="360">
        <v>12</v>
      </c>
      <c r="AA2808" s="360">
        <v>35</v>
      </c>
      <c r="AB2808" s="360">
        <v>34.299999999999997</v>
      </c>
    </row>
    <row r="2809" spans="10:28" x14ac:dyDescent="0.2">
      <c r="J2809" s="358" t="str">
        <f t="shared" si="132"/>
        <v>2010FemaleMaori221</v>
      </c>
      <c r="K2809" s="359">
        <v>2010</v>
      </c>
      <c r="L2809" t="s">
        <v>8</v>
      </c>
      <c r="M2809" t="s">
        <v>18</v>
      </c>
      <c r="N2809">
        <v>22</v>
      </c>
      <c r="O2809">
        <v>1</v>
      </c>
      <c r="P2809">
        <v>0</v>
      </c>
      <c r="Q2809">
        <v>0</v>
      </c>
      <c r="T2809" s="358" t="str">
        <f t="shared" si="133"/>
        <v>2009FemaleNon-Maori25Poisoning by solids and liquids</v>
      </c>
      <c r="U2809" s="360">
        <v>2009</v>
      </c>
      <c r="V2809" s="360" t="s">
        <v>8</v>
      </c>
      <c r="W2809" s="360" t="s">
        <v>19</v>
      </c>
      <c r="X2809" s="360">
        <v>25</v>
      </c>
      <c r="Y2809" s="360" t="s">
        <v>47</v>
      </c>
      <c r="Z2809" s="360">
        <v>4</v>
      </c>
      <c r="AA2809" s="360">
        <v>13</v>
      </c>
      <c r="AB2809" s="360">
        <v>30.8</v>
      </c>
    </row>
    <row r="2810" spans="10:28" x14ac:dyDescent="0.2">
      <c r="J2810" s="358" t="str">
        <f t="shared" si="132"/>
        <v>2010FemaleMaori222</v>
      </c>
      <c r="K2810" s="359">
        <v>2010</v>
      </c>
      <c r="L2810" t="s">
        <v>8</v>
      </c>
      <c r="M2810" t="s">
        <v>18</v>
      </c>
      <c r="N2810">
        <v>22</v>
      </c>
      <c r="O2810">
        <v>2</v>
      </c>
      <c r="P2810">
        <v>1</v>
      </c>
      <c r="Q2810">
        <v>14.883056782479301</v>
      </c>
      <c r="R2810">
        <v>29.2</v>
      </c>
      <c r="T2810" s="358" t="str">
        <f t="shared" si="133"/>
        <v>2009FemaleNon-Maori24Sharp object</v>
      </c>
      <c r="U2810" s="360">
        <v>2009</v>
      </c>
      <c r="V2810" s="360" t="s">
        <v>8</v>
      </c>
      <c r="W2810" s="360" t="s">
        <v>19</v>
      </c>
      <c r="X2810" s="360">
        <v>24</v>
      </c>
      <c r="Y2810" s="360" t="s">
        <v>48</v>
      </c>
      <c r="Z2810" s="360">
        <v>2</v>
      </c>
      <c r="AA2810" s="360">
        <v>35</v>
      </c>
      <c r="AB2810" s="360">
        <v>5.7</v>
      </c>
    </row>
    <row r="2811" spans="10:28" x14ac:dyDescent="0.2">
      <c r="J2811" s="358" t="str">
        <f t="shared" si="132"/>
        <v>2010FemaleMaori223</v>
      </c>
      <c r="K2811" s="359">
        <v>2010</v>
      </c>
      <c r="L2811" t="s">
        <v>8</v>
      </c>
      <c r="M2811" t="s">
        <v>18</v>
      </c>
      <c r="N2811">
        <v>22</v>
      </c>
      <c r="O2811">
        <v>3</v>
      </c>
      <c r="P2811">
        <v>1</v>
      </c>
      <c r="Q2811">
        <v>10.1134846151516</v>
      </c>
      <c r="R2811">
        <v>19.8</v>
      </c>
      <c r="T2811" s="358" t="str">
        <f t="shared" si="133"/>
        <v>2009FemaleNon-Maori23Submersion (drowning)</v>
      </c>
      <c r="U2811" s="360">
        <v>2009</v>
      </c>
      <c r="V2811" s="360" t="s">
        <v>8</v>
      </c>
      <c r="W2811" s="360" t="s">
        <v>19</v>
      </c>
      <c r="X2811" s="360">
        <v>23</v>
      </c>
      <c r="Y2811" s="360" t="s">
        <v>49</v>
      </c>
      <c r="Z2811" s="360">
        <v>1</v>
      </c>
      <c r="AA2811" s="360">
        <v>33</v>
      </c>
      <c r="AB2811" s="360">
        <v>3</v>
      </c>
    </row>
    <row r="2812" spans="10:28" x14ac:dyDescent="0.2">
      <c r="J2812" s="358" t="str">
        <f t="shared" si="132"/>
        <v>2010FemaleMaori224</v>
      </c>
      <c r="K2812" s="359">
        <v>2010</v>
      </c>
      <c r="L2812" t="s">
        <v>8</v>
      </c>
      <c r="M2812" t="s">
        <v>18</v>
      </c>
      <c r="N2812">
        <v>22</v>
      </c>
      <c r="O2812">
        <v>4</v>
      </c>
      <c r="P2812">
        <v>3</v>
      </c>
      <c r="Q2812">
        <v>20.504361302187299</v>
      </c>
      <c r="R2812">
        <v>23.2</v>
      </c>
      <c r="T2812" s="358" t="str">
        <f t="shared" si="133"/>
        <v>2009FemaleNon-Maori24Submersion (drowning)</v>
      </c>
      <c r="U2812" s="360">
        <v>2009</v>
      </c>
      <c r="V2812" s="360" t="s">
        <v>8</v>
      </c>
      <c r="W2812" s="360" t="s">
        <v>19</v>
      </c>
      <c r="X2812" s="360">
        <v>24</v>
      </c>
      <c r="Y2812" s="360" t="s">
        <v>49</v>
      </c>
      <c r="Z2812" s="360">
        <v>2</v>
      </c>
      <c r="AA2812" s="360">
        <v>35</v>
      </c>
      <c r="AB2812" s="360">
        <v>5.7</v>
      </c>
    </row>
    <row r="2813" spans="10:28" x14ac:dyDescent="0.2">
      <c r="J2813" s="358" t="str">
        <f t="shared" si="132"/>
        <v>2010FemaleMaori225</v>
      </c>
      <c r="K2813" s="359">
        <v>2010</v>
      </c>
      <c r="L2813" t="s">
        <v>8</v>
      </c>
      <c r="M2813" t="s">
        <v>18</v>
      </c>
      <c r="N2813">
        <v>22</v>
      </c>
      <c r="O2813">
        <v>5</v>
      </c>
      <c r="P2813">
        <v>10</v>
      </c>
      <c r="Q2813">
        <v>38.485905601669103</v>
      </c>
      <c r="R2813">
        <v>23.9</v>
      </c>
      <c r="T2813" s="358" t="str">
        <f t="shared" si="133"/>
        <v>2009MaleAllEth21Firearms and explosives</v>
      </c>
      <c r="U2813" s="360">
        <v>2009</v>
      </c>
      <c r="V2813" s="360" t="s">
        <v>20</v>
      </c>
      <c r="W2813" s="360" t="s">
        <v>27</v>
      </c>
      <c r="X2813" s="360">
        <v>21</v>
      </c>
      <c r="Y2813" s="360" t="s">
        <v>42</v>
      </c>
      <c r="Z2813" s="360">
        <v>1</v>
      </c>
      <c r="AA2813" s="360">
        <v>6</v>
      </c>
      <c r="AB2813" s="360">
        <v>16.7</v>
      </c>
    </row>
    <row r="2814" spans="10:28" x14ac:dyDescent="0.2">
      <c r="J2814" s="358" t="str">
        <f t="shared" si="132"/>
        <v>2010FemaleMaori231</v>
      </c>
      <c r="K2814" s="359">
        <v>2010</v>
      </c>
      <c r="L2814" t="s">
        <v>8</v>
      </c>
      <c r="M2814" t="s">
        <v>18</v>
      </c>
      <c r="N2814">
        <v>23</v>
      </c>
      <c r="O2814">
        <v>1</v>
      </c>
      <c r="P2814">
        <v>0</v>
      </c>
      <c r="Q2814">
        <v>0</v>
      </c>
      <c r="T2814" s="358" t="str">
        <f t="shared" si="133"/>
        <v>2009MaleAllEth22Firearms and explosives</v>
      </c>
      <c r="U2814" s="360">
        <v>2009</v>
      </c>
      <c r="V2814" s="360" t="s">
        <v>20</v>
      </c>
      <c r="W2814" s="360" t="s">
        <v>27</v>
      </c>
      <c r="X2814" s="360">
        <v>22</v>
      </c>
      <c r="Y2814" s="360" t="s">
        <v>42</v>
      </c>
      <c r="Z2814" s="360">
        <v>9</v>
      </c>
      <c r="AA2814" s="360">
        <v>95</v>
      </c>
      <c r="AB2814" s="360">
        <v>9.5</v>
      </c>
    </row>
    <row r="2815" spans="10:28" x14ac:dyDescent="0.2">
      <c r="J2815" s="358" t="str">
        <f t="shared" si="132"/>
        <v>2010FemaleMaori232</v>
      </c>
      <c r="K2815" s="359">
        <v>2010</v>
      </c>
      <c r="L2815" t="s">
        <v>8</v>
      </c>
      <c r="M2815" t="s">
        <v>18</v>
      </c>
      <c r="N2815">
        <v>23</v>
      </c>
      <c r="O2815">
        <v>2</v>
      </c>
      <c r="P2815">
        <v>1</v>
      </c>
      <c r="Q2815">
        <v>9.4364782782083303</v>
      </c>
      <c r="R2815">
        <v>18.5</v>
      </c>
      <c r="T2815" s="358" t="str">
        <f t="shared" si="133"/>
        <v>2009MaleAllEth23Firearms and explosives</v>
      </c>
      <c r="U2815" s="360">
        <v>2009</v>
      </c>
      <c r="V2815" s="360" t="s">
        <v>20</v>
      </c>
      <c r="W2815" s="360" t="s">
        <v>27</v>
      </c>
      <c r="X2815" s="360">
        <v>23</v>
      </c>
      <c r="Y2815" s="360" t="s">
        <v>42</v>
      </c>
      <c r="Z2815" s="360">
        <v>13</v>
      </c>
      <c r="AA2815" s="360">
        <v>132</v>
      </c>
      <c r="AB2815" s="360">
        <v>9.8000000000000007</v>
      </c>
    </row>
    <row r="2816" spans="10:28" x14ac:dyDescent="0.2">
      <c r="J2816" s="358" t="str">
        <f t="shared" si="132"/>
        <v>2010FemaleMaori233</v>
      </c>
      <c r="K2816" s="359">
        <v>2010</v>
      </c>
      <c r="L2816" t="s">
        <v>8</v>
      </c>
      <c r="M2816" t="s">
        <v>18</v>
      </c>
      <c r="N2816">
        <v>23</v>
      </c>
      <c r="O2816">
        <v>3</v>
      </c>
      <c r="P2816">
        <v>2</v>
      </c>
      <c r="Q2816">
        <v>13.5281025801049</v>
      </c>
      <c r="R2816">
        <v>18.7</v>
      </c>
      <c r="T2816" s="358" t="str">
        <f t="shared" si="133"/>
        <v>2009MaleAllEth24Firearms and explosives</v>
      </c>
      <c r="U2816" s="360">
        <v>2009</v>
      </c>
      <c r="V2816" s="360" t="s">
        <v>20</v>
      </c>
      <c r="W2816" s="360" t="s">
        <v>27</v>
      </c>
      <c r="X2816" s="360">
        <v>24</v>
      </c>
      <c r="Y2816" s="360" t="s">
        <v>42</v>
      </c>
      <c r="Z2816" s="360">
        <v>23</v>
      </c>
      <c r="AA2816" s="360">
        <v>120</v>
      </c>
      <c r="AB2816" s="360">
        <v>19.2</v>
      </c>
    </row>
    <row r="2817" spans="10:28" x14ac:dyDescent="0.2">
      <c r="J2817" s="358" t="str">
        <f t="shared" si="132"/>
        <v>2010FemaleMaori234</v>
      </c>
      <c r="K2817" s="359">
        <v>2010</v>
      </c>
      <c r="L2817" t="s">
        <v>8</v>
      </c>
      <c r="M2817" t="s">
        <v>18</v>
      </c>
      <c r="N2817">
        <v>23</v>
      </c>
      <c r="O2817">
        <v>4</v>
      </c>
      <c r="P2817">
        <v>2</v>
      </c>
      <c r="Q2817">
        <v>9.6593764094611103</v>
      </c>
      <c r="R2817">
        <v>13.4</v>
      </c>
      <c r="T2817" s="358" t="str">
        <f t="shared" si="133"/>
        <v>2009MaleAllEth25Firearms and explosives</v>
      </c>
      <c r="U2817" s="360">
        <v>2009</v>
      </c>
      <c r="V2817" s="360" t="s">
        <v>20</v>
      </c>
      <c r="W2817" s="360" t="s">
        <v>27</v>
      </c>
      <c r="X2817" s="360">
        <v>25</v>
      </c>
      <c r="Y2817" s="360" t="s">
        <v>42</v>
      </c>
      <c r="Z2817" s="360">
        <v>7</v>
      </c>
      <c r="AA2817" s="360">
        <v>41</v>
      </c>
      <c r="AB2817" s="360">
        <v>17.100000000000001</v>
      </c>
    </row>
    <row r="2818" spans="10:28" x14ac:dyDescent="0.2">
      <c r="J2818" s="358" t="str">
        <f t="shared" si="132"/>
        <v>2010FemaleMaori235</v>
      </c>
      <c r="K2818" s="359">
        <v>2010</v>
      </c>
      <c r="L2818" t="s">
        <v>8</v>
      </c>
      <c r="M2818" t="s">
        <v>18</v>
      </c>
      <c r="N2818">
        <v>23</v>
      </c>
      <c r="O2818">
        <v>5</v>
      </c>
      <c r="P2818">
        <v>4</v>
      </c>
      <c r="Q2818">
        <v>11.178905667495499</v>
      </c>
      <c r="R2818">
        <v>11</v>
      </c>
      <c r="T2818" s="358" t="str">
        <f t="shared" si="133"/>
        <v>2009MaleAllEth21Hanging, strangulation and suffocation</v>
      </c>
      <c r="U2818" s="360">
        <v>2009</v>
      </c>
      <c r="V2818" s="360" t="s">
        <v>20</v>
      </c>
      <c r="W2818" s="360" t="s">
        <v>27</v>
      </c>
      <c r="X2818" s="360">
        <v>21</v>
      </c>
      <c r="Y2818" s="360" t="s">
        <v>43</v>
      </c>
      <c r="Z2818" s="360">
        <v>5</v>
      </c>
      <c r="AA2818" s="360">
        <v>6</v>
      </c>
      <c r="AB2818" s="360">
        <v>83.3</v>
      </c>
    </row>
    <row r="2819" spans="10:28" x14ac:dyDescent="0.2">
      <c r="J2819" s="358" t="str">
        <f t="shared" si="132"/>
        <v>2010FemaleMaori241</v>
      </c>
      <c r="K2819" s="359">
        <v>2010</v>
      </c>
      <c r="L2819" t="s">
        <v>8</v>
      </c>
      <c r="M2819" t="s">
        <v>18</v>
      </c>
      <c r="N2819">
        <v>24</v>
      </c>
      <c r="O2819">
        <v>1</v>
      </c>
      <c r="P2819">
        <v>1</v>
      </c>
      <c r="Q2819">
        <v>17.596264291434501</v>
      </c>
      <c r="R2819">
        <v>34.5</v>
      </c>
      <c r="T2819" s="358" t="str">
        <f t="shared" si="133"/>
        <v>2009MaleAllEth22Hanging, strangulation and suffocation</v>
      </c>
      <c r="U2819" s="360">
        <v>2009</v>
      </c>
      <c r="V2819" s="360" t="s">
        <v>20</v>
      </c>
      <c r="W2819" s="360" t="s">
        <v>27</v>
      </c>
      <c r="X2819" s="360">
        <v>22</v>
      </c>
      <c r="Y2819" s="360" t="s">
        <v>43</v>
      </c>
      <c r="Z2819" s="360">
        <v>75</v>
      </c>
      <c r="AA2819" s="360">
        <v>95</v>
      </c>
      <c r="AB2819" s="360">
        <v>78.900000000000006</v>
      </c>
    </row>
    <row r="2820" spans="10:28" x14ac:dyDescent="0.2">
      <c r="J2820" s="358" t="str">
        <f t="shared" ref="J2820:J2883" si="134">K2820&amp;L2820&amp;M2820&amp;N2820&amp;O2820</f>
        <v>2010FemaleMaori242</v>
      </c>
      <c r="K2820" s="359">
        <v>2010</v>
      </c>
      <c r="L2820" t="s">
        <v>8</v>
      </c>
      <c r="M2820" t="s">
        <v>18</v>
      </c>
      <c r="N2820">
        <v>24</v>
      </c>
      <c r="O2820">
        <v>2</v>
      </c>
      <c r="P2820">
        <v>0</v>
      </c>
      <c r="Q2820">
        <v>0</v>
      </c>
      <c r="T2820" s="358" t="str">
        <f t="shared" si="133"/>
        <v>2009MaleAllEth23Hanging, strangulation and suffocation</v>
      </c>
      <c r="U2820" s="360">
        <v>2009</v>
      </c>
      <c r="V2820" s="360" t="s">
        <v>20</v>
      </c>
      <c r="W2820" s="360" t="s">
        <v>27</v>
      </c>
      <c r="X2820" s="360">
        <v>23</v>
      </c>
      <c r="Y2820" s="360" t="s">
        <v>43</v>
      </c>
      <c r="Z2820" s="360">
        <v>82</v>
      </c>
      <c r="AA2820" s="360">
        <v>132</v>
      </c>
      <c r="AB2820" s="360">
        <v>62.1</v>
      </c>
    </row>
    <row r="2821" spans="10:28" x14ac:dyDescent="0.2">
      <c r="J2821" s="358" t="str">
        <f t="shared" si="134"/>
        <v>2010FemaleMaori243</v>
      </c>
      <c r="K2821" s="359">
        <v>2010</v>
      </c>
      <c r="L2821" t="s">
        <v>8</v>
      </c>
      <c r="M2821" t="s">
        <v>18</v>
      </c>
      <c r="N2821">
        <v>24</v>
      </c>
      <c r="O2821">
        <v>3</v>
      </c>
      <c r="P2821">
        <v>0</v>
      </c>
      <c r="Q2821">
        <v>0</v>
      </c>
      <c r="T2821" s="358" t="str">
        <f t="shared" ref="T2821:T2884" si="135">U2821&amp;V2821&amp;W2821&amp;X2821&amp;Y2821</f>
        <v>2009MaleAllEth24Hanging, strangulation and suffocation</v>
      </c>
      <c r="U2821" s="360">
        <v>2009</v>
      </c>
      <c r="V2821" s="360" t="s">
        <v>20</v>
      </c>
      <c r="W2821" s="360" t="s">
        <v>27</v>
      </c>
      <c r="X2821" s="360">
        <v>24</v>
      </c>
      <c r="Y2821" s="360" t="s">
        <v>43</v>
      </c>
      <c r="Z2821" s="360">
        <v>61</v>
      </c>
      <c r="AA2821" s="360">
        <v>120</v>
      </c>
      <c r="AB2821" s="360">
        <v>50.8</v>
      </c>
    </row>
    <row r="2822" spans="10:28" x14ac:dyDescent="0.2">
      <c r="J2822" s="358" t="str">
        <f t="shared" si="134"/>
        <v>2010FemaleMaori244</v>
      </c>
      <c r="K2822" s="359">
        <v>2010</v>
      </c>
      <c r="L2822" t="s">
        <v>8</v>
      </c>
      <c r="M2822" t="s">
        <v>18</v>
      </c>
      <c r="N2822">
        <v>24</v>
      </c>
      <c r="O2822">
        <v>4</v>
      </c>
      <c r="P2822">
        <v>0</v>
      </c>
      <c r="Q2822">
        <v>0</v>
      </c>
      <c r="T2822" s="358" t="str">
        <f t="shared" si="135"/>
        <v>2009MaleAllEth25Hanging, strangulation and suffocation</v>
      </c>
      <c r="U2822" s="360">
        <v>2009</v>
      </c>
      <c r="V2822" s="360" t="s">
        <v>20</v>
      </c>
      <c r="W2822" s="360" t="s">
        <v>27</v>
      </c>
      <c r="X2822" s="360">
        <v>25</v>
      </c>
      <c r="Y2822" s="360" t="s">
        <v>43</v>
      </c>
      <c r="Z2822" s="360">
        <v>15</v>
      </c>
      <c r="AA2822" s="360">
        <v>41</v>
      </c>
      <c r="AB2822" s="360">
        <v>36.6</v>
      </c>
    </row>
    <row r="2823" spans="10:28" x14ac:dyDescent="0.2">
      <c r="J2823" s="358" t="str">
        <f t="shared" si="134"/>
        <v>2010FemaleMaori245</v>
      </c>
      <c r="K2823" s="359">
        <v>2010</v>
      </c>
      <c r="L2823" t="s">
        <v>8</v>
      </c>
      <c r="M2823" t="s">
        <v>18</v>
      </c>
      <c r="N2823">
        <v>24</v>
      </c>
      <c r="O2823">
        <v>5</v>
      </c>
      <c r="P2823">
        <v>3</v>
      </c>
      <c r="Q2823">
        <v>12.0804420713282</v>
      </c>
      <c r="R2823">
        <v>13.7</v>
      </c>
      <c r="T2823" s="358" t="str">
        <f t="shared" si="135"/>
        <v>2009MaleAllEth22Jumping from a high place</v>
      </c>
      <c r="U2823" s="360">
        <v>2009</v>
      </c>
      <c r="V2823" s="360" t="s">
        <v>20</v>
      </c>
      <c r="W2823" s="360" t="s">
        <v>27</v>
      </c>
      <c r="X2823" s="360">
        <v>22</v>
      </c>
      <c r="Y2823" s="360" t="s">
        <v>44</v>
      </c>
      <c r="Z2823" s="360">
        <v>4</v>
      </c>
      <c r="AA2823" s="360">
        <v>95</v>
      </c>
      <c r="AB2823" s="360">
        <v>4.2</v>
      </c>
    </row>
    <row r="2824" spans="10:28" x14ac:dyDescent="0.2">
      <c r="J2824" s="358" t="str">
        <f t="shared" si="134"/>
        <v>2010FemaleMaori251</v>
      </c>
      <c r="K2824" s="359">
        <v>2010</v>
      </c>
      <c r="L2824" t="s">
        <v>8</v>
      </c>
      <c r="M2824" t="s">
        <v>18</v>
      </c>
      <c r="N2824">
        <v>25</v>
      </c>
      <c r="O2824">
        <v>1</v>
      </c>
      <c r="P2824">
        <v>0</v>
      </c>
      <c r="Q2824">
        <v>0</v>
      </c>
      <c r="T2824" s="358" t="str">
        <f t="shared" si="135"/>
        <v>2009MaleAllEth23Jumping from a high place</v>
      </c>
      <c r="U2824" s="360">
        <v>2009</v>
      </c>
      <c r="V2824" s="360" t="s">
        <v>20</v>
      </c>
      <c r="W2824" s="360" t="s">
        <v>27</v>
      </c>
      <c r="X2824" s="360">
        <v>23</v>
      </c>
      <c r="Y2824" s="360" t="s">
        <v>44</v>
      </c>
      <c r="Z2824" s="360">
        <v>4</v>
      </c>
      <c r="AA2824" s="360">
        <v>132</v>
      </c>
      <c r="AB2824" s="360">
        <v>3</v>
      </c>
    </row>
    <row r="2825" spans="10:28" x14ac:dyDescent="0.2">
      <c r="J2825" s="358" t="str">
        <f t="shared" si="134"/>
        <v>2010FemaleMaori252</v>
      </c>
      <c r="K2825" s="359">
        <v>2010</v>
      </c>
      <c r="L2825" t="s">
        <v>8</v>
      </c>
      <c r="M2825" t="s">
        <v>18</v>
      </c>
      <c r="N2825">
        <v>25</v>
      </c>
      <c r="O2825">
        <v>2</v>
      </c>
      <c r="P2825">
        <v>0</v>
      </c>
      <c r="Q2825">
        <v>0</v>
      </c>
      <c r="T2825" s="358" t="str">
        <f t="shared" si="135"/>
        <v>2009MaleAllEth24Jumping from a high place</v>
      </c>
      <c r="U2825" s="360">
        <v>2009</v>
      </c>
      <c r="V2825" s="360" t="s">
        <v>20</v>
      </c>
      <c r="W2825" s="360" t="s">
        <v>27</v>
      </c>
      <c r="X2825" s="360">
        <v>24</v>
      </c>
      <c r="Y2825" s="360" t="s">
        <v>44</v>
      </c>
      <c r="Z2825" s="360">
        <v>4</v>
      </c>
      <c r="AA2825" s="360">
        <v>120</v>
      </c>
      <c r="AB2825" s="360">
        <v>3.3</v>
      </c>
    </row>
    <row r="2826" spans="10:28" x14ac:dyDescent="0.2">
      <c r="J2826" s="358" t="str">
        <f t="shared" si="134"/>
        <v>2010FemaleMaori253</v>
      </c>
      <c r="K2826" s="359">
        <v>2010</v>
      </c>
      <c r="L2826" t="s">
        <v>8</v>
      </c>
      <c r="M2826" t="s">
        <v>18</v>
      </c>
      <c r="N2826">
        <v>25</v>
      </c>
      <c r="O2826">
        <v>3</v>
      </c>
      <c r="P2826">
        <v>0</v>
      </c>
      <c r="Q2826">
        <v>0</v>
      </c>
      <c r="T2826" s="358" t="str">
        <f t="shared" si="135"/>
        <v>2009MaleAllEth23Other</v>
      </c>
      <c r="U2826" s="360">
        <v>2009</v>
      </c>
      <c r="V2826" s="360" t="s">
        <v>20</v>
      </c>
      <c r="W2826" s="360" t="s">
        <v>27</v>
      </c>
      <c r="X2826" s="360">
        <v>23</v>
      </c>
      <c r="Y2826" s="360" t="s">
        <v>45</v>
      </c>
      <c r="Z2826" s="360">
        <v>4</v>
      </c>
      <c r="AA2826" s="360">
        <v>132</v>
      </c>
      <c r="AB2826" s="360">
        <v>3</v>
      </c>
    </row>
    <row r="2827" spans="10:28" x14ac:dyDescent="0.2">
      <c r="J2827" s="358" t="str">
        <f t="shared" si="134"/>
        <v>2010FemaleMaori254</v>
      </c>
      <c r="K2827" s="359">
        <v>2010</v>
      </c>
      <c r="L2827" t="s">
        <v>8</v>
      </c>
      <c r="M2827" t="s">
        <v>18</v>
      </c>
      <c r="N2827">
        <v>25</v>
      </c>
      <c r="O2827">
        <v>4</v>
      </c>
      <c r="P2827">
        <v>0</v>
      </c>
      <c r="Q2827">
        <v>0</v>
      </c>
      <c r="T2827" s="358" t="str">
        <f t="shared" si="135"/>
        <v>2009MaleAllEth24Other</v>
      </c>
      <c r="U2827" s="360">
        <v>2009</v>
      </c>
      <c r="V2827" s="360" t="s">
        <v>20</v>
      </c>
      <c r="W2827" s="360" t="s">
        <v>27</v>
      </c>
      <c r="X2827" s="360">
        <v>24</v>
      </c>
      <c r="Y2827" s="360" t="s">
        <v>45</v>
      </c>
      <c r="Z2827" s="360">
        <v>2</v>
      </c>
      <c r="AA2827" s="360">
        <v>120</v>
      </c>
      <c r="AB2827" s="360">
        <v>1.7</v>
      </c>
    </row>
    <row r="2828" spans="10:28" x14ac:dyDescent="0.2">
      <c r="J2828" s="358" t="str">
        <f t="shared" si="134"/>
        <v>2010FemaleMaori255</v>
      </c>
      <c r="K2828" s="359">
        <v>2010</v>
      </c>
      <c r="L2828" t="s">
        <v>8</v>
      </c>
      <c r="M2828" t="s">
        <v>18</v>
      </c>
      <c r="N2828">
        <v>25</v>
      </c>
      <c r="O2828">
        <v>5</v>
      </c>
      <c r="P2828">
        <v>0</v>
      </c>
      <c r="Q2828">
        <v>0</v>
      </c>
      <c r="T2828" s="358" t="str">
        <f t="shared" si="135"/>
        <v>2009MaleAllEth25Other</v>
      </c>
      <c r="U2828" s="360">
        <v>2009</v>
      </c>
      <c r="V2828" s="360" t="s">
        <v>20</v>
      </c>
      <c r="W2828" s="360" t="s">
        <v>27</v>
      </c>
      <c r="X2828" s="360">
        <v>25</v>
      </c>
      <c r="Y2828" s="360" t="s">
        <v>45</v>
      </c>
      <c r="Z2828" s="360">
        <v>3</v>
      </c>
      <c r="AA2828" s="360">
        <v>41</v>
      </c>
      <c r="AB2828" s="360">
        <v>7.3</v>
      </c>
    </row>
    <row r="2829" spans="10:28" x14ac:dyDescent="0.2">
      <c r="J2829" s="358" t="str">
        <f t="shared" si="134"/>
        <v>2010FemaleNon-Maori211</v>
      </c>
      <c r="K2829" s="359">
        <v>2010</v>
      </c>
      <c r="L2829" t="s">
        <v>8</v>
      </c>
      <c r="M2829" t="s">
        <v>19</v>
      </c>
      <c r="N2829">
        <v>21</v>
      </c>
      <c r="O2829">
        <v>1</v>
      </c>
      <c r="P2829">
        <v>0</v>
      </c>
      <c r="T2829" s="358" t="str">
        <f t="shared" si="135"/>
        <v>2009MaleAllEth22Poisoning by gases and vapours</v>
      </c>
      <c r="U2829" s="360">
        <v>2009</v>
      </c>
      <c r="V2829" s="360" t="s">
        <v>20</v>
      </c>
      <c r="W2829" s="360" t="s">
        <v>27</v>
      </c>
      <c r="X2829" s="360">
        <v>22</v>
      </c>
      <c r="Y2829" s="360" t="s">
        <v>46</v>
      </c>
      <c r="Z2829" s="360">
        <v>4</v>
      </c>
      <c r="AA2829" s="360">
        <v>95</v>
      </c>
      <c r="AB2829" s="360">
        <v>4.2</v>
      </c>
    </row>
    <row r="2830" spans="10:28" x14ac:dyDescent="0.2">
      <c r="J2830" s="358" t="str">
        <f t="shared" si="134"/>
        <v>2010FemaleNon-Maori212</v>
      </c>
      <c r="K2830" s="359">
        <v>2010</v>
      </c>
      <c r="L2830" t="s">
        <v>8</v>
      </c>
      <c r="M2830" t="s">
        <v>19</v>
      </c>
      <c r="N2830">
        <v>21</v>
      </c>
      <c r="O2830">
        <v>2</v>
      </c>
      <c r="P2830">
        <v>0</v>
      </c>
      <c r="T2830" s="358" t="str">
        <f t="shared" si="135"/>
        <v>2009MaleAllEth23Poisoning by gases and vapours</v>
      </c>
      <c r="U2830" s="360">
        <v>2009</v>
      </c>
      <c r="V2830" s="360" t="s">
        <v>20</v>
      </c>
      <c r="W2830" s="360" t="s">
        <v>27</v>
      </c>
      <c r="X2830" s="360">
        <v>23</v>
      </c>
      <c r="Y2830" s="360" t="s">
        <v>46</v>
      </c>
      <c r="Z2830" s="360">
        <v>16</v>
      </c>
      <c r="AA2830" s="360">
        <v>132</v>
      </c>
      <c r="AB2830" s="360">
        <v>12.1</v>
      </c>
    </row>
    <row r="2831" spans="10:28" x14ac:dyDescent="0.2">
      <c r="J2831" s="358" t="str">
        <f t="shared" si="134"/>
        <v>2010FemaleNon-Maori213</v>
      </c>
      <c r="K2831" s="359">
        <v>2010</v>
      </c>
      <c r="L2831" t="s">
        <v>8</v>
      </c>
      <c r="M2831" t="s">
        <v>19</v>
      </c>
      <c r="N2831">
        <v>21</v>
      </c>
      <c r="O2831">
        <v>3</v>
      </c>
      <c r="P2831">
        <v>0</v>
      </c>
      <c r="T2831" s="358" t="str">
        <f t="shared" si="135"/>
        <v>2009MaleAllEth24Poisoning by gases and vapours</v>
      </c>
      <c r="U2831" s="360">
        <v>2009</v>
      </c>
      <c r="V2831" s="360" t="s">
        <v>20</v>
      </c>
      <c r="W2831" s="360" t="s">
        <v>27</v>
      </c>
      <c r="X2831" s="360">
        <v>24</v>
      </c>
      <c r="Y2831" s="360" t="s">
        <v>46</v>
      </c>
      <c r="Z2831" s="360">
        <v>15</v>
      </c>
      <c r="AA2831" s="360">
        <v>120</v>
      </c>
      <c r="AB2831" s="360">
        <v>12.5</v>
      </c>
    </row>
    <row r="2832" spans="10:28" x14ac:dyDescent="0.2">
      <c r="J2832" s="358" t="str">
        <f t="shared" si="134"/>
        <v>2010FemaleNon-Maori214</v>
      </c>
      <c r="K2832" s="359">
        <v>2010</v>
      </c>
      <c r="L2832" t="s">
        <v>8</v>
      </c>
      <c r="M2832" t="s">
        <v>19</v>
      </c>
      <c r="N2832">
        <v>21</v>
      </c>
      <c r="O2832">
        <v>4</v>
      </c>
      <c r="P2832">
        <v>0</v>
      </c>
      <c r="T2832" s="358" t="str">
        <f t="shared" si="135"/>
        <v>2009MaleAllEth25Poisoning by gases and vapours</v>
      </c>
      <c r="U2832" s="360">
        <v>2009</v>
      </c>
      <c r="V2832" s="360" t="s">
        <v>20</v>
      </c>
      <c r="W2832" s="360" t="s">
        <v>27</v>
      </c>
      <c r="X2832" s="360">
        <v>25</v>
      </c>
      <c r="Y2832" s="360" t="s">
        <v>46</v>
      </c>
      <c r="Z2832" s="360">
        <v>4</v>
      </c>
      <c r="AA2832" s="360">
        <v>41</v>
      </c>
      <c r="AB2832" s="360">
        <v>9.8000000000000007</v>
      </c>
    </row>
    <row r="2833" spans="10:28" x14ac:dyDescent="0.2">
      <c r="J2833" s="358" t="str">
        <f t="shared" si="134"/>
        <v>2010FemaleNon-Maori215</v>
      </c>
      <c r="K2833" s="359">
        <v>2010</v>
      </c>
      <c r="L2833" t="s">
        <v>8</v>
      </c>
      <c r="M2833" t="s">
        <v>19</v>
      </c>
      <c r="N2833">
        <v>21</v>
      </c>
      <c r="O2833">
        <v>5</v>
      </c>
      <c r="P2833">
        <v>0</v>
      </c>
      <c r="T2833" s="358" t="str">
        <f t="shared" si="135"/>
        <v>2009MaleAllEth22Poisoning by solids and liquids</v>
      </c>
      <c r="U2833" s="360">
        <v>2009</v>
      </c>
      <c r="V2833" s="360" t="s">
        <v>20</v>
      </c>
      <c r="W2833" s="360" t="s">
        <v>27</v>
      </c>
      <c r="X2833" s="360">
        <v>22</v>
      </c>
      <c r="Y2833" s="360" t="s">
        <v>47</v>
      </c>
      <c r="Z2833" s="360">
        <v>2</v>
      </c>
      <c r="AA2833" s="360">
        <v>95</v>
      </c>
      <c r="AB2833" s="360">
        <v>2.1</v>
      </c>
    </row>
    <row r="2834" spans="10:28" x14ac:dyDescent="0.2">
      <c r="J2834" s="358" t="str">
        <f t="shared" si="134"/>
        <v>2010FemaleNon-Maori221</v>
      </c>
      <c r="K2834" s="359">
        <v>2010</v>
      </c>
      <c r="L2834" t="s">
        <v>8</v>
      </c>
      <c r="M2834" t="s">
        <v>19</v>
      </c>
      <c r="N2834">
        <v>22</v>
      </c>
      <c r="O2834">
        <v>1</v>
      </c>
      <c r="P2834">
        <v>2</v>
      </c>
      <c r="Q2834">
        <v>4.0986871053997902</v>
      </c>
      <c r="R2834">
        <v>5.7</v>
      </c>
      <c r="T2834" s="358" t="str">
        <f t="shared" si="135"/>
        <v>2009MaleAllEth23Poisoning by solids and liquids</v>
      </c>
      <c r="U2834" s="360">
        <v>2009</v>
      </c>
      <c r="V2834" s="360" t="s">
        <v>20</v>
      </c>
      <c r="W2834" s="360" t="s">
        <v>27</v>
      </c>
      <c r="X2834" s="360">
        <v>23</v>
      </c>
      <c r="Y2834" s="360" t="s">
        <v>47</v>
      </c>
      <c r="Z2834" s="360">
        <v>11</v>
      </c>
      <c r="AA2834" s="360">
        <v>132</v>
      </c>
      <c r="AB2834" s="360">
        <v>8.3000000000000007</v>
      </c>
    </row>
    <row r="2835" spans="10:28" x14ac:dyDescent="0.2">
      <c r="J2835" s="358" t="str">
        <f t="shared" si="134"/>
        <v>2010FemaleNon-Maori222</v>
      </c>
      <c r="K2835" s="359">
        <v>2010</v>
      </c>
      <c r="L2835" t="s">
        <v>8</v>
      </c>
      <c r="M2835" t="s">
        <v>19</v>
      </c>
      <c r="N2835">
        <v>22</v>
      </c>
      <c r="O2835">
        <v>2</v>
      </c>
      <c r="P2835">
        <v>6</v>
      </c>
      <c r="Q2835">
        <v>12.6606142695953</v>
      </c>
      <c r="R2835">
        <v>10.1</v>
      </c>
      <c r="T2835" s="358" t="str">
        <f t="shared" si="135"/>
        <v>2009MaleAllEth24Poisoning by solids and liquids</v>
      </c>
      <c r="U2835" s="360">
        <v>2009</v>
      </c>
      <c r="V2835" s="360" t="s">
        <v>20</v>
      </c>
      <c r="W2835" s="360" t="s">
        <v>27</v>
      </c>
      <c r="X2835" s="360">
        <v>24</v>
      </c>
      <c r="Y2835" s="360" t="s">
        <v>47</v>
      </c>
      <c r="Z2835" s="360">
        <v>11</v>
      </c>
      <c r="AA2835" s="360">
        <v>120</v>
      </c>
      <c r="AB2835" s="360">
        <v>9.1999999999999993</v>
      </c>
    </row>
    <row r="2836" spans="10:28" x14ac:dyDescent="0.2">
      <c r="J2836" s="358" t="str">
        <f t="shared" si="134"/>
        <v>2010FemaleNon-Maori223</v>
      </c>
      <c r="K2836" s="359">
        <v>2010</v>
      </c>
      <c r="L2836" t="s">
        <v>8</v>
      </c>
      <c r="M2836" t="s">
        <v>19</v>
      </c>
      <c r="N2836">
        <v>22</v>
      </c>
      <c r="O2836">
        <v>3</v>
      </c>
      <c r="P2836">
        <v>4</v>
      </c>
      <c r="Q2836">
        <v>8.4489225080320001</v>
      </c>
      <c r="R2836">
        <v>8.3000000000000007</v>
      </c>
      <c r="T2836" s="358" t="str">
        <f t="shared" si="135"/>
        <v>2009MaleAllEth25Poisoning by solids and liquids</v>
      </c>
      <c r="U2836" s="360">
        <v>2009</v>
      </c>
      <c r="V2836" s="360" t="s">
        <v>20</v>
      </c>
      <c r="W2836" s="360" t="s">
        <v>27</v>
      </c>
      <c r="X2836" s="360">
        <v>25</v>
      </c>
      <c r="Y2836" s="360" t="s">
        <v>47</v>
      </c>
      <c r="Z2836" s="360">
        <v>8</v>
      </c>
      <c r="AA2836" s="360">
        <v>41</v>
      </c>
      <c r="AB2836" s="360">
        <v>19.5</v>
      </c>
    </row>
    <row r="2837" spans="10:28" x14ac:dyDescent="0.2">
      <c r="J2837" s="358" t="str">
        <f t="shared" si="134"/>
        <v>2010FemaleNon-Maori224</v>
      </c>
      <c r="K2837" s="359">
        <v>2010</v>
      </c>
      <c r="L2837" t="s">
        <v>8</v>
      </c>
      <c r="M2837" t="s">
        <v>19</v>
      </c>
      <c r="N2837">
        <v>22</v>
      </c>
      <c r="O2837">
        <v>4</v>
      </c>
      <c r="P2837">
        <v>1</v>
      </c>
      <c r="Q2837">
        <v>1.96546738319804</v>
      </c>
      <c r="R2837">
        <v>3.9</v>
      </c>
      <c r="T2837" s="358" t="str">
        <f t="shared" si="135"/>
        <v>2009MaleAllEth23Sharp object</v>
      </c>
      <c r="U2837" s="360">
        <v>2009</v>
      </c>
      <c r="V2837" s="360" t="s">
        <v>20</v>
      </c>
      <c r="W2837" s="360" t="s">
        <v>27</v>
      </c>
      <c r="X2837" s="360">
        <v>23</v>
      </c>
      <c r="Y2837" s="360" t="s">
        <v>48</v>
      </c>
      <c r="Z2837" s="360">
        <v>1</v>
      </c>
      <c r="AA2837" s="360">
        <v>132</v>
      </c>
      <c r="AB2837" s="360">
        <v>0.8</v>
      </c>
    </row>
    <row r="2838" spans="10:28" x14ac:dyDescent="0.2">
      <c r="J2838" s="358" t="str">
        <f t="shared" si="134"/>
        <v>2010FemaleNon-Maori225</v>
      </c>
      <c r="K2838" s="359">
        <v>2010</v>
      </c>
      <c r="L2838" t="s">
        <v>8</v>
      </c>
      <c r="M2838" t="s">
        <v>19</v>
      </c>
      <c r="N2838">
        <v>22</v>
      </c>
      <c r="O2838">
        <v>5</v>
      </c>
      <c r="P2838">
        <v>6</v>
      </c>
      <c r="Q2838">
        <v>12.2595268177647</v>
      </c>
      <c r="R2838">
        <v>9.8000000000000007</v>
      </c>
      <c r="T2838" s="358" t="str">
        <f t="shared" si="135"/>
        <v>2009MaleAllEth24Sharp object</v>
      </c>
      <c r="U2838" s="360">
        <v>2009</v>
      </c>
      <c r="V2838" s="360" t="s">
        <v>20</v>
      </c>
      <c r="W2838" s="360" t="s">
        <v>27</v>
      </c>
      <c r="X2838" s="360">
        <v>24</v>
      </c>
      <c r="Y2838" s="360" t="s">
        <v>48</v>
      </c>
      <c r="Z2838" s="360">
        <v>4</v>
      </c>
      <c r="AA2838" s="360">
        <v>120</v>
      </c>
      <c r="AB2838" s="360">
        <v>3.3</v>
      </c>
    </row>
    <row r="2839" spans="10:28" x14ac:dyDescent="0.2">
      <c r="J2839" s="358" t="str">
        <f t="shared" si="134"/>
        <v>2010FemaleNon-Maori231</v>
      </c>
      <c r="K2839" s="359">
        <v>2010</v>
      </c>
      <c r="L2839" t="s">
        <v>8</v>
      </c>
      <c r="M2839" t="s">
        <v>19</v>
      </c>
      <c r="N2839">
        <v>23</v>
      </c>
      <c r="O2839">
        <v>1</v>
      </c>
      <c r="P2839">
        <v>11</v>
      </c>
      <c r="Q2839">
        <v>9.9480191234153299</v>
      </c>
      <c r="R2839">
        <v>5.9</v>
      </c>
      <c r="T2839" s="358" t="str">
        <f t="shared" si="135"/>
        <v>2009MaleAllEth25Sharp object</v>
      </c>
      <c r="U2839" s="360">
        <v>2009</v>
      </c>
      <c r="V2839" s="360" t="s">
        <v>20</v>
      </c>
      <c r="W2839" s="360" t="s">
        <v>27</v>
      </c>
      <c r="X2839" s="360">
        <v>25</v>
      </c>
      <c r="Y2839" s="360" t="s">
        <v>48</v>
      </c>
      <c r="Z2839" s="360">
        <v>3</v>
      </c>
      <c r="AA2839" s="360">
        <v>41</v>
      </c>
      <c r="AB2839" s="360">
        <v>7.3</v>
      </c>
    </row>
    <row r="2840" spans="10:28" x14ac:dyDescent="0.2">
      <c r="J2840" s="358" t="str">
        <f t="shared" si="134"/>
        <v>2010FemaleNon-Maori232</v>
      </c>
      <c r="K2840" s="359">
        <v>2010</v>
      </c>
      <c r="L2840" t="s">
        <v>8</v>
      </c>
      <c r="M2840" t="s">
        <v>19</v>
      </c>
      <c r="N2840">
        <v>23</v>
      </c>
      <c r="O2840">
        <v>2</v>
      </c>
      <c r="P2840">
        <v>11</v>
      </c>
      <c r="Q2840">
        <v>9.6265974477123297</v>
      </c>
      <c r="R2840">
        <v>5.7</v>
      </c>
      <c r="T2840" s="358" t="str">
        <f t="shared" si="135"/>
        <v>2009MaleAllEth22Submersion (drowning)</v>
      </c>
      <c r="U2840" s="360">
        <v>2009</v>
      </c>
      <c r="V2840" s="360" t="s">
        <v>20</v>
      </c>
      <c r="W2840" s="360" t="s">
        <v>27</v>
      </c>
      <c r="X2840" s="360">
        <v>22</v>
      </c>
      <c r="Y2840" s="360" t="s">
        <v>49</v>
      </c>
      <c r="Z2840" s="360">
        <v>1</v>
      </c>
      <c r="AA2840" s="360">
        <v>95</v>
      </c>
      <c r="AB2840" s="360">
        <v>1.1000000000000001</v>
      </c>
    </row>
    <row r="2841" spans="10:28" x14ac:dyDescent="0.2">
      <c r="J2841" s="358" t="str">
        <f t="shared" si="134"/>
        <v>2010FemaleNon-Maori233</v>
      </c>
      <c r="K2841" s="359">
        <v>2010</v>
      </c>
      <c r="L2841" t="s">
        <v>8</v>
      </c>
      <c r="M2841" t="s">
        <v>19</v>
      </c>
      <c r="N2841">
        <v>23</v>
      </c>
      <c r="O2841">
        <v>3</v>
      </c>
      <c r="P2841">
        <v>7</v>
      </c>
      <c r="Q2841">
        <v>6.3548621386624298</v>
      </c>
      <c r="R2841">
        <v>4.7</v>
      </c>
      <c r="T2841" s="358" t="str">
        <f t="shared" si="135"/>
        <v>2009MaleAllEth23Submersion (drowning)</v>
      </c>
      <c r="U2841" s="360">
        <v>2009</v>
      </c>
      <c r="V2841" s="360" t="s">
        <v>20</v>
      </c>
      <c r="W2841" s="360" t="s">
        <v>27</v>
      </c>
      <c r="X2841" s="360">
        <v>23</v>
      </c>
      <c r="Y2841" s="360" t="s">
        <v>49</v>
      </c>
      <c r="Z2841" s="360">
        <v>1</v>
      </c>
      <c r="AA2841" s="360">
        <v>132</v>
      </c>
      <c r="AB2841" s="360">
        <v>0.8</v>
      </c>
    </row>
    <row r="2842" spans="10:28" x14ac:dyDescent="0.2">
      <c r="J2842" s="358" t="str">
        <f t="shared" si="134"/>
        <v>2010FemaleNon-Maori234</v>
      </c>
      <c r="K2842" s="359">
        <v>2010</v>
      </c>
      <c r="L2842" t="s">
        <v>8</v>
      </c>
      <c r="M2842" t="s">
        <v>19</v>
      </c>
      <c r="N2842">
        <v>23</v>
      </c>
      <c r="O2842">
        <v>4</v>
      </c>
      <c r="P2842">
        <v>9</v>
      </c>
      <c r="Q2842">
        <v>8.9688329617685696</v>
      </c>
      <c r="R2842">
        <v>5.9</v>
      </c>
      <c r="T2842" s="358" t="str">
        <f t="shared" si="135"/>
        <v>2009MaleAllEth25Submersion (drowning)</v>
      </c>
      <c r="U2842" s="360">
        <v>2009</v>
      </c>
      <c r="V2842" s="360" t="s">
        <v>20</v>
      </c>
      <c r="W2842" s="360" t="s">
        <v>27</v>
      </c>
      <c r="X2842" s="360">
        <v>25</v>
      </c>
      <c r="Y2842" s="360" t="s">
        <v>49</v>
      </c>
      <c r="Z2842" s="360">
        <v>1</v>
      </c>
      <c r="AA2842" s="360">
        <v>41</v>
      </c>
      <c r="AB2842" s="360">
        <v>2.4</v>
      </c>
    </row>
    <row r="2843" spans="10:28" x14ac:dyDescent="0.2">
      <c r="J2843" s="358" t="str">
        <f t="shared" si="134"/>
        <v>2010FemaleNon-Maori235</v>
      </c>
      <c r="K2843" s="359">
        <v>2010</v>
      </c>
      <c r="L2843" t="s">
        <v>8</v>
      </c>
      <c r="M2843" t="s">
        <v>19</v>
      </c>
      <c r="N2843">
        <v>23</v>
      </c>
      <c r="O2843">
        <v>5</v>
      </c>
      <c r="P2843">
        <v>5</v>
      </c>
      <c r="Q2843">
        <v>6.2359683331722504</v>
      </c>
      <c r="R2843">
        <v>5.5</v>
      </c>
      <c r="T2843" s="358" t="str">
        <f t="shared" si="135"/>
        <v>2009MaleMaori23Firearms and explosives</v>
      </c>
      <c r="U2843" s="360">
        <v>2009</v>
      </c>
      <c r="V2843" s="360" t="s">
        <v>20</v>
      </c>
      <c r="W2843" s="360" t="s">
        <v>18</v>
      </c>
      <c r="X2843" s="360">
        <v>23</v>
      </c>
      <c r="Y2843" s="360" t="s">
        <v>42</v>
      </c>
      <c r="Z2843" s="360">
        <v>2</v>
      </c>
      <c r="AA2843" s="360">
        <v>23</v>
      </c>
      <c r="AB2843" s="360">
        <v>8.6999999999999993</v>
      </c>
    </row>
    <row r="2844" spans="10:28" x14ac:dyDescent="0.2">
      <c r="J2844" s="358" t="str">
        <f t="shared" si="134"/>
        <v>2010FemaleNon-Maori241</v>
      </c>
      <c r="K2844" s="359">
        <v>2010</v>
      </c>
      <c r="L2844" t="s">
        <v>8</v>
      </c>
      <c r="M2844" t="s">
        <v>19</v>
      </c>
      <c r="N2844">
        <v>24</v>
      </c>
      <c r="O2844">
        <v>1</v>
      </c>
      <c r="P2844">
        <v>13</v>
      </c>
      <c r="Q2844">
        <v>9.86273147179487</v>
      </c>
      <c r="R2844">
        <v>5.4</v>
      </c>
      <c r="T2844" s="358" t="str">
        <f t="shared" si="135"/>
        <v>2009MaleMaori24Firearms and explosives</v>
      </c>
      <c r="U2844" s="360">
        <v>2009</v>
      </c>
      <c r="V2844" s="360" t="s">
        <v>20</v>
      </c>
      <c r="W2844" s="360" t="s">
        <v>18</v>
      </c>
      <c r="X2844" s="360">
        <v>24</v>
      </c>
      <c r="Y2844" s="360" t="s">
        <v>42</v>
      </c>
      <c r="Z2844" s="360">
        <v>1</v>
      </c>
      <c r="AA2844" s="360">
        <v>7</v>
      </c>
      <c r="AB2844" s="360">
        <v>14.3</v>
      </c>
    </row>
    <row r="2845" spans="10:28" x14ac:dyDescent="0.2">
      <c r="J2845" s="358" t="str">
        <f t="shared" si="134"/>
        <v>2010FemaleNon-Maori242</v>
      </c>
      <c r="K2845" s="359">
        <v>2010</v>
      </c>
      <c r="L2845" t="s">
        <v>8</v>
      </c>
      <c r="M2845" t="s">
        <v>19</v>
      </c>
      <c r="N2845">
        <v>24</v>
      </c>
      <c r="O2845">
        <v>2</v>
      </c>
      <c r="P2845">
        <v>7</v>
      </c>
      <c r="Q2845">
        <v>6.04833479056561</v>
      </c>
      <c r="R2845">
        <v>4.5</v>
      </c>
      <c r="T2845" s="358" t="str">
        <f t="shared" si="135"/>
        <v>2009MaleMaori21Hanging, strangulation and suffocation</v>
      </c>
      <c r="U2845" s="360">
        <v>2009</v>
      </c>
      <c r="V2845" s="360" t="s">
        <v>20</v>
      </c>
      <c r="W2845" s="360" t="s">
        <v>18</v>
      </c>
      <c r="X2845" s="360">
        <v>21</v>
      </c>
      <c r="Y2845" s="360" t="s">
        <v>43</v>
      </c>
      <c r="Z2845" s="360">
        <v>3</v>
      </c>
      <c r="AA2845" s="360">
        <v>3</v>
      </c>
      <c r="AB2845" s="360">
        <v>100</v>
      </c>
    </row>
    <row r="2846" spans="10:28" x14ac:dyDescent="0.2">
      <c r="J2846" s="358" t="str">
        <f t="shared" si="134"/>
        <v>2010FemaleNon-Maori243</v>
      </c>
      <c r="K2846" s="359">
        <v>2010</v>
      </c>
      <c r="L2846" t="s">
        <v>8</v>
      </c>
      <c r="M2846" t="s">
        <v>19</v>
      </c>
      <c r="N2846">
        <v>24</v>
      </c>
      <c r="O2846">
        <v>3</v>
      </c>
      <c r="P2846">
        <v>6</v>
      </c>
      <c r="Q2846">
        <v>5.8961117406685499</v>
      </c>
      <c r="R2846">
        <v>4.7</v>
      </c>
      <c r="T2846" s="358" t="str">
        <f t="shared" si="135"/>
        <v>2009MaleMaori22Hanging, strangulation and suffocation</v>
      </c>
      <c r="U2846" s="360">
        <v>2009</v>
      </c>
      <c r="V2846" s="360" t="s">
        <v>20</v>
      </c>
      <c r="W2846" s="360" t="s">
        <v>18</v>
      </c>
      <c r="X2846" s="360">
        <v>22</v>
      </c>
      <c r="Y2846" s="360" t="s">
        <v>43</v>
      </c>
      <c r="Z2846" s="360">
        <v>23</v>
      </c>
      <c r="AA2846" s="360">
        <v>24</v>
      </c>
      <c r="AB2846" s="360">
        <v>95.8</v>
      </c>
    </row>
    <row r="2847" spans="10:28" x14ac:dyDescent="0.2">
      <c r="J2847" s="358" t="str">
        <f t="shared" si="134"/>
        <v>2010FemaleNon-Maori244</v>
      </c>
      <c r="K2847" s="359">
        <v>2010</v>
      </c>
      <c r="L2847" t="s">
        <v>8</v>
      </c>
      <c r="M2847" t="s">
        <v>19</v>
      </c>
      <c r="N2847">
        <v>24</v>
      </c>
      <c r="O2847">
        <v>4</v>
      </c>
      <c r="P2847">
        <v>6</v>
      </c>
      <c r="Q2847">
        <v>6.9139723331563303</v>
      </c>
      <c r="R2847">
        <v>5.5</v>
      </c>
      <c r="T2847" s="358" t="str">
        <f t="shared" si="135"/>
        <v>2009MaleMaori23Hanging, strangulation and suffocation</v>
      </c>
      <c r="U2847" s="360">
        <v>2009</v>
      </c>
      <c r="V2847" s="360" t="s">
        <v>20</v>
      </c>
      <c r="W2847" s="360" t="s">
        <v>18</v>
      </c>
      <c r="X2847" s="360">
        <v>23</v>
      </c>
      <c r="Y2847" s="360" t="s">
        <v>43</v>
      </c>
      <c r="Z2847" s="360">
        <v>16</v>
      </c>
      <c r="AA2847" s="360">
        <v>23</v>
      </c>
      <c r="AB2847" s="360">
        <v>69.599999999999994</v>
      </c>
    </row>
    <row r="2848" spans="10:28" x14ac:dyDescent="0.2">
      <c r="J2848" s="358" t="str">
        <f t="shared" si="134"/>
        <v>2010FemaleNon-Maori245</v>
      </c>
      <c r="K2848" s="359">
        <v>2010</v>
      </c>
      <c r="L2848" t="s">
        <v>8</v>
      </c>
      <c r="M2848" t="s">
        <v>19</v>
      </c>
      <c r="N2848">
        <v>24</v>
      </c>
      <c r="O2848">
        <v>5</v>
      </c>
      <c r="P2848">
        <v>7</v>
      </c>
      <c r="Q2848">
        <v>10.5832991578798</v>
      </c>
      <c r="R2848">
        <v>7.8</v>
      </c>
      <c r="T2848" s="358" t="str">
        <f t="shared" si="135"/>
        <v>2009MaleMaori24Hanging, strangulation and suffocation</v>
      </c>
      <c r="U2848" s="360">
        <v>2009</v>
      </c>
      <c r="V2848" s="360" t="s">
        <v>20</v>
      </c>
      <c r="W2848" s="360" t="s">
        <v>18</v>
      </c>
      <c r="X2848" s="360">
        <v>24</v>
      </c>
      <c r="Y2848" s="360" t="s">
        <v>43</v>
      </c>
      <c r="Z2848" s="360">
        <v>5</v>
      </c>
      <c r="AA2848" s="360">
        <v>7</v>
      </c>
      <c r="AB2848" s="360">
        <v>71.400000000000006</v>
      </c>
    </row>
    <row r="2849" spans="10:28" x14ac:dyDescent="0.2">
      <c r="J2849" s="358" t="str">
        <f t="shared" si="134"/>
        <v>2010FemaleNon-Maori251</v>
      </c>
      <c r="K2849" s="359">
        <v>2010</v>
      </c>
      <c r="L2849" t="s">
        <v>8</v>
      </c>
      <c r="M2849" t="s">
        <v>19</v>
      </c>
      <c r="N2849">
        <v>25</v>
      </c>
      <c r="O2849">
        <v>1</v>
      </c>
      <c r="P2849">
        <v>3</v>
      </c>
      <c r="Q2849">
        <v>5.0161735062109498</v>
      </c>
      <c r="R2849">
        <v>5.7</v>
      </c>
      <c r="T2849" s="358" t="str">
        <f t="shared" si="135"/>
        <v>2009MaleMaori25Hanging, strangulation and suffocation</v>
      </c>
      <c r="U2849" s="360">
        <v>2009</v>
      </c>
      <c r="V2849" s="360" t="s">
        <v>20</v>
      </c>
      <c r="W2849" s="360" t="s">
        <v>18</v>
      </c>
      <c r="X2849" s="360">
        <v>25</v>
      </c>
      <c r="Y2849" s="360" t="s">
        <v>43</v>
      </c>
      <c r="Z2849" s="360">
        <v>1</v>
      </c>
      <c r="AA2849" s="360">
        <v>1</v>
      </c>
      <c r="AB2849" s="360">
        <v>100</v>
      </c>
    </row>
    <row r="2850" spans="10:28" x14ac:dyDescent="0.2">
      <c r="J2850" s="358" t="str">
        <f t="shared" si="134"/>
        <v>2010FemaleNon-Maori252</v>
      </c>
      <c r="K2850" s="359">
        <v>2010</v>
      </c>
      <c r="L2850" t="s">
        <v>8</v>
      </c>
      <c r="M2850" t="s">
        <v>19</v>
      </c>
      <c r="N2850">
        <v>25</v>
      </c>
      <c r="O2850">
        <v>2</v>
      </c>
      <c r="P2850">
        <v>1</v>
      </c>
      <c r="Q2850">
        <v>1.63250413706389</v>
      </c>
      <c r="R2850">
        <v>3.2</v>
      </c>
      <c r="T2850" s="358" t="str">
        <f t="shared" si="135"/>
        <v>2009MaleMaori22Jumping from a high place</v>
      </c>
      <c r="U2850" s="360">
        <v>2009</v>
      </c>
      <c r="V2850" s="360" t="s">
        <v>20</v>
      </c>
      <c r="W2850" s="360" t="s">
        <v>18</v>
      </c>
      <c r="X2850" s="360">
        <v>22</v>
      </c>
      <c r="Y2850" s="360" t="s">
        <v>44</v>
      </c>
      <c r="Z2850" s="360">
        <v>1</v>
      </c>
      <c r="AA2850" s="360">
        <v>24</v>
      </c>
      <c r="AB2850" s="360">
        <v>4.2</v>
      </c>
    </row>
    <row r="2851" spans="10:28" x14ac:dyDescent="0.2">
      <c r="J2851" s="358" t="str">
        <f t="shared" si="134"/>
        <v>2010FemaleNon-Maori253</v>
      </c>
      <c r="K2851" s="359">
        <v>2010</v>
      </c>
      <c r="L2851" t="s">
        <v>8</v>
      </c>
      <c r="M2851" t="s">
        <v>19</v>
      </c>
      <c r="N2851">
        <v>25</v>
      </c>
      <c r="O2851">
        <v>3</v>
      </c>
      <c r="P2851">
        <v>4</v>
      </c>
      <c r="Q2851">
        <v>6.5363819008561403</v>
      </c>
      <c r="R2851">
        <v>6.4</v>
      </c>
      <c r="T2851" s="358" t="str">
        <f t="shared" si="135"/>
        <v>2009MaleMaori23Jumping from a high place</v>
      </c>
      <c r="U2851" s="360">
        <v>2009</v>
      </c>
      <c r="V2851" s="360" t="s">
        <v>20</v>
      </c>
      <c r="W2851" s="360" t="s">
        <v>18</v>
      </c>
      <c r="X2851" s="360">
        <v>23</v>
      </c>
      <c r="Y2851" s="360" t="s">
        <v>44</v>
      </c>
      <c r="Z2851" s="360">
        <v>2</v>
      </c>
      <c r="AA2851" s="360">
        <v>23</v>
      </c>
      <c r="AB2851" s="360">
        <v>8.6999999999999993</v>
      </c>
    </row>
    <row r="2852" spans="10:28" x14ac:dyDescent="0.2">
      <c r="J2852" s="358" t="str">
        <f t="shared" si="134"/>
        <v>2010FemaleNon-Maori254</v>
      </c>
      <c r="K2852" s="359">
        <v>2010</v>
      </c>
      <c r="L2852" t="s">
        <v>8</v>
      </c>
      <c r="M2852" t="s">
        <v>19</v>
      </c>
      <c r="N2852">
        <v>25</v>
      </c>
      <c r="O2852">
        <v>4</v>
      </c>
      <c r="P2852">
        <v>5</v>
      </c>
      <c r="Q2852">
        <v>7.9786906579008203</v>
      </c>
      <c r="R2852">
        <v>7</v>
      </c>
      <c r="T2852" s="358" t="str">
        <f t="shared" si="135"/>
        <v>2009MaleMaori23Poisoning by gases and vapours</v>
      </c>
      <c r="U2852" s="360">
        <v>2009</v>
      </c>
      <c r="V2852" s="360" t="s">
        <v>20</v>
      </c>
      <c r="W2852" s="360" t="s">
        <v>18</v>
      </c>
      <c r="X2852" s="360">
        <v>23</v>
      </c>
      <c r="Y2852" s="360" t="s">
        <v>46</v>
      </c>
      <c r="Z2852" s="360">
        <v>2</v>
      </c>
      <c r="AA2852" s="360">
        <v>23</v>
      </c>
      <c r="AB2852" s="360">
        <v>8.6999999999999993</v>
      </c>
    </row>
    <row r="2853" spans="10:28" x14ac:dyDescent="0.2">
      <c r="J2853" s="358" t="str">
        <f t="shared" si="134"/>
        <v>2010FemaleNon-Maori255</v>
      </c>
      <c r="K2853" s="359">
        <v>2010</v>
      </c>
      <c r="L2853" t="s">
        <v>8</v>
      </c>
      <c r="M2853" t="s">
        <v>19</v>
      </c>
      <c r="N2853">
        <v>25</v>
      </c>
      <c r="O2853">
        <v>5</v>
      </c>
      <c r="P2853">
        <v>1</v>
      </c>
      <c r="Q2853">
        <v>2.2126598192782301</v>
      </c>
      <c r="R2853">
        <v>4.3</v>
      </c>
      <c r="T2853" s="358" t="str">
        <f t="shared" si="135"/>
        <v>2009MaleMaori23Poisoning by solids and liquids</v>
      </c>
      <c r="U2853" s="360">
        <v>2009</v>
      </c>
      <c r="V2853" s="360" t="s">
        <v>20</v>
      </c>
      <c r="W2853" s="360" t="s">
        <v>18</v>
      </c>
      <c r="X2853" s="360">
        <v>23</v>
      </c>
      <c r="Y2853" s="360" t="s">
        <v>47</v>
      </c>
      <c r="Z2853" s="360">
        <v>1</v>
      </c>
      <c r="AA2853" s="360">
        <v>23</v>
      </c>
      <c r="AB2853" s="360">
        <v>4.3</v>
      </c>
    </row>
    <row r="2854" spans="10:28" x14ac:dyDescent="0.2">
      <c r="J2854" s="358" t="str">
        <f t="shared" si="134"/>
        <v>2010MaleAllEth211</v>
      </c>
      <c r="K2854" s="359">
        <v>2010</v>
      </c>
      <c r="L2854" t="s">
        <v>20</v>
      </c>
      <c r="M2854" t="s">
        <v>27</v>
      </c>
      <c r="N2854">
        <v>21</v>
      </c>
      <c r="O2854">
        <v>1</v>
      </c>
      <c r="P2854">
        <v>0</v>
      </c>
      <c r="T2854" s="358" t="str">
        <f t="shared" si="135"/>
        <v>2009MaleMaori24Poisoning by solids and liquids</v>
      </c>
      <c r="U2854" s="360">
        <v>2009</v>
      </c>
      <c r="V2854" s="360" t="s">
        <v>20</v>
      </c>
      <c r="W2854" s="360" t="s">
        <v>18</v>
      </c>
      <c r="X2854" s="360">
        <v>24</v>
      </c>
      <c r="Y2854" s="360" t="s">
        <v>47</v>
      </c>
      <c r="Z2854" s="360">
        <v>1</v>
      </c>
      <c r="AA2854" s="360">
        <v>7</v>
      </c>
      <c r="AB2854" s="360">
        <v>14.3</v>
      </c>
    </row>
    <row r="2855" spans="10:28" x14ac:dyDescent="0.2">
      <c r="J2855" s="358" t="str">
        <f t="shared" si="134"/>
        <v>2010MaleAllEth212</v>
      </c>
      <c r="K2855" s="359">
        <v>2010</v>
      </c>
      <c r="L2855" t="s">
        <v>20</v>
      </c>
      <c r="M2855" t="s">
        <v>27</v>
      </c>
      <c r="N2855">
        <v>21</v>
      </c>
      <c r="O2855">
        <v>2</v>
      </c>
      <c r="P2855">
        <v>0</v>
      </c>
      <c r="T2855" s="358" t="str">
        <f t="shared" si="135"/>
        <v>2009MaleNon-Maori21Firearms and explosives</v>
      </c>
      <c r="U2855" s="360">
        <v>2009</v>
      </c>
      <c r="V2855" s="360" t="s">
        <v>20</v>
      </c>
      <c r="W2855" s="360" t="s">
        <v>19</v>
      </c>
      <c r="X2855" s="360">
        <v>21</v>
      </c>
      <c r="Y2855" s="360" t="s">
        <v>42</v>
      </c>
      <c r="Z2855" s="360">
        <v>1</v>
      </c>
      <c r="AA2855" s="360">
        <v>3</v>
      </c>
      <c r="AB2855" s="360">
        <v>33.299999999999997</v>
      </c>
    </row>
    <row r="2856" spans="10:28" x14ac:dyDescent="0.2">
      <c r="J2856" s="358" t="str">
        <f t="shared" si="134"/>
        <v>2010MaleAllEth213</v>
      </c>
      <c r="K2856" s="359">
        <v>2010</v>
      </c>
      <c r="L2856" t="s">
        <v>20</v>
      </c>
      <c r="M2856" t="s">
        <v>27</v>
      </c>
      <c r="N2856">
        <v>21</v>
      </c>
      <c r="O2856">
        <v>3</v>
      </c>
      <c r="P2856">
        <v>1</v>
      </c>
      <c r="T2856" s="358" t="str">
        <f t="shared" si="135"/>
        <v>2009MaleNon-Maori22Firearms and explosives</v>
      </c>
      <c r="U2856" s="360">
        <v>2009</v>
      </c>
      <c r="V2856" s="360" t="s">
        <v>20</v>
      </c>
      <c r="W2856" s="360" t="s">
        <v>19</v>
      </c>
      <c r="X2856" s="360">
        <v>22</v>
      </c>
      <c r="Y2856" s="360" t="s">
        <v>42</v>
      </c>
      <c r="Z2856" s="360">
        <v>9</v>
      </c>
      <c r="AA2856" s="360">
        <v>71</v>
      </c>
      <c r="AB2856" s="360">
        <v>12.7</v>
      </c>
    </row>
    <row r="2857" spans="10:28" x14ac:dyDescent="0.2">
      <c r="J2857" s="358" t="str">
        <f t="shared" si="134"/>
        <v>2010MaleAllEth214</v>
      </c>
      <c r="K2857" s="359">
        <v>2010</v>
      </c>
      <c r="L2857" t="s">
        <v>20</v>
      </c>
      <c r="M2857" t="s">
        <v>27</v>
      </c>
      <c r="N2857">
        <v>21</v>
      </c>
      <c r="O2857">
        <v>4</v>
      </c>
      <c r="P2857">
        <v>0</v>
      </c>
      <c r="T2857" s="358" t="str">
        <f t="shared" si="135"/>
        <v>2009MaleNon-Maori23Firearms and explosives</v>
      </c>
      <c r="U2857" s="360">
        <v>2009</v>
      </c>
      <c r="V2857" s="360" t="s">
        <v>20</v>
      </c>
      <c r="W2857" s="360" t="s">
        <v>19</v>
      </c>
      <c r="X2857" s="360">
        <v>23</v>
      </c>
      <c r="Y2857" s="360" t="s">
        <v>42</v>
      </c>
      <c r="Z2857" s="360">
        <v>11</v>
      </c>
      <c r="AA2857" s="360">
        <v>109</v>
      </c>
      <c r="AB2857" s="360">
        <v>10.1</v>
      </c>
    </row>
    <row r="2858" spans="10:28" x14ac:dyDescent="0.2">
      <c r="J2858" s="358" t="str">
        <f t="shared" si="134"/>
        <v>2010MaleAllEth215</v>
      </c>
      <c r="K2858" s="359">
        <v>2010</v>
      </c>
      <c r="L2858" t="s">
        <v>20</v>
      </c>
      <c r="M2858" t="s">
        <v>27</v>
      </c>
      <c r="N2858">
        <v>21</v>
      </c>
      <c r="O2858">
        <v>5</v>
      </c>
      <c r="P2858">
        <v>2</v>
      </c>
      <c r="T2858" s="358" t="str">
        <f t="shared" si="135"/>
        <v>2009MaleNon-Maori24Firearms and explosives</v>
      </c>
      <c r="U2858" s="360">
        <v>2009</v>
      </c>
      <c r="V2858" s="360" t="s">
        <v>20</v>
      </c>
      <c r="W2858" s="360" t="s">
        <v>19</v>
      </c>
      <c r="X2858" s="360">
        <v>24</v>
      </c>
      <c r="Y2858" s="360" t="s">
        <v>42</v>
      </c>
      <c r="Z2858" s="360">
        <v>22</v>
      </c>
      <c r="AA2858" s="360">
        <v>113</v>
      </c>
      <c r="AB2858" s="360">
        <v>19.5</v>
      </c>
    </row>
    <row r="2859" spans="10:28" x14ac:dyDescent="0.2">
      <c r="J2859" s="358" t="str">
        <f t="shared" si="134"/>
        <v>2010MaleAllEth221</v>
      </c>
      <c r="K2859" s="359">
        <v>2010</v>
      </c>
      <c r="L2859" t="s">
        <v>20</v>
      </c>
      <c r="M2859" t="s">
        <v>27</v>
      </c>
      <c r="N2859">
        <v>22</v>
      </c>
      <c r="O2859">
        <v>1</v>
      </c>
      <c r="P2859">
        <v>9</v>
      </c>
      <c r="Q2859">
        <v>16.013724186356001</v>
      </c>
      <c r="R2859">
        <v>10.5</v>
      </c>
      <c r="T2859" s="358" t="str">
        <f t="shared" si="135"/>
        <v>2009MaleNon-Maori25Firearms and explosives</v>
      </c>
      <c r="U2859" s="360">
        <v>2009</v>
      </c>
      <c r="V2859" s="360" t="s">
        <v>20</v>
      </c>
      <c r="W2859" s="360" t="s">
        <v>19</v>
      </c>
      <c r="X2859" s="360">
        <v>25</v>
      </c>
      <c r="Y2859" s="360" t="s">
        <v>42</v>
      </c>
      <c r="Z2859" s="360">
        <v>7</v>
      </c>
      <c r="AA2859" s="360">
        <v>40</v>
      </c>
      <c r="AB2859" s="360">
        <v>17.5</v>
      </c>
    </row>
    <row r="2860" spans="10:28" x14ac:dyDescent="0.2">
      <c r="J2860" s="358" t="str">
        <f t="shared" si="134"/>
        <v>2010MaleAllEth222</v>
      </c>
      <c r="K2860" s="359">
        <v>2010</v>
      </c>
      <c r="L2860" t="s">
        <v>20</v>
      </c>
      <c r="M2860" t="s">
        <v>27</v>
      </c>
      <c r="N2860">
        <v>22</v>
      </c>
      <c r="O2860">
        <v>2</v>
      </c>
      <c r="P2860">
        <v>6</v>
      </c>
      <c r="Q2860">
        <v>10.5868064325127</v>
      </c>
      <c r="R2860">
        <v>8.5</v>
      </c>
      <c r="T2860" s="358" t="str">
        <f t="shared" si="135"/>
        <v>2009MaleNon-Maori21Hanging, strangulation and suffocation</v>
      </c>
      <c r="U2860" s="360">
        <v>2009</v>
      </c>
      <c r="V2860" s="360" t="s">
        <v>20</v>
      </c>
      <c r="W2860" s="360" t="s">
        <v>19</v>
      </c>
      <c r="X2860" s="360">
        <v>21</v>
      </c>
      <c r="Y2860" s="360" t="s">
        <v>43</v>
      </c>
      <c r="Z2860" s="360">
        <v>2</v>
      </c>
      <c r="AA2860" s="360">
        <v>3</v>
      </c>
      <c r="AB2860" s="360">
        <v>66.7</v>
      </c>
    </row>
    <row r="2861" spans="10:28" x14ac:dyDescent="0.2">
      <c r="J2861" s="358" t="str">
        <f t="shared" si="134"/>
        <v>2010MaleAllEth223</v>
      </c>
      <c r="K2861" s="359">
        <v>2010</v>
      </c>
      <c r="L2861" t="s">
        <v>20</v>
      </c>
      <c r="M2861" t="s">
        <v>27</v>
      </c>
      <c r="N2861">
        <v>22</v>
      </c>
      <c r="O2861">
        <v>3</v>
      </c>
      <c r="P2861">
        <v>14</v>
      </c>
      <c r="Q2861">
        <v>23.496802160947901</v>
      </c>
      <c r="R2861">
        <v>12.3</v>
      </c>
      <c r="T2861" s="358" t="str">
        <f t="shared" si="135"/>
        <v>2009MaleNon-Maori22Hanging, strangulation and suffocation</v>
      </c>
      <c r="U2861" s="360">
        <v>2009</v>
      </c>
      <c r="V2861" s="360" t="s">
        <v>20</v>
      </c>
      <c r="W2861" s="360" t="s">
        <v>19</v>
      </c>
      <c r="X2861" s="360">
        <v>22</v>
      </c>
      <c r="Y2861" s="360" t="s">
        <v>43</v>
      </c>
      <c r="Z2861" s="360">
        <v>52</v>
      </c>
      <c r="AA2861" s="360">
        <v>71</v>
      </c>
      <c r="AB2861" s="360">
        <v>73.2</v>
      </c>
    </row>
    <row r="2862" spans="10:28" x14ac:dyDescent="0.2">
      <c r="J2862" s="358" t="str">
        <f t="shared" si="134"/>
        <v>2010MaleAllEth224</v>
      </c>
      <c r="K2862" s="359">
        <v>2010</v>
      </c>
      <c r="L2862" t="s">
        <v>20</v>
      </c>
      <c r="M2862" t="s">
        <v>27</v>
      </c>
      <c r="N2862">
        <v>22</v>
      </c>
      <c r="O2862">
        <v>4</v>
      </c>
      <c r="P2862">
        <v>21</v>
      </c>
      <c r="Q2862">
        <v>32.027255128734303</v>
      </c>
      <c r="R2862">
        <v>13.7</v>
      </c>
      <c r="T2862" s="358" t="str">
        <f t="shared" si="135"/>
        <v>2009MaleNon-Maori23Hanging, strangulation and suffocation</v>
      </c>
      <c r="U2862" s="360">
        <v>2009</v>
      </c>
      <c r="V2862" s="360" t="s">
        <v>20</v>
      </c>
      <c r="W2862" s="360" t="s">
        <v>19</v>
      </c>
      <c r="X2862" s="360">
        <v>23</v>
      </c>
      <c r="Y2862" s="360" t="s">
        <v>43</v>
      </c>
      <c r="Z2862" s="360">
        <v>66</v>
      </c>
      <c r="AA2862" s="360">
        <v>109</v>
      </c>
      <c r="AB2862" s="360">
        <v>60.6</v>
      </c>
    </row>
    <row r="2863" spans="10:28" x14ac:dyDescent="0.2">
      <c r="J2863" s="358" t="str">
        <f t="shared" si="134"/>
        <v>2010MaleAllEth225</v>
      </c>
      <c r="K2863" s="359">
        <v>2010</v>
      </c>
      <c r="L2863" t="s">
        <v>20</v>
      </c>
      <c r="M2863" t="s">
        <v>27</v>
      </c>
      <c r="N2863">
        <v>22</v>
      </c>
      <c r="O2863">
        <v>5</v>
      </c>
      <c r="P2863">
        <v>25</v>
      </c>
      <c r="Q2863">
        <v>34.123772183326302</v>
      </c>
      <c r="R2863">
        <v>13.4</v>
      </c>
      <c r="T2863" s="358" t="str">
        <f t="shared" si="135"/>
        <v>2009MaleNon-Maori24Hanging, strangulation and suffocation</v>
      </c>
      <c r="U2863" s="360">
        <v>2009</v>
      </c>
      <c r="V2863" s="360" t="s">
        <v>20</v>
      </c>
      <c r="W2863" s="360" t="s">
        <v>19</v>
      </c>
      <c r="X2863" s="360">
        <v>24</v>
      </c>
      <c r="Y2863" s="360" t="s">
        <v>43</v>
      </c>
      <c r="Z2863" s="360">
        <v>56</v>
      </c>
      <c r="AA2863" s="360">
        <v>113</v>
      </c>
      <c r="AB2863" s="360">
        <v>49.6</v>
      </c>
    </row>
    <row r="2864" spans="10:28" x14ac:dyDescent="0.2">
      <c r="J2864" s="358" t="str">
        <f t="shared" si="134"/>
        <v>2010MaleAllEth231</v>
      </c>
      <c r="K2864" s="359">
        <v>2010</v>
      </c>
      <c r="L2864" t="s">
        <v>20</v>
      </c>
      <c r="M2864" t="s">
        <v>27</v>
      </c>
      <c r="N2864">
        <v>23</v>
      </c>
      <c r="O2864">
        <v>1</v>
      </c>
      <c r="P2864">
        <v>24</v>
      </c>
      <c r="Q2864">
        <v>22.941583647222998</v>
      </c>
      <c r="R2864">
        <v>9.1999999999999993</v>
      </c>
      <c r="T2864" s="358" t="str">
        <f t="shared" si="135"/>
        <v>2009MaleNon-Maori25Hanging, strangulation and suffocation</v>
      </c>
      <c r="U2864" s="360">
        <v>2009</v>
      </c>
      <c r="V2864" s="360" t="s">
        <v>20</v>
      </c>
      <c r="W2864" s="360" t="s">
        <v>19</v>
      </c>
      <c r="X2864" s="360">
        <v>25</v>
      </c>
      <c r="Y2864" s="360" t="s">
        <v>43</v>
      </c>
      <c r="Z2864" s="360">
        <v>14</v>
      </c>
      <c r="AA2864" s="360">
        <v>40</v>
      </c>
      <c r="AB2864" s="360">
        <v>35</v>
      </c>
    </row>
    <row r="2865" spans="10:28" x14ac:dyDescent="0.2">
      <c r="J2865" s="358" t="str">
        <f t="shared" si="134"/>
        <v>2010MaleAllEth232</v>
      </c>
      <c r="K2865" s="359">
        <v>2010</v>
      </c>
      <c r="L2865" t="s">
        <v>20</v>
      </c>
      <c r="M2865" t="s">
        <v>27</v>
      </c>
      <c r="N2865">
        <v>23</v>
      </c>
      <c r="O2865">
        <v>2</v>
      </c>
      <c r="P2865">
        <v>21</v>
      </c>
      <c r="Q2865">
        <v>18.422314877843199</v>
      </c>
      <c r="R2865">
        <v>7.9</v>
      </c>
      <c r="T2865" s="358" t="str">
        <f t="shared" si="135"/>
        <v>2009MaleNon-Maori22Jumping from a high place</v>
      </c>
      <c r="U2865" s="360">
        <v>2009</v>
      </c>
      <c r="V2865" s="360" t="s">
        <v>20</v>
      </c>
      <c r="W2865" s="360" t="s">
        <v>19</v>
      </c>
      <c r="X2865" s="360">
        <v>22</v>
      </c>
      <c r="Y2865" s="360" t="s">
        <v>44</v>
      </c>
      <c r="Z2865" s="360">
        <v>3</v>
      </c>
      <c r="AA2865" s="360">
        <v>71</v>
      </c>
      <c r="AB2865" s="360">
        <v>4.2</v>
      </c>
    </row>
    <row r="2866" spans="10:28" x14ac:dyDescent="0.2">
      <c r="J2866" s="358" t="str">
        <f t="shared" si="134"/>
        <v>2010MaleAllEth233</v>
      </c>
      <c r="K2866" s="359">
        <v>2010</v>
      </c>
      <c r="L2866" t="s">
        <v>20</v>
      </c>
      <c r="M2866" t="s">
        <v>27</v>
      </c>
      <c r="N2866">
        <v>23</v>
      </c>
      <c r="O2866">
        <v>3</v>
      </c>
      <c r="P2866">
        <v>28</v>
      </c>
      <c r="Q2866">
        <v>23.831227769452902</v>
      </c>
      <c r="R2866">
        <v>8.8000000000000007</v>
      </c>
      <c r="T2866" s="358" t="str">
        <f t="shared" si="135"/>
        <v>2009MaleNon-Maori23Jumping from a high place</v>
      </c>
      <c r="U2866" s="360">
        <v>2009</v>
      </c>
      <c r="V2866" s="360" t="s">
        <v>20</v>
      </c>
      <c r="W2866" s="360" t="s">
        <v>19</v>
      </c>
      <c r="X2866" s="360">
        <v>23</v>
      </c>
      <c r="Y2866" s="360" t="s">
        <v>44</v>
      </c>
      <c r="Z2866" s="360">
        <v>2</v>
      </c>
      <c r="AA2866" s="360">
        <v>109</v>
      </c>
      <c r="AB2866" s="360">
        <v>1.8</v>
      </c>
    </row>
    <row r="2867" spans="10:28" x14ac:dyDescent="0.2">
      <c r="J2867" s="358" t="str">
        <f t="shared" si="134"/>
        <v>2010MaleAllEth234</v>
      </c>
      <c r="K2867" s="359">
        <v>2010</v>
      </c>
      <c r="L2867" t="s">
        <v>20</v>
      </c>
      <c r="M2867" t="s">
        <v>27</v>
      </c>
      <c r="N2867">
        <v>23</v>
      </c>
      <c r="O2867">
        <v>4</v>
      </c>
      <c r="P2867">
        <v>30</v>
      </c>
      <c r="Q2867">
        <v>26.0087488163797</v>
      </c>
      <c r="R2867">
        <v>9.3000000000000007</v>
      </c>
      <c r="T2867" s="358" t="str">
        <f t="shared" si="135"/>
        <v>2009MaleNon-Maori24Jumping from a high place</v>
      </c>
      <c r="U2867" s="360">
        <v>2009</v>
      </c>
      <c r="V2867" s="360" t="s">
        <v>20</v>
      </c>
      <c r="W2867" s="360" t="s">
        <v>19</v>
      </c>
      <c r="X2867" s="360">
        <v>24</v>
      </c>
      <c r="Y2867" s="360" t="s">
        <v>44</v>
      </c>
      <c r="Z2867" s="360">
        <v>4</v>
      </c>
      <c r="AA2867" s="360">
        <v>113</v>
      </c>
      <c r="AB2867" s="360">
        <v>3.5</v>
      </c>
    </row>
    <row r="2868" spans="10:28" x14ac:dyDescent="0.2">
      <c r="J2868" s="358" t="str">
        <f t="shared" si="134"/>
        <v>2010MaleAllEth235</v>
      </c>
      <c r="K2868" s="359">
        <v>2010</v>
      </c>
      <c r="L2868" t="s">
        <v>20</v>
      </c>
      <c r="M2868" t="s">
        <v>27</v>
      </c>
      <c r="N2868">
        <v>23</v>
      </c>
      <c r="O2868">
        <v>5</v>
      </c>
      <c r="P2868">
        <v>37</v>
      </c>
      <c r="Q2868">
        <v>34.973169451709097</v>
      </c>
      <c r="R2868">
        <v>11.3</v>
      </c>
      <c r="T2868" s="358" t="str">
        <f t="shared" si="135"/>
        <v>2009MaleNon-Maori23Other</v>
      </c>
      <c r="U2868" s="360">
        <v>2009</v>
      </c>
      <c r="V2868" s="360" t="s">
        <v>20</v>
      </c>
      <c r="W2868" s="360" t="s">
        <v>19</v>
      </c>
      <c r="X2868" s="360">
        <v>23</v>
      </c>
      <c r="Y2868" s="360" t="s">
        <v>45</v>
      </c>
      <c r="Z2868" s="360">
        <v>4</v>
      </c>
      <c r="AA2868" s="360">
        <v>109</v>
      </c>
      <c r="AB2868" s="360">
        <v>3.7</v>
      </c>
    </row>
    <row r="2869" spans="10:28" x14ac:dyDescent="0.2">
      <c r="J2869" s="358" t="str">
        <f t="shared" si="134"/>
        <v>2010MaleAllEth241</v>
      </c>
      <c r="K2869" s="359">
        <v>2010</v>
      </c>
      <c r="L2869" t="s">
        <v>20</v>
      </c>
      <c r="M2869" t="s">
        <v>27</v>
      </c>
      <c r="N2869">
        <v>24</v>
      </c>
      <c r="O2869">
        <v>1</v>
      </c>
      <c r="P2869">
        <v>19</v>
      </c>
      <c r="Q2869">
        <v>14.4122992159208</v>
      </c>
      <c r="R2869">
        <v>6.5</v>
      </c>
      <c r="T2869" s="358" t="str">
        <f t="shared" si="135"/>
        <v>2009MaleNon-Maori24Other</v>
      </c>
      <c r="U2869" s="360">
        <v>2009</v>
      </c>
      <c r="V2869" s="360" t="s">
        <v>20</v>
      </c>
      <c r="W2869" s="360" t="s">
        <v>19</v>
      </c>
      <c r="X2869" s="360">
        <v>24</v>
      </c>
      <c r="Y2869" s="360" t="s">
        <v>45</v>
      </c>
      <c r="Z2869" s="360">
        <v>2</v>
      </c>
      <c r="AA2869" s="360">
        <v>113</v>
      </c>
      <c r="AB2869" s="360">
        <v>1.8</v>
      </c>
    </row>
    <row r="2870" spans="10:28" x14ac:dyDescent="0.2">
      <c r="J2870" s="358" t="str">
        <f t="shared" si="134"/>
        <v>2010MaleAllEth242</v>
      </c>
      <c r="K2870" s="359">
        <v>2010</v>
      </c>
      <c r="L2870" t="s">
        <v>20</v>
      </c>
      <c r="M2870" t="s">
        <v>27</v>
      </c>
      <c r="N2870">
        <v>24</v>
      </c>
      <c r="O2870">
        <v>2</v>
      </c>
      <c r="P2870">
        <v>24</v>
      </c>
      <c r="Q2870">
        <v>20.525742317349099</v>
      </c>
      <c r="R2870">
        <v>8.1999999999999993</v>
      </c>
      <c r="T2870" s="358" t="str">
        <f t="shared" si="135"/>
        <v>2009MaleNon-Maori25Other</v>
      </c>
      <c r="U2870" s="360">
        <v>2009</v>
      </c>
      <c r="V2870" s="360" t="s">
        <v>20</v>
      </c>
      <c r="W2870" s="360" t="s">
        <v>19</v>
      </c>
      <c r="X2870" s="360">
        <v>25</v>
      </c>
      <c r="Y2870" s="360" t="s">
        <v>45</v>
      </c>
      <c r="Z2870" s="360">
        <v>3</v>
      </c>
      <c r="AA2870" s="360">
        <v>40</v>
      </c>
      <c r="AB2870" s="360">
        <v>7.5</v>
      </c>
    </row>
    <row r="2871" spans="10:28" x14ac:dyDescent="0.2">
      <c r="J2871" s="358" t="str">
        <f t="shared" si="134"/>
        <v>2010MaleAllEth243</v>
      </c>
      <c r="K2871" s="359">
        <v>2010</v>
      </c>
      <c r="L2871" t="s">
        <v>20</v>
      </c>
      <c r="M2871" t="s">
        <v>27</v>
      </c>
      <c r="N2871">
        <v>24</v>
      </c>
      <c r="O2871">
        <v>3</v>
      </c>
      <c r="P2871">
        <v>21</v>
      </c>
      <c r="Q2871">
        <v>19.943991372031899</v>
      </c>
      <c r="R2871">
        <v>8.5</v>
      </c>
      <c r="T2871" s="358" t="str">
        <f t="shared" si="135"/>
        <v>2009MaleNon-Maori22Poisoning by gases and vapours</v>
      </c>
      <c r="U2871" s="360">
        <v>2009</v>
      </c>
      <c r="V2871" s="360" t="s">
        <v>20</v>
      </c>
      <c r="W2871" s="360" t="s">
        <v>19</v>
      </c>
      <c r="X2871" s="360">
        <v>22</v>
      </c>
      <c r="Y2871" s="360" t="s">
        <v>46</v>
      </c>
      <c r="Z2871" s="360">
        <v>4</v>
      </c>
      <c r="AA2871" s="360">
        <v>71</v>
      </c>
      <c r="AB2871" s="360">
        <v>5.6</v>
      </c>
    </row>
    <row r="2872" spans="10:28" x14ac:dyDescent="0.2">
      <c r="J2872" s="358" t="str">
        <f t="shared" si="134"/>
        <v>2010MaleAllEth244</v>
      </c>
      <c r="K2872" s="359">
        <v>2010</v>
      </c>
      <c r="L2872" t="s">
        <v>20</v>
      </c>
      <c r="M2872" t="s">
        <v>27</v>
      </c>
      <c r="N2872">
        <v>24</v>
      </c>
      <c r="O2872">
        <v>4</v>
      </c>
      <c r="P2872">
        <v>27</v>
      </c>
      <c r="Q2872">
        <v>28.236977616080399</v>
      </c>
      <c r="R2872">
        <v>10.7</v>
      </c>
      <c r="T2872" s="358" t="str">
        <f t="shared" si="135"/>
        <v>2009MaleNon-Maori23Poisoning by gases and vapours</v>
      </c>
      <c r="U2872" s="360">
        <v>2009</v>
      </c>
      <c r="V2872" s="360" t="s">
        <v>20</v>
      </c>
      <c r="W2872" s="360" t="s">
        <v>19</v>
      </c>
      <c r="X2872" s="360">
        <v>23</v>
      </c>
      <c r="Y2872" s="360" t="s">
        <v>46</v>
      </c>
      <c r="Z2872" s="360">
        <v>14</v>
      </c>
      <c r="AA2872" s="360">
        <v>109</v>
      </c>
      <c r="AB2872" s="360">
        <v>12.8</v>
      </c>
    </row>
    <row r="2873" spans="10:28" x14ac:dyDescent="0.2">
      <c r="J2873" s="358" t="str">
        <f t="shared" si="134"/>
        <v>2010MaleAllEth245</v>
      </c>
      <c r="K2873" s="359">
        <v>2010</v>
      </c>
      <c r="L2873" t="s">
        <v>20</v>
      </c>
      <c r="M2873" t="s">
        <v>27</v>
      </c>
      <c r="N2873">
        <v>24</v>
      </c>
      <c r="O2873">
        <v>5</v>
      </c>
      <c r="P2873">
        <v>21</v>
      </c>
      <c r="Q2873">
        <v>24.049855534281001</v>
      </c>
      <c r="R2873">
        <v>10.3</v>
      </c>
      <c r="T2873" s="358" t="str">
        <f t="shared" si="135"/>
        <v>2009MaleNon-Maori24Poisoning by gases and vapours</v>
      </c>
      <c r="U2873" s="360">
        <v>2009</v>
      </c>
      <c r="V2873" s="360" t="s">
        <v>20</v>
      </c>
      <c r="W2873" s="360" t="s">
        <v>19</v>
      </c>
      <c r="X2873" s="360">
        <v>24</v>
      </c>
      <c r="Y2873" s="360" t="s">
        <v>46</v>
      </c>
      <c r="Z2873" s="360">
        <v>15</v>
      </c>
      <c r="AA2873" s="360">
        <v>113</v>
      </c>
      <c r="AB2873" s="360">
        <v>13.3</v>
      </c>
    </row>
    <row r="2874" spans="10:28" x14ac:dyDescent="0.2">
      <c r="J2874" s="358" t="str">
        <f t="shared" si="134"/>
        <v>2010MaleAllEth251</v>
      </c>
      <c r="K2874" s="359">
        <v>2010</v>
      </c>
      <c r="L2874" t="s">
        <v>20</v>
      </c>
      <c r="M2874" t="s">
        <v>27</v>
      </c>
      <c r="N2874">
        <v>25</v>
      </c>
      <c r="O2874">
        <v>1</v>
      </c>
      <c r="P2874">
        <v>8</v>
      </c>
      <c r="Q2874">
        <v>14.420700270642801</v>
      </c>
      <c r="R2874">
        <v>10</v>
      </c>
      <c r="T2874" s="358" t="str">
        <f t="shared" si="135"/>
        <v>2009MaleNon-Maori25Poisoning by gases and vapours</v>
      </c>
      <c r="U2874" s="360">
        <v>2009</v>
      </c>
      <c r="V2874" s="360" t="s">
        <v>20</v>
      </c>
      <c r="W2874" s="360" t="s">
        <v>19</v>
      </c>
      <c r="X2874" s="360">
        <v>25</v>
      </c>
      <c r="Y2874" s="360" t="s">
        <v>46</v>
      </c>
      <c r="Z2874" s="360">
        <v>4</v>
      </c>
      <c r="AA2874" s="360">
        <v>40</v>
      </c>
      <c r="AB2874" s="360">
        <v>10</v>
      </c>
    </row>
    <row r="2875" spans="10:28" x14ac:dyDescent="0.2">
      <c r="J2875" s="358" t="str">
        <f t="shared" si="134"/>
        <v>2010MaleAllEth252</v>
      </c>
      <c r="K2875" s="359">
        <v>2010</v>
      </c>
      <c r="L2875" t="s">
        <v>20</v>
      </c>
      <c r="M2875" t="s">
        <v>27</v>
      </c>
      <c r="N2875">
        <v>25</v>
      </c>
      <c r="O2875">
        <v>2</v>
      </c>
      <c r="P2875">
        <v>10</v>
      </c>
      <c r="Q2875">
        <v>18.2658745491152</v>
      </c>
      <c r="R2875">
        <v>11.3</v>
      </c>
      <c r="T2875" s="358" t="str">
        <f t="shared" si="135"/>
        <v>2009MaleNon-Maori22Poisoning by solids and liquids</v>
      </c>
      <c r="U2875" s="360">
        <v>2009</v>
      </c>
      <c r="V2875" s="360" t="s">
        <v>20</v>
      </c>
      <c r="W2875" s="360" t="s">
        <v>19</v>
      </c>
      <c r="X2875" s="360">
        <v>22</v>
      </c>
      <c r="Y2875" s="360" t="s">
        <v>47</v>
      </c>
      <c r="Z2875" s="360">
        <v>2</v>
      </c>
      <c r="AA2875" s="360">
        <v>71</v>
      </c>
      <c r="AB2875" s="360">
        <v>2.8</v>
      </c>
    </row>
    <row r="2876" spans="10:28" x14ac:dyDescent="0.2">
      <c r="J2876" s="358" t="str">
        <f t="shared" si="134"/>
        <v>2010MaleAllEth253</v>
      </c>
      <c r="K2876" s="359">
        <v>2010</v>
      </c>
      <c r="L2876" t="s">
        <v>20</v>
      </c>
      <c r="M2876" t="s">
        <v>27</v>
      </c>
      <c r="N2876">
        <v>25</v>
      </c>
      <c r="O2876">
        <v>3</v>
      </c>
      <c r="P2876">
        <v>10</v>
      </c>
      <c r="Q2876">
        <v>18.9540158694094</v>
      </c>
      <c r="R2876">
        <v>11.7</v>
      </c>
      <c r="T2876" s="358" t="str">
        <f t="shared" si="135"/>
        <v>2009MaleNon-Maori23Poisoning by solids and liquids</v>
      </c>
      <c r="U2876" s="360">
        <v>2009</v>
      </c>
      <c r="V2876" s="360" t="s">
        <v>20</v>
      </c>
      <c r="W2876" s="360" t="s">
        <v>19</v>
      </c>
      <c r="X2876" s="360">
        <v>23</v>
      </c>
      <c r="Y2876" s="360" t="s">
        <v>47</v>
      </c>
      <c r="Z2876" s="360">
        <v>10</v>
      </c>
      <c r="AA2876" s="360">
        <v>109</v>
      </c>
      <c r="AB2876" s="360">
        <v>9.1999999999999993</v>
      </c>
    </row>
    <row r="2877" spans="10:28" x14ac:dyDescent="0.2">
      <c r="J2877" s="358" t="str">
        <f t="shared" si="134"/>
        <v>2010MaleAllEth254</v>
      </c>
      <c r="K2877" s="359">
        <v>2010</v>
      </c>
      <c r="L2877" t="s">
        <v>20</v>
      </c>
      <c r="M2877" t="s">
        <v>27</v>
      </c>
      <c r="N2877">
        <v>25</v>
      </c>
      <c r="O2877">
        <v>4</v>
      </c>
      <c r="P2877">
        <v>10</v>
      </c>
      <c r="Q2877">
        <v>19.526049490442201</v>
      </c>
      <c r="R2877">
        <v>12.1</v>
      </c>
      <c r="T2877" s="358" t="str">
        <f t="shared" si="135"/>
        <v>2009MaleNon-Maori24Poisoning by solids and liquids</v>
      </c>
      <c r="U2877" s="360">
        <v>2009</v>
      </c>
      <c r="V2877" s="360" t="s">
        <v>20</v>
      </c>
      <c r="W2877" s="360" t="s">
        <v>19</v>
      </c>
      <c r="X2877" s="360">
        <v>24</v>
      </c>
      <c r="Y2877" s="360" t="s">
        <v>47</v>
      </c>
      <c r="Z2877" s="360">
        <v>10</v>
      </c>
      <c r="AA2877" s="360">
        <v>113</v>
      </c>
      <c r="AB2877" s="360">
        <v>8.8000000000000007</v>
      </c>
    </row>
    <row r="2878" spans="10:28" x14ac:dyDescent="0.2">
      <c r="J2878" s="358" t="str">
        <f t="shared" si="134"/>
        <v>2010MaleAllEth255</v>
      </c>
      <c r="K2878" s="359">
        <v>2010</v>
      </c>
      <c r="L2878" t="s">
        <v>20</v>
      </c>
      <c r="M2878" t="s">
        <v>27</v>
      </c>
      <c r="N2878">
        <v>25</v>
      </c>
      <c r="O2878">
        <v>5</v>
      </c>
      <c r="P2878">
        <v>3</v>
      </c>
      <c r="Q2878">
        <v>7.0932870479273999</v>
      </c>
      <c r="R2878">
        <v>8</v>
      </c>
      <c r="T2878" s="358" t="str">
        <f t="shared" si="135"/>
        <v>2009MaleNon-Maori25Poisoning by solids and liquids</v>
      </c>
      <c r="U2878" s="360">
        <v>2009</v>
      </c>
      <c r="V2878" s="360" t="s">
        <v>20</v>
      </c>
      <c r="W2878" s="360" t="s">
        <v>19</v>
      </c>
      <c r="X2878" s="360">
        <v>25</v>
      </c>
      <c r="Y2878" s="360" t="s">
        <v>47</v>
      </c>
      <c r="Z2878" s="360">
        <v>8</v>
      </c>
      <c r="AA2878" s="360">
        <v>40</v>
      </c>
      <c r="AB2878" s="360">
        <v>20</v>
      </c>
    </row>
    <row r="2879" spans="10:28" x14ac:dyDescent="0.2">
      <c r="J2879" s="358" t="str">
        <f t="shared" si="134"/>
        <v>2010MaleMaori211</v>
      </c>
      <c r="K2879" s="359">
        <v>2010</v>
      </c>
      <c r="L2879" t="s">
        <v>20</v>
      </c>
      <c r="M2879" t="s">
        <v>18</v>
      </c>
      <c r="N2879">
        <v>21</v>
      </c>
      <c r="O2879">
        <v>1</v>
      </c>
      <c r="P2879">
        <v>0</v>
      </c>
      <c r="T2879" s="358" t="str">
        <f t="shared" si="135"/>
        <v>2009MaleNon-Maori23Sharp object</v>
      </c>
      <c r="U2879" s="360">
        <v>2009</v>
      </c>
      <c r="V2879" s="360" t="s">
        <v>20</v>
      </c>
      <c r="W2879" s="360" t="s">
        <v>19</v>
      </c>
      <c r="X2879" s="360">
        <v>23</v>
      </c>
      <c r="Y2879" s="360" t="s">
        <v>48</v>
      </c>
      <c r="Z2879" s="360">
        <v>1</v>
      </c>
      <c r="AA2879" s="360">
        <v>109</v>
      </c>
      <c r="AB2879" s="360">
        <v>0.9</v>
      </c>
    </row>
    <row r="2880" spans="10:28" x14ac:dyDescent="0.2">
      <c r="J2880" s="358" t="str">
        <f t="shared" si="134"/>
        <v>2010MaleMaori212</v>
      </c>
      <c r="K2880" s="359">
        <v>2010</v>
      </c>
      <c r="L2880" t="s">
        <v>20</v>
      </c>
      <c r="M2880" t="s">
        <v>18</v>
      </c>
      <c r="N2880">
        <v>21</v>
      </c>
      <c r="O2880">
        <v>2</v>
      </c>
      <c r="P2880">
        <v>0</v>
      </c>
      <c r="T2880" s="358" t="str">
        <f t="shared" si="135"/>
        <v>2009MaleNon-Maori24Sharp object</v>
      </c>
      <c r="U2880" s="360">
        <v>2009</v>
      </c>
      <c r="V2880" s="360" t="s">
        <v>20</v>
      </c>
      <c r="W2880" s="360" t="s">
        <v>19</v>
      </c>
      <c r="X2880" s="360">
        <v>24</v>
      </c>
      <c r="Y2880" s="360" t="s">
        <v>48</v>
      </c>
      <c r="Z2880" s="360">
        <v>4</v>
      </c>
      <c r="AA2880" s="360">
        <v>113</v>
      </c>
      <c r="AB2880" s="360">
        <v>3.5</v>
      </c>
    </row>
    <row r="2881" spans="10:28" x14ac:dyDescent="0.2">
      <c r="J2881" s="358" t="str">
        <f t="shared" si="134"/>
        <v>2010MaleMaori213</v>
      </c>
      <c r="K2881" s="359">
        <v>2010</v>
      </c>
      <c r="L2881" t="s">
        <v>20</v>
      </c>
      <c r="M2881" t="s">
        <v>18</v>
      </c>
      <c r="N2881">
        <v>21</v>
      </c>
      <c r="O2881">
        <v>3</v>
      </c>
      <c r="P2881">
        <v>1</v>
      </c>
      <c r="T2881" s="358" t="str">
        <f t="shared" si="135"/>
        <v>2009MaleNon-Maori25Sharp object</v>
      </c>
      <c r="U2881" s="360">
        <v>2009</v>
      </c>
      <c r="V2881" s="360" t="s">
        <v>20</v>
      </c>
      <c r="W2881" s="360" t="s">
        <v>19</v>
      </c>
      <c r="X2881" s="360">
        <v>25</v>
      </c>
      <c r="Y2881" s="360" t="s">
        <v>48</v>
      </c>
      <c r="Z2881" s="360">
        <v>3</v>
      </c>
      <c r="AA2881" s="360">
        <v>40</v>
      </c>
      <c r="AB2881" s="360">
        <v>7.5</v>
      </c>
    </row>
    <row r="2882" spans="10:28" x14ac:dyDescent="0.2">
      <c r="J2882" s="358" t="str">
        <f t="shared" si="134"/>
        <v>2010MaleMaori214</v>
      </c>
      <c r="K2882" s="359">
        <v>2010</v>
      </c>
      <c r="L2882" t="s">
        <v>20</v>
      </c>
      <c r="M2882" t="s">
        <v>18</v>
      </c>
      <c r="N2882">
        <v>21</v>
      </c>
      <c r="O2882">
        <v>4</v>
      </c>
      <c r="P2882">
        <v>0</v>
      </c>
      <c r="T2882" s="358" t="str">
        <f t="shared" si="135"/>
        <v>2009MaleNon-Maori22Submersion (drowning)</v>
      </c>
      <c r="U2882" s="360">
        <v>2009</v>
      </c>
      <c r="V2882" s="360" t="s">
        <v>20</v>
      </c>
      <c r="W2882" s="360" t="s">
        <v>19</v>
      </c>
      <c r="X2882" s="360">
        <v>22</v>
      </c>
      <c r="Y2882" s="360" t="s">
        <v>49</v>
      </c>
      <c r="Z2882" s="360">
        <v>1</v>
      </c>
      <c r="AA2882" s="360">
        <v>71</v>
      </c>
      <c r="AB2882" s="360">
        <v>1.4</v>
      </c>
    </row>
    <row r="2883" spans="10:28" x14ac:dyDescent="0.2">
      <c r="J2883" s="358" t="str">
        <f t="shared" si="134"/>
        <v>2010MaleMaori215</v>
      </c>
      <c r="K2883" s="359">
        <v>2010</v>
      </c>
      <c r="L2883" t="s">
        <v>20</v>
      </c>
      <c r="M2883" t="s">
        <v>18</v>
      </c>
      <c r="N2883">
        <v>21</v>
      </c>
      <c r="O2883">
        <v>5</v>
      </c>
      <c r="P2883">
        <v>1</v>
      </c>
      <c r="T2883" s="358" t="str">
        <f t="shared" si="135"/>
        <v>2009MaleNon-Maori23Submersion (drowning)</v>
      </c>
      <c r="U2883" s="360">
        <v>2009</v>
      </c>
      <c r="V2883" s="360" t="s">
        <v>20</v>
      </c>
      <c r="W2883" s="360" t="s">
        <v>19</v>
      </c>
      <c r="X2883" s="360">
        <v>23</v>
      </c>
      <c r="Y2883" s="360" t="s">
        <v>49</v>
      </c>
      <c r="Z2883" s="360">
        <v>1</v>
      </c>
      <c r="AA2883" s="360">
        <v>109</v>
      </c>
      <c r="AB2883" s="360">
        <v>0.9</v>
      </c>
    </row>
    <row r="2884" spans="10:28" x14ac:dyDescent="0.2">
      <c r="J2884" s="358" t="str">
        <f t="shared" ref="J2884:J2947" si="136">K2884&amp;L2884&amp;M2884&amp;N2884&amp;O2884</f>
        <v>2010MaleMaori221</v>
      </c>
      <c r="K2884" s="359">
        <v>2010</v>
      </c>
      <c r="L2884" t="s">
        <v>20</v>
      </c>
      <c r="M2884" t="s">
        <v>18</v>
      </c>
      <c r="N2884">
        <v>22</v>
      </c>
      <c r="O2884">
        <v>1</v>
      </c>
      <c r="P2884">
        <v>1</v>
      </c>
      <c r="Q2884">
        <v>18.844867226030999</v>
      </c>
      <c r="R2884">
        <v>36.9</v>
      </c>
      <c r="T2884" s="358" t="str">
        <f t="shared" si="135"/>
        <v>2009MaleNon-Maori25Submersion (drowning)</v>
      </c>
      <c r="U2884" s="360">
        <v>2009</v>
      </c>
      <c r="V2884" s="360" t="s">
        <v>20</v>
      </c>
      <c r="W2884" s="360" t="s">
        <v>19</v>
      </c>
      <c r="X2884" s="360">
        <v>25</v>
      </c>
      <c r="Y2884" s="360" t="s">
        <v>49</v>
      </c>
      <c r="Z2884" s="360">
        <v>1</v>
      </c>
      <c r="AA2884" s="360">
        <v>40</v>
      </c>
      <c r="AB2884" s="360">
        <v>2.5</v>
      </c>
    </row>
    <row r="2885" spans="10:28" x14ac:dyDescent="0.2">
      <c r="J2885" s="358" t="str">
        <f t="shared" si="136"/>
        <v>2010MaleMaori222</v>
      </c>
      <c r="K2885" s="359">
        <v>2010</v>
      </c>
      <c r="L2885" t="s">
        <v>20</v>
      </c>
      <c r="M2885" t="s">
        <v>18</v>
      </c>
      <c r="N2885">
        <v>22</v>
      </c>
      <c r="O2885">
        <v>2</v>
      </c>
      <c r="P2885">
        <v>0</v>
      </c>
      <c r="Q2885">
        <v>0</v>
      </c>
      <c r="T2885" s="358" t="str">
        <f t="shared" ref="T2885:T2948" si="137">U2885&amp;V2885&amp;W2885&amp;X2885&amp;Y2885</f>
        <v>2010AllSexAllEth22Firearms and explosives</v>
      </c>
      <c r="U2885" s="360">
        <v>2010</v>
      </c>
      <c r="V2885" s="360" t="s">
        <v>17</v>
      </c>
      <c r="W2885" s="360" t="s">
        <v>27</v>
      </c>
      <c r="X2885" s="360">
        <v>22</v>
      </c>
      <c r="Y2885" s="360" t="s">
        <v>42</v>
      </c>
      <c r="Z2885" s="360">
        <v>5</v>
      </c>
      <c r="AA2885" s="360">
        <v>111</v>
      </c>
      <c r="AB2885" s="360">
        <v>4.5</v>
      </c>
    </row>
    <row r="2886" spans="10:28" x14ac:dyDescent="0.2">
      <c r="J2886" s="358" t="str">
        <f t="shared" si="136"/>
        <v>2010MaleMaori223</v>
      </c>
      <c r="K2886" s="359">
        <v>2010</v>
      </c>
      <c r="L2886" t="s">
        <v>20</v>
      </c>
      <c r="M2886" t="s">
        <v>18</v>
      </c>
      <c r="N2886">
        <v>22</v>
      </c>
      <c r="O2886">
        <v>3</v>
      </c>
      <c r="P2886">
        <v>1</v>
      </c>
      <c r="Q2886">
        <v>9.8547765484389807</v>
      </c>
      <c r="R2886">
        <v>19.3</v>
      </c>
      <c r="T2886" s="358" t="str">
        <f t="shared" si="137"/>
        <v>2010AllSexAllEth23Firearms and explosives</v>
      </c>
      <c r="U2886" s="360">
        <v>2010</v>
      </c>
      <c r="V2886" s="360" t="s">
        <v>17</v>
      </c>
      <c r="W2886" s="360" t="s">
        <v>27</v>
      </c>
      <c r="X2886" s="360">
        <v>23</v>
      </c>
      <c r="Y2886" s="360" t="s">
        <v>42</v>
      </c>
      <c r="Z2886" s="360">
        <v>14</v>
      </c>
      <c r="AA2886" s="360">
        <v>199</v>
      </c>
      <c r="AB2886" s="360">
        <v>7</v>
      </c>
    </row>
    <row r="2887" spans="10:28" x14ac:dyDescent="0.2">
      <c r="J2887" s="358" t="str">
        <f t="shared" si="136"/>
        <v>2010MaleMaori224</v>
      </c>
      <c r="K2887" s="359">
        <v>2010</v>
      </c>
      <c r="L2887" t="s">
        <v>20</v>
      </c>
      <c r="M2887" t="s">
        <v>18</v>
      </c>
      <c r="N2887">
        <v>22</v>
      </c>
      <c r="O2887">
        <v>4</v>
      </c>
      <c r="P2887">
        <v>7</v>
      </c>
      <c r="Q2887">
        <v>48.835213948171003</v>
      </c>
      <c r="R2887">
        <v>36.200000000000003</v>
      </c>
      <c r="T2887" s="358" t="str">
        <f t="shared" si="137"/>
        <v>2010AllSexAllEth24Firearms and explosives</v>
      </c>
      <c r="U2887" s="360">
        <v>2010</v>
      </c>
      <c r="V2887" s="360" t="s">
        <v>17</v>
      </c>
      <c r="W2887" s="360" t="s">
        <v>27</v>
      </c>
      <c r="X2887" s="360">
        <v>24</v>
      </c>
      <c r="Y2887" s="360" t="s">
        <v>42</v>
      </c>
      <c r="Z2887" s="360">
        <v>13</v>
      </c>
      <c r="AA2887" s="360">
        <v>161</v>
      </c>
      <c r="AB2887" s="360">
        <v>8.1</v>
      </c>
    </row>
    <row r="2888" spans="10:28" x14ac:dyDescent="0.2">
      <c r="J2888" s="358" t="str">
        <f t="shared" si="136"/>
        <v>2010MaleMaori225</v>
      </c>
      <c r="K2888" s="359">
        <v>2010</v>
      </c>
      <c r="L2888" t="s">
        <v>20</v>
      </c>
      <c r="M2888" t="s">
        <v>18</v>
      </c>
      <c r="N2888">
        <v>22</v>
      </c>
      <c r="O2888">
        <v>5</v>
      </c>
      <c r="P2888">
        <v>18</v>
      </c>
      <c r="Q2888">
        <v>75.489816443106207</v>
      </c>
      <c r="R2888">
        <v>34.9</v>
      </c>
      <c r="T2888" s="358" t="str">
        <f t="shared" si="137"/>
        <v>2010AllSexAllEth25Firearms and explosives</v>
      </c>
      <c r="U2888" s="360">
        <v>2010</v>
      </c>
      <c r="V2888" s="360" t="s">
        <v>17</v>
      </c>
      <c r="W2888" s="360" t="s">
        <v>27</v>
      </c>
      <c r="X2888" s="360">
        <v>25</v>
      </c>
      <c r="Y2888" s="360" t="s">
        <v>42</v>
      </c>
      <c r="Z2888" s="360">
        <v>10</v>
      </c>
      <c r="AA2888" s="360">
        <v>57</v>
      </c>
      <c r="AB2888" s="360">
        <v>17.5</v>
      </c>
    </row>
    <row r="2889" spans="10:28" x14ac:dyDescent="0.2">
      <c r="J2889" s="358" t="str">
        <f t="shared" si="136"/>
        <v>2010MaleMaori231</v>
      </c>
      <c r="K2889" s="359">
        <v>2010</v>
      </c>
      <c r="L2889" t="s">
        <v>20</v>
      </c>
      <c r="M2889" t="s">
        <v>18</v>
      </c>
      <c r="N2889">
        <v>23</v>
      </c>
      <c r="O2889">
        <v>1</v>
      </c>
      <c r="P2889">
        <v>0</v>
      </c>
      <c r="Q2889">
        <v>0</v>
      </c>
      <c r="T2889" s="358" t="str">
        <f t="shared" si="137"/>
        <v>2010AllSexAllEth21Hanging, strangulation and suffocation</v>
      </c>
      <c r="U2889" s="360">
        <v>2010</v>
      </c>
      <c r="V2889" s="360" t="s">
        <v>17</v>
      </c>
      <c r="W2889" s="360" t="s">
        <v>27</v>
      </c>
      <c r="X2889" s="360">
        <v>21</v>
      </c>
      <c r="Y2889" s="360" t="s">
        <v>43</v>
      </c>
      <c r="Z2889" s="360">
        <v>6</v>
      </c>
      <c r="AA2889" s="360">
        <v>6</v>
      </c>
      <c r="AB2889" s="360">
        <v>100</v>
      </c>
    </row>
    <row r="2890" spans="10:28" x14ac:dyDescent="0.2">
      <c r="J2890" s="358" t="str">
        <f t="shared" si="136"/>
        <v>2010MaleMaori232</v>
      </c>
      <c r="K2890" s="359">
        <v>2010</v>
      </c>
      <c r="L2890" t="s">
        <v>20</v>
      </c>
      <c r="M2890" t="s">
        <v>18</v>
      </c>
      <c r="N2890">
        <v>23</v>
      </c>
      <c r="O2890">
        <v>2</v>
      </c>
      <c r="P2890">
        <v>6</v>
      </c>
      <c r="Q2890">
        <v>60.1266454928641</v>
      </c>
      <c r="R2890">
        <v>48.1</v>
      </c>
      <c r="T2890" s="358" t="str">
        <f t="shared" si="137"/>
        <v>2010AllSexAllEth22Hanging, strangulation and suffocation</v>
      </c>
      <c r="U2890" s="360">
        <v>2010</v>
      </c>
      <c r="V2890" s="360" t="s">
        <v>17</v>
      </c>
      <c r="W2890" s="360" t="s">
        <v>27</v>
      </c>
      <c r="X2890" s="360">
        <v>22</v>
      </c>
      <c r="Y2890" s="360" t="s">
        <v>43</v>
      </c>
      <c r="Z2890" s="360">
        <v>87</v>
      </c>
      <c r="AA2890" s="360">
        <v>111</v>
      </c>
      <c r="AB2890" s="360">
        <v>78.400000000000006</v>
      </c>
    </row>
    <row r="2891" spans="10:28" x14ac:dyDescent="0.2">
      <c r="J2891" s="358" t="str">
        <f t="shared" si="136"/>
        <v>2010MaleMaori233</v>
      </c>
      <c r="K2891" s="359">
        <v>2010</v>
      </c>
      <c r="L2891" t="s">
        <v>20</v>
      </c>
      <c r="M2891" t="s">
        <v>18</v>
      </c>
      <c r="N2891">
        <v>23</v>
      </c>
      <c r="O2891">
        <v>3</v>
      </c>
      <c r="P2891">
        <v>7</v>
      </c>
      <c r="Q2891">
        <v>50.518594853468898</v>
      </c>
      <c r="R2891">
        <v>37.4</v>
      </c>
      <c r="T2891" s="358" t="str">
        <f t="shared" si="137"/>
        <v>2010AllSexAllEth23Hanging, strangulation and suffocation</v>
      </c>
      <c r="U2891" s="360">
        <v>2010</v>
      </c>
      <c r="V2891" s="360" t="s">
        <v>17</v>
      </c>
      <c r="W2891" s="360" t="s">
        <v>27</v>
      </c>
      <c r="X2891" s="360">
        <v>23</v>
      </c>
      <c r="Y2891" s="360" t="s">
        <v>43</v>
      </c>
      <c r="Z2891" s="360">
        <v>122</v>
      </c>
      <c r="AA2891" s="360">
        <v>199</v>
      </c>
      <c r="AB2891" s="360">
        <v>61.3</v>
      </c>
    </row>
    <row r="2892" spans="10:28" x14ac:dyDescent="0.2">
      <c r="J2892" s="358" t="str">
        <f t="shared" si="136"/>
        <v>2010MaleMaori234</v>
      </c>
      <c r="K2892" s="359">
        <v>2010</v>
      </c>
      <c r="L2892" t="s">
        <v>20</v>
      </c>
      <c r="M2892" t="s">
        <v>18</v>
      </c>
      <c r="N2892">
        <v>23</v>
      </c>
      <c r="O2892">
        <v>4</v>
      </c>
      <c r="P2892">
        <v>5</v>
      </c>
      <c r="Q2892">
        <v>26.635636134718599</v>
      </c>
      <c r="R2892">
        <v>23.3</v>
      </c>
      <c r="T2892" s="358" t="str">
        <f t="shared" si="137"/>
        <v>2010AllSexAllEth24Hanging, strangulation and suffocation</v>
      </c>
      <c r="U2892" s="360">
        <v>2010</v>
      </c>
      <c r="V2892" s="360" t="s">
        <v>17</v>
      </c>
      <c r="W2892" s="360" t="s">
        <v>27</v>
      </c>
      <c r="X2892" s="360">
        <v>24</v>
      </c>
      <c r="Y2892" s="360" t="s">
        <v>43</v>
      </c>
      <c r="Z2892" s="360">
        <v>76</v>
      </c>
      <c r="AA2892" s="360">
        <v>161</v>
      </c>
      <c r="AB2892" s="360">
        <v>47.2</v>
      </c>
    </row>
    <row r="2893" spans="10:28" x14ac:dyDescent="0.2">
      <c r="J2893" s="358" t="str">
        <f t="shared" si="136"/>
        <v>2010MaleMaori235</v>
      </c>
      <c r="K2893" s="359">
        <v>2010</v>
      </c>
      <c r="L2893" t="s">
        <v>20</v>
      </c>
      <c r="M2893" t="s">
        <v>18</v>
      </c>
      <c r="N2893">
        <v>23</v>
      </c>
      <c r="O2893">
        <v>5</v>
      </c>
      <c r="P2893">
        <v>12</v>
      </c>
      <c r="Q2893">
        <v>42.825423349741101</v>
      </c>
      <c r="R2893">
        <v>24.2</v>
      </c>
      <c r="T2893" s="358" t="str">
        <f t="shared" si="137"/>
        <v>2010AllSexAllEth25Hanging, strangulation and suffocation</v>
      </c>
      <c r="U2893" s="360">
        <v>2010</v>
      </c>
      <c r="V2893" s="360" t="s">
        <v>17</v>
      </c>
      <c r="W2893" s="360" t="s">
        <v>27</v>
      </c>
      <c r="X2893" s="360">
        <v>25</v>
      </c>
      <c r="Y2893" s="360" t="s">
        <v>43</v>
      </c>
      <c r="Z2893" s="360">
        <v>22</v>
      </c>
      <c r="AA2893" s="360">
        <v>57</v>
      </c>
      <c r="AB2893" s="360">
        <v>38.6</v>
      </c>
    </row>
    <row r="2894" spans="10:28" x14ac:dyDescent="0.2">
      <c r="J2894" s="358" t="str">
        <f t="shared" si="136"/>
        <v>2010MaleMaori241</v>
      </c>
      <c r="K2894" s="359">
        <v>2010</v>
      </c>
      <c r="L2894" t="s">
        <v>20</v>
      </c>
      <c r="M2894" t="s">
        <v>18</v>
      </c>
      <c r="N2894">
        <v>24</v>
      </c>
      <c r="O2894">
        <v>1</v>
      </c>
      <c r="P2894">
        <v>0</v>
      </c>
      <c r="Q2894">
        <v>0</v>
      </c>
      <c r="T2894" s="358" t="str">
        <f t="shared" si="137"/>
        <v>2010AllSexAllEth22Jumping from a high place</v>
      </c>
      <c r="U2894" s="360">
        <v>2010</v>
      </c>
      <c r="V2894" s="360" t="s">
        <v>17</v>
      </c>
      <c r="W2894" s="360" t="s">
        <v>27</v>
      </c>
      <c r="X2894" s="360">
        <v>22</v>
      </c>
      <c r="Y2894" s="360" t="s">
        <v>44</v>
      </c>
      <c r="Z2894" s="360">
        <v>2</v>
      </c>
      <c r="AA2894" s="360">
        <v>111</v>
      </c>
      <c r="AB2894" s="360">
        <v>1.8</v>
      </c>
    </row>
    <row r="2895" spans="10:28" x14ac:dyDescent="0.2">
      <c r="J2895" s="358" t="str">
        <f t="shared" si="136"/>
        <v>2010MaleMaori242</v>
      </c>
      <c r="K2895" s="359">
        <v>2010</v>
      </c>
      <c r="L2895" t="s">
        <v>20</v>
      </c>
      <c r="M2895" t="s">
        <v>18</v>
      </c>
      <c r="N2895">
        <v>24</v>
      </c>
      <c r="O2895">
        <v>2</v>
      </c>
      <c r="P2895">
        <v>2</v>
      </c>
      <c r="Q2895">
        <v>28.337802707091299</v>
      </c>
      <c r="R2895">
        <v>39.299999999999997</v>
      </c>
      <c r="T2895" s="358" t="str">
        <f t="shared" si="137"/>
        <v>2010AllSexAllEth23Jumping from a high place</v>
      </c>
      <c r="U2895" s="360">
        <v>2010</v>
      </c>
      <c r="V2895" s="360" t="s">
        <v>17</v>
      </c>
      <c r="W2895" s="360" t="s">
        <v>27</v>
      </c>
      <c r="X2895" s="360">
        <v>23</v>
      </c>
      <c r="Y2895" s="360" t="s">
        <v>44</v>
      </c>
      <c r="Z2895" s="360">
        <v>4</v>
      </c>
      <c r="AA2895" s="360">
        <v>199</v>
      </c>
      <c r="AB2895" s="360">
        <v>2</v>
      </c>
    </row>
    <row r="2896" spans="10:28" x14ac:dyDescent="0.2">
      <c r="J2896" s="358" t="str">
        <f t="shared" si="136"/>
        <v>2010MaleMaori243</v>
      </c>
      <c r="K2896" s="359">
        <v>2010</v>
      </c>
      <c r="L2896" t="s">
        <v>20</v>
      </c>
      <c r="M2896" t="s">
        <v>18</v>
      </c>
      <c r="N2896">
        <v>24</v>
      </c>
      <c r="O2896">
        <v>3</v>
      </c>
      <c r="P2896">
        <v>0</v>
      </c>
      <c r="Q2896">
        <v>0</v>
      </c>
      <c r="T2896" s="358" t="str">
        <f t="shared" si="137"/>
        <v>2010AllSexAllEth24Jumping from a high place</v>
      </c>
      <c r="U2896" s="360">
        <v>2010</v>
      </c>
      <c r="V2896" s="360" t="s">
        <v>17</v>
      </c>
      <c r="W2896" s="360" t="s">
        <v>27</v>
      </c>
      <c r="X2896" s="360">
        <v>24</v>
      </c>
      <c r="Y2896" s="360" t="s">
        <v>44</v>
      </c>
      <c r="Z2896" s="360">
        <v>6</v>
      </c>
      <c r="AA2896" s="360">
        <v>161</v>
      </c>
      <c r="AB2896" s="360">
        <v>3.7</v>
      </c>
    </row>
    <row r="2897" spans="10:28" x14ac:dyDescent="0.2">
      <c r="J2897" s="358" t="str">
        <f t="shared" si="136"/>
        <v>2010MaleMaori244</v>
      </c>
      <c r="K2897" s="359">
        <v>2010</v>
      </c>
      <c r="L2897" t="s">
        <v>20</v>
      </c>
      <c r="M2897" t="s">
        <v>18</v>
      </c>
      <c r="N2897">
        <v>24</v>
      </c>
      <c r="O2897">
        <v>4</v>
      </c>
      <c r="P2897">
        <v>2</v>
      </c>
      <c r="Q2897">
        <v>16.203914576512499</v>
      </c>
      <c r="R2897">
        <v>22.5</v>
      </c>
      <c r="T2897" s="358" t="str">
        <f t="shared" si="137"/>
        <v>2010AllSexAllEth25Jumping from a high place</v>
      </c>
      <c r="U2897" s="360">
        <v>2010</v>
      </c>
      <c r="V2897" s="360" t="s">
        <v>17</v>
      </c>
      <c r="W2897" s="360" t="s">
        <v>27</v>
      </c>
      <c r="X2897" s="360">
        <v>25</v>
      </c>
      <c r="Y2897" s="360" t="s">
        <v>44</v>
      </c>
      <c r="Z2897" s="360">
        <v>1</v>
      </c>
      <c r="AA2897" s="360">
        <v>57</v>
      </c>
      <c r="AB2897" s="360">
        <v>1.8</v>
      </c>
    </row>
    <row r="2898" spans="10:28" x14ac:dyDescent="0.2">
      <c r="J2898" s="358" t="str">
        <f t="shared" si="136"/>
        <v>2010MaleMaori245</v>
      </c>
      <c r="K2898" s="359">
        <v>2010</v>
      </c>
      <c r="L2898" t="s">
        <v>20</v>
      </c>
      <c r="M2898" t="s">
        <v>18</v>
      </c>
      <c r="N2898">
        <v>24</v>
      </c>
      <c r="O2898">
        <v>5</v>
      </c>
      <c r="P2898">
        <v>7</v>
      </c>
      <c r="Q2898">
        <v>34.176087836630003</v>
      </c>
      <c r="R2898">
        <v>25.3</v>
      </c>
      <c r="T2898" s="358" t="str">
        <f t="shared" si="137"/>
        <v>2010AllSexAllEth22Other</v>
      </c>
      <c r="U2898" s="360">
        <v>2010</v>
      </c>
      <c r="V2898" s="360" t="s">
        <v>17</v>
      </c>
      <c r="W2898" s="360" t="s">
        <v>27</v>
      </c>
      <c r="X2898" s="360">
        <v>22</v>
      </c>
      <c r="Y2898" s="360" t="s">
        <v>45</v>
      </c>
      <c r="Z2898" s="360">
        <v>4</v>
      </c>
      <c r="AA2898" s="360">
        <v>111</v>
      </c>
      <c r="AB2898" s="360">
        <v>3.6</v>
      </c>
    </row>
    <row r="2899" spans="10:28" x14ac:dyDescent="0.2">
      <c r="J2899" s="358" t="str">
        <f t="shared" si="136"/>
        <v>2010MaleMaori251</v>
      </c>
      <c r="K2899" s="359">
        <v>2010</v>
      </c>
      <c r="L2899" t="s">
        <v>20</v>
      </c>
      <c r="M2899" t="s">
        <v>18</v>
      </c>
      <c r="N2899">
        <v>25</v>
      </c>
      <c r="O2899">
        <v>1</v>
      </c>
      <c r="P2899">
        <v>0</v>
      </c>
      <c r="Q2899">
        <v>0</v>
      </c>
      <c r="T2899" s="358" t="str">
        <f t="shared" si="137"/>
        <v>2010AllSexAllEth23Other</v>
      </c>
      <c r="U2899" s="360">
        <v>2010</v>
      </c>
      <c r="V2899" s="360" t="s">
        <v>17</v>
      </c>
      <c r="W2899" s="360" t="s">
        <v>27</v>
      </c>
      <c r="X2899" s="360">
        <v>23</v>
      </c>
      <c r="Y2899" s="360" t="s">
        <v>45</v>
      </c>
      <c r="Z2899" s="360">
        <v>4</v>
      </c>
      <c r="AA2899" s="360">
        <v>199</v>
      </c>
      <c r="AB2899" s="360">
        <v>2</v>
      </c>
    </row>
    <row r="2900" spans="10:28" x14ac:dyDescent="0.2">
      <c r="J2900" s="358" t="str">
        <f t="shared" si="136"/>
        <v>2010MaleMaori252</v>
      </c>
      <c r="K2900" s="359">
        <v>2010</v>
      </c>
      <c r="L2900" t="s">
        <v>20</v>
      </c>
      <c r="M2900" t="s">
        <v>18</v>
      </c>
      <c r="N2900">
        <v>25</v>
      </c>
      <c r="O2900">
        <v>2</v>
      </c>
      <c r="P2900">
        <v>0</v>
      </c>
      <c r="Q2900">
        <v>0</v>
      </c>
      <c r="T2900" s="358" t="str">
        <f t="shared" si="137"/>
        <v>2010AllSexAllEth24Other</v>
      </c>
      <c r="U2900" s="360">
        <v>2010</v>
      </c>
      <c r="V2900" s="360" t="s">
        <v>17</v>
      </c>
      <c r="W2900" s="360" t="s">
        <v>27</v>
      </c>
      <c r="X2900" s="360">
        <v>24</v>
      </c>
      <c r="Y2900" s="360" t="s">
        <v>45</v>
      </c>
      <c r="Z2900" s="360">
        <v>10</v>
      </c>
      <c r="AA2900" s="360">
        <v>161</v>
      </c>
      <c r="AB2900" s="360">
        <v>6.2</v>
      </c>
    </row>
    <row r="2901" spans="10:28" x14ac:dyDescent="0.2">
      <c r="J2901" s="358" t="str">
        <f t="shared" si="136"/>
        <v>2010MaleMaori253</v>
      </c>
      <c r="K2901" s="359">
        <v>2010</v>
      </c>
      <c r="L2901" t="s">
        <v>20</v>
      </c>
      <c r="M2901" t="s">
        <v>18</v>
      </c>
      <c r="N2901">
        <v>25</v>
      </c>
      <c r="O2901">
        <v>3</v>
      </c>
      <c r="P2901">
        <v>0</v>
      </c>
      <c r="Q2901">
        <v>0</v>
      </c>
      <c r="T2901" s="358" t="str">
        <f t="shared" si="137"/>
        <v>2010AllSexAllEth25Other</v>
      </c>
      <c r="U2901" s="360">
        <v>2010</v>
      </c>
      <c r="V2901" s="360" t="s">
        <v>17</v>
      </c>
      <c r="W2901" s="360" t="s">
        <v>27</v>
      </c>
      <c r="X2901" s="360">
        <v>25</v>
      </c>
      <c r="Y2901" s="360" t="s">
        <v>45</v>
      </c>
      <c r="Z2901" s="360">
        <v>2</v>
      </c>
      <c r="AA2901" s="360">
        <v>57</v>
      </c>
      <c r="AB2901" s="360">
        <v>3.5</v>
      </c>
    </row>
    <row r="2902" spans="10:28" x14ac:dyDescent="0.2">
      <c r="J2902" s="358" t="str">
        <f t="shared" si="136"/>
        <v>2010MaleMaori254</v>
      </c>
      <c r="K2902" s="359">
        <v>2010</v>
      </c>
      <c r="L2902" t="s">
        <v>20</v>
      </c>
      <c r="M2902" t="s">
        <v>18</v>
      </c>
      <c r="N2902">
        <v>25</v>
      </c>
      <c r="O2902">
        <v>4</v>
      </c>
      <c r="P2902">
        <v>0</v>
      </c>
      <c r="Q2902">
        <v>0</v>
      </c>
      <c r="T2902" s="358" t="str">
        <f t="shared" si="137"/>
        <v>2010AllSexAllEth22Poisoning by gases and vapours</v>
      </c>
      <c r="U2902" s="360">
        <v>2010</v>
      </c>
      <c r="V2902" s="360" t="s">
        <v>17</v>
      </c>
      <c r="W2902" s="360" t="s">
        <v>27</v>
      </c>
      <c r="X2902" s="360">
        <v>22</v>
      </c>
      <c r="Y2902" s="360" t="s">
        <v>46</v>
      </c>
      <c r="Z2902" s="360">
        <v>4</v>
      </c>
      <c r="AA2902" s="360">
        <v>111</v>
      </c>
      <c r="AB2902" s="360">
        <v>3.6</v>
      </c>
    </row>
    <row r="2903" spans="10:28" x14ac:dyDescent="0.2">
      <c r="J2903" s="358" t="str">
        <f t="shared" si="136"/>
        <v>2010MaleMaori255</v>
      </c>
      <c r="K2903" s="359">
        <v>2010</v>
      </c>
      <c r="L2903" t="s">
        <v>20</v>
      </c>
      <c r="M2903" t="s">
        <v>18</v>
      </c>
      <c r="N2903">
        <v>25</v>
      </c>
      <c r="O2903">
        <v>5</v>
      </c>
      <c r="P2903">
        <v>0</v>
      </c>
      <c r="Q2903">
        <v>0</v>
      </c>
      <c r="T2903" s="358" t="str">
        <f t="shared" si="137"/>
        <v>2010AllSexAllEth23Poisoning by gases and vapours</v>
      </c>
      <c r="U2903" s="360">
        <v>2010</v>
      </c>
      <c r="V2903" s="360" t="s">
        <v>17</v>
      </c>
      <c r="W2903" s="360" t="s">
        <v>27</v>
      </c>
      <c r="X2903" s="360">
        <v>23</v>
      </c>
      <c r="Y2903" s="360" t="s">
        <v>46</v>
      </c>
      <c r="Z2903" s="360">
        <v>26</v>
      </c>
      <c r="AA2903" s="360">
        <v>199</v>
      </c>
      <c r="AB2903" s="360">
        <v>13.1</v>
      </c>
    </row>
    <row r="2904" spans="10:28" x14ac:dyDescent="0.2">
      <c r="J2904" s="358" t="str">
        <f t="shared" si="136"/>
        <v>2010MaleNon-Maori211</v>
      </c>
      <c r="K2904" s="359">
        <v>2010</v>
      </c>
      <c r="L2904" t="s">
        <v>20</v>
      </c>
      <c r="M2904" t="s">
        <v>19</v>
      </c>
      <c r="N2904">
        <v>21</v>
      </c>
      <c r="O2904">
        <v>1</v>
      </c>
      <c r="P2904">
        <v>0</v>
      </c>
      <c r="T2904" s="358" t="str">
        <f t="shared" si="137"/>
        <v>2010AllSexAllEth24Poisoning by gases and vapours</v>
      </c>
      <c r="U2904" s="360">
        <v>2010</v>
      </c>
      <c r="V2904" s="360" t="s">
        <v>17</v>
      </c>
      <c r="W2904" s="360" t="s">
        <v>27</v>
      </c>
      <c r="X2904" s="360">
        <v>24</v>
      </c>
      <c r="Y2904" s="360" t="s">
        <v>46</v>
      </c>
      <c r="Z2904" s="360">
        <v>21</v>
      </c>
      <c r="AA2904" s="360">
        <v>161</v>
      </c>
      <c r="AB2904" s="360">
        <v>13</v>
      </c>
    </row>
    <row r="2905" spans="10:28" x14ac:dyDescent="0.2">
      <c r="J2905" s="358" t="str">
        <f t="shared" si="136"/>
        <v>2010MaleNon-Maori212</v>
      </c>
      <c r="K2905" s="359">
        <v>2010</v>
      </c>
      <c r="L2905" t="s">
        <v>20</v>
      </c>
      <c r="M2905" t="s">
        <v>19</v>
      </c>
      <c r="N2905">
        <v>21</v>
      </c>
      <c r="O2905">
        <v>2</v>
      </c>
      <c r="P2905">
        <v>0</v>
      </c>
      <c r="T2905" s="358" t="str">
        <f t="shared" si="137"/>
        <v>2010AllSexAllEth25Poisoning by gases and vapours</v>
      </c>
      <c r="U2905" s="360">
        <v>2010</v>
      </c>
      <c r="V2905" s="360" t="s">
        <v>17</v>
      </c>
      <c r="W2905" s="360" t="s">
        <v>27</v>
      </c>
      <c r="X2905" s="360">
        <v>25</v>
      </c>
      <c r="Y2905" s="360" t="s">
        <v>46</v>
      </c>
      <c r="Z2905" s="360">
        <v>10</v>
      </c>
      <c r="AA2905" s="360">
        <v>57</v>
      </c>
      <c r="AB2905" s="360">
        <v>17.5</v>
      </c>
    </row>
    <row r="2906" spans="10:28" x14ac:dyDescent="0.2">
      <c r="J2906" s="358" t="str">
        <f t="shared" si="136"/>
        <v>2010MaleNon-Maori213</v>
      </c>
      <c r="K2906" s="359">
        <v>2010</v>
      </c>
      <c r="L2906" t="s">
        <v>20</v>
      </c>
      <c r="M2906" t="s">
        <v>19</v>
      </c>
      <c r="N2906">
        <v>21</v>
      </c>
      <c r="O2906">
        <v>3</v>
      </c>
      <c r="P2906">
        <v>0</v>
      </c>
      <c r="T2906" s="358" t="str">
        <f t="shared" si="137"/>
        <v>2010AllSexAllEth22Poisoning by solids and liquids</v>
      </c>
      <c r="U2906" s="360">
        <v>2010</v>
      </c>
      <c r="V2906" s="360" t="s">
        <v>17</v>
      </c>
      <c r="W2906" s="360" t="s">
        <v>27</v>
      </c>
      <c r="X2906" s="360">
        <v>22</v>
      </c>
      <c r="Y2906" s="360" t="s">
        <v>47</v>
      </c>
      <c r="Z2906" s="360">
        <v>5</v>
      </c>
      <c r="AA2906" s="360">
        <v>111</v>
      </c>
      <c r="AB2906" s="360">
        <v>4.5</v>
      </c>
    </row>
    <row r="2907" spans="10:28" x14ac:dyDescent="0.2">
      <c r="J2907" s="358" t="str">
        <f t="shared" si="136"/>
        <v>2010MaleNon-Maori214</v>
      </c>
      <c r="K2907" s="359">
        <v>2010</v>
      </c>
      <c r="L2907" t="s">
        <v>20</v>
      </c>
      <c r="M2907" t="s">
        <v>19</v>
      </c>
      <c r="N2907">
        <v>21</v>
      </c>
      <c r="O2907">
        <v>4</v>
      </c>
      <c r="P2907">
        <v>0</v>
      </c>
      <c r="T2907" s="358" t="str">
        <f t="shared" si="137"/>
        <v>2010AllSexAllEth23Poisoning by solids and liquids</v>
      </c>
      <c r="U2907" s="360">
        <v>2010</v>
      </c>
      <c r="V2907" s="360" t="s">
        <v>17</v>
      </c>
      <c r="W2907" s="360" t="s">
        <v>27</v>
      </c>
      <c r="X2907" s="360">
        <v>23</v>
      </c>
      <c r="Y2907" s="360" t="s">
        <v>47</v>
      </c>
      <c r="Z2907" s="360">
        <v>24</v>
      </c>
      <c r="AA2907" s="360">
        <v>199</v>
      </c>
      <c r="AB2907" s="360">
        <v>12.1</v>
      </c>
    </row>
    <row r="2908" spans="10:28" x14ac:dyDescent="0.2">
      <c r="J2908" s="358" t="str">
        <f t="shared" si="136"/>
        <v>2010MaleNon-Maori215</v>
      </c>
      <c r="K2908" s="359">
        <v>2010</v>
      </c>
      <c r="L2908" t="s">
        <v>20</v>
      </c>
      <c r="M2908" t="s">
        <v>19</v>
      </c>
      <c r="N2908">
        <v>21</v>
      </c>
      <c r="O2908">
        <v>5</v>
      </c>
      <c r="P2908">
        <v>1</v>
      </c>
      <c r="T2908" s="358" t="str">
        <f t="shared" si="137"/>
        <v>2010AllSexAllEth24Poisoning by solids and liquids</v>
      </c>
      <c r="U2908" s="360">
        <v>2010</v>
      </c>
      <c r="V2908" s="360" t="s">
        <v>17</v>
      </c>
      <c r="W2908" s="360" t="s">
        <v>27</v>
      </c>
      <c r="X2908" s="360">
        <v>24</v>
      </c>
      <c r="Y2908" s="360" t="s">
        <v>47</v>
      </c>
      <c r="Z2908" s="360">
        <v>28</v>
      </c>
      <c r="AA2908" s="360">
        <v>161</v>
      </c>
      <c r="AB2908" s="360">
        <v>17.399999999999999</v>
      </c>
    </row>
    <row r="2909" spans="10:28" x14ac:dyDescent="0.2">
      <c r="J2909" s="358" t="str">
        <f t="shared" si="136"/>
        <v>2010MaleNon-Maori221</v>
      </c>
      <c r="K2909" s="359">
        <v>2010</v>
      </c>
      <c r="L2909" t="s">
        <v>20</v>
      </c>
      <c r="M2909" t="s">
        <v>19</v>
      </c>
      <c r="N2909">
        <v>22</v>
      </c>
      <c r="O2909">
        <v>1</v>
      </c>
      <c r="P2909">
        <v>8</v>
      </c>
      <c r="Q2909">
        <v>15.5268074175449</v>
      </c>
      <c r="R2909">
        <v>10.8</v>
      </c>
      <c r="T2909" s="358" t="str">
        <f t="shared" si="137"/>
        <v>2010AllSexAllEth25Poisoning by solids and liquids</v>
      </c>
      <c r="U2909" s="360">
        <v>2010</v>
      </c>
      <c r="V2909" s="360" t="s">
        <v>17</v>
      </c>
      <c r="W2909" s="360" t="s">
        <v>27</v>
      </c>
      <c r="X2909" s="360">
        <v>25</v>
      </c>
      <c r="Y2909" s="360" t="s">
        <v>47</v>
      </c>
      <c r="Z2909" s="360">
        <v>10</v>
      </c>
      <c r="AA2909" s="360">
        <v>57</v>
      </c>
      <c r="AB2909" s="360">
        <v>17.5</v>
      </c>
    </row>
    <row r="2910" spans="10:28" x14ac:dyDescent="0.2">
      <c r="J2910" s="358" t="str">
        <f t="shared" si="136"/>
        <v>2010MaleNon-Maori222</v>
      </c>
      <c r="K2910" s="359">
        <v>2010</v>
      </c>
      <c r="L2910" t="s">
        <v>20</v>
      </c>
      <c r="M2910" t="s">
        <v>19</v>
      </c>
      <c r="N2910">
        <v>22</v>
      </c>
      <c r="O2910">
        <v>2</v>
      </c>
      <c r="P2910">
        <v>6</v>
      </c>
      <c r="Q2910">
        <v>12.031210540361901</v>
      </c>
      <c r="R2910">
        <v>9.6</v>
      </c>
      <c r="T2910" s="358" t="str">
        <f t="shared" si="137"/>
        <v>2010AllSexAllEth22Sharp object</v>
      </c>
      <c r="U2910" s="360">
        <v>2010</v>
      </c>
      <c r="V2910" s="360" t="s">
        <v>17</v>
      </c>
      <c r="W2910" s="360" t="s">
        <v>27</v>
      </c>
      <c r="X2910" s="360">
        <v>22</v>
      </c>
      <c r="Y2910" s="360" t="s">
        <v>48</v>
      </c>
      <c r="Z2910" s="360">
        <v>2</v>
      </c>
      <c r="AA2910" s="360">
        <v>111</v>
      </c>
      <c r="AB2910" s="360">
        <v>1.8</v>
      </c>
    </row>
    <row r="2911" spans="10:28" x14ac:dyDescent="0.2">
      <c r="J2911" s="358" t="str">
        <f t="shared" si="136"/>
        <v>2010MaleNon-Maori223</v>
      </c>
      <c r="K2911" s="359">
        <v>2010</v>
      </c>
      <c r="L2911" t="s">
        <v>20</v>
      </c>
      <c r="M2911" t="s">
        <v>19</v>
      </c>
      <c r="N2911">
        <v>22</v>
      </c>
      <c r="O2911">
        <v>3</v>
      </c>
      <c r="P2911">
        <v>13</v>
      </c>
      <c r="Q2911">
        <v>26.236727632449799</v>
      </c>
      <c r="R2911">
        <v>14.3</v>
      </c>
      <c r="T2911" s="358" t="str">
        <f t="shared" si="137"/>
        <v>2010AllSexAllEth23Sharp object</v>
      </c>
      <c r="U2911" s="360">
        <v>2010</v>
      </c>
      <c r="V2911" s="360" t="s">
        <v>17</v>
      </c>
      <c r="W2911" s="360" t="s">
        <v>27</v>
      </c>
      <c r="X2911" s="360">
        <v>23</v>
      </c>
      <c r="Y2911" s="360" t="s">
        <v>48</v>
      </c>
      <c r="Z2911" s="360">
        <v>3</v>
      </c>
      <c r="AA2911" s="360">
        <v>199</v>
      </c>
      <c r="AB2911" s="360">
        <v>1.5</v>
      </c>
    </row>
    <row r="2912" spans="10:28" x14ac:dyDescent="0.2">
      <c r="J2912" s="358" t="str">
        <f t="shared" si="136"/>
        <v>2010MaleNon-Maori224</v>
      </c>
      <c r="K2912" s="359">
        <v>2010</v>
      </c>
      <c r="L2912" t="s">
        <v>20</v>
      </c>
      <c r="M2912" t="s">
        <v>19</v>
      </c>
      <c r="N2912">
        <v>22</v>
      </c>
      <c r="O2912">
        <v>4</v>
      </c>
      <c r="P2912">
        <v>14</v>
      </c>
      <c r="Q2912">
        <v>27.403312421335801</v>
      </c>
      <c r="R2912">
        <v>14.4</v>
      </c>
      <c r="T2912" s="358" t="str">
        <f t="shared" si="137"/>
        <v>2010AllSexAllEth24Sharp object</v>
      </c>
      <c r="U2912" s="360">
        <v>2010</v>
      </c>
      <c r="V2912" s="360" t="s">
        <v>17</v>
      </c>
      <c r="W2912" s="360" t="s">
        <v>27</v>
      </c>
      <c r="X2912" s="360">
        <v>24</v>
      </c>
      <c r="Y2912" s="360" t="s">
        <v>48</v>
      </c>
      <c r="Z2912" s="360">
        <v>3</v>
      </c>
      <c r="AA2912" s="360">
        <v>161</v>
      </c>
      <c r="AB2912" s="360">
        <v>1.9</v>
      </c>
    </row>
    <row r="2913" spans="10:28" x14ac:dyDescent="0.2">
      <c r="J2913" s="358" t="str">
        <f t="shared" si="136"/>
        <v>2010MaleNon-Maori225</v>
      </c>
      <c r="K2913" s="359">
        <v>2010</v>
      </c>
      <c r="L2913" t="s">
        <v>20</v>
      </c>
      <c r="M2913" t="s">
        <v>19</v>
      </c>
      <c r="N2913">
        <v>22</v>
      </c>
      <c r="O2913">
        <v>5</v>
      </c>
      <c r="P2913">
        <v>7</v>
      </c>
      <c r="Q2913">
        <v>14.428540179273799</v>
      </c>
      <c r="R2913">
        <v>10.7</v>
      </c>
      <c r="T2913" s="358" t="str">
        <f t="shared" si="137"/>
        <v>2010AllSexAllEth25Sharp object</v>
      </c>
      <c r="U2913" s="360">
        <v>2010</v>
      </c>
      <c r="V2913" s="360" t="s">
        <v>17</v>
      </c>
      <c r="W2913" s="360" t="s">
        <v>27</v>
      </c>
      <c r="X2913" s="360">
        <v>25</v>
      </c>
      <c r="Y2913" s="360" t="s">
        <v>48</v>
      </c>
      <c r="Z2913" s="360">
        <v>1</v>
      </c>
      <c r="AA2913" s="360">
        <v>57</v>
      </c>
      <c r="AB2913" s="360">
        <v>1.8</v>
      </c>
    </row>
    <row r="2914" spans="10:28" x14ac:dyDescent="0.2">
      <c r="J2914" s="358" t="str">
        <f t="shared" si="136"/>
        <v>2010MaleNon-Maori231</v>
      </c>
      <c r="K2914" s="359">
        <v>2010</v>
      </c>
      <c r="L2914" t="s">
        <v>20</v>
      </c>
      <c r="M2914" t="s">
        <v>19</v>
      </c>
      <c r="N2914">
        <v>23</v>
      </c>
      <c r="O2914">
        <v>1</v>
      </c>
      <c r="P2914">
        <v>24</v>
      </c>
      <c r="Q2914">
        <v>24.3526495809107</v>
      </c>
      <c r="R2914">
        <v>9.6999999999999993</v>
      </c>
      <c r="T2914" s="358" t="str">
        <f t="shared" si="137"/>
        <v>2010AllSexAllEth22Submersion (drowning)</v>
      </c>
      <c r="U2914" s="360">
        <v>2010</v>
      </c>
      <c r="V2914" s="360" t="s">
        <v>17</v>
      </c>
      <c r="W2914" s="360" t="s">
        <v>27</v>
      </c>
      <c r="X2914" s="360">
        <v>22</v>
      </c>
      <c r="Y2914" s="360" t="s">
        <v>49</v>
      </c>
      <c r="Z2914" s="360">
        <v>2</v>
      </c>
      <c r="AA2914" s="360">
        <v>111</v>
      </c>
      <c r="AB2914" s="360">
        <v>1.8</v>
      </c>
    </row>
    <row r="2915" spans="10:28" x14ac:dyDescent="0.2">
      <c r="J2915" s="358" t="str">
        <f t="shared" si="136"/>
        <v>2010MaleNon-Maori232</v>
      </c>
      <c r="K2915" s="359">
        <v>2010</v>
      </c>
      <c r="L2915" t="s">
        <v>20</v>
      </c>
      <c r="M2915" t="s">
        <v>19</v>
      </c>
      <c r="N2915">
        <v>23</v>
      </c>
      <c r="O2915">
        <v>2</v>
      </c>
      <c r="P2915">
        <v>15</v>
      </c>
      <c r="Q2915">
        <v>14.324963958568301</v>
      </c>
      <c r="R2915">
        <v>7.2</v>
      </c>
      <c r="T2915" s="358" t="str">
        <f t="shared" si="137"/>
        <v>2010AllSexAllEth23Submersion (drowning)</v>
      </c>
      <c r="U2915" s="360">
        <v>2010</v>
      </c>
      <c r="V2915" s="360" t="s">
        <v>17</v>
      </c>
      <c r="W2915" s="360" t="s">
        <v>27</v>
      </c>
      <c r="X2915" s="360">
        <v>23</v>
      </c>
      <c r="Y2915" s="360" t="s">
        <v>49</v>
      </c>
      <c r="Z2915" s="360">
        <v>2</v>
      </c>
      <c r="AA2915" s="360">
        <v>199</v>
      </c>
      <c r="AB2915" s="360">
        <v>1</v>
      </c>
    </row>
    <row r="2916" spans="10:28" x14ac:dyDescent="0.2">
      <c r="J2916" s="358" t="str">
        <f t="shared" si="136"/>
        <v>2010MaleNon-Maori233</v>
      </c>
      <c r="K2916" s="359">
        <v>2010</v>
      </c>
      <c r="L2916" t="s">
        <v>20</v>
      </c>
      <c r="M2916" t="s">
        <v>19</v>
      </c>
      <c r="N2916">
        <v>23</v>
      </c>
      <c r="O2916">
        <v>3</v>
      </c>
      <c r="P2916">
        <v>21</v>
      </c>
      <c r="Q2916">
        <v>20.2298265051047</v>
      </c>
      <c r="R2916">
        <v>8.6999999999999993</v>
      </c>
      <c r="T2916" s="358" t="str">
        <f t="shared" si="137"/>
        <v>2010AllSexAllEth24Submersion (drowning)</v>
      </c>
      <c r="U2916" s="360">
        <v>2010</v>
      </c>
      <c r="V2916" s="360" t="s">
        <v>17</v>
      </c>
      <c r="W2916" s="360" t="s">
        <v>27</v>
      </c>
      <c r="X2916" s="360">
        <v>24</v>
      </c>
      <c r="Y2916" s="360" t="s">
        <v>49</v>
      </c>
      <c r="Z2916" s="360">
        <v>4</v>
      </c>
      <c r="AA2916" s="360">
        <v>161</v>
      </c>
      <c r="AB2916" s="360">
        <v>2.5</v>
      </c>
    </row>
    <row r="2917" spans="10:28" x14ac:dyDescent="0.2">
      <c r="J2917" s="358" t="str">
        <f t="shared" si="136"/>
        <v>2010MaleNon-Maori234</v>
      </c>
      <c r="K2917" s="359">
        <v>2010</v>
      </c>
      <c r="L2917" t="s">
        <v>20</v>
      </c>
      <c r="M2917" t="s">
        <v>19</v>
      </c>
      <c r="N2917">
        <v>23</v>
      </c>
      <c r="O2917">
        <v>4</v>
      </c>
      <c r="P2917">
        <v>25</v>
      </c>
      <c r="Q2917">
        <v>26.092122222381398</v>
      </c>
      <c r="R2917">
        <v>10.199999999999999</v>
      </c>
      <c r="T2917" s="358" t="str">
        <f t="shared" si="137"/>
        <v>2010AllSexAllEth25Submersion (drowning)</v>
      </c>
      <c r="U2917" s="360">
        <v>2010</v>
      </c>
      <c r="V2917" s="360" t="s">
        <v>17</v>
      </c>
      <c r="W2917" s="360" t="s">
        <v>27</v>
      </c>
      <c r="X2917" s="360">
        <v>25</v>
      </c>
      <c r="Y2917" s="360" t="s">
        <v>49</v>
      </c>
      <c r="Z2917" s="360">
        <v>1</v>
      </c>
      <c r="AA2917" s="360">
        <v>57</v>
      </c>
      <c r="AB2917" s="360">
        <v>1.8</v>
      </c>
    </row>
    <row r="2918" spans="10:28" x14ac:dyDescent="0.2">
      <c r="J2918" s="358" t="str">
        <f t="shared" si="136"/>
        <v>2010MaleNon-Maori235</v>
      </c>
      <c r="K2918" s="359">
        <v>2010</v>
      </c>
      <c r="L2918" t="s">
        <v>20</v>
      </c>
      <c r="M2918" t="s">
        <v>19</v>
      </c>
      <c r="N2918">
        <v>23</v>
      </c>
      <c r="O2918">
        <v>5</v>
      </c>
      <c r="P2918">
        <v>25</v>
      </c>
      <c r="Q2918">
        <v>32.764995269998103</v>
      </c>
      <c r="R2918">
        <v>12.8</v>
      </c>
      <c r="T2918" s="358" t="str">
        <f t="shared" si="137"/>
        <v>2010AllSexMaori22Firearms and explosives</v>
      </c>
      <c r="U2918" s="360">
        <v>2010</v>
      </c>
      <c r="V2918" s="360" t="s">
        <v>17</v>
      </c>
      <c r="W2918" s="360" t="s">
        <v>18</v>
      </c>
      <c r="X2918" s="360">
        <v>22</v>
      </c>
      <c r="Y2918" s="360" t="s">
        <v>42</v>
      </c>
      <c r="Z2918" s="360">
        <v>1</v>
      </c>
      <c r="AA2918" s="360">
        <v>42</v>
      </c>
      <c r="AB2918" s="360">
        <v>2.4</v>
      </c>
    </row>
    <row r="2919" spans="10:28" x14ac:dyDescent="0.2">
      <c r="J2919" s="358" t="str">
        <f t="shared" si="136"/>
        <v>2010MaleNon-Maori241</v>
      </c>
      <c r="K2919" s="359">
        <v>2010</v>
      </c>
      <c r="L2919" t="s">
        <v>20</v>
      </c>
      <c r="M2919" t="s">
        <v>19</v>
      </c>
      <c r="N2919">
        <v>24</v>
      </c>
      <c r="O2919">
        <v>1</v>
      </c>
      <c r="P2919">
        <v>19</v>
      </c>
      <c r="Q2919">
        <v>14.8881877347994</v>
      </c>
      <c r="R2919">
        <v>6.7</v>
      </c>
      <c r="T2919" s="358" t="str">
        <f t="shared" si="137"/>
        <v>2010AllSexMaori23Firearms and explosives</v>
      </c>
      <c r="U2919" s="360">
        <v>2010</v>
      </c>
      <c r="V2919" s="360" t="s">
        <v>17</v>
      </c>
      <c r="W2919" s="360" t="s">
        <v>18</v>
      </c>
      <c r="X2919" s="360">
        <v>23</v>
      </c>
      <c r="Y2919" s="360" t="s">
        <v>42</v>
      </c>
      <c r="Z2919" s="360">
        <v>3</v>
      </c>
      <c r="AA2919" s="360">
        <v>41</v>
      </c>
      <c r="AB2919" s="360">
        <v>7.3</v>
      </c>
    </row>
    <row r="2920" spans="10:28" x14ac:dyDescent="0.2">
      <c r="J2920" s="358" t="str">
        <f t="shared" si="136"/>
        <v>2010MaleNon-Maori242</v>
      </c>
      <c r="K2920" s="359">
        <v>2010</v>
      </c>
      <c r="L2920" t="s">
        <v>20</v>
      </c>
      <c r="M2920" t="s">
        <v>19</v>
      </c>
      <c r="N2920">
        <v>24</v>
      </c>
      <c r="O2920">
        <v>2</v>
      </c>
      <c r="P2920">
        <v>22</v>
      </c>
      <c r="Q2920">
        <v>19.897143391366399</v>
      </c>
      <c r="R2920">
        <v>8.3000000000000007</v>
      </c>
      <c r="T2920" s="358" t="str">
        <f t="shared" si="137"/>
        <v>2010AllSexMaori21Hanging, strangulation and suffocation</v>
      </c>
      <c r="U2920" s="360">
        <v>2010</v>
      </c>
      <c r="V2920" s="360" t="s">
        <v>17</v>
      </c>
      <c r="W2920" s="360" t="s">
        <v>18</v>
      </c>
      <c r="X2920" s="360">
        <v>21</v>
      </c>
      <c r="Y2920" s="360" t="s">
        <v>43</v>
      </c>
      <c r="Z2920" s="360">
        <v>4</v>
      </c>
      <c r="AA2920" s="360">
        <v>4</v>
      </c>
      <c r="AB2920" s="360">
        <v>100</v>
      </c>
    </row>
    <row r="2921" spans="10:28" x14ac:dyDescent="0.2">
      <c r="J2921" s="358" t="str">
        <f t="shared" si="136"/>
        <v>2010MaleNon-Maori243</v>
      </c>
      <c r="K2921" s="359">
        <v>2010</v>
      </c>
      <c r="L2921" t="s">
        <v>20</v>
      </c>
      <c r="M2921" t="s">
        <v>19</v>
      </c>
      <c r="N2921">
        <v>24</v>
      </c>
      <c r="O2921">
        <v>3</v>
      </c>
      <c r="P2921">
        <v>21</v>
      </c>
      <c r="Q2921">
        <v>21.764673918730999</v>
      </c>
      <c r="R2921">
        <v>9.3000000000000007</v>
      </c>
      <c r="T2921" s="358" t="str">
        <f t="shared" si="137"/>
        <v>2010AllSexMaori22Hanging, strangulation and suffocation</v>
      </c>
      <c r="U2921" s="360">
        <v>2010</v>
      </c>
      <c r="V2921" s="360" t="s">
        <v>17</v>
      </c>
      <c r="W2921" s="360" t="s">
        <v>18</v>
      </c>
      <c r="X2921" s="360">
        <v>22</v>
      </c>
      <c r="Y2921" s="360" t="s">
        <v>43</v>
      </c>
      <c r="Z2921" s="360">
        <v>37</v>
      </c>
      <c r="AA2921" s="360">
        <v>42</v>
      </c>
      <c r="AB2921" s="360">
        <v>88.1</v>
      </c>
    </row>
    <row r="2922" spans="10:28" x14ac:dyDescent="0.2">
      <c r="J2922" s="358" t="str">
        <f t="shared" si="136"/>
        <v>2010MaleNon-Maori244</v>
      </c>
      <c r="K2922" s="359">
        <v>2010</v>
      </c>
      <c r="L2922" t="s">
        <v>20</v>
      </c>
      <c r="M2922" t="s">
        <v>19</v>
      </c>
      <c r="N2922">
        <v>24</v>
      </c>
      <c r="O2922">
        <v>4</v>
      </c>
      <c r="P2922">
        <v>25</v>
      </c>
      <c r="Q2922">
        <v>30.176323938807599</v>
      </c>
      <c r="R2922">
        <v>11.8</v>
      </c>
      <c r="T2922" s="358" t="str">
        <f t="shared" si="137"/>
        <v>2010AllSexMaori23Hanging, strangulation and suffocation</v>
      </c>
      <c r="U2922" s="360">
        <v>2010</v>
      </c>
      <c r="V2922" s="360" t="s">
        <v>17</v>
      </c>
      <c r="W2922" s="360" t="s">
        <v>18</v>
      </c>
      <c r="X2922" s="360">
        <v>23</v>
      </c>
      <c r="Y2922" s="360" t="s">
        <v>43</v>
      </c>
      <c r="Z2922" s="360">
        <v>30</v>
      </c>
      <c r="AA2922" s="360">
        <v>41</v>
      </c>
      <c r="AB2922" s="360">
        <v>73.2</v>
      </c>
    </row>
    <row r="2923" spans="10:28" x14ac:dyDescent="0.2">
      <c r="J2923" s="358" t="str">
        <f t="shared" si="136"/>
        <v>2010MaleNon-Maori245</v>
      </c>
      <c r="K2923" s="359">
        <v>2010</v>
      </c>
      <c r="L2923" t="s">
        <v>20</v>
      </c>
      <c r="M2923" t="s">
        <v>19</v>
      </c>
      <c r="N2923">
        <v>24</v>
      </c>
      <c r="O2923">
        <v>5</v>
      </c>
      <c r="P2923">
        <v>14</v>
      </c>
      <c r="Q2923">
        <v>21.6015336629453</v>
      </c>
      <c r="R2923">
        <v>11.3</v>
      </c>
      <c r="T2923" s="358" t="str">
        <f t="shared" si="137"/>
        <v>2010AllSexMaori24Hanging, strangulation and suffocation</v>
      </c>
      <c r="U2923" s="360">
        <v>2010</v>
      </c>
      <c r="V2923" s="360" t="s">
        <v>17</v>
      </c>
      <c r="W2923" s="360" t="s">
        <v>18</v>
      </c>
      <c r="X2923" s="360">
        <v>24</v>
      </c>
      <c r="Y2923" s="360" t="s">
        <v>43</v>
      </c>
      <c r="Z2923" s="360">
        <v>7</v>
      </c>
      <c r="AA2923" s="360">
        <v>15</v>
      </c>
      <c r="AB2923" s="360">
        <v>46.7</v>
      </c>
    </row>
    <row r="2924" spans="10:28" x14ac:dyDescent="0.2">
      <c r="J2924" s="358" t="str">
        <f t="shared" si="136"/>
        <v>2010MaleNon-Maori251</v>
      </c>
      <c r="K2924" s="359">
        <v>2010</v>
      </c>
      <c r="L2924" t="s">
        <v>20</v>
      </c>
      <c r="M2924" t="s">
        <v>19</v>
      </c>
      <c r="N2924">
        <v>25</v>
      </c>
      <c r="O2924">
        <v>1</v>
      </c>
      <c r="P2924">
        <v>8</v>
      </c>
      <c r="Q2924">
        <v>14.674603844150001</v>
      </c>
      <c r="R2924">
        <v>10.199999999999999</v>
      </c>
      <c r="T2924" s="358" t="str">
        <f t="shared" si="137"/>
        <v>2010AllSexMaori23Jumping from a high place</v>
      </c>
      <c r="U2924" s="360">
        <v>2010</v>
      </c>
      <c r="V2924" s="360" t="s">
        <v>17</v>
      </c>
      <c r="W2924" s="360" t="s">
        <v>18</v>
      </c>
      <c r="X2924" s="360">
        <v>23</v>
      </c>
      <c r="Y2924" s="360" t="s">
        <v>44</v>
      </c>
      <c r="Z2924" s="360">
        <v>1</v>
      </c>
      <c r="AA2924" s="360">
        <v>41</v>
      </c>
      <c r="AB2924" s="360">
        <v>2.4</v>
      </c>
    </row>
    <row r="2925" spans="10:28" x14ac:dyDescent="0.2">
      <c r="J2925" s="358" t="str">
        <f t="shared" si="136"/>
        <v>2010MaleNon-Maori252</v>
      </c>
      <c r="K2925" s="359">
        <v>2010</v>
      </c>
      <c r="L2925" t="s">
        <v>20</v>
      </c>
      <c r="M2925" t="s">
        <v>19</v>
      </c>
      <c r="N2925">
        <v>25</v>
      </c>
      <c r="O2925">
        <v>2</v>
      </c>
      <c r="P2925">
        <v>10</v>
      </c>
      <c r="Q2925">
        <v>18.761573567017798</v>
      </c>
      <c r="R2925">
        <v>11.6</v>
      </c>
      <c r="T2925" s="358" t="str">
        <f t="shared" si="137"/>
        <v>2010AllSexMaori22Other</v>
      </c>
      <c r="U2925" s="360">
        <v>2010</v>
      </c>
      <c r="V2925" s="360" t="s">
        <v>17</v>
      </c>
      <c r="W2925" s="360" t="s">
        <v>18</v>
      </c>
      <c r="X2925" s="360">
        <v>22</v>
      </c>
      <c r="Y2925" s="360" t="s">
        <v>45</v>
      </c>
      <c r="Z2925" s="360">
        <v>3</v>
      </c>
      <c r="AA2925" s="360">
        <v>42</v>
      </c>
      <c r="AB2925" s="360">
        <v>7.1</v>
      </c>
    </row>
    <row r="2926" spans="10:28" x14ac:dyDescent="0.2">
      <c r="J2926" s="358" t="str">
        <f t="shared" si="136"/>
        <v>2010MaleNon-Maori253</v>
      </c>
      <c r="K2926" s="359">
        <v>2010</v>
      </c>
      <c r="L2926" t="s">
        <v>20</v>
      </c>
      <c r="M2926" t="s">
        <v>19</v>
      </c>
      <c r="N2926">
        <v>25</v>
      </c>
      <c r="O2926">
        <v>3</v>
      </c>
      <c r="P2926">
        <v>10</v>
      </c>
      <c r="Q2926">
        <v>19.7453127650349</v>
      </c>
      <c r="R2926">
        <v>12.2</v>
      </c>
      <c r="T2926" s="358" t="str">
        <f t="shared" si="137"/>
        <v>2010AllSexMaori23Poisoning by gases and vapours</v>
      </c>
      <c r="U2926" s="360">
        <v>2010</v>
      </c>
      <c r="V2926" s="360" t="s">
        <v>17</v>
      </c>
      <c r="W2926" s="360" t="s">
        <v>18</v>
      </c>
      <c r="X2926" s="360">
        <v>23</v>
      </c>
      <c r="Y2926" s="360" t="s">
        <v>46</v>
      </c>
      <c r="Z2926" s="360">
        <v>2</v>
      </c>
      <c r="AA2926" s="360">
        <v>41</v>
      </c>
      <c r="AB2926" s="360">
        <v>4.9000000000000004</v>
      </c>
    </row>
    <row r="2927" spans="10:28" x14ac:dyDescent="0.2">
      <c r="J2927" s="358" t="str">
        <f t="shared" si="136"/>
        <v>2010MaleNon-Maori254</v>
      </c>
      <c r="K2927" s="359">
        <v>2010</v>
      </c>
      <c r="L2927" t="s">
        <v>20</v>
      </c>
      <c r="M2927" t="s">
        <v>19</v>
      </c>
      <c r="N2927">
        <v>25</v>
      </c>
      <c r="O2927">
        <v>4</v>
      </c>
      <c r="P2927">
        <v>10</v>
      </c>
      <c r="Q2927">
        <v>20.836205494909901</v>
      </c>
      <c r="R2927">
        <v>12.9</v>
      </c>
      <c r="T2927" s="358" t="str">
        <f t="shared" si="137"/>
        <v>2010AllSexMaori24Poisoning by gases and vapours</v>
      </c>
      <c r="U2927" s="360">
        <v>2010</v>
      </c>
      <c r="V2927" s="360" t="s">
        <v>17</v>
      </c>
      <c r="W2927" s="360" t="s">
        <v>18</v>
      </c>
      <c r="X2927" s="360">
        <v>24</v>
      </c>
      <c r="Y2927" s="360" t="s">
        <v>46</v>
      </c>
      <c r="Z2927" s="360">
        <v>2</v>
      </c>
      <c r="AA2927" s="360">
        <v>15</v>
      </c>
      <c r="AB2927" s="360">
        <v>13.3</v>
      </c>
    </row>
    <row r="2928" spans="10:28" x14ac:dyDescent="0.2">
      <c r="J2928" s="358" t="str">
        <f t="shared" si="136"/>
        <v>2010MaleNon-Maori255</v>
      </c>
      <c r="K2928" s="359">
        <v>2010</v>
      </c>
      <c r="L2928" t="s">
        <v>20</v>
      </c>
      <c r="M2928" t="s">
        <v>19</v>
      </c>
      <c r="N2928">
        <v>25</v>
      </c>
      <c r="O2928">
        <v>5</v>
      </c>
      <c r="P2928">
        <v>3</v>
      </c>
      <c r="Q2928">
        <v>8.3203600649719203</v>
      </c>
      <c r="R2928">
        <v>9.4</v>
      </c>
      <c r="T2928" s="358" t="str">
        <f t="shared" si="137"/>
        <v>2010AllSexMaori22Poisoning by solids and liquids</v>
      </c>
      <c r="U2928" s="360">
        <v>2010</v>
      </c>
      <c r="V2928" s="360" t="s">
        <v>17</v>
      </c>
      <c r="W2928" s="360" t="s">
        <v>18</v>
      </c>
      <c r="X2928" s="360">
        <v>22</v>
      </c>
      <c r="Y2928" s="360" t="s">
        <v>47</v>
      </c>
      <c r="Z2928" s="360">
        <v>1</v>
      </c>
      <c r="AA2928" s="360">
        <v>42</v>
      </c>
      <c r="AB2928" s="360">
        <v>2.4</v>
      </c>
    </row>
    <row r="2929" spans="10:28" x14ac:dyDescent="0.2">
      <c r="J2929" s="358" t="str">
        <f t="shared" si="136"/>
        <v>2011AllSexAllEth211</v>
      </c>
      <c r="K2929" s="359">
        <v>2011</v>
      </c>
      <c r="L2929" t="s">
        <v>17</v>
      </c>
      <c r="M2929" t="s">
        <v>27</v>
      </c>
      <c r="N2929">
        <v>21</v>
      </c>
      <c r="O2929">
        <v>1</v>
      </c>
      <c r="P2929">
        <v>0</v>
      </c>
      <c r="T2929" s="358" t="str">
        <f t="shared" si="137"/>
        <v>2010AllSexMaori23Poisoning by solids and liquids</v>
      </c>
      <c r="U2929" s="360">
        <v>2010</v>
      </c>
      <c r="V2929" s="360" t="s">
        <v>17</v>
      </c>
      <c r="W2929" s="360" t="s">
        <v>18</v>
      </c>
      <c r="X2929" s="360">
        <v>23</v>
      </c>
      <c r="Y2929" s="360" t="s">
        <v>47</v>
      </c>
      <c r="Z2929" s="360">
        <v>5</v>
      </c>
      <c r="AA2929" s="360">
        <v>41</v>
      </c>
      <c r="AB2929" s="360">
        <v>12.2</v>
      </c>
    </row>
    <row r="2930" spans="10:28" x14ac:dyDescent="0.2">
      <c r="J2930" s="358" t="str">
        <f t="shared" si="136"/>
        <v>2011AllSexAllEth212</v>
      </c>
      <c r="K2930" s="359">
        <v>2011</v>
      </c>
      <c r="L2930" t="s">
        <v>17</v>
      </c>
      <c r="M2930" t="s">
        <v>27</v>
      </c>
      <c r="N2930">
        <v>21</v>
      </c>
      <c r="O2930">
        <v>2</v>
      </c>
      <c r="P2930">
        <v>1</v>
      </c>
      <c r="T2930" s="358" t="str">
        <f t="shared" si="137"/>
        <v>2010AllSexMaori24Poisoning by solids and liquids</v>
      </c>
      <c r="U2930" s="360">
        <v>2010</v>
      </c>
      <c r="V2930" s="360" t="s">
        <v>17</v>
      </c>
      <c r="W2930" s="360" t="s">
        <v>18</v>
      </c>
      <c r="X2930" s="360">
        <v>24</v>
      </c>
      <c r="Y2930" s="360" t="s">
        <v>47</v>
      </c>
      <c r="Z2930" s="360">
        <v>5</v>
      </c>
      <c r="AA2930" s="360">
        <v>15</v>
      </c>
      <c r="AB2930" s="360">
        <v>33.299999999999997</v>
      </c>
    </row>
    <row r="2931" spans="10:28" x14ac:dyDescent="0.2">
      <c r="J2931" s="358" t="str">
        <f t="shared" si="136"/>
        <v>2011AllSexAllEth213</v>
      </c>
      <c r="K2931" s="359">
        <v>2011</v>
      </c>
      <c r="L2931" t="s">
        <v>17</v>
      </c>
      <c r="M2931" t="s">
        <v>27</v>
      </c>
      <c r="N2931">
        <v>21</v>
      </c>
      <c r="O2931">
        <v>3</v>
      </c>
      <c r="P2931">
        <v>2</v>
      </c>
      <c r="T2931" s="358" t="str">
        <f t="shared" si="137"/>
        <v>2010AllSexMaori24Sharp object</v>
      </c>
      <c r="U2931" s="360">
        <v>2010</v>
      </c>
      <c r="V2931" s="360" t="s">
        <v>17</v>
      </c>
      <c r="W2931" s="360" t="s">
        <v>18</v>
      </c>
      <c r="X2931" s="360">
        <v>24</v>
      </c>
      <c r="Y2931" s="360" t="s">
        <v>48</v>
      </c>
      <c r="Z2931" s="360">
        <v>1</v>
      </c>
      <c r="AA2931" s="360">
        <v>15</v>
      </c>
      <c r="AB2931" s="360">
        <v>6.7</v>
      </c>
    </row>
    <row r="2932" spans="10:28" x14ac:dyDescent="0.2">
      <c r="J2932" s="358" t="str">
        <f t="shared" si="136"/>
        <v>2011AllSexAllEth214</v>
      </c>
      <c r="K2932" s="359">
        <v>2011</v>
      </c>
      <c r="L2932" t="s">
        <v>17</v>
      </c>
      <c r="M2932" t="s">
        <v>27</v>
      </c>
      <c r="N2932">
        <v>21</v>
      </c>
      <c r="O2932">
        <v>4</v>
      </c>
      <c r="P2932">
        <v>0</v>
      </c>
      <c r="T2932" s="358" t="str">
        <f t="shared" si="137"/>
        <v>2010AllSexNon-Maori22Firearms and explosives</v>
      </c>
      <c r="U2932" s="360">
        <v>2010</v>
      </c>
      <c r="V2932" s="360" t="s">
        <v>17</v>
      </c>
      <c r="W2932" s="360" t="s">
        <v>19</v>
      </c>
      <c r="X2932" s="360">
        <v>22</v>
      </c>
      <c r="Y2932" s="360" t="s">
        <v>42</v>
      </c>
      <c r="Z2932" s="360">
        <v>4</v>
      </c>
      <c r="AA2932" s="360">
        <v>69</v>
      </c>
      <c r="AB2932" s="360">
        <v>5.8</v>
      </c>
    </row>
    <row r="2933" spans="10:28" x14ac:dyDescent="0.2">
      <c r="J2933" s="358" t="str">
        <f t="shared" si="136"/>
        <v>2011AllSexAllEth215</v>
      </c>
      <c r="K2933" s="359">
        <v>2011</v>
      </c>
      <c r="L2933" t="s">
        <v>17</v>
      </c>
      <c r="M2933" t="s">
        <v>27</v>
      </c>
      <c r="N2933">
        <v>21</v>
      </c>
      <c r="O2933">
        <v>5</v>
      </c>
      <c r="P2933">
        <v>3</v>
      </c>
      <c r="T2933" s="358" t="str">
        <f t="shared" si="137"/>
        <v>2010AllSexNon-Maori23Firearms and explosives</v>
      </c>
      <c r="U2933" s="360">
        <v>2010</v>
      </c>
      <c r="V2933" s="360" t="s">
        <v>17</v>
      </c>
      <c r="W2933" s="360" t="s">
        <v>19</v>
      </c>
      <c r="X2933" s="360">
        <v>23</v>
      </c>
      <c r="Y2933" s="360" t="s">
        <v>42</v>
      </c>
      <c r="Z2933" s="360">
        <v>11</v>
      </c>
      <c r="AA2933" s="360">
        <v>158</v>
      </c>
      <c r="AB2933" s="360">
        <v>7</v>
      </c>
    </row>
    <row r="2934" spans="10:28" x14ac:dyDescent="0.2">
      <c r="J2934" s="358" t="str">
        <f t="shared" si="136"/>
        <v>2011AllSexAllEth221</v>
      </c>
      <c r="K2934" s="359">
        <v>2011</v>
      </c>
      <c r="L2934" t="s">
        <v>17</v>
      </c>
      <c r="M2934" t="s">
        <v>27</v>
      </c>
      <c r="N2934">
        <v>22</v>
      </c>
      <c r="O2934">
        <v>1</v>
      </c>
      <c r="P2934">
        <v>11</v>
      </c>
      <c r="Q2934">
        <v>9.9989165622484499</v>
      </c>
      <c r="R2934">
        <v>5.9</v>
      </c>
      <c r="T2934" s="358" t="str">
        <f t="shared" si="137"/>
        <v>2010AllSexNon-Maori24Firearms and explosives</v>
      </c>
      <c r="U2934" s="360">
        <v>2010</v>
      </c>
      <c r="V2934" s="360" t="s">
        <v>17</v>
      </c>
      <c r="W2934" s="360" t="s">
        <v>19</v>
      </c>
      <c r="X2934" s="360">
        <v>24</v>
      </c>
      <c r="Y2934" s="360" t="s">
        <v>42</v>
      </c>
      <c r="Z2934" s="360">
        <v>13</v>
      </c>
      <c r="AA2934" s="360">
        <v>146</v>
      </c>
      <c r="AB2934" s="360">
        <v>8.9</v>
      </c>
    </row>
    <row r="2935" spans="10:28" x14ac:dyDescent="0.2">
      <c r="J2935" s="358" t="str">
        <f t="shared" si="136"/>
        <v>2011AllSexAllEth222</v>
      </c>
      <c r="K2935" s="359">
        <v>2011</v>
      </c>
      <c r="L2935" t="s">
        <v>17</v>
      </c>
      <c r="M2935" t="s">
        <v>27</v>
      </c>
      <c r="N2935">
        <v>22</v>
      </c>
      <c r="O2935">
        <v>2</v>
      </c>
      <c r="P2935">
        <v>19</v>
      </c>
      <c r="Q2935">
        <v>17.0852915043818</v>
      </c>
      <c r="R2935">
        <v>7.7</v>
      </c>
      <c r="T2935" s="358" t="str">
        <f t="shared" si="137"/>
        <v>2010AllSexNon-Maori25Firearms and explosives</v>
      </c>
      <c r="U2935" s="360">
        <v>2010</v>
      </c>
      <c r="V2935" s="360" t="s">
        <v>17</v>
      </c>
      <c r="W2935" s="360" t="s">
        <v>19</v>
      </c>
      <c r="X2935" s="360">
        <v>25</v>
      </c>
      <c r="Y2935" s="360" t="s">
        <v>42</v>
      </c>
      <c r="Z2935" s="360">
        <v>10</v>
      </c>
      <c r="AA2935" s="360">
        <v>57</v>
      </c>
      <c r="AB2935" s="360">
        <v>17.5</v>
      </c>
    </row>
    <row r="2936" spans="10:28" x14ac:dyDescent="0.2">
      <c r="J2936" s="358" t="str">
        <f t="shared" si="136"/>
        <v>2011AllSexAllEth223</v>
      </c>
      <c r="K2936" s="359">
        <v>2011</v>
      </c>
      <c r="L2936" t="s">
        <v>17</v>
      </c>
      <c r="M2936" t="s">
        <v>27</v>
      </c>
      <c r="N2936">
        <v>22</v>
      </c>
      <c r="O2936">
        <v>3</v>
      </c>
      <c r="P2936">
        <v>25</v>
      </c>
      <c r="Q2936">
        <v>21.241494334554901</v>
      </c>
      <c r="R2936">
        <v>8.3000000000000007</v>
      </c>
      <c r="T2936" s="358" t="str">
        <f t="shared" si="137"/>
        <v>2010AllSexNon-Maori21Hanging, strangulation and suffocation</v>
      </c>
      <c r="U2936" s="360">
        <v>2010</v>
      </c>
      <c r="V2936" s="360" t="s">
        <v>17</v>
      </c>
      <c r="W2936" s="360" t="s">
        <v>19</v>
      </c>
      <c r="X2936" s="360">
        <v>21</v>
      </c>
      <c r="Y2936" s="360" t="s">
        <v>43</v>
      </c>
      <c r="Z2936" s="360">
        <v>2</v>
      </c>
      <c r="AA2936" s="360">
        <v>2</v>
      </c>
      <c r="AB2936" s="360">
        <v>100</v>
      </c>
    </row>
    <row r="2937" spans="10:28" x14ac:dyDescent="0.2">
      <c r="J2937" s="358" t="str">
        <f t="shared" si="136"/>
        <v>2011AllSexAllEth224</v>
      </c>
      <c r="K2937" s="359">
        <v>2011</v>
      </c>
      <c r="L2937" t="s">
        <v>17</v>
      </c>
      <c r="M2937" t="s">
        <v>27</v>
      </c>
      <c r="N2937">
        <v>22</v>
      </c>
      <c r="O2937">
        <v>4</v>
      </c>
      <c r="P2937">
        <v>22</v>
      </c>
      <c r="Q2937">
        <v>16.622611796462301</v>
      </c>
      <c r="R2937">
        <v>6.9</v>
      </c>
      <c r="T2937" s="358" t="str">
        <f t="shared" si="137"/>
        <v>2010AllSexNon-Maori22Hanging, strangulation and suffocation</v>
      </c>
      <c r="U2937" s="360">
        <v>2010</v>
      </c>
      <c r="V2937" s="360" t="s">
        <v>17</v>
      </c>
      <c r="W2937" s="360" t="s">
        <v>19</v>
      </c>
      <c r="X2937" s="360">
        <v>22</v>
      </c>
      <c r="Y2937" s="360" t="s">
        <v>43</v>
      </c>
      <c r="Z2937" s="360">
        <v>50</v>
      </c>
      <c r="AA2937" s="360">
        <v>69</v>
      </c>
      <c r="AB2937" s="360">
        <v>72.5</v>
      </c>
    </row>
    <row r="2938" spans="10:28" x14ac:dyDescent="0.2">
      <c r="J2938" s="358" t="str">
        <f t="shared" si="136"/>
        <v>2011AllSexAllEth225</v>
      </c>
      <c r="K2938" s="359">
        <v>2011</v>
      </c>
      <c r="L2938" t="s">
        <v>17</v>
      </c>
      <c r="M2938" t="s">
        <v>27</v>
      </c>
      <c r="N2938">
        <v>22</v>
      </c>
      <c r="O2938">
        <v>5</v>
      </c>
      <c r="P2938">
        <v>49</v>
      </c>
      <c r="Q2938">
        <v>32.554462725283301</v>
      </c>
      <c r="R2938">
        <v>9.1</v>
      </c>
      <c r="T2938" s="358" t="str">
        <f t="shared" si="137"/>
        <v>2010AllSexNon-Maori23Hanging, strangulation and suffocation</v>
      </c>
      <c r="U2938" s="360">
        <v>2010</v>
      </c>
      <c r="V2938" s="360" t="s">
        <v>17</v>
      </c>
      <c r="W2938" s="360" t="s">
        <v>19</v>
      </c>
      <c r="X2938" s="360">
        <v>23</v>
      </c>
      <c r="Y2938" s="360" t="s">
        <v>43</v>
      </c>
      <c r="Z2938" s="360">
        <v>92</v>
      </c>
      <c r="AA2938" s="360">
        <v>158</v>
      </c>
      <c r="AB2938" s="360">
        <v>58.2</v>
      </c>
    </row>
    <row r="2939" spans="10:28" x14ac:dyDescent="0.2">
      <c r="J2939" s="358" t="str">
        <f t="shared" si="136"/>
        <v>2011AllSexAllEth231</v>
      </c>
      <c r="K2939" s="359">
        <v>2011</v>
      </c>
      <c r="L2939" t="s">
        <v>17</v>
      </c>
      <c r="M2939" t="s">
        <v>27</v>
      </c>
      <c r="N2939">
        <v>23</v>
      </c>
      <c r="O2939">
        <v>1</v>
      </c>
      <c r="P2939">
        <v>25</v>
      </c>
      <c r="Q2939">
        <v>11.3851673282244</v>
      </c>
      <c r="R2939">
        <v>4.5</v>
      </c>
      <c r="T2939" s="358" t="str">
        <f t="shared" si="137"/>
        <v>2010AllSexNon-Maori24Hanging, strangulation and suffocation</v>
      </c>
      <c r="U2939" s="360">
        <v>2010</v>
      </c>
      <c r="V2939" s="360" t="s">
        <v>17</v>
      </c>
      <c r="W2939" s="360" t="s">
        <v>19</v>
      </c>
      <c r="X2939" s="360">
        <v>24</v>
      </c>
      <c r="Y2939" s="360" t="s">
        <v>43</v>
      </c>
      <c r="Z2939" s="360">
        <v>69</v>
      </c>
      <c r="AA2939" s="360">
        <v>146</v>
      </c>
      <c r="AB2939" s="360">
        <v>47.3</v>
      </c>
    </row>
    <row r="2940" spans="10:28" x14ac:dyDescent="0.2">
      <c r="J2940" s="358" t="str">
        <f t="shared" si="136"/>
        <v>2011AllSexAllEth232</v>
      </c>
      <c r="K2940" s="359">
        <v>2011</v>
      </c>
      <c r="L2940" t="s">
        <v>17</v>
      </c>
      <c r="M2940" t="s">
        <v>27</v>
      </c>
      <c r="N2940">
        <v>23</v>
      </c>
      <c r="O2940">
        <v>2</v>
      </c>
      <c r="P2940">
        <v>24</v>
      </c>
      <c r="Q2940">
        <v>10.153947571105199</v>
      </c>
      <c r="R2940">
        <v>4.0999999999999996</v>
      </c>
      <c r="T2940" s="358" t="str">
        <f t="shared" si="137"/>
        <v>2010AllSexNon-Maori25Hanging, strangulation and suffocation</v>
      </c>
      <c r="U2940" s="360">
        <v>2010</v>
      </c>
      <c r="V2940" s="360" t="s">
        <v>17</v>
      </c>
      <c r="W2940" s="360" t="s">
        <v>19</v>
      </c>
      <c r="X2940" s="360">
        <v>25</v>
      </c>
      <c r="Y2940" s="360" t="s">
        <v>43</v>
      </c>
      <c r="Z2940" s="360">
        <v>22</v>
      </c>
      <c r="AA2940" s="360">
        <v>57</v>
      </c>
      <c r="AB2940" s="360">
        <v>38.6</v>
      </c>
    </row>
    <row r="2941" spans="10:28" x14ac:dyDescent="0.2">
      <c r="J2941" s="358" t="str">
        <f t="shared" si="136"/>
        <v>2011AllSexAllEth233</v>
      </c>
      <c r="K2941" s="359">
        <v>2011</v>
      </c>
      <c r="L2941" t="s">
        <v>17</v>
      </c>
      <c r="M2941" t="s">
        <v>27</v>
      </c>
      <c r="N2941">
        <v>23</v>
      </c>
      <c r="O2941">
        <v>3</v>
      </c>
      <c r="P2941">
        <v>27</v>
      </c>
      <c r="Q2941">
        <v>11.2250458390719</v>
      </c>
      <c r="R2941">
        <v>4.2</v>
      </c>
      <c r="T2941" s="358" t="str">
        <f t="shared" si="137"/>
        <v>2010AllSexNon-Maori22Jumping from a high place</v>
      </c>
      <c r="U2941" s="360">
        <v>2010</v>
      </c>
      <c r="V2941" s="360" t="s">
        <v>17</v>
      </c>
      <c r="W2941" s="360" t="s">
        <v>19</v>
      </c>
      <c r="X2941" s="360">
        <v>22</v>
      </c>
      <c r="Y2941" s="360" t="s">
        <v>44</v>
      </c>
      <c r="Z2941" s="360">
        <v>2</v>
      </c>
      <c r="AA2941" s="360">
        <v>69</v>
      </c>
      <c r="AB2941" s="360">
        <v>2.9</v>
      </c>
    </row>
    <row r="2942" spans="10:28" x14ac:dyDescent="0.2">
      <c r="J2942" s="358" t="str">
        <f t="shared" si="136"/>
        <v>2011AllSexAllEth234</v>
      </c>
      <c r="K2942" s="359">
        <v>2011</v>
      </c>
      <c r="L2942" t="s">
        <v>17</v>
      </c>
      <c r="M2942" t="s">
        <v>27</v>
      </c>
      <c r="N2942">
        <v>23</v>
      </c>
      <c r="O2942">
        <v>4</v>
      </c>
      <c r="P2942">
        <v>33</v>
      </c>
      <c r="Q2942">
        <v>14.017735082138</v>
      </c>
      <c r="R2942">
        <v>4.8</v>
      </c>
      <c r="T2942" s="358" t="str">
        <f t="shared" si="137"/>
        <v>2010AllSexNon-Maori23Jumping from a high place</v>
      </c>
      <c r="U2942" s="360">
        <v>2010</v>
      </c>
      <c r="V2942" s="360" t="s">
        <v>17</v>
      </c>
      <c r="W2942" s="360" t="s">
        <v>19</v>
      </c>
      <c r="X2942" s="360">
        <v>23</v>
      </c>
      <c r="Y2942" s="360" t="s">
        <v>44</v>
      </c>
      <c r="Z2942" s="360">
        <v>3</v>
      </c>
      <c r="AA2942" s="360">
        <v>158</v>
      </c>
      <c r="AB2942" s="360">
        <v>1.9</v>
      </c>
    </row>
    <row r="2943" spans="10:28" x14ac:dyDescent="0.2">
      <c r="J2943" s="358" t="str">
        <f t="shared" si="136"/>
        <v>2011AllSexAllEth235</v>
      </c>
      <c r="K2943" s="359">
        <v>2011</v>
      </c>
      <c r="L2943" t="s">
        <v>17</v>
      </c>
      <c r="M2943" t="s">
        <v>27</v>
      </c>
      <c r="N2943">
        <v>23</v>
      </c>
      <c r="O2943">
        <v>5</v>
      </c>
      <c r="P2943">
        <v>52</v>
      </c>
      <c r="Q2943">
        <v>23.413397538986899</v>
      </c>
      <c r="R2943">
        <v>6.4</v>
      </c>
      <c r="T2943" s="358" t="str">
        <f t="shared" si="137"/>
        <v>2010AllSexNon-Maori24Jumping from a high place</v>
      </c>
      <c r="U2943" s="360">
        <v>2010</v>
      </c>
      <c r="V2943" s="360" t="s">
        <v>17</v>
      </c>
      <c r="W2943" s="360" t="s">
        <v>19</v>
      </c>
      <c r="X2943" s="360">
        <v>24</v>
      </c>
      <c r="Y2943" s="360" t="s">
        <v>44</v>
      </c>
      <c r="Z2943" s="360">
        <v>6</v>
      </c>
      <c r="AA2943" s="360">
        <v>146</v>
      </c>
      <c r="AB2943" s="360">
        <v>4.0999999999999996</v>
      </c>
    </row>
    <row r="2944" spans="10:28" x14ac:dyDescent="0.2">
      <c r="J2944" s="358" t="str">
        <f t="shared" si="136"/>
        <v>2011AllSexAllEth241</v>
      </c>
      <c r="K2944" s="359">
        <v>2011</v>
      </c>
      <c r="L2944" t="s">
        <v>17</v>
      </c>
      <c r="M2944" t="s">
        <v>27</v>
      </c>
      <c r="N2944">
        <v>24</v>
      </c>
      <c r="O2944">
        <v>1</v>
      </c>
      <c r="P2944">
        <v>32</v>
      </c>
      <c r="Q2944">
        <v>11.771349410784699</v>
      </c>
      <c r="R2944">
        <v>4.0999999999999996</v>
      </c>
      <c r="T2944" s="358" t="str">
        <f t="shared" si="137"/>
        <v>2010AllSexNon-Maori25Jumping from a high place</v>
      </c>
      <c r="U2944" s="360">
        <v>2010</v>
      </c>
      <c r="V2944" s="360" t="s">
        <v>17</v>
      </c>
      <c r="W2944" s="360" t="s">
        <v>19</v>
      </c>
      <c r="X2944" s="360">
        <v>25</v>
      </c>
      <c r="Y2944" s="360" t="s">
        <v>44</v>
      </c>
      <c r="Z2944" s="360">
        <v>1</v>
      </c>
      <c r="AA2944" s="360">
        <v>57</v>
      </c>
      <c r="AB2944" s="360">
        <v>1.8</v>
      </c>
    </row>
    <row r="2945" spans="10:28" x14ac:dyDescent="0.2">
      <c r="J2945" s="358" t="str">
        <f t="shared" si="136"/>
        <v>2011AllSexAllEth242</v>
      </c>
      <c r="K2945" s="359">
        <v>2011</v>
      </c>
      <c r="L2945" t="s">
        <v>17</v>
      </c>
      <c r="M2945" t="s">
        <v>27</v>
      </c>
      <c r="N2945">
        <v>24</v>
      </c>
      <c r="O2945">
        <v>2</v>
      </c>
      <c r="P2945">
        <v>24</v>
      </c>
      <c r="Q2945">
        <v>9.8864789617812594</v>
      </c>
      <c r="R2945">
        <v>4</v>
      </c>
      <c r="T2945" s="358" t="str">
        <f t="shared" si="137"/>
        <v>2010AllSexNon-Maori22Other</v>
      </c>
      <c r="U2945" s="360">
        <v>2010</v>
      </c>
      <c r="V2945" s="360" t="s">
        <v>17</v>
      </c>
      <c r="W2945" s="360" t="s">
        <v>19</v>
      </c>
      <c r="X2945" s="360">
        <v>22</v>
      </c>
      <c r="Y2945" s="360" t="s">
        <v>45</v>
      </c>
      <c r="Z2945" s="360">
        <v>1</v>
      </c>
      <c r="AA2945" s="360">
        <v>69</v>
      </c>
      <c r="AB2945" s="360">
        <v>1.4</v>
      </c>
    </row>
    <row r="2946" spans="10:28" x14ac:dyDescent="0.2">
      <c r="J2946" s="358" t="str">
        <f t="shared" si="136"/>
        <v>2011AllSexAllEth243</v>
      </c>
      <c r="K2946" s="359">
        <v>2011</v>
      </c>
      <c r="L2946" t="s">
        <v>17</v>
      </c>
      <c r="M2946" t="s">
        <v>27</v>
      </c>
      <c r="N2946">
        <v>24</v>
      </c>
      <c r="O2946">
        <v>3</v>
      </c>
      <c r="P2946">
        <v>37</v>
      </c>
      <c r="Q2946">
        <v>16.8368978272429</v>
      </c>
      <c r="R2946">
        <v>5.4</v>
      </c>
      <c r="T2946" s="358" t="str">
        <f t="shared" si="137"/>
        <v>2010AllSexNon-Maori23Other</v>
      </c>
      <c r="U2946" s="360">
        <v>2010</v>
      </c>
      <c r="V2946" s="360" t="s">
        <v>17</v>
      </c>
      <c r="W2946" s="360" t="s">
        <v>19</v>
      </c>
      <c r="X2946" s="360">
        <v>23</v>
      </c>
      <c r="Y2946" s="360" t="s">
        <v>45</v>
      </c>
      <c r="Z2946" s="360">
        <v>4</v>
      </c>
      <c r="AA2946" s="360">
        <v>158</v>
      </c>
      <c r="AB2946" s="360">
        <v>2.5</v>
      </c>
    </row>
    <row r="2947" spans="10:28" x14ac:dyDescent="0.2">
      <c r="J2947" s="358" t="str">
        <f t="shared" si="136"/>
        <v>2011AllSexAllEth244</v>
      </c>
      <c r="K2947" s="359">
        <v>2011</v>
      </c>
      <c r="L2947" t="s">
        <v>17</v>
      </c>
      <c r="M2947" t="s">
        <v>27</v>
      </c>
      <c r="N2947">
        <v>24</v>
      </c>
      <c r="O2947">
        <v>4</v>
      </c>
      <c r="P2947">
        <v>26</v>
      </c>
      <c r="Q2947">
        <v>13.0256196799048</v>
      </c>
      <c r="R2947">
        <v>5</v>
      </c>
      <c r="T2947" s="358" t="str">
        <f t="shared" si="137"/>
        <v>2010AllSexNon-Maori24Other</v>
      </c>
      <c r="U2947" s="360">
        <v>2010</v>
      </c>
      <c r="V2947" s="360" t="s">
        <v>17</v>
      </c>
      <c r="W2947" s="360" t="s">
        <v>19</v>
      </c>
      <c r="X2947" s="360">
        <v>24</v>
      </c>
      <c r="Y2947" s="360" t="s">
        <v>45</v>
      </c>
      <c r="Z2947" s="360">
        <v>10</v>
      </c>
      <c r="AA2947" s="360">
        <v>146</v>
      </c>
      <c r="AB2947" s="360">
        <v>6.8</v>
      </c>
    </row>
    <row r="2948" spans="10:28" x14ac:dyDescent="0.2">
      <c r="J2948" s="358" t="str">
        <f t="shared" ref="J2948:J3011" si="138">K2948&amp;L2948&amp;M2948&amp;N2948&amp;O2948</f>
        <v>2011AllSexAllEth245</v>
      </c>
      <c r="K2948" s="359">
        <v>2011</v>
      </c>
      <c r="L2948" t="s">
        <v>17</v>
      </c>
      <c r="M2948" t="s">
        <v>27</v>
      </c>
      <c r="N2948">
        <v>24</v>
      </c>
      <c r="O2948">
        <v>5</v>
      </c>
      <c r="P2948">
        <v>25</v>
      </c>
      <c r="Q2948">
        <v>13.6235726323133</v>
      </c>
      <c r="R2948">
        <v>5.3</v>
      </c>
      <c r="T2948" s="358" t="str">
        <f t="shared" si="137"/>
        <v>2010AllSexNon-Maori25Other</v>
      </c>
      <c r="U2948" s="360">
        <v>2010</v>
      </c>
      <c r="V2948" s="360" t="s">
        <v>17</v>
      </c>
      <c r="W2948" s="360" t="s">
        <v>19</v>
      </c>
      <c r="X2948" s="360">
        <v>25</v>
      </c>
      <c r="Y2948" s="360" t="s">
        <v>45</v>
      </c>
      <c r="Z2948" s="360">
        <v>2</v>
      </c>
      <c r="AA2948" s="360">
        <v>57</v>
      </c>
      <c r="AB2948" s="360">
        <v>3.5</v>
      </c>
    </row>
    <row r="2949" spans="10:28" x14ac:dyDescent="0.2">
      <c r="J2949" s="358" t="str">
        <f t="shared" si="138"/>
        <v>2011AllSexAllEth251</v>
      </c>
      <c r="K2949" s="359">
        <v>2011</v>
      </c>
      <c r="L2949" t="s">
        <v>17</v>
      </c>
      <c r="M2949" t="s">
        <v>27</v>
      </c>
      <c r="N2949">
        <v>25</v>
      </c>
      <c r="O2949">
        <v>1</v>
      </c>
      <c r="P2949">
        <v>7</v>
      </c>
      <c r="Q2949">
        <v>5.8427897892515697</v>
      </c>
      <c r="R2949">
        <v>4.3</v>
      </c>
      <c r="T2949" s="358" t="str">
        <f t="shared" ref="T2949:T3012" si="139">U2949&amp;V2949&amp;W2949&amp;X2949&amp;Y2949</f>
        <v>2010AllSexNon-Maori22Poisoning by gases and vapours</v>
      </c>
      <c r="U2949" s="360">
        <v>2010</v>
      </c>
      <c r="V2949" s="360" t="s">
        <v>17</v>
      </c>
      <c r="W2949" s="360" t="s">
        <v>19</v>
      </c>
      <c r="X2949" s="360">
        <v>22</v>
      </c>
      <c r="Y2949" s="360" t="s">
        <v>46</v>
      </c>
      <c r="Z2949" s="360">
        <v>4</v>
      </c>
      <c r="AA2949" s="360">
        <v>69</v>
      </c>
      <c r="AB2949" s="360">
        <v>5.8</v>
      </c>
    </row>
    <row r="2950" spans="10:28" x14ac:dyDescent="0.2">
      <c r="J2950" s="358" t="str">
        <f t="shared" si="138"/>
        <v>2011AllSexAllEth252</v>
      </c>
      <c r="K2950" s="359">
        <v>2011</v>
      </c>
      <c r="L2950" t="s">
        <v>17</v>
      </c>
      <c r="M2950" t="s">
        <v>27</v>
      </c>
      <c r="N2950">
        <v>25</v>
      </c>
      <c r="O2950">
        <v>2</v>
      </c>
      <c r="P2950">
        <v>8</v>
      </c>
      <c r="Q2950">
        <v>6.6094495499466497</v>
      </c>
      <c r="R2950">
        <v>4.5999999999999996</v>
      </c>
      <c r="T2950" s="358" t="str">
        <f t="shared" si="139"/>
        <v>2010AllSexNon-Maori23Poisoning by gases and vapours</v>
      </c>
      <c r="U2950" s="360">
        <v>2010</v>
      </c>
      <c r="V2950" s="360" t="s">
        <v>17</v>
      </c>
      <c r="W2950" s="360" t="s">
        <v>19</v>
      </c>
      <c r="X2950" s="360">
        <v>23</v>
      </c>
      <c r="Y2950" s="360" t="s">
        <v>46</v>
      </c>
      <c r="Z2950" s="360">
        <v>24</v>
      </c>
      <c r="AA2950" s="360">
        <v>158</v>
      </c>
      <c r="AB2950" s="360">
        <v>15.2</v>
      </c>
    </row>
    <row r="2951" spans="10:28" x14ac:dyDescent="0.2">
      <c r="J2951" s="358" t="str">
        <f t="shared" si="138"/>
        <v>2011AllSexAllEth253</v>
      </c>
      <c r="K2951" s="359">
        <v>2011</v>
      </c>
      <c r="L2951" t="s">
        <v>17</v>
      </c>
      <c r="M2951" t="s">
        <v>27</v>
      </c>
      <c r="N2951">
        <v>25</v>
      </c>
      <c r="O2951">
        <v>3</v>
      </c>
      <c r="P2951">
        <v>13</v>
      </c>
      <c r="Q2951">
        <v>10.853505567093</v>
      </c>
      <c r="R2951">
        <v>5.9</v>
      </c>
      <c r="T2951" s="358" t="str">
        <f t="shared" si="139"/>
        <v>2010AllSexNon-Maori24Poisoning by gases and vapours</v>
      </c>
      <c r="U2951" s="360">
        <v>2010</v>
      </c>
      <c r="V2951" s="360" t="s">
        <v>17</v>
      </c>
      <c r="W2951" s="360" t="s">
        <v>19</v>
      </c>
      <c r="X2951" s="360">
        <v>24</v>
      </c>
      <c r="Y2951" s="360" t="s">
        <v>46</v>
      </c>
      <c r="Z2951" s="360">
        <v>19</v>
      </c>
      <c r="AA2951" s="360">
        <v>146</v>
      </c>
      <c r="AB2951" s="360">
        <v>13</v>
      </c>
    </row>
    <row r="2952" spans="10:28" x14ac:dyDescent="0.2">
      <c r="J2952" s="358" t="str">
        <f t="shared" si="138"/>
        <v>2011AllSexAllEth254</v>
      </c>
      <c r="K2952" s="359">
        <v>2011</v>
      </c>
      <c r="L2952" t="s">
        <v>17</v>
      </c>
      <c r="M2952" t="s">
        <v>27</v>
      </c>
      <c r="N2952">
        <v>25</v>
      </c>
      <c r="O2952">
        <v>4</v>
      </c>
      <c r="P2952">
        <v>8</v>
      </c>
      <c r="Q2952">
        <v>6.60402821934386</v>
      </c>
      <c r="R2952">
        <v>4.5999999999999996</v>
      </c>
      <c r="T2952" s="358" t="str">
        <f t="shared" si="139"/>
        <v>2010AllSexNon-Maori25Poisoning by gases and vapours</v>
      </c>
      <c r="U2952" s="360">
        <v>2010</v>
      </c>
      <c r="V2952" s="360" t="s">
        <v>17</v>
      </c>
      <c r="W2952" s="360" t="s">
        <v>19</v>
      </c>
      <c r="X2952" s="360">
        <v>25</v>
      </c>
      <c r="Y2952" s="360" t="s">
        <v>46</v>
      </c>
      <c r="Z2952" s="360">
        <v>10</v>
      </c>
      <c r="AA2952" s="360">
        <v>57</v>
      </c>
      <c r="AB2952" s="360">
        <v>17.5</v>
      </c>
    </row>
    <row r="2953" spans="10:28" x14ac:dyDescent="0.2">
      <c r="J2953" s="358" t="str">
        <f t="shared" si="138"/>
        <v>2011AllSexAllEth255</v>
      </c>
      <c r="K2953" s="359">
        <v>2011</v>
      </c>
      <c r="L2953" t="s">
        <v>17</v>
      </c>
      <c r="M2953" t="s">
        <v>27</v>
      </c>
      <c r="N2953">
        <v>25</v>
      </c>
      <c r="O2953">
        <v>5</v>
      </c>
      <c r="P2953">
        <v>7</v>
      </c>
      <c r="Q2953">
        <v>7.1182948978656002</v>
      </c>
      <c r="R2953">
        <v>5.3</v>
      </c>
      <c r="T2953" s="358" t="str">
        <f t="shared" si="139"/>
        <v>2010AllSexNon-Maori22Poisoning by solids and liquids</v>
      </c>
      <c r="U2953" s="360">
        <v>2010</v>
      </c>
      <c r="V2953" s="360" t="s">
        <v>17</v>
      </c>
      <c r="W2953" s="360" t="s">
        <v>19</v>
      </c>
      <c r="X2953" s="360">
        <v>22</v>
      </c>
      <c r="Y2953" s="360" t="s">
        <v>47</v>
      </c>
      <c r="Z2953" s="360">
        <v>4</v>
      </c>
      <c r="AA2953" s="360">
        <v>69</v>
      </c>
      <c r="AB2953" s="360">
        <v>5.8</v>
      </c>
    </row>
    <row r="2954" spans="10:28" x14ac:dyDescent="0.2">
      <c r="J2954" s="358" t="str">
        <f t="shared" si="138"/>
        <v>2011AllSexMaori211</v>
      </c>
      <c r="K2954" s="359">
        <v>2011</v>
      </c>
      <c r="L2954" t="s">
        <v>17</v>
      </c>
      <c r="M2954" t="s">
        <v>18</v>
      </c>
      <c r="N2954">
        <v>21</v>
      </c>
      <c r="O2954">
        <v>1</v>
      </c>
      <c r="P2954">
        <v>0</v>
      </c>
      <c r="T2954" s="358" t="str">
        <f t="shared" si="139"/>
        <v>2010AllSexNon-Maori23Poisoning by solids and liquids</v>
      </c>
      <c r="U2954" s="360">
        <v>2010</v>
      </c>
      <c r="V2954" s="360" t="s">
        <v>17</v>
      </c>
      <c r="W2954" s="360" t="s">
        <v>19</v>
      </c>
      <c r="X2954" s="360">
        <v>23</v>
      </c>
      <c r="Y2954" s="360" t="s">
        <v>47</v>
      </c>
      <c r="Z2954" s="360">
        <v>19</v>
      </c>
      <c r="AA2954" s="360">
        <v>158</v>
      </c>
      <c r="AB2954" s="360">
        <v>12</v>
      </c>
    </row>
    <row r="2955" spans="10:28" x14ac:dyDescent="0.2">
      <c r="J2955" s="358" t="str">
        <f t="shared" si="138"/>
        <v>2011AllSexMaori212</v>
      </c>
      <c r="K2955" s="359">
        <v>2011</v>
      </c>
      <c r="L2955" t="s">
        <v>17</v>
      </c>
      <c r="M2955" t="s">
        <v>18</v>
      </c>
      <c r="N2955">
        <v>21</v>
      </c>
      <c r="O2955">
        <v>2</v>
      </c>
      <c r="P2955">
        <v>1</v>
      </c>
      <c r="T2955" s="358" t="str">
        <f t="shared" si="139"/>
        <v>2010AllSexNon-Maori24Poisoning by solids and liquids</v>
      </c>
      <c r="U2955" s="360">
        <v>2010</v>
      </c>
      <c r="V2955" s="360" t="s">
        <v>17</v>
      </c>
      <c r="W2955" s="360" t="s">
        <v>19</v>
      </c>
      <c r="X2955" s="360">
        <v>24</v>
      </c>
      <c r="Y2955" s="360" t="s">
        <v>47</v>
      </c>
      <c r="Z2955" s="360">
        <v>23</v>
      </c>
      <c r="AA2955" s="360">
        <v>146</v>
      </c>
      <c r="AB2955" s="360">
        <v>15.8</v>
      </c>
    </row>
    <row r="2956" spans="10:28" x14ac:dyDescent="0.2">
      <c r="J2956" s="358" t="str">
        <f t="shared" si="138"/>
        <v>2011AllSexMaori213</v>
      </c>
      <c r="K2956" s="359">
        <v>2011</v>
      </c>
      <c r="L2956" t="s">
        <v>17</v>
      </c>
      <c r="M2956" t="s">
        <v>18</v>
      </c>
      <c r="N2956">
        <v>21</v>
      </c>
      <c r="O2956">
        <v>3</v>
      </c>
      <c r="P2956">
        <v>1</v>
      </c>
      <c r="T2956" s="358" t="str">
        <f t="shared" si="139"/>
        <v>2010AllSexNon-Maori25Poisoning by solids and liquids</v>
      </c>
      <c r="U2956" s="360">
        <v>2010</v>
      </c>
      <c r="V2956" s="360" t="s">
        <v>17</v>
      </c>
      <c r="W2956" s="360" t="s">
        <v>19</v>
      </c>
      <c r="X2956" s="360">
        <v>25</v>
      </c>
      <c r="Y2956" s="360" t="s">
        <v>47</v>
      </c>
      <c r="Z2956" s="360">
        <v>10</v>
      </c>
      <c r="AA2956" s="360">
        <v>57</v>
      </c>
      <c r="AB2956" s="360">
        <v>17.5</v>
      </c>
    </row>
    <row r="2957" spans="10:28" x14ac:dyDescent="0.2">
      <c r="J2957" s="358" t="str">
        <f t="shared" si="138"/>
        <v>2011AllSexMaori214</v>
      </c>
      <c r="K2957" s="359">
        <v>2011</v>
      </c>
      <c r="L2957" t="s">
        <v>17</v>
      </c>
      <c r="M2957" t="s">
        <v>18</v>
      </c>
      <c r="N2957">
        <v>21</v>
      </c>
      <c r="O2957">
        <v>4</v>
      </c>
      <c r="P2957">
        <v>0</v>
      </c>
      <c r="T2957" s="358" t="str">
        <f t="shared" si="139"/>
        <v>2010AllSexNon-Maori22Sharp object</v>
      </c>
      <c r="U2957" s="360">
        <v>2010</v>
      </c>
      <c r="V2957" s="360" t="s">
        <v>17</v>
      </c>
      <c r="W2957" s="360" t="s">
        <v>19</v>
      </c>
      <c r="X2957" s="360">
        <v>22</v>
      </c>
      <c r="Y2957" s="360" t="s">
        <v>48</v>
      </c>
      <c r="Z2957" s="360">
        <v>2</v>
      </c>
      <c r="AA2957" s="360">
        <v>69</v>
      </c>
      <c r="AB2957" s="360">
        <v>2.9</v>
      </c>
    </row>
    <row r="2958" spans="10:28" x14ac:dyDescent="0.2">
      <c r="J2958" s="358" t="str">
        <f t="shared" si="138"/>
        <v>2011AllSexMaori215</v>
      </c>
      <c r="K2958" s="359">
        <v>2011</v>
      </c>
      <c r="L2958" t="s">
        <v>17</v>
      </c>
      <c r="M2958" t="s">
        <v>18</v>
      </c>
      <c r="N2958">
        <v>21</v>
      </c>
      <c r="O2958">
        <v>5</v>
      </c>
      <c r="P2958">
        <v>2</v>
      </c>
      <c r="T2958" s="358" t="str">
        <f t="shared" si="139"/>
        <v>2010AllSexNon-Maori23Sharp object</v>
      </c>
      <c r="U2958" s="360">
        <v>2010</v>
      </c>
      <c r="V2958" s="360" t="s">
        <v>17</v>
      </c>
      <c r="W2958" s="360" t="s">
        <v>19</v>
      </c>
      <c r="X2958" s="360">
        <v>23</v>
      </c>
      <c r="Y2958" s="360" t="s">
        <v>48</v>
      </c>
      <c r="Z2958" s="360">
        <v>3</v>
      </c>
      <c r="AA2958" s="360">
        <v>158</v>
      </c>
      <c r="AB2958" s="360">
        <v>1.9</v>
      </c>
    </row>
    <row r="2959" spans="10:28" x14ac:dyDescent="0.2">
      <c r="J2959" s="358" t="str">
        <f t="shared" si="138"/>
        <v>2011AllSexMaori221</v>
      </c>
      <c r="K2959" s="359">
        <v>2011</v>
      </c>
      <c r="L2959" t="s">
        <v>17</v>
      </c>
      <c r="M2959" t="s">
        <v>18</v>
      </c>
      <c r="N2959">
        <v>22</v>
      </c>
      <c r="O2959">
        <v>1</v>
      </c>
      <c r="P2959">
        <v>2</v>
      </c>
      <c r="Q2959">
        <v>19.052657628734401</v>
      </c>
      <c r="R2959">
        <v>26.4</v>
      </c>
      <c r="T2959" s="358" t="str">
        <f t="shared" si="139"/>
        <v>2010AllSexNon-Maori24Sharp object</v>
      </c>
      <c r="U2959" s="360">
        <v>2010</v>
      </c>
      <c r="V2959" s="360" t="s">
        <v>17</v>
      </c>
      <c r="W2959" s="360" t="s">
        <v>19</v>
      </c>
      <c r="X2959" s="360">
        <v>24</v>
      </c>
      <c r="Y2959" s="360" t="s">
        <v>48</v>
      </c>
      <c r="Z2959" s="360">
        <v>2</v>
      </c>
      <c r="AA2959" s="360">
        <v>146</v>
      </c>
      <c r="AB2959" s="360">
        <v>1.4</v>
      </c>
    </row>
    <row r="2960" spans="10:28" x14ac:dyDescent="0.2">
      <c r="J2960" s="358" t="str">
        <f t="shared" si="138"/>
        <v>2011AllSexMaori222</v>
      </c>
      <c r="K2960" s="359">
        <v>2011</v>
      </c>
      <c r="L2960" t="s">
        <v>17</v>
      </c>
      <c r="M2960" t="s">
        <v>18</v>
      </c>
      <c r="N2960">
        <v>22</v>
      </c>
      <c r="O2960">
        <v>2</v>
      </c>
      <c r="P2960">
        <v>5</v>
      </c>
      <c r="Q2960">
        <v>35.764532337188903</v>
      </c>
      <c r="R2960">
        <v>31.3</v>
      </c>
      <c r="T2960" s="358" t="str">
        <f t="shared" si="139"/>
        <v>2010AllSexNon-Maori25Sharp object</v>
      </c>
      <c r="U2960" s="360">
        <v>2010</v>
      </c>
      <c r="V2960" s="360" t="s">
        <v>17</v>
      </c>
      <c r="W2960" s="360" t="s">
        <v>19</v>
      </c>
      <c r="X2960" s="360">
        <v>25</v>
      </c>
      <c r="Y2960" s="360" t="s">
        <v>48</v>
      </c>
      <c r="Z2960" s="360">
        <v>1</v>
      </c>
      <c r="AA2960" s="360">
        <v>57</v>
      </c>
      <c r="AB2960" s="360">
        <v>1.8</v>
      </c>
    </row>
    <row r="2961" spans="10:28" x14ac:dyDescent="0.2">
      <c r="J2961" s="358" t="str">
        <f t="shared" si="138"/>
        <v>2011AllSexMaori223</v>
      </c>
      <c r="K2961" s="359">
        <v>2011</v>
      </c>
      <c r="L2961" t="s">
        <v>17</v>
      </c>
      <c r="M2961" t="s">
        <v>18</v>
      </c>
      <c r="N2961">
        <v>22</v>
      </c>
      <c r="O2961">
        <v>3</v>
      </c>
      <c r="P2961">
        <v>8</v>
      </c>
      <c r="Q2961">
        <v>39.384863369850002</v>
      </c>
      <c r="R2961">
        <v>27.3</v>
      </c>
      <c r="T2961" s="358" t="str">
        <f t="shared" si="139"/>
        <v>2010AllSexNon-Maori22Submersion (drowning)</v>
      </c>
      <c r="U2961" s="360">
        <v>2010</v>
      </c>
      <c r="V2961" s="360" t="s">
        <v>17</v>
      </c>
      <c r="W2961" s="360" t="s">
        <v>19</v>
      </c>
      <c r="X2961" s="360">
        <v>22</v>
      </c>
      <c r="Y2961" s="360" t="s">
        <v>49</v>
      </c>
      <c r="Z2961" s="360">
        <v>2</v>
      </c>
      <c r="AA2961" s="360">
        <v>69</v>
      </c>
      <c r="AB2961" s="360">
        <v>2.9</v>
      </c>
    </row>
    <row r="2962" spans="10:28" x14ac:dyDescent="0.2">
      <c r="J2962" s="358" t="str">
        <f t="shared" si="138"/>
        <v>2011AllSexMaori224</v>
      </c>
      <c r="K2962" s="359">
        <v>2011</v>
      </c>
      <c r="L2962" t="s">
        <v>17</v>
      </c>
      <c r="M2962" t="s">
        <v>18</v>
      </c>
      <c r="N2962">
        <v>22</v>
      </c>
      <c r="O2962">
        <v>4</v>
      </c>
      <c r="P2962">
        <v>11</v>
      </c>
      <c r="Q2962">
        <v>37.495532198490302</v>
      </c>
      <c r="R2962">
        <v>22.2</v>
      </c>
      <c r="T2962" s="358" t="str">
        <f t="shared" si="139"/>
        <v>2010AllSexNon-Maori23Submersion (drowning)</v>
      </c>
      <c r="U2962" s="360">
        <v>2010</v>
      </c>
      <c r="V2962" s="360" t="s">
        <v>17</v>
      </c>
      <c r="W2962" s="360" t="s">
        <v>19</v>
      </c>
      <c r="X2962" s="360">
        <v>23</v>
      </c>
      <c r="Y2962" s="360" t="s">
        <v>49</v>
      </c>
      <c r="Z2962" s="360">
        <v>2</v>
      </c>
      <c r="AA2962" s="360">
        <v>158</v>
      </c>
      <c r="AB2962" s="360">
        <v>1.3</v>
      </c>
    </row>
    <row r="2963" spans="10:28" x14ac:dyDescent="0.2">
      <c r="J2963" s="358" t="str">
        <f t="shared" si="138"/>
        <v>2011AllSexMaori225</v>
      </c>
      <c r="K2963" s="359">
        <v>2011</v>
      </c>
      <c r="L2963" t="s">
        <v>17</v>
      </c>
      <c r="M2963" t="s">
        <v>18</v>
      </c>
      <c r="N2963">
        <v>22</v>
      </c>
      <c r="O2963">
        <v>5</v>
      </c>
      <c r="P2963">
        <v>22</v>
      </c>
      <c r="Q2963">
        <v>43.600303390714103</v>
      </c>
      <c r="R2963">
        <v>18.2</v>
      </c>
      <c r="T2963" s="358" t="str">
        <f t="shared" si="139"/>
        <v>2010AllSexNon-Maori24Submersion (drowning)</v>
      </c>
      <c r="U2963" s="360">
        <v>2010</v>
      </c>
      <c r="V2963" s="360" t="s">
        <v>17</v>
      </c>
      <c r="W2963" s="360" t="s">
        <v>19</v>
      </c>
      <c r="X2963" s="360">
        <v>24</v>
      </c>
      <c r="Y2963" s="360" t="s">
        <v>49</v>
      </c>
      <c r="Z2963" s="360">
        <v>4</v>
      </c>
      <c r="AA2963" s="360">
        <v>146</v>
      </c>
      <c r="AB2963" s="360">
        <v>2.7</v>
      </c>
    </row>
    <row r="2964" spans="10:28" x14ac:dyDescent="0.2">
      <c r="J2964" s="358" t="str">
        <f t="shared" si="138"/>
        <v>2011AllSexMaori231</v>
      </c>
      <c r="K2964" s="359">
        <v>2011</v>
      </c>
      <c r="L2964" t="s">
        <v>17</v>
      </c>
      <c r="M2964" t="s">
        <v>18</v>
      </c>
      <c r="N2964">
        <v>23</v>
      </c>
      <c r="O2964">
        <v>1</v>
      </c>
      <c r="P2964">
        <v>3</v>
      </c>
      <c r="Q2964">
        <v>20.153983748218501</v>
      </c>
      <c r="R2964">
        <v>22.8</v>
      </c>
      <c r="T2964" s="358" t="str">
        <f t="shared" si="139"/>
        <v>2010AllSexNon-Maori25Submersion (drowning)</v>
      </c>
      <c r="U2964" s="360">
        <v>2010</v>
      </c>
      <c r="V2964" s="360" t="s">
        <v>17</v>
      </c>
      <c r="W2964" s="360" t="s">
        <v>19</v>
      </c>
      <c r="X2964" s="360">
        <v>25</v>
      </c>
      <c r="Y2964" s="360" t="s">
        <v>49</v>
      </c>
      <c r="Z2964" s="360">
        <v>1</v>
      </c>
      <c r="AA2964" s="360">
        <v>57</v>
      </c>
      <c r="AB2964" s="360">
        <v>1.8</v>
      </c>
    </row>
    <row r="2965" spans="10:28" x14ac:dyDescent="0.2">
      <c r="J2965" s="358" t="str">
        <f t="shared" si="138"/>
        <v>2011AllSexMaori232</v>
      </c>
      <c r="K2965" s="359">
        <v>2011</v>
      </c>
      <c r="L2965" t="s">
        <v>17</v>
      </c>
      <c r="M2965" t="s">
        <v>18</v>
      </c>
      <c r="N2965">
        <v>23</v>
      </c>
      <c r="O2965">
        <v>2</v>
      </c>
      <c r="P2965">
        <v>5</v>
      </c>
      <c r="Q2965">
        <v>24.266418967532701</v>
      </c>
      <c r="R2965">
        <v>21.3</v>
      </c>
      <c r="T2965" s="358" t="str">
        <f t="shared" si="139"/>
        <v>2010FemaleAllEth22Firearms and explosives</v>
      </c>
      <c r="U2965" s="360">
        <v>2010</v>
      </c>
      <c r="V2965" s="360" t="s">
        <v>8</v>
      </c>
      <c r="W2965" s="360" t="s">
        <v>27</v>
      </c>
      <c r="X2965" s="360">
        <v>22</v>
      </c>
      <c r="Y2965" s="360" t="s">
        <v>42</v>
      </c>
      <c r="Z2965" s="360">
        <v>1</v>
      </c>
      <c r="AA2965" s="360">
        <v>34</v>
      </c>
      <c r="AB2965" s="360">
        <v>2.9</v>
      </c>
    </row>
    <row r="2966" spans="10:28" x14ac:dyDescent="0.2">
      <c r="J2966" s="358" t="str">
        <f t="shared" si="138"/>
        <v>2011AllSexMaori233</v>
      </c>
      <c r="K2966" s="359">
        <v>2011</v>
      </c>
      <c r="L2966" t="s">
        <v>17</v>
      </c>
      <c r="M2966" t="s">
        <v>18</v>
      </c>
      <c r="N2966">
        <v>23</v>
      </c>
      <c r="O2966">
        <v>3</v>
      </c>
      <c r="P2966">
        <v>3</v>
      </c>
      <c r="Q2966">
        <v>10.468797374829901</v>
      </c>
      <c r="R2966">
        <v>11.8</v>
      </c>
      <c r="T2966" s="358" t="str">
        <f t="shared" si="139"/>
        <v>2010FemaleAllEth23Firearms and explosives</v>
      </c>
      <c r="U2966" s="360">
        <v>2010</v>
      </c>
      <c r="V2966" s="360" t="s">
        <v>8</v>
      </c>
      <c r="W2966" s="360" t="s">
        <v>27</v>
      </c>
      <c r="X2966" s="360">
        <v>23</v>
      </c>
      <c r="Y2966" s="360" t="s">
        <v>42</v>
      </c>
      <c r="Z2966" s="360">
        <v>1</v>
      </c>
      <c r="AA2966" s="360">
        <v>53</v>
      </c>
      <c r="AB2966" s="360">
        <v>1.9</v>
      </c>
    </row>
    <row r="2967" spans="10:28" x14ac:dyDescent="0.2">
      <c r="J2967" s="358" t="str">
        <f t="shared" si="138"/>
        <v>2011AllSexMaori234</v>
      </c>
      <c r="K2967" s="359">
        <v>2011</v>
      </c>
      <c r="L2967" t="s">
        <v>17</v>
      </c>
      <c r="M2967" t="s">
        <v>18</v>
      </c>
      <c r="N2967">
        <v>23</v>
      </c>
      <c r="O2967">
        <v>4</v>
      </c>
      <c r="P2967">
        <v>6</v>
      </c>
      <c r="Q2967">
        <v>15.1821032051896</v>
      </c>
      <c r="R2967">
        <v>12.1</v>
      </c>
      <c r="T2967" s="358" t="str">
        <f t="shared" si="139"/>
        <v>2010FemaleAllEth21Hanging, strangulation and suffocation</v>
      </c>
      <c r="U2967" s="360">
        <v>2010</v>
      </c>
      <c r="V2967" s="360" t="s">
        <v>8</v>
      </c>
      <c r="W2967" s="360" t="s">
        <v>27</v>
      </c>
      <c r="X2967" s="360">
        <v>21</v>
      </c>
      <c r="Y2967" s="360" t="s">
        <v>43</v>
      </c>
      <c r="Z2967" s="360">
        <v>3</v>
      </c>
      <c r="AA2967" s="360">
        <v>3</v>
      </c>
      <c r="AB2967" s="360">
        <v>100</v>
      </c>
    </row>
    <row r="2968" spans="10:28" x14ac:dyDescent="0.2">
      <c r="J2968" s="358" t="str">
        <f t="shared" si="138"/>
        <v>2011AllSexMaori235</v>
      </c>
      <c r="K2968" s="359">
        <v>2011</v>
      </c>
      <c r="L2968" t="s">
        <v>17</v>
      </c>
      <c r="M2968" t="s">
        <v>18</v>
      </c>
      <c r="N2968">
        <v>23</v>
      </c>
      <c r="O2968">
        <v>5</v>
      </c>
      <c r="P2968">
        <v>27</v>
      </c>
      <c r="Q2968">
        <v>42.235387906231303</v>
      </c>
      <c r="R2968">
        <v>15.9</v>
      </c>
      <c r="T2968" s="358" t="str">
        <f t="shared" si="139"/>
        <v>2010FemaleAllEth22Hanging, strangulation and suffocation</v>
      </c>
      <c r="U2968" s="360">
        <v>2010</v>
      </c>
      <c r="V2968" s="360" t="s">
        <v>8</v>
      </c>
      <c r="W2968" s="360" t="s">
        <v>27</v>
      </c>
      <c r="X2968" s="360">
        <v>22</v>
      </c>
      <c r="Y2968" s="360" t="s">
        <v>43</v>
      </c>
      <c r="Z2968" s="360">
        <v>26</v>
      </c>
      <c r="AA2968" s="360">
        <v>34</v>
      </c>
      <c r="AB2968" s="360">
        <v>76.5</v>
      </c>
    </row>
    <row r="2969" spans="10:28" x14ac:dyDescent="0.2">
      <c r="J2969" s="358" t="str">
        <f t="shared" si="138"/>
        <v>2011AllSexMaori241</v>
      </c>
      <c r="K2969" s="359">
        <v>2011</v>
      </c>
      <c r="L2969" t="s">
        <v>17</v>
      </c>
      <c r="M2969" t="s">
        <v>18</v>
      </c>
      <c r="N2969">
        <v>24</v>
      </c>
      <c r="O2969">
        <v>1</v>
      </c>
      <c r="P2969">
        <v>1</v>
      </c>
      <c r="Q2969">
        <v>8.5085826070445005</v>
      </c>
      <c r="R2969">
        <v>16.7</v>
      </c>
      <c r="T2969" s="358" t="str">
        <f t="shared" si="139"/>
        <v>2010FemaleAllEth23Hanging, strangulation and suffocation</v>
      </c>
      <c r="U2969" s="360">
        <v>2010</v>
      </c>
      <c r="V2969" s="360" t="s">
        <v>8</v>
      </c>
      <c r="W2969" s="360" t="s">
        <v>27</v>
      </c>
      <c r="X2969" s="360">
        <v>23</v>
      </c>
      <c r="Y2969" s="360" t="s">
        <v>43</v>
      </c>
      <c r="Z2969" s="360">
        <v>28</v>
      </c>
      <c r="AA2969" s="360">
        <v>53</v>
      </c>
      <c r="AB2969" s="360">
        <v>52.8</v>
      </c>
    </row>
    <row r="2970" spans="10:28" x14ac:dyDescent="0.2">
      <c r="J2970" s="358" t="str">
        <f t="shared" si="138"/>
        <v>2011AllSexMaori242</v>
      </c>
      <c r="K2970" s="359">
        <v>2011</v>
      </c>
      <c r="L2970" t="s">
        <v>17</v>
      </c>
      <c r="M2970" t="s">
        <v>18</v>
      </c>
      <c r="N2970">
        <v>24</v>
      </c>
      <c r="O2970">
        <v>2</v>
      </c>
      <c r="P2970">
        <v>6</v>
      </c>
      <c r="Q2970">
        <v>40.773906242293798</v>
      </c>
      <c r="R2970">
        <v>32.6</v>
      </c>
      <c r="T2970" s="358" t="str">
        <f t="shared" si="139"/>
        <v>2010FemaleAllEth24Hanging, strangulation and suffocation</v>
      </c>
      <c r="U2970" s="360">
        <v>2010</v>
      </c>
      <c r="V2970" s="360" t="s">
        <v>8</v>
      </c>
      <c r="W2970" s="360" t="s">
        <v>27</v>
      </c>
      <c r="X2970" s="360">
        <v>24</v>
      </c>
      <c r="Y2970" s="360" t="s">
        <v>43</v>
      </c>
      <c r="Z2970" s="360">
        <v>17</v>
      </c>
      <c r="AA2970" s="360">
        <v>43</v>
      </c>
      <c r="AB2970" s="360">
        <v>39.5</v>
      </c>
    </row>
    <row r="2971" spans="10:28" x14ac:dyDescent="0.2">
      <c r="J2971" s="358" t="str">
        <f t="shared" si="138"/>
        <v>2011AllSexMaori243</v>
      </c>
      <c r="K2971" s="359">
        <v>2011</v>
      </c>
      <c r="L2971" t="s">
        <v>17</v>
      </c>
      <c r="M2971" t="s">
        <v>18</v>
      </c>
      <c r="N2971">
        <v>24</v>
      </c>
      <c r="O2971">
        <v>3</v>
      </c>
      <c r="P2971">
        <v>2</v>
      </c>
      <c r="Q2971">
        <v>10.336237204235299</v>
      </c>
      <c r="R2971">
        <v>14.3</v>
      </c>
      <c r="T2971" s="358" t="str">
        <f t="shared" si="139"/>
        <v>2010FemaleAllEth25Hanging, strangulation and suffocation</v>
      </c>
      <c r="U2971" s="360">
        <v>2010</v>
      </c>
      <c r="V2971" s="360" t="s">
        <v>8</v>
      </c>
      <c r="W2971" s="360" t="s">
        <v>27</v>
      </c>
      <c r="X2971" s="360">
        <v>25</v>
      </c>
      <c r="Y2971" s="360" t="s">
        <v>43</v>
      </c>
      <c r="Z2971" s="360">
        <v>6</v>
      </c>
      <c r="AA2971" s="360">
        <v>14</v>
      </c>
      <c r="AB2971" s="360">
        <v>42.9</v>
      </c>
    </row>
    <row r="2972" spans="10:28" x14ac:dyDescent="0.2">
      <c r="J2972" s="358" t="str">
        <f t="shared" si="138"/>
        <v>2011AllSexMaori244</v>
      </c>
      <c r="K2972" s="359">
        <v>2011</v>
      </c>
      <c r="L2972" t="s">
        <v>17</v>
      </c>
      <c r="M2972" t="s">
        <v>18</v>
      </c>
      <c r="N2972">
        <v>24</v>
      </c>
      <c r="O2972">
        <v>4</v>
      </c>
      <c r="P2972">
        <v>3</v>
      </c>
      <c r="Q2972">
        <v>11.152377566266701</v>
      </c>
      <c r="R2972">
        <v>12.6</v>
      </c>
      <c r="T2972" s="358" t="str">
        <f t="shared" si="139"/>
        <v>2010FemaleAllEth23Jumping from a high place</v>
      </c>
      <c r="U2972" s="360">
        <v>2010</v>
      </c>
      <c r="V2972" s="360" t="s">
        <v>8</v>
      </c>
      <c r="W2972" s="360" t="s">
        <v>27</v>
      </c>
      <c r="X2972" s="360">
        <v>23</v>
      </c>
      <c r="Y2972" s="360" t="s">
        <v>44</v>
      </c>
      <c r="Z2972" s="360">
        <v>2</v>
      </c>
      <c r="AA2972" s="360">
        <v>53</v>
      </c>
      <c r="AB2972" s="360">
        <v>3.8</v>
      </c>
    </row>
    <row r="2973" spans="10:28" x14ac:dyDescent="0.2">
      <c r="J2973" s="358" t="str">
        <f t="shared" si="138"/>
        <v>2011AllSexMaori245</v>
      </c>
      <c r="K2973" s="359">
        <v>2011</v>
      </c>
      <c r="L2973" t="s">
        <v>17</v>
      </c>
      <c r="M2973" t="s">
        <v>18</v>
      </c>
      <c r="N2973">
        <v>24</v>
      </c>
      <c r="O2973">
        <v>5</v>
      </c>
      <c r="P2973">
        <v>4</v>
      </c>
      <c r="Q2973">
        <v>8.5157498767311406</v>
      </c>
      <c r="R2973">
        <v>8.3000000000000007</v>
      </c>
      <c r="T2973" s="358" t="str">
        <f t="shared" si="139"/>
        <v>2010FemaleAllEth24Jumping from a high place</v>
      </c>
      <c r="U2973" s="360">
        <v>2010</v>
      </c>
      <c r="V2973" s="360" t="s">
        <v>8</v>
      </c>
      <c r="W2973" s="360" t="s">
        <v>27</v>
      </c>
      <c r="X2973" s="360">
        <v>24</v>
      </c>
      <c r="Y2973" s="360" t="s">
        <v>44</v>
      </c>
      <c r="Z2973" s="360">
        <v>1</v>
      </c>
      <c r="AA2973" s="360">
        <v>43</v>
      </c>
      <c r="AB2973" s="360">
        <v>2.2999999999999998</v>
      </c>
    </row>
    <row r="2974" spans="10:28" x14ac:dyDescent="0.2">
      <c r="J2974" s="358" t="str">
        <f t="shared" si="138"/>
        <v>2011AllSexMaori251</v>
      </c>
      <c r="K2974" s="359">
        <v>2011</v>
      </c>
      <c r="L2974" t="s">
        <v>17</v>
      </c>
      <c r="M2974" t="s">
        <v>18</v>
      </c>
      <c r="N2974">
        <v>25</v>
      </c>
      <c r="O2974">
        <v>1</v>
      </c>
      <c r="P2974">
        <v>0</v>
      </c>
      <c r="Q2974">
        <v>0</v>
      </c>
      <c r="T2974" s="358" t="str">
        <f t="shared" si="139"/>
        <v>2010FemaleAllEth22Other</v>
      </c>
      <c r="U2974" s="360">
        <v>2010</v>
      </c>
      <c r="V2974" s="360" t="s">
        <v>8</v>
      </c>
      <c r="W2974" s="360" t="s">
        <v>27</v>
      </c>
      <c r="X2974" s="360">
        <v>22</v>
      </c>
      <c r="Y2974" s="360" t="s">
        <v>45</v>
      </c>
      <c r="Z2974" s="360">
        <v>1</v>
      </c>
      <c r="AA2974" s="360">
        <v>34</v>
      </c>
      <c r="AB2974" s="360">
        <v>2.9</v>
      </c>
    </row>
    <row r="2975" spans="10:28" x14ac:dyDescent="0.2">
      <c r="J2975" s="358" t="str">
        <f t="shared" si="138"/>
        <v>2011AllSexMaori252</v>
      </c>
      <c r="K2975" s="359">
        <v>2011</v>
      </c>
      <c r="L2975" t="s">
        <v>17</v>
      </c>
      <c r="M2975" t="s">
        <v>18</v>
      </c>
      <c r="N2975">
        <v>25</v>
      </c>
      <c r="O2975">
        <v>2</v>
      </c>
      <c r="P2975">
        <v>0</v>
      </c>
      <c r="Q2975">
        <v>0</v>
      </c>
      <c r="T2975" s="358" t="str">
        <f t="shared" si="139"/>
        <v>2010FemaleAllEth23Other</v>
      </c>
      <c r="U2975" s="360">
        <v>2010</v>
      </c>
      <c r="V2975" s="360" t="s">
        <v>8</v>
      </c>
      <c r="W2975" s="360" t="s">
        <v>27</v>
      </c>
      <c r="X2975" s="360">
        <v>23</v>
      </c>
      <c r="Y2975" s="360" t="s">
        <v>45</v>
      </c>
      <c r="Z2975" s="360">
        <v>2</v>
      </c>
      <c r="AA2975" s="360">
        <v>53</v>
      </c>
      <c r="AB2975" s="360">
        <v>3.8</v>
      </c>
    </row>
    <row r="2976" spans="10:28" x14ac:dyDescent="0.2">
      <c r="J2976" s="358" t="str">
        <f t="shared" si="138"/>
        <v>2011AllSexMaori253</v>
      </c>
      <c r="K2976" s="359">
        <v>2011</v>
      </c>
      <c r="L2976" t="s">
        <v>17</v>
      </c>
      <c r="M2976" t="s">
        <v>18</v>
      </c>
      <c r="N2976">
        <v>25</v>
      </c>
      <c r="O2976">
        <v>3</v>
      </c>
      <c r="P2976">
        <v>0</v>
      </c>
      <c r="Q2976">
        <v>0</v>
      </c>
      <c r="T2976" s="358" t="str">
        <f t="shared" si="139"/>
        <v>2010FemaleAllEth24Other</v>
      </c>
      <c r="U2976" s="360">
        <v>2010</v>
      </c>
      <c r="V2976" s="360" t="s">
        <v>8</v>
      </c>
      <c r="W2976" s="360" t="s">
        <v>27</v>
      </c>
      <c r="X2976" s="360">
        <v>24</v>
      </c>
      <c r="Y2976" s="360" t="s">
        <v>45</v>
      </c>
      <c r="Z2976" s="360">
        <v>2</v>
      </c>
      <c r="AA2976" s="360">
        <v>43</v>
      </c>
      <c r="AB2976" s="360">
        <v>4.7</v>
      </c>
    </row>
    <row r="2977" spans="10:28" x14ac:dyDescent="0.2">
      <c r="J2977" s="358" t="str">
        <f t="shared" si="138"/>
        <v>2011AllSexMaori254</v>
      </c>
      <c r="K2977" s="359">
        <v>2011</v>
      </c>
      <c r="L2977" t="s">
        <v>17</v>
      </c>
      <c r="M2977" t="s">
        <v>18</v>
      </c>
      <c r="N2977">
        <v>25</v>
      </c>
      <c r="O2977">
        <v>4</v>
      </c>
      <c r="P2977">
        <v>0</v>
      </c>
      <c r="Q2977">
        <v>0</v>
      </c>
      <c r="T2977" s="358" t="str">
        <f t="shared" si="139"/>
        <v>2010FemaleAllEth25Other</v>
      </c>
      <c r="U2977" s="360">
        <v>2010</v>
      </c>
      <c r="V2977" s="360" t="s">
        <v>8</v>
      </c>
      <c r="W2977" s="360" t="s">
        <v>27</v>
      </c>
      <c r="X2977" s="360">
        <v>25</v>
      </c>
      <c r="Y2977" s="360" t="s">
        <v>45</v>
      </c>
      <c r="Z2977" s="360">
        <v>1</v>
      </c>
      <c r="AA2977" s="360">
        <v>14</v>
      </c>
      <c r="AB2977" s="360">
        <v>7.1</v>
      </c>
    </row>
    <row r="2978" spans="10:28" x14ac:dyDescent="0.2">
      <c r="J2978" s="358" t="str">
        <f t="shared" si="138"/>
        <v>2011AllSexMaori255</v>
      </c>
      <c r="K2978" s="359">
        <v>2011</v>
      </c>
      <c r="L2978" t="s">
        <v>17</v>
      </c>
      <c r="M2978" t="s">
        <v>18</v>
      </c>
      <c r="N2978">
        <v>25</v>
      </c>
      <c r="O2978">
        <v>5</v>
      </c>
      <c r="P2978">
        <v>0</v>
      </c>
      <c r="Q2978">
        <v>0</v>
      </c>
      <c r="T2978" s="358" t="str">
        <f t="shared" si="139"/>
        <v>2010FemaleAllEth22Poisoning by gases and vapours</v>
      </c>
      <c r="U2978" s="360">
        <v>2010</v>
      </c>
      <c r="V2978" s="360" t="s">
        <v>8</v>
      </c>
      <c r="W2978" s="360" t="s">
        <v>27</v>
      </c>
      <c r="X2978" s="360">
        <v>22</v>
      </c>
      <c r="Y2978" s="360" t="s">
        <v>46</v>
      </c>
      <c r="Z2978" s="360">
        <v>2</v>
      </c>
      <c r="AA2978" s="360">
        <v>34</v>
      </c>
      <c r="AB2978" s="360">
        <v>5.9</v>
      </c>
    </row>
    <row r="2979" spans="10:28" x14ac:dyDescent="0.2">
      <c r="J2979" s="358" t="str">
        <f t="shared" si="138"/>
        <v>2011AllSexNon-Maori211</v>
      </c>
      <c r="K2979" s="359">
        <v>2011</v>
      </c>
      <c r="L2979" t="s">
        <v>17</v>
      </c>
      <c r="M2979" t="s">
        <v>19</v>
      </c>
      <c r="N2979">
        <v>21</v>
      </c>
      <c r="O2979">
        <v>1</v>
      </c>
      <c r="P2979">
        <v>0</v>
      </c>
      <c r="T2979" s="358" t="str">
        <f t="shared" si="139"/>
        <v>2010FemaleAllEth23Poisoning by gases and vapours</v>
      </c>
      <c r="U2979" s="360">
        <v>2010</v>
      </c>
      <c r="V2979" s="360" t="s">
        <v>8</v>
      </c>
      <c r="W2979" s="360" t="s">
        <v>27</v>
      </c>
      <c r="X2979" s="360">
        <v>23</v>
      </c>
      <c r="Y2979" s="360" t="s">
        <v>46</v>
      </c>
      <c r="Z2979" s="360">
        <v>5</v>
      </c>
      <c r="AA2979" s="360">
        <v>53</v>
      </c>
      <c r="AB2979" s="360">
        <v>9.4</v>
      </c>
    </row>
    <row r="2980" spans="10:28" x14ac:dyDescent="0.2">
      <c r="J2980" s="358" t="str">
        <f t="shared" si="138"/>
        <v>2011AllSexNon-Maori212</v>
      </c>
      <c r="K2980" s="359">
        <v>2011</v>
      </c>
      <c r="L2980" t="s">
        <v>17</v>
      </c>
      <c r="M2980" t="s">
        <v>19</v>
      </c>
      <c r="N2980">
        <v>21</v>
      </c>
      <c r="O2980">
        <v>2</v>
      </c>
      <c r="P2980">
        <v>0</v>
      </c>
      <c r="T2980" s="358" t="str">
        <f t="shared" si="139"/>
        <v>2010FemaleAllEth24Poisoning by gases and vapours</v>
      </c>
      <c r="U2980" s="360">
        <v>2010</v>
      </c>
      <c r="V2980" s="360" t="s">
        <v>8</v>
      </c>
      <c r="W2980" s="360" t="s">
        <v>27</v>
      </c>
      <c r="X2980" s="360">
        <v>24</v>
      </c>
      <c r="Y2980" s="360" t="s">
        <v>46</v>
      </c>
      <c r="Z2980" s="360">
        <v>2</v>
      </c>
      <c r="AA2980" s="360">
        <v>43</v>
      </c>
      <c r="AB2980" s="360">
        <v>4.7</v>
      </c>
    </row>
    <row r="2981" spans="10:28" x14ac:dyDescent="0.2">
      <c r="J2981" s="358" t="str">
        <f t="shared" si="138"/>
        <v>2011AllSexNon-Maori213</v>
      </c>
      <c r="K2981" s="359">
        <v>2011</v>
      </c>
      <c r="L2981" t="s">
        <v>17</v>
      </c>
      <c r="M2981" t="s">
        <v>19</v>
      </c>
      <c r="N2981">
        <v>21</v>
      </c>
      <c r="O2981">
        <v>3</v>
      </c>
      <c r="P2981">
        <v>1</v>
      </c>
      <c r="T2981" s="358" t="str">
        <f t="shared" si="139"/>
        <v>2010FemaleAllEth25Poisoning by gases and vapours</v>
      </c>
      <c r="U2981" s="360">
        <v>2010</v>
      </c>
      <c r="V2981" s="360" t="s">
        <v>8</v>
      </c>
      <c r="W2981" s="360" t="s">
        <v>27</v>
      </c>
      <c r="X2981" s="360">
        <v>25</v>
      </c>
      <c r="Y2981" s="360" t="s">
        <v>46</v>
      </c>
      <c r="Z2981" s="360">
        <v>1</v>
      </c>
      <c r="AA2981" s="360">
        <v>14</v>
      </c>
      <c r="AB2981" s="360">
        <v>7.1</v>
      </c>
    </row>
    <row r="2982" spans="10:28" x14ac:dyDescent="0.2">
      <c r="J2982" s="358" t="str">
        <f t="shared" si="138"/>
        <v>2011AllSexNon-Maori214</v>
      </c>
      <c r="K2982" s="359">
        <v>2011</v>
      </c>
      <c r="L2982" t="s">
        <v>17</v>
      </c>
      <c r="M2982" t="s">
        <v>19</v>
      </c>
      <c r="N2982">
        <v>21</v>
      </c>
      <c r="O2982">
        <v>4</v>
      </c>
      <c r="P2982">
        <v>0</v>
      </c>
      <c r="T2982" s="358" t="str">
        <f t="shared" si="139"/>
        <v>2010FemaleAllEth22Poisoning by solids and liquids</v>
      </c>
      <c r="U2982" s="360">
        <v>2010</v>
      </c>
      <c r="V2982" s="360" t="s">
        <v>8</v>
      </c>
      <c r="W2982" s="360" t="s">
        <v>27</v>
      </c>
      <c r="X2982" s="360">
        <v>22</v>
      </c>
      <c r="Y2982" s="360" t="s">
        <v>47</v>
      </c>
      <c r="Z2982" s="360">
        <v>3</v>
      </c>
      <c r="AA2982" s="360">
        <v>34</v>
      </c>
      <c r="AB2982" s="360">
        <v>8.8000000000000007</v>
      </c>
    </row>
    <row r="2983" spans="10:28" x14ac:dyDescent="0.2">
      <c r="J2983" s="358" t="str">
        <f t="shared" si="138"/>
        <v>2011AllSexNon-Maori215</v>
      </c>
      <c r="K2983" s="359">
        <v>2011</v>
      </c>
      <c r="L2983" t="s">
        <v>17</v>
      </c>
      <c r="M2983" t="s">
        <v>19</v>
      </c>
      <c r="N2983">
        <v>21</v>
      </c>
      <c r="O2983">
        <v>5</v>
      </c>
      <c r="P2983">
        <v>1</v>
      </c>
      <c r="T2983" s="358" t="str">
        <f t="shared" si="139"/>
        <v>2010FemaleAllEth23Poisoning by solids and liquids</v>
      </c>
      <c r="U2983" s="360">
        <v>2010</v>
      </c>
      <c r="V2983" s="360" t="s">
        <v>8</v>
      </c>
      <c r="W2983" s="360" t="s">
        <v>27</v>
      </c>
      <c r="X2983" s="360">
        <v>23</v>
      </c>
      <c r="Y2983" s="360" t="s">
        <v>47</v>
      </c>
      <c r="Z2983" s="360">
        <v>14</v>
      </c>
      <c r="AA2983" s="360">
        <v>53</v>
      </c>
      <c r="AB2983" s="360">
        <v>26.4</v>
      </c>
    </row>
    <row r="2984" spans="10:28" x14ac:dyDescent="0.2">
      <c r="J2984" s="358" t="str">
        <f t="shared" si="138"/>
        <v>2011AllSexNon-Maori221</v>
      </c>
      <c r="K2984" s="359">
        <v>2011</v>
      </c>
      <c r="L2984" t="s">
        <v>17</v>
      </c>
      <c r="M2984" t="s">
        <v>19</v>
      </c>
      <c r="N2984">
        <v>22</v>
      </c>
      <c r="O2984">
        <v>1</v>
      </c>
      <c r="P2984">
        <v>9</v>
      </c>
      <c r="Q2984">
        <v>8.9528764310892104</v>
      </c>
      <c r="R2984">
        <v>5.8</v>
      </c>
      <c r="T2984" s="358" t="str">
        <f t="shared" si="139"/>
        <v>2010FemaleAllEth24Poisoning by solids and liquids</v>
      </c>
      <c r="U2984" s="360">
        <v>2010</v>
      </c>
      <c r="V2984" s="360" t="s">
        <v>8</v>
      </c>
      <c r="W2984" s="360" t="s">
        <v>27</v>
      </c>
      <c r="X2984" s="360">
        <v>24</v>
      </c>
      <c r="Y2984" s="360" t="s">
        <v>47</v>
      </c>
      <c r="Z2984" s="360">
        <v>16</v>
      </c>
      <c r="AA2984" s="360">
        <v>43</v>
      </c>
      <c r="AB2984" s="360">
        <v>37.200000000000003</v>
      </c>
    </row>
    <row r="2985" spans="10:28" x14ac:dyDescent="0.2">
      <c r="J2985" s="358" t="str">
        <f t="shared" si="138"/>
        <v>2011AllSexNon-Maori222</v>
      </c>
      <c r="K2985" s="359">
        <v>2011</v>
      </c>
      <c r="L2985" t="s">
        <v>17</v>
      </c>
      <c r="M2985" t="s">
        <v>19</v>
      </c>
      <c r="N2985">
        <v>22</v>
      </c>
      <c r="O2985">
        <v>2</v>
      </c>
      <c r="P2985">
        <v>14</v>
      </c>
      <c r="Q2985">
        <v>14.327807812503201</v>
      </c>
      <c r="R2985">
        <v>7.5</v>
      </c>
      <c r="T2985" s="358" t="str">
        <f t="shared" si="139"/>
        <v>2010FemaleAllEth25Poisoning by solids and liquids</v>
      </c>
      <c r="U2985" s="360">
        <v>2010</v>
      </c>
      <c r="V2985" s="360" t="s">
        <v>8</v>
      </c>
      <c r="W2985" s="360" t="s">
        <v>27</v>
      </c>
      <c r="X2985" s="360">
        <v>25</v>
      </c>
      <c r="Y2985" s="360" t="s">
        <v>47</v>
      </c>
      <c r="Z2985" s="360">
        <v>6</v>
      </c>
      <c r="AA2985" s="360">
        <v>14</v>
      </c>
      <c r="AB2985" s="360">
        <v>42.9</v>
      </c>
    </row>
    <row r="2986" spans="10:28" x14ac:dyDescent="0.2">
      <c r="J2986" s="358" t="str">
        <f t="shared" si="138"/>
        <v>2011AllSexNon-Maori223</v>
      </c>
      <c r="K2986" s="359">
        <v>2011</v>
      </c>
      <c r="L2986" t="s">
        <v>17</v>
      </c>
      <c r="M2986" t="s">
        <v>19</v>
      </c>
      <c r="N2986">
        <v>22</v>
      </c>
      <c r="O2986">
        <v>3</v>
      </c>
      <c r="P2986">
        <v>17</v>
      </c>
      <c r="Q2986">
        <v>17.422616392568099</v>
      </c>
      <c r="R2986">
        <v>8.3000000000000007</v>
      </c>
      <c r="T2986" s="358" t="str">
        <f t="shared" si="139"/>
        <v>2010FemaleAllEth24Sharp object</v>
      </c>
      <c r="U2986" s="360">
        <v>2010</v>
      </c>
      <c r="V2986" s="360" t="s">
        <v>8</v>
      </c>
      <c r="W2986" s="360" t="s">
        <v>27</v>
      </c>
      <c r="X2986" s="360">
        <v>24</v>
      </c>
      <c r="Y2986" s="360" t="s">
        <v>48</v>
      </c>
      <c r="Z2986" s="360">
        <v>2</v>
      </c>
      <c r="AA2986" s="360">
        <v>43</v>
      </c>
      <c r="AB2986" s="360">
        <v>4.7</v>
      </c>
    </row>
    <row r="2987" spans="10:28" x14ac:dyDescent="0.2">
      <c r="J2987" s="358" t="str">
        <f t="shared" si="138"/>
        <v>2011AllSexNon-Maori224</v>
      </c>
      <c r="K2987" s="359">
        <v>2011</v>
      </c>
      <c r="L2987" t="s">
        <v>17</v>
      </c>
      <c r="M2987" t="s">
        <v>19</v>
      </c>
      <c r="N2987">
        <v>22</v>
      </c>
      <c r="O2987">
        <v>4</v>
      </c>
      <c r="P2987">
        <v>11</v>
      </c>
      <c r="Q2987">
        <v>10.6995458506338</v>
      </c>
      <c r="R2987">
        <v>6.3</v>
      </c>
      <c r="T2987" s="358" t="str">
        <f t="shared" si="139"/>
        <v>2010FemaleAllEth22Submersion (drowning)</v>
      </c>
      <c r="U2987" s="360">
        <v>2010</v>
      </c>
      <c r="V2987" s="360" t="s">
        <v>8</v>
      </c>
      <c r="W2987" s="360" t="s">
        <v>27</v>
      </c>
      <c r="X2987" s="360">
        <v>22</v>
      </c>
      <c r="Y2987" s="360" t="s">
        <v>49</v>
      </c>
      <c r="Z2987" s="360">
        <v>1</v>
      </c>
      <c r="AA2987" s="360">
        <v>34</v>
      </c>
      <c r="AB2987" s="360">
        <v>2.9</v>
      </c>
    </row>
    <row r="2988" spans="10:28" x14ac:dyDescent="0.2">
      <c r="J2988" s="358" t="str">
        <f t="shared" si="138"/>
        <v>2011AllSexNon-Maori225</v>
      </c>
      <c r="K2988" s="359">
        <v>2011</v>
      </c>
      <c r="L2988" t="s">
        <v>17</v>
      </c>
      <c r="M2988" t="s">
        <v>19</v>
      </c>
      <c r="N2988">
        <v>22</v>
      </c>
      <c r="O2988">
        <v>5</v>
      </c>
      <c r="P2988">
        <v>27</v>
      </c>
      <c r="Q2988">
        <v>27.4042130472208</v>
      </c>
      <c r="R2988">
        <v>10.3</v>
      </c>
      <c r="T2988" s="358" t="str">
        <f t="shared" si="139"/>
        <v>2010FemaleAllEth23Submersion (drowning)</v>
      </c>
      <c r="U2988" s="360">
        <v>2010</v>
      </c>
      <c r="V2988" s="360" t="s">
        <v>8</v>
      </c>
      <c r="W2988" s="360" t="s">
        <v>27</v>
      </c>
      <c r="X2988" s="360">
        <v>23</v>
      </c>
      <c r="Y2988" s="360" t="s">
        <v>49</v>
      </c>
      <c r="Z2988" s="360">
        <v>1</v>
      </c>
      <c r="AA2988" s="360">
        <v>53</v>
      </c>
      <c r="AB2988" s="360">
        <v>1.9</v>
      </c>
    </row>
    <row r="2989" spans="10:28" x14ac:dyDescent="0.2">
      <c r="J2989" s="358" t="str">
        <f t="shared" si="138"/>
        <v>2011AllSexNon-Maori231</v>
      </c>
      <c r="K2989" s="359">
        <v>2011</v>
      </c>
      <c r="L2989" t="s">
        <v>17</v>
      </c>
      <c r="M2989" t="s">
        <v>19</v>
      </c>
      <c r="N2989">
        <v>23</v>
      </c>
      <c r="O2989">
        <v>1</v>
      </c>
      <c r="P2989">
        <v>22</v>
      </c>
      <c r="Q2989">
        <v>10.650033940896201</v>
      </c>
      <c r="R2989">
        <v>4.5</v>
      </c>
      <c r="T2989" s="358" t="str">
        <f t="shared" si="139"/>
        <v>2010FemaleAllEth24Submersion (drowning)</v>
      </c>
      <c r="U2989" s="360">
        <v>2010</v>
      </c>
      <c r="V2989" s="360" t="s">
        <v>8</v>
      </c>
      <c r="W2989" s="360" t="s">
        <v>27</v>
      </c>
      <c r="X2989" s="360">
        <v>24</v>
      </c>
      <c r="Y2989" s="360" t="s">
        <v>49</v>
      </c>
      <c r="Z2989" s="360">
        <v>3</v>
      </c>
      <c r="AA2989" s="360">
        <v>43</v>
      </c>
      <c r="AB2989" s="360">
        <v>7</v>
      </c>
    </row>
    <row r="2990" spans="10:28" x14ac:dyDescent="0.2">
      <c r="J2990" s="358" t="str">
        <f t="shared" si="138"/>
        <v>2011AllSexNon-Maori232</v>
      </c>
      <c r="K2990" s="359">
        <v>2011</v>
      </c>
      <c r="L2990" t="s">
        <v>17</v>
      </c>
      <c r="M2990" t="s">
        <v>19</v>
      </c>
      <c r="N2990">
        <v>23</v>
      </c>
      <c r="O2990">
        <v>2</v>
      </c>
      <c r="P2990">
        <v>19</v>
      </c>
      <c r="Q2990">
        <v>8.7656370019113901</v>
      </c>
      <c r="R2990">
        <v>3.9</v>
      </c>
      <c r="T2990" s="358" t="str">
        <f t="shared" si="139"/>
        <v>2010FemaleMaori22Firearms and explosives</v>
      </c>
      <c r="U2990" s="360">
        <v>2010</v>
      </c>
      <c r="V2990" s="360" t="s">
        <v>8</v>
      </c>
      <c r="W2990" s="360" t="s">
        <v>18</v>
      </c>
      <c r="X2990" s="360">
        <v>22</v>
      </c>
      <c r="Y2990" s="360" t="s">
        <v>42</v>
      </c>
      <c r="Z2990" s="360">
        <v>1</v>
      </c>
      <c r="AA2990" s="360">
        <v>15</v>
      </c>
      <c r="AB2990" s="360">
        <v>6.7</v>
      </c>
    </row>
    <row r="2991" spans="10:28" x14ac:dyDescent="0.2">
      <c r="J2991" s="358" t="str">
        <f t="shared" si="138"/>
        <v>2011AllSexNon-Maori233</v>
      </c>
      <c r="K2991" s="359">
        <v>2011</v>
      </c>
      <c r="L2991" t="s">
        <v>17</v>
      </c>
      <c r="M2991" t="s">
        <v>19</v>
      </c>
      <c r="N2991">
        <v>23</v>
      </c>
      <c r="O2991">
        <v>3</v>
      </c>
      <c r="P2991">
        <v>24</v>
      </c>
      <c r="Q2991">
        <v>11.3156508326727</v>
      </c>
      <c r="R2991">
        <v>4.5</v>
      </c>
      <c r="T2991" s="358" t="str">
        <f t="shared" si="139"/>
        <v>2010FemaleMaori21Hanging, strangulation and suffocation</v>
      </c>
      <c r="U2991" s="360">
        <v>2010</v>
      </c>
      <c r="V2991" s="360" t="s">
        <v>8</v>
      </c>
      <c r="W2991" s="360" t="s">
        <v>18</v>
      </c>
      <c r="X2991" s="360">
        <v>21</v>
      </c>
      <c r="Y2991" s="360" t="s">
        <v>43</v>
      </c>
      <c r="Z2991" s="360">
        <v>2</v>
      </c>
      <c r="AA2991" s="360">
        <v>2</v>
      </c>
      <c r="AB2991" s="360">
        <v>100</v>
      </c>
    </row>
    <row r="2992" spans="10:28" x14ac:dyDescent="0.2">
      <c r="J2992" s="358" t="str">
        <f t="shared" si="138"/>
        <v>2011AllSexNon-Maori234</v>
      </c>
      <c r="K2992" s="359">
        <v>2011</v>
      </c>
      <c r="L2992" t="s">
        <v>17</v>
      </c>
      <c r="M2992" t="s">
        <v>19</v>
      </c>
      <c r="N2992">
        <v>23</v>
      </c>
      <c r="O2992">
        <v>4</v>
      </c>
      <c r="P2992">
        <v>27</v>
      </c>
      <c r="Q2992">
        <v>13.848121075520201</v>
      </c>
      <c r="R2992">
        <v>5.2</v>
      </c>
      <c r="T2992" s="358" t="str">
        <f t="shared" si="139"/>
        <v>2010FemaleMaori22Hanging, strangulation and suffocation</v>
      </c>
      <c r="U2992" s="360">
        <v>2010</v>
      </c>
      <c r="V2992" s="360" t="s">
        <v>8</v>
      </c>
      <c r="W2992" s="360" t="s">
        <v>18</v>
      </c>
      <c r="X2992" s="360">
        <v>22</v>
      </c>
      <c r="Y2992" s="360" t="s">
        <v>43</v>
      </c>
      <c r="Z2992" s="360">
        <v>13</v>
      </c>
      <c r="AA2992" s="360">
        <v>15</v>
      </c>
      <c r="AB2992" s="360">
        <v>86.7</v>
      </c>
    </row>
    <row r="2993" spans="10:28" x14ac:dyDescent="0.2">
      <c r="J2993" s="358" t="str">
        <f t="shared" si="138"/>
        <v>2011AllSexNon-Maori235</v>
      </c>
      <c r="K2993" s="359">
        <v>2011</v>
      </c>
      <c r="L2993" t="s">
        <v>17</v>
      </c>
      <c r="M2993" t="s">
        <v>19</v>
      </c>
      <c r="N2993">
        <v>23</v>
      </c>
      <c r="O2993">
        <v>5</v>
      </c>
      <c r="P2993">
        <v>25</v>
      </c>
      <c r="Q2993">
        <v>16.0243396895624</v>
      </c>
      <c r="R2993">
        <v>6.3</v>
      </c>
      <c r="T2993" s="358" t="str">
        <f t="shared" si="139"/>
        <v>2010FemaleMaori23Hanging, strangulation and suffocation</v>
      </c>
      <c r="U2993" s="360">
        <v>2010</v>
      </c>
      <c r="V2993" s="360" t="s">
        <v>8</v>
      </c>
      <c r="W2993" s="360" t="s">
        <v>18</v>
      </c>
      <c r="X2993" s="360">
        <v>23</v>
      </c>
      <c r="Y2993" s="360" t="s">
        <v>43</v>
      </c>
      <c r="Z2993" s="360">
        <v>6</v>
      </c>
      <c r="AA2993" s="360">
        <v>9</v>
      </c>
      <c r="AB2993" s="360">
        <v>66.7</v>
      </c>
    </row>
    <row r="2994" spans="10:28" x14ac:dyDescent="0.2">
      <c r="J2994" s="358" t="str">
        <f t="shared" si="138"/>
        <v>2011AllSexNon-Maori241</v>
      </c>
      <c r="K2994" s="359">
        <v>2011</v>
      </c>
      <c r="L2994" t="s">
        <v>17</v>
      </c>
      <c r="M2994" t="s">
        <v>19</v>
      </c>
      <c r="N2994">
        <v>24</v>
      </c>
      <c r="O2994">
        <v>1</v>
      </c>
      <c r="P2994">
        <v>31</v>
      </c>
      <c r="Q2994">
        <v>11.8203206282575</v>
      </c>
      <c r="R2994">
        <v>4.2</v>
      </c>
      <c r="T2994" s="358" t="str">
        <f t="shared" si="139"/>
        <v>2010FemaleMaori23Jumping from a high place</v>
      </c>
      <c r="U2994" s="360">
        <v>2010</v>
      </c>
      <c r="V2994" s="360" t="s">
        <v>8</v>
      </c>
      <c r="W2994" s="360" t="s">
        <v>18</v>
      </c>
      <c r="X2994" s="360">
        <v>23</v>
      </c>
      <c r="Y2994" s="360" t="s">
        <v>44</v>
      </c>
      <c r="Z2994" s="360">
        <v>1</v>
      </c>
      <c r="AA2994" s="360">
        <v>9</v>
      </c>
      <c r="AB2994" s="360">
        <v>11.1</v>
      </c>
    </row>
    <row r="2995" spans="10:28" x14ac:dyDescent="0.2">
      <c r="J2995" s="358" t="str">
        <f t="shared" si="138"/>
        <v>2011AllSexNon-Maori242</v>
      </c>
      <c r="K2995" s="359">
        <v>2011</v>
      </c>
      <c r="L2995" t="s">
        <v>17</v>
      </c>
      <c r="M2995" t="s">
        <v>19</v>
      </c>
      <c r="N2995">
        <v>24</v>
      </c>
      <c r="O2995">
        <v>2</v>
      </c>
      <c r="P2995">
        <v>18</v>
      </c>
      <c r="Q2995">
        <v>7.8550289364058896</v>
      </c>
      <c r="R2995">
        <v>3.6</v>
      </c>
      <c r="T2995" s="358" t="str">
        <f t="shared" si="139"/>
        <v>2010FemaleMaori22Poisoning by solids and liquids</v>
      </c>
      <c r="U2995" s="360">
        <v>2010</v>
      </c>
      <c r="V2995" s="360" t="s">
        <v>8</v>
      </c>
      <c r="W2995" s="360" t="s">
        <v>18</v>
      </c>
      <c r="X2995" s="360">
        <v>22</v>
      </c>
      <c r="Y2995" s="360" t="s">
        <v>47</v>
      </c>
      <c r="Z2995" s="360">
        <v>1</v>
      </c>
      <c r="AA2995" s="360">
        <v>15</v>
      </c>
      <c r="AB2995" s="360">
        <v>6.7</v>
      </c>
    </row>
    <row r="2996" spans="10:28" x14ac:dyDescent="0.2">
      <c r="J2996" s="358" t="str">
        <f t="shared" si="138"/>
        <v>2011AllSexNon-Maori243</v>
      </c>
      <c r="K2996" s="359">
        <v>2011</v>
      </c>
      <c r="L2996" t="s">
        <v>17</v>
      </c>
      <c r="M2996" t="s">
        <v>19</v>
      </c>
      <c r="N2996">
        <v>24</v>
      </c>
      <c r="O2996">
        <v>3</v>
      </c>
      <c r="P2996">
        <v>35</v>
      </c>
      <c r="Q2996">
        <v>17.426957975426799</v>
      </c>
      <c r="R2996">
        <v>5.8</v>
      </c>
      <c r="T2996" s="358" t="str">
        <f t="shared" si="139"/>
        <v>2010FemaleMaori23Poisoning by solids and liquids</v>
      </c>
      <c r="U2996" s="360">
        <v>2010</v>
      </c>
      <c r="V2996" s="360" t="s">
        <v>8</v>
      </c>
      <c r="W2996" s="360" t="s">
        <v>18</v>
      </c>
      <c r="X2996" s="360">
        <v>23</v>
      </c>
      <c r="Y2996" s="360" t="s">
        <v>47</v>
      </c>
      <c r="Z2996" s="360">
        <v>2</v>
      </c>
      <c r="AA2996" s="360">
        <v>9</v>
      </c>
      <c r="AB2996" s="360">
        <v>22.2</v>
      </c>
    </row>
    <row r="2997" spans="10:28" x14ac:dyDescent="0.2">
      <c r="J2997" s="358" t="str">
        <f t="shared" si="138"/>
        <v>2011AllSexNon-Maori244</v>
      </c>
      <c r="K2997" s="359">
        <v>2011</v>
      </c>
      <c r="L2997" t="s">
        <v>17</v>
      </c>
      <c r="M2997" t="s">
        <v>19</v>
      </c>
      <c r="N2997">
        <v>24</v>
      </c>
      <c r="O2997">
        <v>4</v>
      </c>
      <c r="P2997">
        <v>23</v>
      </c>
      <c r="Q2997">
        <v>13.3655646766241</v>
      </c>
      <c r="R2997">
        <v>5.5</v>
      </c>
      <c r="T2997" s="358" t="str">
        <f t="shared" si="139"/>
        <v>2010FemaleMaori24Poisoning by solids and liquids</v>
      </c>
      <c r="U2997" s="360">
        <v>2010</v>
      </c>
      <c r="V2997" s="360" t="s">
        <v>8</v>
      </c>
      <c r="W2997" s="360" t="s">
        <v>18</v>
      </c>
      <c r="X2997" s="360">
        <v>24</v>
      </c>
      <c r="Y2997" s="360" t="s">
        <v>47</v>
      </c>
      <c r="Z2997" s="360">
        <v>4</v>
      </c>
      <c r="AA2997" s="360">
        <v>4</v>
      </c>
      <c r="AB2997" s="360">
        <v>100</v>
      </c>
    </row>
    <row r="2998" spans="10:28" x14ac:dyDescent="0.2">
      <c r="J2998" s="358" t="str">
        <f t="shared" si="138"/>
        <v>2011AllSexNon-Maori245</v>
      </c>
      <c r="K2998" s="359">
        <v>2011</v>
      </c>
      <c r="L2998" t="s">
        <v>17</v>
      </c>
      <c r="M2998" t="s">
        <v>19</v>
      </c>
      <c r="N2998">
        <v>24</v>
      </c>
      <c r="O2998">
        <v>5</v>
      </c>
      <c r="P2998">
        <v>21</v>
      </c>
      <c r="Q2998">
        <v>15.741980505722699</v>
      </c>
      <c r="R2998">
        <v>6.7</v>
      </c>
      <c r="T2998" s="358" t="str">
        <f t="shared" si="139"/>
        <v>2010FemaleNon-Maori23Firearms and explosives</v>
      </c>
      <c r="U2998" s="360">
        <v>2010</v>
      </c>
      <c r="V2998" s="360" t="s">
        <v>8</v>
      </c>
      <c r="W2998" s="360" t="s">
        <v>19</v>
      </c>
      <c r="X2998" s="360">
        <v>23</v>
      </c>
      <c r="Y2998" s="360" t="s">
        <v>42</v>
      </c>
      <c r="Z2998" s="360">
        <v>1</v>
      </c>
      <c r="AA2998" s="360">
        <v>44</v>
      </c>
      <c r="AB2998" s="360">
        <v>2.2999999999999998</v>
      </c>
    </row>
    <row r="2999" spans="10:28" x14ac:dyDescent="0.2">
      <c r="J2999" s="358" t="str">
        <f t="shared" si="138"/>
        <v>2011AllSexNon-Maori251</v>
      </c>
      <c r="K2999" s="359">
        <v>2011</v>
      </c>
      <c r="L2999" t="s">
        <v>17</v>
      </c>
      <c r="M2999" t="s">
        <v>19</v>
      </c>
      <c r="N2999">
        <v>25</v>
      </c>
      <c r="O2999">
        <v>1</v>
      </c>
      <c r="P2999">
        <v>7</v>
      </c>
      <c r="Q2999">
        <v>5.9523751492233297</v>
      </c>
      <c r="R2999">
        <v>4.4000000000000004</v>
      </c>
      <c r="T2999" s="358" t="str">
        <f t="shared" si="139"/>
        <v>2010FemaleNon-Maori21Hanging, strangulation and suffocation</v>
      </c>
      <c r="U2999" s="360">
        <v>2010</v>
      </c>
      <c r="V2999" s="360" t="s">
        <v>8</v>
      </c>
      <c r="W2999" s="360" t="s">
        <v>19</v>
      </c>
      <c r="X2999" s="360">
        <v>21</v>
      </c>
      <c r="Y2999" s="360" t="s">
        <v>43</v>
      </c>
      <c r="Z2999" s="360">
        <v>1</v>
      </c>
      <c r="AA2999" s="360">
        <v>1</v>
      </c>
      <c r="AB2999" s="360">
        <v>100</v>
      </c>
    </row>
    <row r="3000" spans="10:28" x14ac:dyDescent="0.2">
      <c r="J3000" s="358" t="str">
        <f t="shared" si="138"/>
        <v>2011AllSexNon-Maori252</v>
      </c>
      <c r="K3000" s="359">
        <v>2011</v>
      </c>
      <c r="L3000" t="s">
        <v>17</v>
      </c>
      <c r="M3000" t="s">
        <v>19</v>
      </c>
      <c r="N3000">
        <v>25</v>
      </c>
      <c r="O3000">
        <v>2</v>
      </c>
      <c r="P3000">
        <v>8</v>
      </c>
      <c r="Q3000">
        <v>6.7917920019965896</v>
      </c>
      <c r="R3000">
        <v>4.7</v>
      </c>
      <c r="T3000" s="358" t="str">
        <f t="shared" si="139"/>
        <v>2010FemaleNon-Maori22Hanging, strangulation and suffocation</v>
      </c>
      <c r="U3000" s="360">
        <v>2010</v>
      </c>
      <c r="V3000" s="360" t="s">
        <v>8</v>
      </c>
      <c r="W3000" s="360" t="s">
        <v>19</v>
      </c>
      <c r="X3000" s="360">
        <v>22</v>
      </c>
      <c r="Y3000" s="360" t="s">
        <v>43</v>
      </c>
      <c r="Z3000" s="360">
        <v>13</v>
      </c>
      <c r="AA3000" s="360">
        <v>19</v>
      </c>
      <c r="AB3000" s="360">
        <v>68.400000000000006</v>
      </c>
    </row>
    <row r="3001" spans="10:28" x14ac:dyDescent="0.2">
      <c r="J3001" s="358" t="str">
        <f t="shared" si="138"/>
        <v>2011AllSexNon-Maori253</v>
      </c>
      <c r="K3001" s="359">
        <v>2011</v>
      </c>
      <c r="L3001" t="s">
        <v>17</v>
      </c>
      <c r="M3001" t="s">
        <v>19</v>
      </c>
      <c r="N3001">
        <v>25</v>
      </c>
      <c r="O3001">
        <v>3</v>
      </c>
      <c r="P3001">
        <v>13</v>
      </c>
      <c r="Q3001">
        <v>11.312373281247099</v>
      </c>
      <c r="R3001">
        <v>6.1</v>
      </c>
      <c r="T3001" s="358" t="str">
        <f t="shared" si="139"/>
        <v>2010FemaleNon-Maori23Hanging, strangulation and suffocation</v>
      </c>
      <c r="U3001" s="360">
        <v>2010</v>
      </c>
      <c r="V3001" s="360" t="s">
        <v>8</v>
      </c>
      <c r="W3001" s="360" t="s">
        <v>19</v>
      </c>
      <c r="X3001" s="360">
        <v>23</v>
      </c>
      <c r="Y3001" s="360" t="s">
        <v>43</v>
      </c>
      <c r="Z3001" s="360">
        <v>22</v>
      </c>
      <c r="AA3001" s="360">
        <v>44</v>
      </c>
      <c r="AB3001" s="360">
        <v>50</v>
      </c>
    </row>
    <row r="3002" spans="10:28" x14ac:dyDescent="0.2">
      <c r="J3002" s="358" t="str">
        <f t="shared" si="138"/>
        <v>2011AllSexNon-Maori254</v>
      </c>
      <c r="K3002" s="359">
        <v>2011</v>
      </c>
      <c r="L3002" t="s">
        <v>17</v>
      </c>
      <c r="M3002" t="s">
        <v>19</v>
      </c>
      <c r="N3002">
        <v>25</v>
      </c>
      <c r="O3002">
        <v>4</v>
      </c>
      <c r="P3002">
        <v>8</v>
      </c>
      <c r="Q3002">
        <v>7.0384878195222704</v>
      </c>
      <c r="R3002">
        <v>4.9000000000000004</v>
      </c>
      <c r="T3002" s="358" t="str">
        <f t="shared" si="139"/>
        <v>2010FemaleNon-Maori24Hanging, strangulation and suffocation</v>
      </c>
      <c r="U3002" s="360">
        <v>2010</v>
      </c>
      <c r="V3002" s="360" t="s">
        <v>8</v>
      </c>
      <c r="W3002" s="360" t="s">
        <v>19</v>
      </c>
      <c r="X3002" s="360">
        <v>24</v>
      </c>
      <c r="Y3002" s="360" t="s">
        <v>43</v>
      </c>
      <c r="Z3002" s="360">
        <v>17</v>
      </c>
      <c r="AA3002" s="360">
        <v>39</v>
      </c>
      <c r="AB3002" s="360">
        <v>43.6</v>
      </c>
    </row>
    <row r="3003" spans="10:28" x14ac:dyDescent="0.2">
      <c r="J3003" s="358" t="str">
        <f t="shared" si="138"/>
        <v>2011AllSexNon-Maori255</v>
      </c>
      <c r="K3003" s="359">
        <v>2011</v>
      </c>
      <c r="L3003" t="s">
        <v>17</v>
      </c>
      <c r="M3003" t="s">
        <v>19</v>
      </c>
      <c r="N3003">
        <v>25</v>
      </c>
      <c r="O3003">
        <v>5</v>
      </c>
      <c r="P3003">
        <v>7</v>
      </c>
      <c r="Q3003">
        <v>8.3609333654005606</v>
      </c>
      <c r="R3003">
        <v>6.2</v>
      </c>
      <c r="T3003" s="358" t="str">
        <f t="shared" si="139"/>
        <v>2010FemaleNon-Maori25Hanging, strangulation and suffocation</v>
      </c>
      <c r="U3003" s="360">
        <v>2010</v>
      </c>
      <c r="V3003" s="360" t="s">
        <v>8</v>
      </c>
      <c r="W3003" s="360" t="s">
        <v>19</v>
      </c>
      <c r="X3003" s="360">
        <v>25</v>
      </c>
      <c r="Y3003" s="360" t="s">
        <v>43</v>
      </c>
      <c r="Z3003" s="360">
        <v>6</v>
      </c>
      <c r="AA3003" s="360">
        <v>14</v>
      </c>
      <c r="AB3003" s="360">
        <v>42.9</v>
      </c>
    </row>
    <row r="3004" spans="10:28" x14ac:dyDescent="0.2">
      <c r="J3004" s="358" t="str">
        <f t="shared" si="138"/>
        <v>2011FemaleAllEth211</v>
      </c>
      <c r="K3004" s="359">
        <v>2011</v>
      </c>
      <c r="L3004" t="s">
        <v>8</v>
      </c>
      <c r="M3004" t="s">
        <v>27</v>
      </c>
      <c r="N3004">
        <v>21</v>
      </c>
      <c r="O3004">
        <v>1</v>
      </c>
      <c r="P3004">
        <v>0</v>
      </c>
      <c r="T3004" s="358" t="str">
        <f t="shared" si="139"/>
        <v>2010FemaleNon-Maori23Jumping from a high place</v>
      </c>
      <c r="U3004" s="360">
        <v>2010</v>
      </c>
      <c r="V3004" s="360" t="s">
        <v>8</v>
      </c>
      <c r="W3004" s="360" t="s">
        <v>19</v>
      </c>
      <c r="X3004" s="360">
        <v>23</v>
      </c>
      <c r="Y3004" s="360" t="s">
        <v>44</v>
      </c>
      <c r="Z3004" s="360">
        <v>1</v>
      </c>
      <c r="AA3004" s="360">
        <v>44</v>
      </c>
      <c r="AB3004" s="360">
        <v>2.2999999999999998</v>
      </c>
    </row>
    <row r="3005" spans="10:28" x14ac:dyDescent="0.2">
      <c r="J3005" s="358" t="str">
        <f t="shared" si="138"/>
        <v>2011FemaleAllEth212</v>
      </c>
      <c r="K3005" s="359">
        <v>2011</v>
      </c>
      <c r="L3005" t="s">
        <v>8</v>
      </c>
      <c r="M3005" t="s">
        <v>27</v>
      </c>
      <c r="N3005">
        <v>21</v>
      </c>
      <c r="O3005">
        <v>2</v>
      </c>
      <c r="P3005">
        <v>0</v>
      </c>
      <c r="T3005" s="358" t="str">
        <f t="shared" si="139"/>
        <v>2010FemaleNon-Maori24Jumping from a high place</v>
      </c>
      <c r="U3005" s="360">
        <v>2010</v>
      </c>
      <c r="V3005" s="360" t="s">
        <v>8</v>
      </c>
      <c r="W3005" s="360" t="s">
        <v>19</v>
      </c>
      <c r="X3005" s="360">
        <v>24</v>
      </c>
      <c r="Y3005" s="360" t="s">
        <v>44</v>
      </c>
      <c r="Z3005" s="360">
        <v>1</v>
      </c>
      <c r="AA3005" s="360">
        <v>39</v>
      </c>
      <c r="AB3005" s="360">
        <v>2.6</v>
      </c>
    </row>
    <row r="3006" spans="10:28" x14ac:dyDescent="0.2">
      <c r="J3006" s="358" t="str">
        <f t="shared" si="138"/>
        <v>2011FemaleAllEth213</v>
      </c>
      <c r="K3006" s="359">
        <v>2011</v>
      </c>
      <c r="L3006" t="s">
        <v>8</v>
      </c>
      <c r="M3006" t="s">
        <v>27</v>
      </c>
      <c r="N3006">
        <v>21</v>
      </c>
      <c r="O3006">
        <v>3</v>
      </c>
      <c r="P3006">
        <v>1</v>
      </c>
      <c r="T3006" s="358" t="str">
        <f t="shared" si="139"/>
        <v>2010FemaleNon-Maori22Other</v>
      </c>
      <c r="U3006" s="360">
        <v>2010</v>
      </c>
      <c r="V3006" s="360" t="s">
        <v>8</v>
      </c>
      <c r="W3006" s="360" t="s">
        <v>19</v>
      </c>
      <c r="X3006" s="360">
        <v>22</v>
      </c>
      <c r="Y3006" s="360" t="s">
        <v>45</v>
      </c>
      <c r="Z3006" s="360">
        <v>1</v>
      </c>
      <c r="AA3006" s="360">
        <v>19</v>
      </c>
      <c r="AB3006" s="360">
        <v>5.3</v>
      </c>
    </row>
    <row r="3007" spans="10:28" x14ac:dyDescent="0.2">
      <c r="J3007" s="358" t="str">
        <f t="shared" si="138"/>
        <v>2011FemaleAllEth214</v>
      </c>
      <c r="K3007" s="359">
        <v>2011</v>
      </c>
      <c r="L3007" t="s">
        <v>8</v>
      </c>
      <c r="M3007" t="s">
        <v>27</v>
      </c>
      <c r="N3007">
        <v>21</v>
      </c>
      <c r="O3007">
        <v>4</v>
      </c>
      <c r="P3007">
        <v>0</v>
      </c>
      <c r="T3007" s="358" t="str">
        <f t="shared" si="139"/>
        <v>2010FemaleNon-Maori23Other</v>
      </c>
      <c r="U3007" s="360">
        <v>2010</v>
      </c>
      <c r="V3007" s="360" t="s">
        <v>8</v>
      </c>
      <c r="W3007" s="360" t="s">
        <v>19</v>
      </c>
      <c r="X3007" s="360">
        <v>23</v>
      </c>
      <c r="Y3007" s="360" t="s">
        <v>45</v>
      </c>
      <c r="Z3007" s="360">
        <v>2</v>
      </c>
      <c r="AA3007" s="360">
        <v>44</v>
      </c>
      <c r="AB3007" s="360">
        <v>4.5</v>
      </c>
    </row>
    <row r="3008" spans="10:28" x14ac:dyDescent="0.2">
      <c r="J3008" s="358" t="str">
        <f t="shared" si="138"/>
        <v>2011FemaleAllEth215</v>
      </c>
      <c r="K3008" s="359">
        <v>2011</v>
      </c>
      <c r="L3008" t="s">
        <v>8</v>
      </c>
      <c r="M3008" t="s">
        <v>27</v>
      </c>
      <c r="N3008">
        <v>21</v>
      </c>
      <c r="O3008">
        <v>5</v>
      </c>
      <c r="P3008">
        <v>2</v>
      </c>
      <c r="T3008" s="358" t="str">
        <f t="shared" si="139"/>
        <v>2010FemaleNon-Maori24Other</v>
      </c>
      <c r="U3008" s="360">
        <v>2010</v>
      </c>
      <c r="V3008" s="360" t="s">
        <v>8</v>
      </c>
      <c r="W3008" s="360" t="s">
        <v>19</v>
      </c>
      <c r="X3008" s="360">
        <v>24</v>
      </c>
      <c r="Y3008" s="360" t="s">
        <v>45</v>
      </c>
      <c r="Z3008" s="360">
        <v>2</v>
      </c>
      <c r="AA3008" s="360">
        <v>39</v>
      </c>
      <c r="AB3008" s="360">
        <v>5.0999999999999996</v>
      </c>
    </row>
    <row r="3009" spans="10:28" x14ac:dyDescent="0.2">
      <c r="J3009" s="358" t="str">
        <f t="shared" si="138"/>
        <v>2011FemaleAllEth221</v>
      </c>
      <c r="K3009" s="359">
        <v>2011</v>
      </c>
      <c r="L3009" t="s">
        <v>8</v>
      </c>
      <c r="M3009" t="s">
        <v>27</v>
      </c>
      <c r="N3009">
        <v>22</v>
      </c>
      <c r="O3009">
        <v>1</v>
      </c>
      <c r="P3009">
        <v>3</v>
      </c>
      <c r="Q3009">
        <v>5.6317206157358601</v>
      </c>
      <c r="R3009">
        <v>6.4</v>
      </c>
      <c r="T3009" s="358" t="str">
        <f t="shared" si="139"/>
        <v>2010FemaleNon-Maori25Other</v>
      </c>
      <c r="U3009" s="360">
        <v>2010</v>
      </c>
      <c r="V3009" s="360" t="s">
        <v>8</v>
      </c>
      <c r="W3009" s="360" t="s">
        <v>19</v>
      </c>
      <c r="X3009" s="360">
        <v>25</v>
      </c>
      <c r="Y3009" s="360" t="s">
        <v>45</v>
      </c>
      <c r="Z3009" s="360">
        <v>1</v>
      </c>
      <c r="AA3009" s="360">
        <v>14</v>
      </c>
      <c r="AB3009" s="360">
        <v>7.1</v>
      </c>
    </row>
    <row r="3010" spans="10:28" x14ac:dyDescent="0.2">
      <c r="J3010" s="358" t="str">
        <f t="shared" si="138"/>
        <v>2011FemaleAllEth222</v>
      </c>
      <c r="K3010" s="359">
        <v>2011</v>
      </c>
      <c r="L3010" t="s">
        <v>8</v>
      </c>
      <c r="M3010" t="s">
        <v>27</v>
      </c>
      <c r="N3010">
        <v>22</v>
      </c>
      <c r="O3010">
        <v>2</v>
      </c>
      <c r="P3010">
        <v>5</v>
      </c>
      <c r="Q3010">
        <v>9.2769984762633193</v>
      </c>
      <c r="R3010">
        <v>8.1</v>
      </c>
      <c r="T3010" s="358" t="str">
        <f t="shared" si="139"/>
        <v>2010FemaleNon-Maori22Poisoning by gases and vapours</v>
      </c>
      <c r="U3010" s="360">
        <v>2010</v>
      </c>
      <c r="V3010" s="360" t="s">
        <v>8</v>
      </c>
      <c r="W3010" s="360" t="s">
        <v>19</v>
      </c>
      <c r="X3010" s="360">
        <v>22</v>
      </c>
      <c r="Y3010" s="360" t="s">
        <v>46</v>
      </c>
      <c r="Z3010" s="360">
        <v>2</v>
      </c>
      <c r="AA3010" s="360">
        <v>19</v>
      </c>
      <c r="AB3010" s="360">
        <v>10.5</v>
      </c>
    </row>
    <row r="3011" spans="10:28" x14ac:dyDescent="0.2">
      <c r="J3011" s="358" t="str">
        <f t="shared" si="138"/>
        <v>2011FemaleAllEth223</v>
      </c>
      <c r="K3011" s="359">
        <v>2011</v>
      </c>
      <c r="L3011" t="s">
        <v>8</v>
      </c>
      <c r="M3011" t="s">
        <v>27</v>
      </c>
      <c r="N3011">
        <v>22</v>
      </c>
      <c r="O3011">
        <v>3</v>
      </c>
      <c r="P3011">
        <v>3</v>
      </c>
      <c r="Q3011">
        <v>5.2270678819459899</v>
      </c>
      <c r="R3011">
        <v>5.9</v>
      </c>
      <c r="T3011" s="358" t="str">
        <f t="shared" si="139"/>
        <v>2010FemaleNon-Maori23Poisoning by gases and vapours</v>
      </c>
      <c r="U3011" s="360">
        <v>2010</v>
      </c>
      <c r="V3011" s="360" t="s">
        <v>8</v>
      </c>
      <c r="W3011" s="360" t="s">
        <v>19</v>
      </c>
      <c r="X3011" s="360">
        <v>23</v>
      </c>
      <c r="Y3011" s="360" t="s">
        <v>46</v>
      </c>
      <c r="Z3011" s="360">
        <v>5</v>
      </c>
      <c r="AA3011" s="360">
        <v>44</v>
      </c>
      <c r="AB3011" s="360">
        <v>11.4</v>
      </c>
    </row>
    <row r="3012" spans="10:28" x14ac:dyDescent="0.2">
      <c r="J3012" s="358" t="str">
        <f t="shared" ref="J3012:J3075" si="140">K3012&amp;L3012&amp;M3012&amp;N3012&amp;O3012</f>
        <v>2011FemaleAllEth224</v>
      </c>
      <c r="K3012" s="359">
        <v>2011</v>
      </c>
      <c r="L3012" t="s">
        <v>8</v>
      </c>
      <c r="M3012" t="s">
        <v>27</v>
      </c>
      <c r="N3012">
        <v>22</v>
      </c>
      <c r="O3012">
        <v>4</v>
      </c>
      <c r="P3012">
        <v>4</v>
      </c>
      <c r="Q3012">
        <v>6.0633693665226502</v>
      </c>
      <c r="R3012">
        <v>5.9</v>
      </c>
      <c r="T3012" s="358" t="str">
        <f t="shared" si="139"/>
        <v>2010FemaleNon-Maori24Poisoning by gases and vapours</v>
      </c>
      <c r="U3012" s="360">
        <v>2010</v>
      </c>
      <c r="V3012" s="360" t="s">
        <v>8</v>
      </c>
      <c r="W3012" s="360" t="s">
        <v>19</v>
      </c>
      <c r="X3012" s="360">
        <v>24</v>
      </c>
      <c r="Y3012" s="360" t="s">
        <v>46</v>
      </c>
      <c r="Z3012" s="360">
        <v>2</v>
      </c>
      <c r="AA3012" s="360">
        <v>39</v>
      </c>
      <c r="AB3012" s="360">
        <v>5.0999999999999996</v>
      </c>
    </row>
    <row r="3013" spans="10:28" x14ac:dyDescent="0.2">
      <c r="J3013" s="358" t="str">
        <f t="shared" si="140"/>
        <v>2011FemaleAllEth225</v>
      </c>
      <c r="K3013" s="359">
        <v>2011</v>
      </c>
      <c r="L3013" t="s">
        <v>8</v>
      </c>
      <c r="M3013" t="s">
        <v>27</v>
      </c>
      <c r="N3013">
        <v>22</v>
      </c>
      <c r="O3013">
        <v>5</v>
      </c>
      <c r="P3013">
        <v>18</v>
      </c>
      <c r="Q3013">
        <v>23.553956299171301</v>
      </c>
      <c r="R3013">
        <v>10.9</v>
      </c>
      <c r="T3013" s="358" t="str">
        <f t="shared" ref="T3013:T3076" si="141">U3013&amp;V3013&amp;W3013&amp;X3013&amp;Y3013</f>
        <v>2010FemaleNon-Maori25Poisoning by gases and vapours</v>
      </c>
      <c r="U3013" s="360">
        <v>2010</v>
      </c>
      <c r="V3013" s="360" t="s">
        <v>8</v>
      </c>
      <c r="W3013" s="360" t="s">
        <v>19</v>
      </c>
      <c r="X3013" s="360">
        <v>25</v>
      </c>
      <c r="Y3013" s="360" t="s">
        <v>46</v>
      </c>
      <c r="Z3013" s="360">
        <v>1</v>
      </c>
      <c r="AA3013" s="360">
        <v>14</v>
      </c>
      <c r="AB3013" s="360">
        <v>7.1</v>
      </c>
    </row>
    <row r="3014" spans="10:28" x14ac:dyDescent="0.2">
      <c r="J3014" s="358" t="str">
        <f t="shared" si="140"/>
        <v>2011FemaleAllEth231</v>
      </c>
      <c r="K3014" s="359">
        <v>2011</v>
      </c>
      <c r="L3014" t="s">
        <v>8</v>
      </c>
      <c r="M3014" t="s">
        <v>27</v>
      </c>
      <c r="N3014">
        <v>23</v>
      </c>
      <c r="O3014">
        <v>1</v>
      </c>
      <c r="P3014">
        <v>2</v>
      </c>
      <c r="Q3014">
        <v>1.72589201801514</v>
      </c>
      <c r="R3014">
        <v>2.4</v>
      </c>
      <c r="T3014" s="358" t="str">
        <f t="shared" si="141"/>
        <v>2010FemaleNon-Maori22Poisoning by solids and liquids</v>
      </c>
      <c r="U3014" s="360">
        <v>2010</v>
      </c>
      <c r="V3014" s="360" t="s">
        <v>8</v>
      </c>
      <c r="W3014" s="360" t="s">
        <v>19</v>
      </c>
      <c r="X3014" s="360">
        <v>22</v>
      </c>
      <c r="Y3014" s="360" t="s">
        <v>47</v>
      </c>
      <c r="Z3014" s="360">
        <v>2</v>
      </c>
      <c r="AA3014" s="360">
        <v>19</v>
      </c>
      <c r="AB3014" s="360">
        <v>10.5</v>
      </c>
    </row>
    <row r="3015" spans="10:28" x14ac:dyDescent="0.2">
      <c r="J3015" s="358" t="str">
        <f t="shared" si="140"/>
        <v>2011FemaleAllEth232</v>
      </c>
      <c r="K3015" s="359">
        <v>2011</v>
      </c>
      <c r="L3015" t="s">
        <v>8</v>
      </c>
      <c r="M3015" t="s">
        <v>27</v>
      </c>
      <c r="N3015">
        <v>23</v>
      </c>
      <c r="O3015">
        <v>2</v>
      </c>
      <c r="P3015">
        <v>2</v>
      </c>
      <c r="Q3015">
        <v>1.6218590969617701</v>
      </c>
      <c r="R3015">
        <v>2.2000000000000002</v>
      </c>
      <c r="T3015" s="358" t="str">
        <f t="shared" si="141"/>
        <v>2010FemaleNon-Maori23Poisoning by solids and liquids</v>
      </c>
      <c r="U3015" s="360">
        <v>2010</v>
      </c>
      <c r="V3015" s="360" t="s">
        <v>8</v>
      </c>
      <c r="W3015" s="360" t="s">
        <v>19</v>
      </c>
      <c r="X3015" s="360">
        <v>23</v>
      </c>
      <c r="Y3015" s="360" t="s">
        <v>47</v>
      </c>
      <c r="Z3015" s="360">
        <v>12</v>
      </c>
      <c r="AA3015" s="360">
        <v>44</v>
      </c>
      <c r="AB3015" s="360">
        <v>27.3</v>
      </c>
    </row>
    <row r="3016" spans="10:28" x14ac:dyDescent="0.2">
      <c r="J3016" s="358" t="str">
        <f t="shared" si="140"/>
        <v>2011FemaleAllEth233</v>
      </c>
      <c r="K3016" s="359">
        <v>2011</v>
      </c>
      <c r="L3016" t="s">
        <v>8</v>
      </c>
      <c r="M3016" t="s">
        <v>27</v>
      </c>
      <c r="N3016">
        <v>23</v>
      </c>
      <c r="O3016">
        <v>3</v>
      </c>
      <c r="P3016">
        <v>6</v>
      </c>
      <c r="Q3016">
        <v>4.8378945134182896</v>
      </c>
      <c r="R3016">
        <v>3.9</v>
      </c>
      <c r="T3016" s="358" t="str">
        <f t="shared" si="141"/>
        <v>2010FemaleNon-Maori24Poisoning by solids and liquids</v>
      </c>
      <c r="U3016" s="360">
        <v>2010</v>
      </c>
      <c r="V3016" s="360" t="s">
        <v>8</v>
      </c>
      <c r="W3016" s="360" t="s">
        <v>19</v>
      </c>
      <c r="X3016" s="360">
        <v>24</v>
      </c>
      <c r="Y3016" s="360" t="s">
        <v>47</v>
      </c>
      <c r="Z3016" s="360">
        <v>12</v>
      </c>
      <c r="AA3016" s="360">
        <v>39</v>
      </c>
      <c r="AB3016" s="360">
        <v>30.8</v>
      </c>
    </row>
    <row r="3017" spans="10:28" x14ac:dyDescent="0.2">
      <c r="J3017" s="358" t="str">
        <f t="shared" si="140"/>
        <v>2011FemaleAllEth234</v>
      </c>
      <c r="K3017" s="359">
        <v>2011</v>
      </c>
      <c r="L3017" t="s">
        <v>8</v>
      </c>
      <c r="M3017" t="s">
        <v>27</v>
      </c>
      <c r="N3017">
        <v>23</v>
      </c>
      <c r="O3017">
        <v>4</v>
      </c>
      <c r="P3017">
        <v>11</v>
      </c>
      <c r="Q3017">
        <v>9.0868012666420892</v>
      </c>
      <c r="R3017">
        <v>5.4</v>
      </c>
      <c r="T3017" s="358" t="str">
        <f t="shared" si="141"/>
        <v>2010FemaleNon-Maori25Poisoning by solids and liquids</v>
      </c>
      <c r="U3017" s="360">
        <v>2010</v>
      </c>
      <c r="V3017" s="360" t="s">
        <v>8</v>
      </c>
      <c r="W3017" s="360" t="s">
        <v>19</v>
      </c>
      <c r="X3017" s="360">
        <v>25</v>
      </c>
      <c r="Y3017" s="360" t="s">
        <v>47</v>
      </c>
      <c r="Z3017" s="360">
        <v>6</v>
      </c>
      <c r="AA3017" s="360">
        <v>14</v>
      </c>
      <c r="AB3017" s="360">
        <v>42.9</v>
      </c>
    </row>
    <row r="3018" spans="10:28" x14ac:dyDescent="0.2">
      <c r="J3018" s="358" t="str">
        <f t="shared" si="140"/>
        <v>2011FemaleAllEth235</v>
      </c>
      <c r="K3018" s="359">
        <v>2011</v>
      </c>
      <c r="L3018" t="s">
        <v>8</v>
      </c>
      <c r="M3018" t="s">
        <v>27</v>
      </c>
      <c r="N3018">
        <v>23</v>
      </c>
      <c r="O3018">
        <v>5</v>
      </c>
      <c r="P3018">
        <v>12</v>
      </c>
      <c r="Q3018">
        <v>10.241720118145</v>
      </c>
      <c r="R3018">
        <v>5.8</v>
      </c>
      <c r="T3018" s="358" t="str">
        <f t="shared" si="141"/>
        <v>2010FemaleNon-Maori24Sharp object</v>
      </c>
      <c r="U3018" s="360">
        <v>2010</v>
      </c>
      <c r="V3018" s="360" t="s">
        <v>8</v>
      </c>
      <c r="W3018" s="360" t="s">
        <v>19</v>
      </c>
      <c r="X3018" s="360">
        <v>24</v>
      </c>
      <c r="Y3018" s="360" t="s">
        <v>48</v>
      </c>
      <c r="Z3018" s="360">
        <v>2</v>
      </c>
      <c r="AA3018" s="360">
        <v>39</v>
      </c>
      <c r="AB3018" s="360">
        <v>5.0999999999999996</v>
      </c>
    </row>
    <row r="3019" spans="10:28" x14ac:dyDescent="0.2">
      <c r="J3019" s="358" t="str">
        <f t="shared" si="140"/>
        <v>2011FemaleAllEth241</v>
      </c>
      <c r="K3019" s="359">
        <v>2011</v>
      </c>
      <c r="L3019" t="s">
        <v>8</v>
      </c>
      <c r="M3019" t="s">
        <v>27</v>
      </c>
      <c r="N3019">
        <v>24</v>
      </c>
      <c r="O3019">
        <v>1</v>
      </c>
      <c r="P3019">
        <v>9</v>
      </c>
      <c r="Q3019">
        <v>6.5108949649752796</v>
      </c>
      <c r="R3019">
        <v>4.3</v>
      </c>
      <c r="T3019" s="358" t="str">
        <f t="shared" si="141"/>
        <v>2010FemaleNon-Maori22Submersion (drowning)</v>
      </c>
      <c r="U3019" s="360">
        <v>2010</v>
      </c>
      <c r="V3019" s="360" t="s">
        <v>8</v>
      </c>
      <c r="W3019" s="360" t="s">
        <v>19</v>
      </c>
      <c r="X3019" s="360">
        <v>22</v>
      </c>
      <c r="Y3019" s="360" t="s">
        <v>49</v>
      </c>
      <c r="Z3019" s="360">
        <v>1</v>
      </c>
      <c r="AA3019" s="360">
        <v>19</v>
      </c>
      <c r="AB3019" s="360">
        <v>5.3</v>
      </c>
    </row>
    <row r="3020" spans="10:28" x14ac:dyDescent="0.2">
      <c r="J3020" s="358" t="str">
        <f t="shared" si="140"/>
        <v>2011FemaleAllEth242</v>
      </c>
      <c r="K3020" s="359">
        <v>2011</v>
      </c>
      <c r="L3020" t="s">
        <v>8</v>
      </c>
      <c r="M3020" t="s">
        <v>27</v>
      </c>
      <c r="N3020">
        <v>24</v>
      </c>
      <c r="O3020">
        <v>2</v>
      </c>
      <c r="P3020">
        <v>3</v>
      </c>
      <c r="Q3020">
        <v>2.4149863727936598</v>
      </c>
      <c r="R3020">
        <v>2.7</v>
      </c>
      <c r="T3020" s="358" t="str">
        <f t="shared" si="141"/>
        <v>2010FemaleNon-Maori23Submersion (drowning)</v>
      </c>
      <c r="U3020" s="360">
        <v>2010</v>
      </c>
      <c r="V3020" s="360" t="s">
        <v>8</v>
      </c>
      <c r="W3020" s="360" t="s">
        <v>19</v>
      </c>
      <c r="X3020" s="360">
        <v>23</v>
      </c>
      <c r="Y3020" s="360" t="s">
        <v>49</v>
      </c>
      <c r="Z3020" s="360">
        <v>1</v>
      </c>
      <c r="AA3020" s="360">
        <v>44</v>
      </c>
      <c r="AB3020" s="360">
        <v>2.2999999999999998</v>
      </c>
    </row>
    <row r="3021" spans="10:28" x14ac:dyDescent="0.2">
      <c r="J3021" s="358" t="str">
        <f t="shared" si="140"/>
        <v>2011FemaleAllEth243</v>
      </c>
      <c r="K3021" s="359">
        <v>2011</v>
      </c>
      <c r="L3021" t="s">
        <v>8</v>
      </c>
      <c r="M3021" t="s">
        <v>27</v>
      </c>
      <c r="N3021">
        <v>24</v>
      </c>
      <c r="O3021">
        <v>3</v>
      </c>
      <c r="P3021">
        <v>6</v>
      </c>
      <c r="Q3021">
        <v>5.30946755258375</v>
      </c>
      <c r="R3021">
        <v>4.2</v>
      </c>
      <c r="T3021" s="358" t="str">
        <f t="shared" si="141"/>
        <v>2010FemaleNon-Maori24Submersion (drowning)</v>
      </c>
      <c r="U3021" s="360">
        <v>2010</v>
      </c>
      <c r="V3021" s="360" t="s">
        <v>8</v>
      </c>
      <c r="W3021" s="360" t="s">
        <v>19</v>
      </c>
      <c r="X3021" s="360">
        <v>24</v>
      </c>
      <c r="Y3021" s="360" t="s">
        <v>49</v>
      </c>
      <c r="Z3021" s="360">
        <v>3</v>
      </c>
      <c r="AA3021" s="360">
        <v>39</v>
      </c>
      <c r="AB3021" s="360">
        <v>7.7</v>
      </c>
    </row>
    <row r="3022" spans="10:28" x14ac:dyDescent="0.2">
      <c r="J3022" s="358" t="str">
        <f t="shared" si="140"/>
        <v>2011FemaleAllEth244</v>
      </c>
      <c r="K3022" s="359">
        <v>2011</v>
      </c>
      <c r="L3022" t="s">
        <v>8</v>
      </c>
      <c r="M3022" t="s">
        <v>27</v>
      </c>
      <c r="N3022">
        <v>24</v>
      </c>
      <c r="O3022">
        <v>4</v>
      </c>
      <c r="P3022">
        <v>5</v>
      </c>
      <c r="Q3022">
        <v>4.86972005923477</v>
      </c>
      <c r="R3022">
        <v>4.3</v>
      </c>
      <c r="T3022" s="358" t="str">
        <f t="shared" si="141"/>
        <v>2010MaleAllEth22Firearms and explosives</v>
      </c>
      <c r="U3022" s="360">
        <v>2010</v>
      </c>
      <c r="V3022" s="360" t="s">
        <v>20</v>
      </c>
      <c r="W3022" s="360" t="s">
        <v>27</v>
      </c>
      <c r="X3022" s="360">
        <v>22</v>
      </c>
      <c r="Y3022" s="360" t="s">
        <v>42</v>
      </c>
      <c r="Z3022" s="360">
        <v>4</v>
      </c>
      <c r="AA3022" s="360">
        <v>77</v>
      </c>
      <c r="AB3022" s="360">
        <v>5.2</v>
      </c>
    </row>
    <row r="3023" spans="10:28" x14ac:dyDescent="0.2">
      <c r="J3023" s="358" t="str">
        <f t="shared" si="140"/>
        <v>2011FemaleAllEth245</v>
      </c>
      <c r="K3023" s="359">
        <v>2011</v>
      </c>
      <c r="L3023" t="s">
        <v>8</v>
      </c>
      <c r="M3023" t="s">
        <v>27</v>
      </c>
      <c r="N3023">
        <v>24</v>
      </c>
      <c r="O3023">
        <v>5</v>
      </c>
      <c r="P3023">
        <v>10</v>
      </c>
      <c r="Q3023">
        <v>10.526982269551601</v>
      </c>
      <c r="R3023">
        <v>6.5</v>
      </c>
      <c r="T3023" s="358" t="str">
        <f t="shared" si="141"/>
        <v>2010MaleAllEth23Firearms and explosives</v>
      </c>
      <c r="U3023" s="360">
        <v>2010</v>
      </c>
      <c r="V3023" s="360" t="s">
        <v>20</v>
      </c>
      <c r="W3023" s="360" t="s">
        <v>27</v>
      </c>
      <c r="X3023" s="360">
        <v>23</v>
      </c>
      <c r="Y3023" s="360" t="s">
        <v>42</v>
      </c>
      <c r="Z3023" s="360">
        <v>13</v>
      </c>
      <c r="AA3023" s="360">
        <v>146</v>
      </c>
      <c r="AB3023" s="360">
        <v>8.9</v>
      </c>
    </row>
    <row r="3024" spans="10:28" x14ac:dyDescent="0.2">
      <c r="J3024" s="358" t="str">
        <f t="shared" si="140"/>
        <v>2011FemaleAllEth251</v>
      </c>
      <c r="K3024" s="359">
        <v>2011</v>
      </c>
      <c r="L3024" t="s">
        <v>8</v>
      </c>
      <c r="M3024" t="s">
        <v>27</v>
      </c>
      <c r="N3024">
        <v>25</v>
      </c>
      <c r="O3024">
        <v>1</v>
      </c>
      <c r="P3024">
        <v>4</v>
      </c>
      <c r="Q3024">
        <v>6.4088073581369098</v>
      </c>
      <c r="R3024">
        <v>6.3</v>
      </c>
      <c r="T3024" s="358" t="str">
        <f t="shared" si="141"/>
        <v>2010MaleAllEth24Firearms and explosives</v>
      </c>
      <c r="U3024" s="360">
        <v>2010</v>
      </c>
      <c r="V3024" s="360" t="s">
        <v>20</v>
      </c>
      <c r="W3024" s="360" t="s">
        <v>27</v>
      </c>
      <c r="X3024" s="360">
        <v>24</v>
      </c>
      <c r="Y3024" s="360" t="s">
        <v>42</v>
      </c>
      <c r="Z3024" s="360">
        <v>13</v>
      </c>
      <c r="AA3024" s="360">
        <v>118</v>
      </c>
      <c r="AB3024" s="360">
        <v>11</v>
      </c>
    </row>
    <row r="3025" spans="10:28" x14ac:dyDescent="0.2">
      <c r="J3025" s="358" t="str">
        <f t="shared" si="140"/>
        <v>2011FemaleAllEth252</v>
      </c>
      <c r="K3025" s="359">
        <v>2011</v>
      </c>
      <c r="L3025" t="s">
        <v>8</v>
      </c>
      <c r="M3025" t="s">
        <v>27</v>
      </c>
      <c r="N3025">
        <v>25</v>
      </c>
      <c r="O3025">
        <v>2</v>
      </c>
      <c r="P3025">
        <v>4</v>
      </c>
      <c r="Q3025">
        <v>6.2118470271110899</v>
      </c>
      <c r="R3025">
        <v>6.1</v>
      </c>
      <c r="T3025" s="358" t="str">
        <f t="shared" si="141"/>
        <v>2010MaleAllEth25Firearms and explosives</v>
      </c>
      <c r="U3025" s="360">
        <v>2010</v>
      </c>
      <c r="V3025" s="360" t="s">
        <v>20</v>
      </c>
      <c r="W3025" s="360" t="s">
        <v>27</v>
      </c>
      <c r="X3025" s="360">
        <v>25</v>
      </c>
      <c r="Y3025" s="360" t="s">
        <v>42</v>
      </c>
      <c r="Z3025" s="360">
        <v>10</v>
      </c>
      <c r="AA3025" s="360">
        <v>43</v>
      </c>
      <c r="AB3025" s="360">
        <v>23.3</v>
      </c>
    </row>
    <row r="3026" spans="10:28" x14ac:dyDescent="0.2">
      <c r="J3026" s="358" t="str">
        <f t="shared" si="140"/>
        <v>2011FemaleAllEth253</v>
      </c>
      <c r="K3026" s="359">
        <v>2011</v>
      </c>
      <c r="L3026" t="s">
        <v>8</v>
      </c>
      <c r="M3026" t="s">
        <v>27</v>
      </c>
      <c r="N3026">
        <v>25</v>
      </c>
      <c r="O3026">
        <v>3</v>
      </c>
      <c r="P3026">
        <v>1</v>
      </c>
      <c r="Q3026">
        <v>1.5331110091086999</v>
      </c>
      <c r="R3026">
        <v>3</v>
      </c>
      <c r="T3026" s="358" t="str">
        <f t="shared" si="141"/>
        <v>2010MaleAllEth21Hanging, strangulation and suffocation</v>
      </c>
      <c r="U3026" s="360">
        <v>2010</v>
      </c>
      <c r="V3026" s="360" t="s">
        <v>20</v>
      </c>
      <c r="W3026" s="360" t="s">
        <v>27</v>
      </c>
      <c r="X3026" s="360">
        <v>21</v>
      </c>
      <c r="Y3026" s="360" t="s">
        <v>43</v>
      </c>
      <c r="Z3026" s="360">
        <v>3</v>
      </c>
      <c r="AA3026" s="360">
        <v>3</v>
      </c>
      <c r="AB3026" s="360">
        <v>100</v>
      </c>
    </row>
    <row r="3027" spans="10:28" x14ac:dyDescent="0.2">
      <c r="J3027" s="358" t="str">
        <f t="shared" si="140"/>
        <v>2011FemaleAllEth254</v>
      </c>
      <c r="K3027" s="359">
        <v>2011</v>
      </c>
      <c r="L3027" t="s">
        <v>8</v>
      </c>
      <c r="M3027" t="s">
        <v>27</v>
      </c>
      <c r="N3027">
        <v>25</v>
      </c>
      <c r="O3027">
        <v>4</v>
      </c>
      <c r="P3027">
        <v>3</v>
      </c>
      <c r="Q3027">
        <v>4.3955471757174003</v>
      </c>
      <c r="R3027">
        <v>5</v>
      </c>
      <c r="T3027" s="358" t="str">
        <f t="shared" si="141"/>
        <v>2010MaleAllEth22Hanging, strangulation and suffocation</v>
      </c>
      <c r="U3027" s="360">
        <v>2010</v>
      </c>
      <c r="V3027" s="360" t="s">
        <v>20</v>
      </c>
      <c r="W3027" s="360" t="s">
        <v>27</v>
      </c>
      <c r="X3027" s="360">
        <v>22</v>
      </c>
      <c r="Y3027" s="360" t="s">
        <v>43</v>
      </c>
      <c r="Z3027" s="360">
        <v>61</v>
      </c>
      <c r="AA3027" s="360">
        <v>77</v>
      </c>
      <c r="AB3027" s="360">
        <v>79.2</v>
      </c>
    </row>
    <row r="3028" spans="10:28" x14ac:dyDescent="0.2">
      <c r="J3028" s="358" t="str">
        <f t="shared" si="140"/>
        <v>2011FemaleAllEth255</v>
      </c>
      <c r="K3028" s="359">
        <v>2011</v>
      </c>
      <c r="L3028" t="s">
        <v>8</v>
      </c>
      <c r="M3028" t="s">
        <v>27</v>
      </c>
      <c r="N3028">
        <v>25</v>
      </c>
      <c r="O3028">
        <v>5</v>
      </c>
      <c r="P3028">
        <v>2</v>
      </c>
      <c r="Q3028">
        <v>3.6607233317096401</v>
      </c>
      <c r="R3028">
        <v>5.0999999999999996</v>
      </c>
      <c r="T3028" s="358" t="str">
        <f t="shared" si="141"/>
        <v>2010MaleAllEth23Hanging, strangulation and suffocation</v>
      </c>
      <c r="U3028" s="360">
        <v>2010</v>
      </c>
      <c r="V3028" s="360" t="s">
        <v>20</v>
      </c>
      <c r="W3028" s="360" t="s">
        <v>27</v>
      </c>
      <c r="X3028" s="360">
        <v>23</v>
      </c>
      <c r="Y3028" s="360" t="s">
        <v>43</v>
      </c>
      <c r="Z3028" s="360">
        <v>94</v>
      </c>
      <c r="AA3028" s="360">
        <v>146</v>
      </c>
      <c r="AB3028" s="360">
        <v>64.400000000000006</v>
      </c>
    </row>
    <row r="3029" spans="10:28" x14ac:dyDescent="0.2">
      <c r="J3029" s="358" t="str">
        <f t="shared" si="140"/>
        <v>2011FemaleMaori211</v>
      </c>
      <c r="K3029" s="359">
        <v>2011</v>
      </c>
      <c r="L3029" t="s">
        <v>8</v>
      </c>
      <c r="M3029" t="s">
        <v>18</v>
      </c>
      <c r="N3029">
        <v>21</v>
      </c>
      <c r="O3029">
        <v>1</v>
      </c>
      <c r="P3029">
        <v>0</v>
      </c>
      <c r="T3029" s="358" t="str">
        <f t="shared" si="141"/>
        <v>2010MaleAllEth24Hanging, strangulation and suffocation</v>
      </c>
      <c r="U3029" s="360">
        <v>2010</v>
      </c>
      <c r="V3029" s="360" t="s">
        <v>20</v>
      </c>
      <c r="W3029" s="360" t="s">
        <v>27</v>
      </c>
      <c r="X3029" s="360">
        <v>24</v>
      </c>
      <c r="Y3029" s="360" t="s">
        <v>43</v>
      </c>
      <c r="Z3029" s="360">
        <v>59</v>
      </c>
      <c r="AA3029" s="360">
        <v>118</v>
      </c>
      <c r="AB3029" s="360">
        <v>50</v>
      </c>
    </row>
    <row r="3030" spans="10:28" x14ac:dyDescent="0.2">
      <c r="J3030" s="358" t="str">
        <f t="shared" si="140"/>
        <v>2011FemaleMaori212</v>
      </c>
      <c r="K3030" s="359">
        <v>2011</v>
      </c>
      <c r="L3030" t="s">
        <v>8</v>
      </c>
      <c r="M3030" t="s">
        <v>18</v>
      </c>
      <c r="N3030">
        <v>21</v>
      </c>
      <c r="O3030">
        <v>2</v>
      </c>
      <c r="P3030">
        <v>0</v>
      </c>
      <c r="T3030" s="358" t="str">
        <f t="shared" si="141"/>
        <v>2010MaleAllEth25Hanging, strangulation and suffocation</v>
      </c>
      <c r="U3030" s="360">
        <v>2010</v>
      </c>
      <c r="V3030" s="360" t="s">
        <v>20</v>
      </c>
      <c r="W3030" s="360" t="s">
        <v>27</v>
      </c>
      <c r="X3030" s="360">
        <v>25</v>
      </c>
      <c r="Y3030" s="360" t="s">
        <v>43</v>
      </c>
      <c r="Z3030" s="360">
        <v>16</v>
      </c>
      <c r="AA3030" s="360">
        <v>43</v>
      </c>
      <c r="AB3030" s="360">
        <v>37.200000000000003</v>
      </c>
    </row>
    <row r="3031" spans="10:28" x14ac:dyDescent="0.2">
      <c r="J3031" s="358" t="str">
        <f t="shared" si="140"/>
        <v>2011FemaleMaori213</v>
      </c>
      <c r="K3031" s="359">
        <v>2011</v>
      </c>
      <c r="L3031" t="s">
        <v>8</v>
      </c>
      <c r="M3031" t="s">
        <v>18</v>
      </c>
      <c r="N3031">
        <v>21</v>
      </c>
      <c r="O3031">
        <v>3</v>
      </c>
      <c r="P3031">
        <v>1</v>
      </c>
      <c r="T3031" s="358" t="str">
        <f t="shared" si="141"/>
        <v>2010MaleAllEth22Jumping from a high place</v>
      </c>
      <c r="U3031" s="360">
        <v>2010</v>
      </c>
      <c r="V3031" s="360" t="s">
        <v>20</v>
      </c>
      <c r="W3031" s="360" t="s">
        <v>27</v>
      </c>
      <c r="X3031" s="360">
        <v>22</v>
      </c>
      <c r="Y3031" s="360" t="s">
        <v>44</v>
      </c>
      <c r="Z3031" s="360">
        <v>2</v>
      </c>
      <c r="AA3031" s="360">
        <v>77</v>
      </c>
      <c r="AB3031" s="360">
        <v>2.6</v>
      </c>
    </row>
    <row r="3032" spans="10:28" x14ac:dyDescent="0.2">
      <c r="J3032" s="358" t="str">
        <f t="shared" si="140"/>
        <v>2011FemaleMaori214</v>
      </c>
      <c r="K3032" s="359">
        <v>2011</v>
      </c>
      <c r="L3032" t="s">
        <v>8</v>
      </c>
      <c r="M3032" t="s">
        <v>18</v>
      </c>
      <c r="N3032">
        <v>21</v>
      </c>
      <c r="O3032">
        <v>4</v>
      </c>
      <c r="P3032">
        <v>0</v>
      </c>
      <c r="T3032" s="358" t="str">
        <f t="shared" si="141"/>
        <v>2010MaleAllEth23Jumping from a high place</v>
      </c>
      <c r="U3032" s="360">
        <v>2010</v>
      </c>
      <c r="V3032" s="360" t="s">
        <v>20</v>
      </c>
      <c r="W3032" s="360" t="s">
        <v>27</v>
      </c>
      <c r="X3032" s="360">
        <v>23</v>
      </c>
      <c r="Y3032" s="360" t="s">
        <v>44</v>
      </c>
      <c r="Z3032" s="360">
        <v>2</v>
      </c>
      <c r="AA3032" s="360">
        <v>146</v>
      </c>
      <c r="AB3032" s="360">
        <v>1.4</v>
      </c>
    </row>
    <row r="3033" spans="10:28" x14ac:dyDescent="0.2">
      <c r="J3033" s="358" t="str">
        <f t="shared" si="140"/>
        <v>2011FemaleMaori215</v>
      </c>
      <c r="K3033" s="359">
        <v>2011</v>
      </c>
      <c r="L3033" t="s">
        <v>8</v>
      </c>
      <c r="M3033" t="s">
        <v>18</v>
      </c>
      <c r="N3033">
        <v>21</v>
      </c>
      <c r="O3033">
        <v>5</v>
      </c>
      <c r="P3033">
        <v>1</v>
      </c>
      <c r="T3033" s="358" t="str">
        <f t="shared" si="141"/>
        <v>2010MaleAllEth24Jumping from a high place</v>
      </c>
      <c r="U3033" s="360">
        <v>2010</v>
      </c>
      <c r="V3033" s="360" t="s">
        <v>20</v>
      </c>
      <c r="W3033" s="360" t="s">
        <v>27</v>
      </c>
      <c r="X3033" s="360">
        <v>24</v>
      </c>
      <c r="Y3033" s="360" t="s">
        <v>44</v>
      </c>
      <c r="Z3033" s="360">
        <v>5</v>
      </c>
      <c r="AA3033" s="360">
        <v>118</v>
      </c>
      <c r="AB3033" s="360">
        <v>4.2</v>
      </c>
    </row>
    <row r="3034" spans="10:28" x14ac:dyDescent="0.2">
      <c r="J3034" s="358" t="str">
        <f t="shared" si="140"/>
        <v>2011FemaleMaori221</v>
      </c>
      <c r="K3034" s="359">
        <v>2011</v>
      </c>
      <c r="L3034" t="s">
        <v>8</v>
      </c>
      <c r="M3034" t="s">
        <v>18</v>
      </c>
      <c r="N3034">
        <v>22</v>
      </c>
      <c r="O3034">
        <v>1</v>
      </c>
      <c r="P3034">
        <v>0</v>
      </c>
      <c r="Q3034">
        <v>0</v>
      </c>
      <c r="T3034" s="358" t="str">
        <f t="shared" si="141"/>
        <v>2010MaleAllEth25Jumping from a high place</v>
      </c>
      <c r="U3034" s="360">
        <v>2010</v>
      </c>
      <c r="V3034" s="360" t="s">
        <v>20</v>
      </c>
      <c r="W3034" s="360" t="s">
        <v>27</v>
      </c>
      <c r="X3034" s="360">
        <v>25</v>
      </c>
      <c r="Y3034" s="360" t="s">
        <v>44</v>
      </c>
      <c r="Z3034" s="360">
        <v>1</v>
      </c>
      <c r="AA3034" s="360">
        <v>43</v>
      </c>
      <c r="AB3034" s="360">
        <v>2.2999999999999998</v>
      </c>
    </row>
    <row r="3035" spans="10:28" x14ac:dyDescent="0.2">
      <c r="J3035" s="358" t="str">
        <f t="shared" si="140"/>
        <v>2011FemaleMaori222</v>
      </c>
      <c r="K3035" s="359">
        <v>2011</v>
      </c>
      <c r="L3035" t="s">
        <v>8</v>
      </c>
      <c r="M3035" t="s">
        <v>18</v>
      </c>
      <c r="N3035">
        <v>22</v>
      </c>
      <c r="O3035">
        <v>2</v>
      </c>
      <c r="P3035">
        <v>1</v>
      </c>
      <c r="Q3035">
        <v>14.743326622177801</v>
      </c>
      <c r="R3035">
        <v>28.9</v>
      </c>
      <c r="T3035" s="358" t="str">
        <f t="shared" si="141"/>
        <v>2010MaleAllEth22Other</v>
      </c>
      <c r="U3035" s="360">
        <v>2010</v>
      </c>
      <c r="V3035" s="360" t="s">
        <v>20</v>
      </c>
      <c r="W3035" s="360" t="s">
        <v>27</v>
      </c>
      <c r="X3035" s="360">
        <v>22</v>
      </c>
      <c r="Y3035" s="360" t="s">
        <v>45</v>
      </c>
      <c r="Z3035" s="360">
        <v>3</v>
      </c>
      <c r="AA3035" s="360">
        <v>77</v>
      </c>
      <c r="AB3035" s="360">
        <v>3.9</v>
      </c>
    </row>
    <row r="3036" spans="10:28" x14ac:dyDescent="0.2">
      <c r="J3036" s="358" t="str">
        <f t="shared" si="140"/>
        <v>2011FemaleMaori223</v>
      </c>
      <c r="K3036" s="359">
        <v>2011</v>
      </c>
      <c r="L3036" t="s">
        <v>8</v>
      </c>
      <c r="M3036" t="s">
        <v>18</v>
      </c>
      <c r="N3036">
        <v>22</v>
      </c>
      <c r="O3036">
        <v>3</v>
      </c>
      <c r="P3036">
        <v>1</v>
      </c>
      <c r="Q3036">
        <v>10.012548768705599</v>
      </c>
      <c r="R3036">
        <v>19.600000000000001</v>
      </c>
      <c r="T3036" s="358" t="str">
        <f t="shared" si="141"/>
        <v>2010MaleAllEth23Other</v>
      </c>
      <c r="U3036" s="360">
        <v>2010</v>
      </c>
      <c r="V3036" s="360" t="s">
        <v>20</v>
      </c>
      <c r="W3036" s="360" t="s">
        <v>27</v>
      </c>
      <c r="X3036" s="360">
        <v>23</v>
      </c>
      <c r="Y3036" s="360" t="s">
        <v>45</v>
      </c>
      <c r="Z3036" s="360">
        <v>2</v>
      </c>
      <c r="AA3036" s="360">
        <v>146</v>
      </c>
      <c r="AB3036" s="360">
        <v>1.4</v>
      </c>
    </row>
    <row r="3037" spans="10:28" x14ac:dyDescent="0.2">
      <c r="J3037" s="358" t="str">
        <f t="shared" si="140"/>
        <v>2011FemaleMaori224</v>
      </c>
      <c r="K3037" s="359">
        <v>2011</v>
      </c>
      <c r="L3037" t="s">
        <v>8</v>
      </c>
      <c r="M3037" t="s">
        <v>18</v>
      </c>
      <c r="N3037">
        <v>22</v>
      </c>
      <c r="O3037">
        <v>4</v>
      </c>
      <c r="P3037">
        <v>3</v>
      </c>
      <c r="Q3037">
        <v>20.2974714492616</v>
      </c>
      <c r="R3037">
        <v>23</v>
      </c>
      <c r="T3037" s="358" t="str">
        <f t="shared" si="141"/>
        <v>2010MaleAllEth24Other</v>
      </c>
      <c r="U3037" s="360">
        <v>2010</v>
      </c>
      <c r="V3037" s="360" t="s">
        <v>20</v>
      </c>
      <c r="W3037" s="360" t="s">
        <v>27</v>
      </c>
      <c r="X3037" s="360">
        <v>24</v>
      </c>
      <c r="Y3037" s="360" t="s">
        <v>45</v>
      </c>
      <c r="Z3037" s="360">
        <v>8</v>
      </c>
      <c r="AA3037" s="360">
        <v>118</v>
      </c>
      <c r="AB3037" s="360">
        <v>6.8</v>
      </c>
    </row>
    <row r="3038" spans="10:28" x14ac:dyDescent="0.2">
      <c r="J3038" s="358" t="str">
        <f t="shared" si="140"/>
        <v>2011FemaleMaori225</v>
      </c>
      <c r="K3038" s="359">
        <v>2011</v>
      </c>
      <c r="L3038" t="s">
        <v>8</v>
      </c>
      <c r="M3038" t="s">
        <v>18</v>
      </c>
      <c r="N3038">
        <v>22</v>
      </c>
      <c r="O3038">
        <v>5</v>
      </c>
      <c r="P3038">
        <v>10</v>
      </c>
      <c r="Q3038">
        <v>38.098736948664701</v>
      </c>
      <c r="R3038">
        <v>23.6</v>
      </c>
      <c r="T3038" s="358" t="str">
        <f t="shared" si="141"/>
        <v>2010MaleAllEth25Other</v>
      </c>
      <c r="U3038" s="360">
        <v>2010</v>
      </c>
      <c r="V3038" s="360" t="s">
        <v>20</v>
      </c>
      <c r="W3038" s="360" t="s">
        <v>27</v>
      </c>
      <c r="X3038" s="360">
        <v>25</v>
      </c>
      <c r="Y3038" s="360" t="s">
        <v>45</v>
      </c>
      <c r="Z3038" s="360">
        <v>1</v>
      </c>
      <c r="AA3038" s="360">
        <v>43</v>
      </c>
      <c r="AB3038" s="360">
        <v>2.2999999999999998</v>
      </c>
    </row>
    <row r="3039" spans="10:28" x14ac:dyDescent="0.2">
      <c r="J3039" s="358" t="str">
        <f t="shared" si="140"/>
        <v>2011FemaleMaori231</v>
      </c>
      <c r="K3039" s="359">
        <v>2011</v>
      </c>
      <c r="L3039" t="s">
        <v>8</v>
      </c>
      <c r="M3039" t="s">
        <v>18</v>
      </c>
      <c r="N3039">
        <v>23</v>
      </c>
      <c r="O3039">
        <v>1</v>
      </c>
      <c r="P3039">
        <v>0</v>
      </c>
      <c r="Q3039">
        <v>0</v>
      </c>
      <c r="T3039" s="358" t="str">
        <f t="shared" si="141"/>
        <v>2010MaleAllEth22Poisoning by gases and vapours</v>
      </c>
      <c r="U3039" s="360">
        <v>2010</v>
      </c>
      <c r="V3039" s="360" t="s">
        <v>20</v>
      </c>
      <c r="W3039" s="360" t="s">
        <v>27</v>
      </c>
      <c r="X3039" s="360">
        <v>22</v>
      </c>
      <c r="Y3039" s="360" t="s">
        <v>46</v>
      </c>
      <c r="Z3039" s="360">
        <v>2</v>
      </c>
      <c r="AA3039" s="360">
        <v>77</v>
      </c>
      <c r="AB3039" s="360">
        <v>2.6</v>
      </c>
    </row>
    <row r="3040" spans="10:28" x14ac:dyDescent="0.2">
      <c r="J3040" s="358" t="str">
        <f t="shared" si="140"/>
        <v>2011FemaleMaori232</v>
      </c>
      <c r="K3040" s="359">
        <v>2011</v>
      </c>
      <c r="L3040" t="s">
        <v>8</v>
      </c>
      <c r="M3040" t="s">
        <v>18</v>
      </c>
      <c r="N3040">
        <v>23</v>
      </c>
      <c r="O3040">
        <v>2</v>
      </c>
      <c r="P3040">
        <v>1</v>
      </c>
      <c r="Q3040">
        <v>9.3938872188042506</v>
      </c>
      <c r="R3040">
        <v>18.399999999999999</v>
      </c>
      <c r="T3040" s="358" t="str">
        <f t="shared" si="141"/>
        <v>2010MaleAllEth23Poisoning by gases and vapours</v>
      </c>
      <c r="U3040" s="360">
        <v>2010</v>
      </c>
      <c r="V3040" s="360" t="s">
        <v>20</v>
      </c>
      <c r="W3040" s="360" t="s">
        <v>27</v>
      </c>
      <c r="X3040" s="360">
        <v>23</v>
      </c>
      <c r="Y3040" s="360" t="s">
        <v>46</v>
      </c>
      <c r="Z3040" s="360">
        <v>21</v>
      </c>
      <c r="AA3040" s="360">
        <v>146</v>
      </c>
      <c r="AB3040" s="360">
        <v>14.4</v>
      </c>
    </row>
    <row r="3041" spans="10:28" x14ac:dyDescent="0.2">
      <c r="J3041" s="358" t="str">
        <f t="shared" si="140"/>
        <v>2011FemaleMaori233</v>
      </c>
      <c r="K3041" s="359">
        <v>2011</v>
      </c>
      <c r="L3041" t="s">
        <v>8</v>
      </c>
      <c r="M3041" t="s">
        <v>18</v>
      </c>
      <c r="N3041">
        <v>23</v>
      </c>
      <c r="O3041">
        <v>3</v>
      </c>
      <c r="P3041">
        <v>1</v>
      </c>
      <c r="Q3041">
        <v>6.7333463742358903</v>
      </c>
      <c r="R3041">
        <v>13.2</v>
      </c>
      <c r="T3041" s="358" t="str">
        <f t="shared" si="141"/>
        <v>2010MaleAllEth24Poisoning by gases and vapours</v>
      </c>
      <c r="U3041" s="360">
        <v>2010</v>
      </c>
      <c r="V3041" s="360" t="s">
        <v>20</v>
      </c>
      <c r="W3041" s="360" t="s">
        <v>27</v>
      </c>
      <c r="X3041" s="360">
        <v>24</v>
      </c>
      <c r="Y3041" s="360" t="s">
        <v>46</v>
      </c>
      <c r="Z3041" s="360">
        <v>19</v>
      </c>
      <c r="AA3041" s="360">
        <v>118</v>
      </c>
      <c r="AB3041" s="360">
        <v>16.100000000000001</v>
      </c>
    </row>
    <row r="3042" spans="10:28" x14ac:dyDescent="0.2">
      <c r="J3042" s="358" t="str">
        <f t="shared" si="140"/>
        <v>2011FemaleMaori234</v>
      </c>
      <c r="K3042" s="359">
        <v>2011</v>
      </c>
      <c r="L3042" t="s">
        <v>8</v>
      </c>
      <c r="M3042" t="s">
        <v>18</v>
      </c>
      <c r="N3042">
        <v>23</v>
      </c>
      <c r="O3042">
        <v>4</v>
      </c>
      <c r="P3042">
        <v>3</v>
      </c>
      <c r="Q3042">
        <v>14.428377810721299</v>
      </c>
      <c r="R3042">
        <v>16.3</v>
      </c>
      <c r="T3042" s="358" t="str">
        <f t="shared" si="141"/>
        <v>2010MaleAllEth25Poisoning by gases and vapours</v>
      </c>
      <c r="U3042" s="360">
        <v>2010</v>
      </c>
      <c r="V3042" s="360" t="s">
        <v>20</v>
      </c>
      <c r="W3042" s="360" t="s">
        <v>27</v>
      </c>
      <c r="X3042" s="360">
        <v>25</v>
      </c>
      <c r="Y3042" s="360" t="s">
        <v>46</v>
      </c>
      <c r="Z3042" s="360">
        <v>9</v>
      </c>
      <c r="AA3042" s="360">
        <v>43</v>
      </c>
      <c r="AB3042" s="360">
        <v>20.9</v>
      </c>
    </row>
    <row r="3043" spans="10:28" x14ac:dyDescent="0.2">
      <c r="J3043" s="358" t="str">
        <f t="shared" si="140"/>
        <v>2011FemaleMaori235</v>
      </c>
      <c r="K3043" s="359">
        <v>2011</v>
      </c>
      <c r="L3043" t="s">
        <v>8</v>
      </c>
      <c r="M3043" t="s">
        <v>18</v>
      </c>
      <c r="N3043">
        <v>23</v>
      </c>
      <c r="O3043">
        <v>5</v>
      </c>
      <c r="P3043">
        <v>6</v>
      </c>
      <c r="Q3043">
        <v>16.692852913573901</v>
      </c>
      <c r="R3043">
        <v>13.4</v>
      </c>
      <c r="T3043" s="358" t="str">
        <f t="shared" si="141"/>
        <v>2010MaleAllEth22Poisoning by solids and liquids</v>
      </c>
      <c r="U3043" s="360">
        <v>2010</v>
      </c>
      <c r="V3043" s="360" t="s">
        <v>20</v>
      </c>
      <c r="W3043" s="360" t="s">
        <v>27</v>
      </c>
      <c r="X3043" s="360">
        <v>22</v>
      </c>
      <c r="Y3043" s="360" t="s">
        <v>47</v>
      </c>
      <c r="Z3043" s="360">
        <v>2</v>
      </c>
      <c r="AA3043" s="360">
        <v>77</v>
      </c>
      <c r="AB3043" s="360">
        <v>2.6</v>
      </c>
    </row>
    <row r="3044" spans="10:28" x14ac:dyDescent="0.2">
      <c r="J3044" s="358" t="str">
        <f t="shared" si="140"/>
        <v>2011FemaleMaori241</v>
      </c>
      <c r="K3044" s="359">
        <v>2011</v>
      </c>
      <c r="L3044" t="s">
        <v>8</v>
      </c>
      <c r="M3044" t="s">
        <v>18</v>
      </c>
      <c r="N3044">
        <v>24</v>
      </c>
      <c r="O3044">
        <v>1</v>
      </c>
      <c r="P3044">
        <v>0</v>
      </c>
      <c r="Q3044">
        <v>0</v>
      </c>
      <c r="T3044" s="358" t="str">
        <f t="shared" si="141"/>
        <v>2010MaleAllEth23Poisoning by solids and liquids</v>
      </c>
      <c r="U3044" s="360">
        <v>2010</v>
      </c>
      <c r="V3044" s="360" t="s">
        <v>20</v>
      </c>
      <c r="W3044" s="360" t="s">
        <v>27</v>
      </c>
      <c r="X3044" s="360">
        <v>23</v>
      </c>
      <c r="Y3044" s="360" t="s">
        <v>47</v>
      </c>
      <c r="Z3044" s="360">
        <v>10</v>
      </c>
      <c r="AA3044" s="360">
        <v>146</v>
      </c>
      <c r="AB3044" s="360">
        <v>6.8</v>
      </c>
    </row>
    <row r="3045" spans="10:28" x14ac:dyDescent="0.2">
      <c r="J3045" s="358" t="str">
        <f t="shared" si="140"/>
        <v>2011FemaleMaori242</v>
      </c>
      <c r="K3045" s="359">
        <v>2011</v>
      </c>
      <c r="L3045" t="s">
        <v>8</v>
      </c>
      <c r="M3045" t="s">
        <v>18</v>
      </c>
      <c r="N3045">
        <v>24</v>
      </c>
      <c r="O3045">
        <v>2</v>
      </c>
      <c r="P3045">
        <v>1</v>
      </c>
      <c r="Q3045">
        <v>13.502220234686099</v>
      </c>
      <c r="R3045">
        <v>26.5</v>
      </c>
      <c r="T3045" s="358" t="str">
        <f t="shared" si="141"/>
        <v>2010MaleAllEth24Poisoning by solids and liquids</v>
      </c>
      <c r="U3045" s="360">
        <v>2010</v>
      </c>
      <c r="V3045" s="360" t="s">
        <v>20</v>
      </c>
      <c r="W3045" s="360" t="s">
        <v>27</v>
      </c>
      <c r="X3045" s="360">
        <v>24</v>
      </c>
      <c r="Y3045" s="360" t="s">
        <v>47</v>
      </c>
      <c r="Z3045" s="360">
        <v>12</v>
      </c>
      <c r="AA3045" s="360">
        <v>118</v>
      </c>
      <c r="AB3045" s="360">
        <v>10.199999999999999</v>
      </c>
    </row>
    <row r="3046" spans="10:28" x14ac:dyDescent="0.2">
      <c r="J3046" s="358" t="str">
        <f t="shared" si="140"/>
        <v>2011FemaleMaori243</v>
      </c>
      <c r="K3046" s="359">
        <v>2011</v>
      </c>
      <c r="L3046" t="s">
        <v>8</v>
      </c>
      <c r="M3046" t="s">
        <v>18</v>
      </c>
      <c r="N3046">
        <v>24</v>
      </c>
      <c r="O3046">
        <v>3</v>
      </c>
      <c r="P3046">
        <v>1</v>
      </c>
      <c r="Q3046">
        <v>10.0700408877822</v>
      </c>
      <c r="R3046">
        <v>19.7</v>
      </c>
      <c r="T3046" s="358" t="str">
        <f t="shared" si="141"/>
        <v>2010MaleAllEth25Poisoning by solids and liquids</v>
      </c>
      <c r="U3046" s="360">
        <v>2010</v>
      </c>
      <c r="V3046" s="360" t="s">
        <v>20</v>
      </c>
      <c r="W3046" s="360" t="s">
        <v>27</v>
      </c>
      <c r="X3046" s="360">
        <v>25</v>
      </c>
      <c r="Y3046" s="360" t="s">
        <v>47</v>
      </c>
      <c r="Z3046" s="360">
        <v>4</v>
      </c>
      <c r="AA3046" s="360">
        <v>43</v>
      </c>
      <c r="AB3046" s="360">
        <v>9.3000000000000007</v>
      </c>
    </row>
    <row r="3047" spans="10:28" x14ac:dyDescent="0.2">
      <c r="J3047" s="358" t="str">
        <f t="shared" si="140"/>
        <v>2011FemaleMaori244</v>
      </c>
      <c r="K3047" s="359">
        <v>2011</v>
      </c>
      <c r="L3047" t="s">
        <v>8</v>
      </c>
      <c r="M3047" t="s">
        <v>18</v>
      </c>
      <c r="N3047">
        <v>24</v>
      </c>
      <c r="O3047">
        <v>4</v>
      </c>
      <c r="P3047">
        <v>0</v>
      </c>
      <c r="Q3047">
        <v>0</v>
      </c>
      <c r="T3047" s="358" t="str">
        <f t="shared" si="141"/>
        <v>2010MaleAllEth22Sharp object</v>
      </c>
      <c r="U3047" s="360">
        <v>2010</v>
      </c>
      <c r="V3047" s="360" t="s">
        <v>20</v>
      </c>
      <c r="W3047" s="360" t="s">
        <v>27</v>
      </c>
      <c r="X3047" s="360">
        <v>22</v>
      </c>
      <c r="Y3047" s="360" t="s">
        <v>48</v>
      </c>
      <c r="Z3047" s="360">
        <v>2</v>
      </c>
      <c r="AA3047" s="360">
        <v>77</v>
      </c>
      <c r="AB3047" s="360">
        <v>2.6</v>
      </c>
    </row>
    <row r="3048" spans="10:28" x14ac:dyDescent="0.2">
      <c r="J3048" s="358" t="str">
        <f t="shared" si="140"/>
        <v>2011FemaleMaori245</v>
      </c>
      <c r="K3048" s="359">
        <v>2011</v>
      </c>
      <c r="L3048" t="s">
        <v>8</v>
      </c>
      <c r="M3048" t="s">
        <v>18</v>
      </c>
      <c r="N3048">
        <v>24</v>
      </c>
      <c r="O3048">
        <v>5</v>
      </c>
      <c r="P3048">
        <v>1</v>
      </c>
      <c r="Q3048">
        <v>3.8825147910438802</v>
      </c>
      <c r="R3048">
        <v>7.6</v>
      </c>
      <c r="T3048" s="358" t="str">
        <f t="shared" si="141"/>
        <v>2010MaleAllEth23Sharp object</v>
      </c>
      <c r="U3048" s="360">
        <v>2010</v>
      </c>
      <c r="V3048" s="360" t="s">
        <v>20</v>
      </c>
      <c r="W3048" s="360" t="s">
        <v>27</v>
      </c>
      <c r="X3048" s="360">
        <v>23</v>
      </c>
      <c r="Y3048" s="360" t="s">
        <v>48</v>
      </c>
      <c r="Z3048" s="360">
        <v>3</v>
      </c>
      <c r="AA3048" s="360">
        <v>146</v>
      </c>
      <c r="AB3048" s="360">
        <v>2.1</v>
      </c>
    </row>
    <row r="3049" spans="10:28" x14ac:dyDescent="0.2">
      <c r="J3049" s="358" t="str">
        <f t="shared" si="140"/>
        <v>2011FemaleMaori251</v>
      </c>
      <c r="K3049" s="359">
        <v>2011</v>
      </c>
      <c r="L3049" t="s">
        <v>8</v>
      </c>
      <c r="M3049" t="s">
        <v>18</v>
      </c>
      <c r="N3049">
        <v>25</v>
      </c>
      <c r="O3049">
        <v>1</v>
      </c>
      <c r="P3049">
        <v>0</v>
      </c>
      <c r="Q3049">
        <v>0</v>
      </c>
      <c r="T3049" s="358" t="str">
        <f t="shared" si="141"/>
        <v>2010MaleAllEth24Sharp object</v>
      </c>
      <c r="U3049" s="360">
        <v>2010</v>
      </c>
      <c r="V3049" s="360" t="s">
        <v>20</v>
      </c>
      <c r="W3049" s="360" t="s">
        <v>27</v>
      </c>
      <c r="X3049" s="360">
        <v>24</v>
      </c>
      <c r="Y3049" s="360" t="s">
        <v>48</v>
      </c>
      <c r="Z3049" s="360">
        <v>1</v>
      </c>
      <c r="AA3049" s="360">
        <v>118</v>
      </c>
      <c r="AB3049" s="360">
        <v>0.8</v>
      </c>
    </row>
    <row r="3050" spans="10:28" x14ac:dyDescent="0.2">
      <c r="J3050" s="358" t="str">
        <f t="shared" si="140"/>
        <v>2011FemaleMaori252</v>
      </c>
      <c r="K3050" s="359">
        <v>2011</v>
      </c>
      <c r="L3050" t="s">
        <v>8</v>
      </c>
      <c r="M3050" t="s">
        <v>18</v>
      </c>
      <c r="N3050">
        <v>25</v>
      </c>
      <c r="O3050">
        <v>2</v>
      </c>
      <c r="P3050">
        <v>0</v>
      </c>
      <c r="Q3050">
        <v>0</v>
      </c>
      <c r="T3050" s="358" t="str">
        <f t="shared" si="141"/>
        <v>2010MaleAllEth25Sharp object</v>
      </c>
      <c r="U3050" s="360">
        <v>2010</v>
      </c>
      <c r="V3050" s="360" t="s">
        <v>20</v>
      </c>
      <c r="W3050" s="360" t="s">
        <v>27</v>
      </c>
      <c r="X3050" s="360">
        <v>25</v>
      </c>
      <c r="Y3050" s="360" t="s">
        <v>48</v>
      </c>
      <c r="Z3050" s="360">
        <v>1</v>
      </c>
      <c r="AA3050" s="360">
        <v>43</v>
      </c>
      <c r="AB3050" s="360">
        <v>2.2999999999999998</v>
      </c>
    </row>
    <row r="3051" spans="10:28" x14ac:dyDescent="0.2">
      <c r="J3051" s="358" t="str">
        <f t="shared" si="140"/>
        <v>2011FemaleMaori253</v>
      </c>
      <c r="K3051" s="359">
        <v>2011</v>
      </c>
      <c r="L3051" t="s">
        <v>8</v>
      </c>
      <c r="M3051" t="s">
        <v>18</v>
      </c>
      <c r="N3051">
        <v>25</v>
      </c>
      <c r="O3051">
        <v>3</v>
      </c>
      <c r="P3051">
        <v>0</v>
      </c>
      <c r="Q3051">
        <v>0</v>
      </c>
      <c r="T3051" s="358" t="str">
        <f t="shared" si="141"/>
        <v>2010MaleAllEth22Submersion (drowning)</v>
      </c>
      <c r="U3051" s="360">
        <v>2010</v>
      </c>
      <c r="V3051" s="360" t="s">
        <v>20</v>
      </c>
      <c r="W3051" s="360" t="s">
        <v>27</v>
      </c>
      <c r="X3051" s="360">
        <v>22</v>
      </c>
      <c r="Y3051" s="360" t="s">
        <v>49</v>
      </c>
      <c r="Z3051" s="360">
        <v>1</v>
      </c>
      <c r="AA3051" s="360">
        <v>77</v>
      </c>
      <c r="AB3051" s="360">
        <v>1.3</v>
      </c>
    </row>
    <row r="3052" spans="10:28" x14ac:dyDescent="0.2">
      <c r="J3052" s="358" t="str">
        <f t="shared" si="140"/>
        <v>2011FemaleMaori254</v>
      </c>
      <c r="K3052" s="359">
        <v>2011</v>
      </c>
      <c r="L3052" t="s">
        <v>8</v>
      </c>
      <c r="M3052" t="s">
        <v>18</v>
      </c>
      <c r="N3052">
        <v>25</v>
      </c>
      <c r="O3052">
        <v>4</v>
      </c>
      <c r="P3052">
        <v>0</v>
      </c>
      <c r="Q3052">
        <v>0</v>
      </c>
      <c r="T3052" s="358" t="str">
        <f t="shared" si="141"/>
        <v>2010MaleAllEth23Submersion (drowning)</v>
      </c>
      <c r="U3052" s="360">
        <v>2010</v>
      </c>
      <c r="V3052" s="360" t="s">
        <v>20</v>
      </c>
      <c r="W3052" s="360" t="s">
        <v>27</v>
      </c>
      <c r="X3052" s="360">
        <v>23</v>
      </c>
      <c r="Y3052" s="360" t="s">
        <v>49</v>
      </c>
      <c r="Z3052" s="360">
        <v>1</v>
      </c>
      <c r="AA3052" s="360">
        <v>146</v>
      </c>
      <c r="AB3052" s="360">
        <v>0.7</v>
      </c>
    </row>
    <row r="3053" spans="10:28" x14ac:dyDescent="0.2">
      <c r="J3053" s="358" t="str">
        <f t="shared" si="140"/>
        <v>2011FemaleMaori255</v>
      </c>
      <c r="K3053" s="359">
        <v>2011</v>
      </c>
      <c r="L3053" t="s">
        <v>8</v>
      </c>
      <c r="M3053" t="s">
        <v>18</v>
      </c>
      <c r="N3053">
        <v>25</v>
      </c>
      <c r="O3053">
        <v>5</v>
      </c>
      <c r="P3053">
        <v>0</v>
      </c>
      <c r="Q3053">
        <v>0</v>
      </c>
      <c r="T3053" s="358" t="str">
        <f t="shared" si="141"/>
        <v>2010MaleAllEth24Submersion (drowning)</v>
      </c>
      <c r="U3053" s="360">
        <v>2010</v>
      </c>
      <c r="V3053" s="360" t="s">
        <v>20</v>
      </c>
      <c r="W3053" s="360" t="s">
        <v>27</v>
      </c>
      <c r="X3053" s="360">
        <v>24</v>
      </c>
      <c r="Y3053" s="360" t="s">
        <v>49</v>
      </c>
      <c r="Z3053" s="360">
        <v>1</v>
      </c>
      <c r="AA3053" s="360">
        <v>118</v>
      </c>
      <c r="AB3053" s="360">
        <v>0.8</v>
      </c>
    </row>
    <row r="3054" spans="10:28" x14ac:dyDescent="0.2">
      <c r="J3054" s="358" t="str">
        <f t="shared" si="140"/>
        <v>2011FemaleNon-Maori211</v>
      </c>
      <c r="K3054" s="359">
        <v>2011</v>
      </c>
      <c r="L3054" t="s">
        <v>8</v>
      </c>
      <c r="M3054" t="s">
        <v>19</v>
      </c>
      <c r="N3054">
        <v>21</v>
      </c>
      <c r="O3054">
        <v>1</v>
      </c>
      <c r="P3054">
        <v>0</v>
      </c>
      <c r="T3054" s="358" t="str">
        <f t="shared" si="141"/>
        <v>2010MaleAllEth25Submersion (drowning)</v>
      </c>
      <c r="U3054" s="360">
        <v>2010</v>
      </c>
      <c r="V3054" s="360" t="s">
        <v>20</v>
      </c>
      <c r="W3054" s="360" t="s">
        <v>27</v>
      </c>
      <c r="X3054" s="360">
        <v>25</v>
      </c>
      <c r="Y3054" s="360" t="s">
        <v>49</v>
      </c>
      <c r="Z3054" s="360">
        <v>1</v>
      </c>
      <c r="AA3054" s="360">
        <v>43</v>
      </c>
      <c r="AB3054" s="360">
        <v>2.2999999999999998</v>
      </c>
    </row>
    <row r="3055" spans="10:28" x14ac:dyDescent="0.2">
      <c r="J3055" s="358" t="str">
        <f t="shared" si="140"/>
        <v>2011FemaleNon-Maori212</v>
      </c>
      <c r="K3055" s="359">
        <v>2011</v>
      </c>
      <c r="L3055" t="s">
        <v>8</v>
      </c>
      <c r="M3055" t="s">
        <v>19</v>
      </c>
      <c r="N3055">
        <v>21</v>
      </c>
      <c r="O3055">
        <v>2</v>
      </c>
      <c r="P3055">
        <v>0</v>
      </c>
      <c r="T3055" s="358" t="str">
        <f t="shared" si="141"/>
        <v>2010MaleMaori23Firearms and explosives</v>
      </c>
      <c r="U3055" s="360">
        <v>2010</v>
      </c>
      <c r="V3055" s="360" t="s">
        <v>20</v>
      </c>
      <c r="W3055" s="360" t="s">
        <v>18</v>
      </c>
      <c r="X3055" s="360">
        <v>23</v>
      </c>
      <c r="Y3055" s="360" t="s">
        <v>42</v>
      </c>
      <c r="Z3055" s="360">
        <v>3</v>
      </c>
      <c r="AA3055" s="360">
        <v>32</v>
      </c>
      <c r="AB3055" s="360">
        <v>9.4</v>
      </c>
    </row>
    <row r="3056" spans="10:28" x14ac:dyDescent="0.2">
      <c r="J3056" s="358" t="str">
        <f t="shared" si="140"/>
        <v>2011FemaleNon-Maori213</v>
      </c>
      <c r="K3056" s="359">
        <v>2011</v>
      </c>
      <c r="L3056" t="s">
        <v>8</v>
      </c>
      <c r="M3056" t="s">
        <v>19</v>
      </c>
      <c r="N3056">
        <v>21</v>
      </c>
      <c r="O3056">
        <v>3</v>
      </c>
      <c r="P3056">
        <v>0</v>
      </c>
      <c r="T3056" s="358" t="str">
        <f t="shared" si="141"/>
        <v>2010MaleMaori21Hanging, strangulation and suffocation</v>
      </c>
      <c r="U3056" s="360">
        <v>2010</v>
      </c>
      <c r="V3056" s="360" t="s">
        <v>20</v>
      </c>
      <c r="W3056" s="360" t="s">
        <v>18</v>
      </c>
      <c r="X3056" s="360">
        <v>21</v>
      </c>
      <c r="Y3056" s="360" t="s">
        <v>43</v>
      </c>
      <c r="Z3056" s="360">
        <v>2</v>
      </c>
      <c r="AA3056" s="360">
        <v>2</v>
      </c>
      <c r="AB3056" s="360">
        <v>100</v>
      </c>
    </row>
    <row r="3057" spans="10:28" x14ac:dyDescent="0.2">
      <c r="J3057" s="358" t="str">
        <f t="shared" si="140"/>
        <v>2011FemaleNon-Maori214</v>
      </c>
      <c r="K3057" s="359">
        <v>2011</v>
      </c>
      <c r="L3057" t="s">
        <v>8</v>
      </c>
      <c r="M3057" t="s">
        <v>19</v>
      </c>
      <c r="N3057">
        <v>21</v>
      </c>
      <c r="O3057">
        <v>4</v>
      </c>
      <c r="P3057">
        <v>0</v>
      </c>
      <c r="T3057" s="358" t="str">
        <f t="shared" si="141"/>
        <v>2010MaleMaori22Hanging, strangulation and suffocation</v>
      </c>
      <c r="U3057" s="360">
        <v>2010</v>
      </c>
      <c r="V3057" s="360" t="s">
        <v>20</v>
      </c>
      <c r="W3057" s="360" t="s">
        <v>18</v>
      </c>
      <c r="X3057" s="360">
        <v>22</v>
      </c>
      <c r="Y3057" s="360" t="s">
        <v>43</v>
      </c>
      <c r="Z3057" s="360">
        <v>24</v>
      </c>
      <c r="AA3057" s="360">
        <v>27</v>
      </c>
      <c r="AB3057" s="360">
        <v>88.9</v>
      </c>
    </row>
    <row r="3058" spans="10:28" x14ac:dyDescent="0.2">
      <c r="J3058" s="358" t="str">
        <f t="shared" si="140"/>
        <v>2011FemaleNon-Maori215</v>
      </c>
      <c r="K3058" s="359">
        <v>2011</v>
      </c>
      <c r="L3058" t="s">
        <v>8</v>
      </c>
      <c r="M3058" t="s">
        <v>19</v>
      </c>
      <c r="N3058">
        <v>21</v>
      </c>
      <c r="O3058">
        <v>5</v>
      </c>
      <c r="P3058">
        <v>1</v>
      </c>
      <c r="T3058" s="358" t="str">
        <f t="shared" si="141"/>
        <v>2010MaleMaori23Hanging, strangulation and suffocation</v>
      </c>
      <c r="U3058" s="360">
        <v>2010</v>
      </c>
      <c r="V3058" s="360" t="s">
        <v>20</v>
      </c>
      <c r="W3058" s="360" t="s">
        <v>18</v>
      </c>
      <c r="X3058" s="360">
        <v>23</v>
      </c>
      <c r="Y3058" s="360" t="s">
        <v>43</v>
      </c>
      <c r="Z3058" s="360">
        <v>24</v>
      </c>
      <c r="AA3058" s="360">
        <v>32</v>
      </c>
      <c r="AB3058" s="360">
        <v>75</v>
      </c>
    </row>
    <row r="3059" spans="10:28" x14ac:dyDescent="0.2">
      <c r="J3059" s="358" t="str">
        <f t="shared" si="140"/>
        <v>2011FemaleNon-Maori221</v>
      </c>
      <c r="K3059" s="359">
        <v>2011</v>
      </c>
      <c r="L3059" t="s">
        <v>8</v>
      </c>
      <c r="M3059" t="s">
        <v>19</v>
      </c>
      <c r="N3059">
        <v>22</v>
      </c>
      <c r="O3059">
        <v>1</v>
      </c>
      <c r="P3059">
        <v>3</v>
      </c>
      <c r="Q3059">
        <v>6.1625180878451999</v>
      </c>
      <c r="R3059">
        <v>7</v>
      </c>
      <c r="T3059" s="358" t="str">
        <f t="shared" si="141"/>
        <v>2010MaleMaori24Hanging, strangulation and suffocation</v>
      </c>
      <c r="U3059" s="360">
        <v>2010</v>
      </c>
      <c r="V3059" s="360" t="s">
        <v>20</v>
      </c>
      <c r="W3059" s="360" t="s">
        <v>18</v>
      </c>
      <c r="X3059" s="360">
        <v>24</v>
      </c>
      <c r="Y3059" s="360" t="s">
        <v>43</v>
      </c>
      <c r="Z3059" s="360">
        <v>7</v>
      </c>
      <c r="AA3059" s="360">
        <v>11</v>
      </c>
      <c r="AB3059" s="360">
        <v>63.6</v>
      </c>
    </row>
    <row r="3060" spans="10:28" x14ac:dyDescent="0.2">
      <c r="J3060" s="358" t="str">
        <f t="shared" si="140"/>
        <v>2011FemaleNon-Maori222</v>
      </c>
      <c r="K3060" s="359">
        <v>2011</v>
      </c>
      <c r="L3060" t="s">
        <v>8</v>
      </c>
      <c r="M3060" t="s">
        <v>19</v>
      </c>
      <c r="N3060">
        <v>22</v>
      </c>
      <c r="O3060">
        <v>2</v>
      </c>
      <c r="P3060">
        <v>4</v>
      </c>
      <c r="Q3060">
        <v>8.4360461434252407</v>
      </c>
      <c r="R3060">
        <v>8.3000000000000007</v>
      </c>
      <c r="T3060" s="358" t="str">
        <f t="shared" si="141"/>
        <v>2010MaleMaori22Other</v>
      </c>
      <c r="U3060" s="360">
        <v>2010</v>
      </c>
      <c r="V3060" s="360" t="s">
        <v>20</v>
      </c>
      <c r="W3060" s="360" t="s">
        <v>18</v>
      </c>
      <c r="X3060" s="360">
        <v>22</v>
      </c>
      <c r="Y3060" s="360" t="s">
        <v>45</v>
      </c>
      <c r="Z3060" s="360">
        <v>3</v>
      </c>
      <c r="AA3060" s="360">
        <v>27</v>
      </c>
      <c r="AB3060" s="360">
        <v>11.1</v>
      </c>
    </row>
    <row r="3061" spans="10:28" x14ac:dyDescent="0.2">
      <c r="J3061" s="358" t="str">
        <f t="shared" si="140"/>
        <v>2011FemaleNon-Maori223</v>
      </c>
      <c r="K3061" s="359">
        <v>2011</v>
      </c>
      <c r="L3061" t="s">
        <v>8</v>
      </c>
      <c r="M3061" t="s">
        <v>19</v>
      </c>
      <c r="N3061">
        <v>22</v>
      </c>
      <c r="O3061">
        <v>3</v>
      </c>
      <c r="P3061">
        <v>2</v>
      </c>
      <c r="Q3061">
        <v>4.21002975426393</v>
      </c>
      <c r="R3061">
        <v>5.8</v>
      </c>
      <c r="T3061" s="358" t="str">
        <f t="shared" si="141"/>
        <v>2010MaleMaori23Poisoning by gases and vapours</v>
      </c>
      <c r="U3061" s="360">
        <v>2010</v>
      </c>
      <c r="V3061" s="360" t="s">
        <v>20</v>
      </c>
      <c r="W3061" s="360" t="s">
        <v>18</v>
      </c>
      <c r="X3061" s="360">
        <v>23</v>
      </c>
      <c r="Y3061" s="360" t="s">
        <v>46</v>
      </c>
      <c r="Z3061" s="360">
        <v>2</v>
      </c>
      <c r="AA3061" s="360">
        <v>32</v>
      </c>
      <c r="AB3061" s="360">
        <v>6.2</v>
      </c>
    </row>
    <row r="3062" spans="10:28" x14ac:dyDescent="0.2">
      <c r="J3062" s="358" t="str">
        <f t="shared" si="140"/>
        <v>2011FemaleNon-Maori224</v>
      </c>
      <c r="K3062" s="359">
        <v>2011</v>
      </c>
      <c r="L3062" t="s">
        <v>8</v>
      </c>
      <c r="M3062" t="s">
        <v>19</v>
      </c>
      <c r="N3062">
        <v>22</v>
      </c>
      <c r="O3062">
        <v>4</v>
      </c>
      <c r="P3062">
        <v>1</v>
      </c>
      <c r="Q3062">
        <v>1.95604967474701</v>
      </c>
      <c r="R3062">
        <v>3.8</v>
      </c>
      <c r="T3062" s="358" t="str">
        <f t="shared" si="141"/>
        <v>2010MaleMaori24Poisoning by gases and vapours</v>
      </c>
      <c r="U3062" s="360">
        <v>2010</v>
      </c>
      <c r="V3062" s="360" t="s">
        <v>20</v>
      </c>
      <c r="W3062" s="360" t="s">
        <v>18</v>
      </c>
      <c r="X3062" s="360">
        <v>24</v>
      </c>
      <c r="Y3062" s="360" t="s">
        <v>46</v>
      </c>
      <c r="Z3062" s="360">
        <v>2</v>
      </c>
      <c r="AA3062" s="360">
        <v>11</v>
      </c>
      <c r="AB3062" s="360">
        <v>18.2</v>
      </c>
    </row>
    <row r="3063" spans="10:28" x14ac:dyDescent="0.2">
      <c r="J3063" s="358" t="str">
        <f t="shared" si="140"/>
        <v>2011FemaleNon-Maori225</v>
      </c>
      <c r="K3063" s="359">
        <v>2011</v>
      </c>
      <c r="L3063" t="s">
        <v>8</v>
      </c>
      <c r="M3063" t="s">
        <v>19</v>
      </c>
      <c r="N3063">
        <v>22</v>
      </c>
      <c r="O3063">
        <v>5</v>
      </c>
      <c r="P3063">
        <v>8</v>
      </c>
      <c r="Q3063">
        <v>16.2027520933052</v>
      </c>
      <c r="R3063">
        <v>11.2</v>
      </c>
      <c r="T3063" s="358" t="str">
        <f t="shared" si="141"/>
        <v>2010MaleMaori23Poisoning by solids and liquids</v>
      </c>
      <c r="U3063" s="360">
        <v>2010</v>
      </c>
      <c r="V3063" s="360" t="s">
        <v>20</v>
      </c>
      <c r="W3063" s="360" t="s">
        <v>18</v>
      </c>
      <c r="X3063" s="360">
        <v>23</v>
      </c>
      <c r="Y3063" s="360" t="s">
        <v>47</v>
      </c>
      <c r="Z3063" s="360">
        <v>3</v>
      </c>
      <c r="AA3063" s="360">
        <v>32</v>
      </c>
      <c r="AB3063" s="360">
        <v>9.4</v>
      </c>
    </row>
    <row r="3064" spans="10:28" x14ac:dyDescent="0.2">
      <c r="J3064" s="358" t="str">
        <f t="shared" si="140"/>
        <v>2011FemaleNon-Maori231</v>
      </c>
      <c r="K3064" s="359">
        <v>2011</v>
      </c>
      <c r="L3064" t="s">
        <v>8</v>
      </c>
      <c r="M3064" t="s">
        <v>19</v>
      </c>
      <c r="N3064">
        <v>23</v>
      </c>
      <c r="O3064">
        <v>1</v>
      </c>
      <c r="P3064">
        <v>2</v>
      </c>
      <c r="Q3064">
        <v>1.8285973856735001</v>
      </c>
      <c r="R3064">
        <v>2.5</v>
      </c>
      <c r="T3064" s="358" t="str">
        <f t="shared" si="141"/>
        <v>2010MaleMaori24Poisoning by solids and liquids</v>
      </c>
      <c r="U3064" s="360">
        <v>2010</v>
      </c>
      <c r="V3064" s="360" t="s">
        <v>20</v>
      </c>
      <c r="W3064" s="360" t="s">
        <v>18</v>
      </c>
      <c r="X3064" s="360">
        <v>24</v>
      </c>
      <c r="Y3064" s="360" t="s">
        <v>47</v>
      </c>
      <c r="Z3064" s="360">
        <v>1</v>
      </c>
      <c r="AA3064" s="360">
        <v>11</v>
      </c>
      <c r="AB3064" s="360">
        <v>9.1</v>
      </c>
    </row>
    <row r="3065" spans="10:28" x14ac:dyDescent="0.2">
      <c r="J3065" s="358" t="str">
        <f t="shared" si="140"/>
        <v>2011FemaleNon-Maori232</v>
      </c>
      <c r="K3065" s="359">
        <v>2011</v>
      </c>
      <c r="L3065" t="s">
        <v>8</v>
      </c>
      <c r="M3065" t="s">
        <v>19</v>
      </c>
      <c r="N3065">
        <v>23</v>
      </c>
      <c r="O3065">
        <v>2</v>
      </c>
      <c r="P3065">
        <v>1</v>
      </c>
      <c r="Q3065">
        <v>0.88319217232666802</v>
      </c>
      <c r="R3065">
        <v>1.7</v>
      </c>
      <c r="T3065" s="358" t="str">
        <f t="shared" si="141"/>
        <v>2010MaleMaori24Sharp object</v>
      </c>
      <c r="U3065" s="360">
        <v>2010</v>
      </c>
      <c r="V3065" s="360" t="s">
        <v>20</v>
      </c>
      <c r="W3065" s="360" t="s">
        <v>18</v>
      </c>
      <c r="X3065" s="360">
        <v>24</v>
      </c>
      <c r="Y3065" s="360" t="s">
        <v>48</v>
      </c>
      <c r="Z3065" s="360">
        <v>1</v>
      </c>
      <c r="AA3065" s="360">
        <v>11</v>
      </c>
      <c r="AB3065" s="360">
        <v>9.1</v>
      </c>
    </row>
    <row r="3066" spans="10:28" x14ac:dyDescent="0.2">
      <c r="J3066" s="358" t="str">
        <f t="shared" si="140"/>
        <v>2011FemaleNon-Maori233</v>
      </c>
      <c r="K3066" s="359">
        <v>2011</v>
      </c>
      <c r="L3066" t="s">
        <v>8</v>
      </c>
      <c r="M3066" t="s">
        <v>19</v>
      </c>
      <c r="N3066">
        <v>23</v>
      </c>
      <c r="O3066">
        <v>3</v>
      </c>
      <c r="P3066">
        <v>5</v>
      </c>
      <c r="Q3066">
        <v>4.5741302898762299</v>
      </c>
      <c r="R3066">
        <v>4</v>
      </c>
      <c r="T3066" s="358" t="str">
        <f t="shared" si="141"/>
        <v>2010MaleNon-Maori22Firearms and explosives</v>
      </c>
      <c r="U3066" s="360">
        <v>2010</v>
      </c>
      <c r="V3066" s="360" t="s">
        <v>20</v>
      </c>
      <c r="W3066" s="360" t="s">
        <v>19</v>
      </c>
      <c r="X3066" s="360">
        <v>22</v>
      </c>
      <c r="Y3066" s="360" t="s">
        <v>42</v>
      </c>
      <c r="Z3066" s="360">
        <v>4</v>
      </c>
      <c r="AA3066" s="360">
        <v>50</v>
      </c>
      <c r="AB3066" s="360">
        <v>8</v>
      </c>
    </row>
    <row r="3067" spans="10:28" x14ac:dyDescent="0.2">
      <c r="J3067" s="358" t="str">
        <f t="shared" si="140"/>
        <v>2011FemaleNon-Maori234</v>
      </c>
      <c r="K3067" s="359">
        <v>2011</v>
      </c>
      <c r="L3067" t="s">
        <v>8</v>
      </c>
      <c r="M3067" t="s">
        <v>19</v>
      </c>
      <c r="N3067">
        <v>23</v>
      </c>
      <c r="O3067">
        <v>4</v>
      </c>
      <c r="P3067">
        <v>8</v>
      </c>
      <c r="Q3067">
        <v>8.0145855835220807</v>
      </c>
      <c r="R3067">
        <v>5.6</v>
      </c>
      <c r="T3067" s="358" t="str">
        <f t="shared" si="141"/>
        <v>2010MaleNon-Maori23Firearms and explosives</v>
      </c>
      <c r="U3067" s="360">
        <v>2010</v>
      </c>
      <c r="V3067" s="360" t="s">
        <v>20</v>
      </c>
      <c r="W3067" s="360" t="s">
        <v>19</v>
      </c>
      <c r="X3067" s="360">
        <v>23</v>
      </c>
      <c r="Y3067" s="360" t="s">
        <v>42</v>
      </c>
      <c r="Z3067" s="360">
        <v>10</v>
      </c>
      <c r="AA3067" s="360">
        <v>114</v>
      </c>
      <c r="AB3067" s="360">
        <v>8.8000000000000007</v>
      </c>
    </row>
    <row r="3068" spans="10:28" x14ac:dyDescent="0.2">
      <c r="J3068" s="358" t="str">
        <f t="shared" si="140"/>
        <v>2011FemaleNon-Maori235</v>
      </c>
      <c r="K3068" s="359">
        <v>2011</v>
      </c>
      <c r="L3068" t="s">
        <v>8</v>
      </c>
      <c r="M3068" t="s">
        <v>19</v>
      </c>
      <c r="N3068">
        <v>23</v>
      </c>
      <c r="O3068">
        <v>5</v>
      </c>
      <c r="P3068">
        <v>6</v>
      </c>
      <c r="Q3068">
        <v>7.50050032393351</v>
      </c>
      <c r="R3068">
        <v>6</v>
      </c>
      <c r="T3068" s="358" t="str">
        <f t="shared" si="141"/>
        <v>2010MaleNon-Maori24Firearms and explosives</v>
      </c>
      <c r="U3068" s="360">
        <v>2010</v>
      </c>
      <c r="V3068" s="360" t="s">
        <v>20</v>
      </c>
      <c r="W3068" s="360" t="s">
        <v>19</v>
      </c>
      <c r="X3068" s="360">
        <v>24</v>
      </c>
      <c r="Y3068" s="360" t="s">
        <v>42</v>
      </c>
      <c r="Z3068" s="360">
        <v>13</v>
      </c>
      <c r="AA3068" s="360">
        <v>107</v>
      </c>
      <c r="AB3068" s="360">
        <v>12.1</v>
      </c>
    </row>
    <row r="3069" spans="10:28" x14ac:dyDescent="0.2">
      <c r="J3069" s="358" t="str">
        <f t="shared" si="140"/>
        <v>2011FemaleNon-Maori241</v>
      </c>
      <c r="K3069" s="359">
        <v>2011</v>
      </c>
      <c r="L3069" t="s">
        <v>8</v>
      </c>
      <c r="M3069" t="s">
        <v>19</v>
      </c>
      <c r="N3069">
        <v>24</v>
      </c>
      <c r="O3069">
        <v>1</v>
      </c>
      <c r="P3069">
        <v>9</v>
      </c>
      <c r="Q3069">
        <v>6.7409909330816902</v>
      </c>
      <c r="R3069">
        <v>4.4000000000000004</v>
      </c>
      <c r="T3069" s="358" t="str">
        <f t="shared" si="141"/>
        <v>2010MaleNon-Maori25Firearms and explosives</v>
      </c>
      <c r="U3069" s="360">
        <v>2010</v>
      </c>
      <c r="V3069" s="360" t="s">
        <v>20</v>
      </c>
      <c r="W3069" s="360" t="s">
        <v>19</v>
      </c>
      <c r="X3069" s="360">
        <v>25</v>
      </c>
      <c r="Y3069" s="360" t="s">
        <v>42</v>
      </c>
      <c r="Z3069" s="360">
        <v>10</v>
      </c>
      <c r="AA3069" s="360">
        <v>43</v>
      </c>
      <c r="AB3069" s="360">
        <v>23.3</v>
      </c>
    </row>
    <row r="3070" spans="10:28" x14ac:dyDescent="0.2">
      <c r="J3070" s="358" t="str">
        <f t="shared" si="140"/>
        <v>2011FemaleNon-Maori242</v>
      </c>
      <c r="K3070" s="359">
        <v>2011</v>
      </c>
      <c r="L3070" t="s">
        <v>8</v>
      </c>
      <c r="M3070" t="s">
        <v>19</v>
      </c>
      <c r="N3070">
        <v>24</v>
      </c>
      <c r="O3070">
        <v>2</v>
      </c>
      <c r="P3070">
        <v>2</v>
      </c>
      <c r="Q3070">
        <v>1.7036010203010099</v>
      </c>
      <c r="R3070">
        <v>2.4</v>
      </c>
      <c r="T3070" s="358" t="str">
        <f t="shared" si="141"/>
        <v>2010MaleNon-Maori21Hanging, strangulation and suffocation</v>
      </c>
      <c r="U3070" s="360">
        <v>2010</v>
      </c>
      <c r="V3070" s="360" t="s">
        <v>20</v>
      </c>
      <c r="W3070" s="360" t="s">
        <v>19</v>
      </c>
      <c r="X3070" s="360">
        <v>21</v>
      </c>
      <c r="Y3070" s="360" t="s">
        <v>43</v>
      </c>
      <c r="Z3070" s="360">
        <v>1</v>
      </c>
      <c r="AA3070" s="360">
        <v>1</v>
      </c>
      <c r="AB3070" s="360">
        <v>100</v>
      </c>
    </row>
    <row r="3071" spans="10:28" x14ac:dyDescent="0.2">
      <c r="J3071" s="358" t="str">
        <f t="shared" si="140"/>
        <v>2011FemaleNon-Maori243</v>
      </c>
      <c r="K3071" s="359">
        <v>2011</v>
      </c>
      <c r="L3071" t="s">
        <v>8</v>
      </c>
      <c r="M3071" t="s">
        <v>19</v>
      </c>
      <c r="N3071">
        <v>24</v>
      </c>
      <c r="O3071">
        <v>3</v>
      </c>
      <c r="P3071">
        <v>5</v>
      </c>
      <c r="Q3071">
        <v>4.8403140785419403</v>
      </c>
      <c r="R3071">
        <v>4.2</v>
      </c>
      <c r="T3071" s="358" t="str">
        <f t="shared" si="141"/>
        <v>2010MaleNon-Maori22Hanging, strangulation and suffocation</v>
      </c>
      <c r="U3071" s="360">
        <v>2010</v>
      </c>
      <c r="V3071" s="360" t="s">
        <v>20</v>
      </c>
      <c r="W3071" s="360" t="s">
        <v>19</v>
      </c>
      <c r="X3071" s="360">
        <v>22</v>
      </c>
      <c r="Y3071" s="360" t="s">
        <v>43</v>
      </c>
      <c r="Z3071" s="360">
        <v>37</v>
      </c>
      <c r="AA3071" s="360">
        <v>50</v>
      </c>
      <c r="AB3071" s="360">
        <v>74</v>
      </c>
    </row>
    <row r="3072" spans="10:28" x14ac:dyDescent="0.2">
      <c r="J3072" s="358" t="str">
        <f t="shared" si="140"/>
        <v>2011FemaleNon-Maori244</v>
      </c>
      <c r="K3072" s="359">
        <v>2011</v>
      </c>
      <c r="L3072" t="s">
        <v>8</v>
      </c>
      <c r="M3072" t="s">
        <v>19</v>
      </c>
      <c r="N3072">
        <v>24</v>
      </c>
      <c r="O3072">
        <v>4</v>
      </c>
      <c r="P3072">
        <v>5</v>
      </c>
      <c r="Q3072">
        <v>5.6671482247615197</v>
      </c>
      <c r="R3072">
        <v>5</v>
      </c>
      <c r="T3072" s="358" t="str">
        <f t="shared" si="141"/>
        <v>2010MaleNon-Maori23Hanging, strangulation and suffocation</v>
      </c>
      <c r="U3072" s="360">
        <v>2010</v>
      </c>
      <c r="V3072" s="360" t="s">
        <v>20</v>
      </c>
      <c r="W3072" s="360" t="s">
        <v>19</v>
      </c>
      <c r="X3072" s="360">
        <v>23</v>
      </c>
      <c r="Y3072" s="360" t="s">
        <v>43</v>
      </c>
      <c r="Z3072" s="360">
        <v>70</v>
      </c>
      <c r="AA3072" s="360">
        <v>114</v>
      </c>
      <c r="AB3072" s="360">
        <v>61.4</v>
      </c>
    </row>
    <row r="3073" spans="10:28" x14ac:dyDescent="0.2">
      <c r="J3073" s="358" t="str">
        <f t="shared" si="140"/>
        <v>2011FemaleNon-Maori245</v>
      </c>
      <c r="K3073" s="359">
        <v>2011</v>
      </c>
      <c r="L3073" t="s">
        <v>8</v>
      </c>
      <c r="M3073" t="s">
        <v>19</v>
      </c>
      <c r="N3073">
        <v>24</v>
      </c>
      <c r="O3073">
        <v>5</v>
      </c>
      <c r="P3073">
        <v>9</v>
      </c>
      <c r="Q3073">
        <v>13.3285012148361</v>
      </c>
      <c r="R3073">
        <v>8.6999999999999993</v>
      </c>
      <c r="T3073" s="358" t="str">
        <f t="shared" si="141"/>
        <v>2010MaleNon-Maori24Hanging, strangulation and suffocation</v>
      </c>
      <c r="U3073" s="360">
        <v>2010</v>
      </c>
      <c r="V3073" s="360" t="s">
        <v>20</v>
      </c>
      <c r="W3073" s="360" t="s">
        <v>19</v>
      </c>
      <c r="X3073" s="360">
        <v>24</v>
      </c>
      <c r="Y3073" s="360" t="s">
        <v>43</v>
      </c>
      <c r="Z3073" s="360">
        <v>52</v>
      </c>
      <c r="AA3073" s="360">
        <v>107</v>
      </c>
      <c r="AB3073" s="360">
        <v>48.6</v>
      </c>
    </row>
    <row r="3074" spans="10:28" x14ac:dyDescent="0.2">
      <c r="J3074" s="358" t="str">
        <f t="shared" si="140"/>
        <v>2011FemaleNon-Maori251</v>
      </c>
      <c r="K3074" s="359">
        <v>2011</v>
      </c>
      <c r="L3074" t="s">
        <v>8</v>
      </c>
      <c r="M3074" t="s">
        <v>19</v>
      </c>
      <c r="N3074">
        <v>25</v>
      </c>
      <c r="O3074">
        <v>1</v>
      </c>
      <c r="P3074">
        <v>4</v>
      </c>
      <c r="Q3074">
        <v>6.52606094952987</v>
      </c>
      <c r="R3074">
        <v>6.4</v>
      </c>
      <c r="T3074" s="358" t="str">
        <f t="shared" si="141"/>
        <v>2010MaleNon-Maori25Hanging, strangulation and suffocation</v>
      </c>
      <c r="U3074" s="360">
        <v>2010</v>
      </c>
      <c r="V3074" s="360" t="s">
        <v>20</v>
      </c>
      <c r="W3074" s="360" t="s">
        <v>19</v>
      </c>
      <c r="X3074" s="360">
        <v>25</v>
      </c>
      <c r="Y3074" s="360" t="s">
        <v>43</v>
      </c>
      <c r="Z3074" s="360">
        <v>16</v>
      </c>
      <c r="AA3074" s="360">
        <v>43</v>
      </c>
      <c r="AB3074" s="360">
        <v>37.200000000000003</v>
      </c>
    </row>
    <row r="3075" spans="10:28" x14ac:dyDescent="0.2">
      <c r="J3075" s="358" t="str">
        <f t="shared" si="140"/>
        <v>2011FemaleNon-Maori252</v>
      </c>
      <c r="K3075" s="359">
        <v>2011</v>
      </c>
      <c r="L3075" t="s">
        <v>8</v>
      </c>
      <c r="M3075" t="s">
        <v>19</v>
      </c>
      <c r="N3075">
        <v>25</v>
      </c>
      <c r="O3075">
        <v>2</v>
      </c>
      <c r="P3075">
        <v>4</v>
      </c>
      <c r="Q3075">
        <v>6.3729778223411504</v>
      </c>
      <c r="R3075">
        <v>6.2</v>
      </c>
      <c r="T3075" s="358" t="str">
        <f t="shared" si="141"/>
        <v>2010MaleNon-Maori22Jumping from a high place</v>
      </c>
      <c r="U3075" s="360">
        <v>2010</v>
      </c>
      <c r="V3075" s="360" t="s">
        <v>20</v>
      </c>
      <c r="W3075" s="360" t="s">
        <v>19</v>
      </c>
      <c r="X3075" s="360">
        <v>22</v>
      </c>
      <c r="Y3075" s="360" t="s">
        <v>44</v>
      </c>
      <c r="Z3075" s="360">
        <v>2</v>
      </c>
      <c r="AA3075" s="360">
        <v>50</v>
      </c>
      <c r="AB3075" s="360">
        <v>4</v>
      </c>
    </row>
    <row r="3076" spans="10:28" x14ac:dyDescent="0.2">
      <c r="J3076" s="358" t="str">
        <f t="shared" ref="J3076:J3139" si="142">K3076&amp;L3076&amp;M3076&amp;N3076&amp;O3076</f>
        <v>2011FemaleNon-Maori253</v>
      </c>
      <c r="K3076" s="359">
        <v>2011</v>
      </c>
      <c r="L3076" t="s">
        <v>8</v>
      </c>
      <c r="M3076" t="s">
        <v>19</v>
      </c>
      <c r="N3076">
        <v>25</v>
      </c>
      <c r="O3076">
        <v>3</v>
      </c>
      <c r="P3076">
        <v>1</v>
      </c>
      <c r="Q3076">
        <v>1.5958183996036901</v>
      </c>
      <c r="R3076">
        <v>3.1</v>
      </c>
      <c r="T3076" s="358" t="str">
        <f t="shared" si="141"/>
        <v>2010MaleNon-Maori23Jumping from a high place</v>
      </c>
      <c r="U3076" s="360">
        <v>2010</v>
      </c>
      <c r="V3076" s="360" t="s">
        <v>20</v>
      </c>
      <c r="W3076" s="360" t="s">
        <v>19</v>
      </c>
      <c r="X3076" s="360">
        <v>23</v>
      </c>
      <c r="Y3076" s="360" t="s">
        <v>44</v>
      </c>
      <c r="Z3076" s="360">
        <v>2</v>
      </c>
      <c r="AA3076" s="360">
        <v>114</v>
      </c>
      <c r="AB3076" s="360">
        <v>1.8</v>
      </c>
    </row>
    <row r="3077" spans="10:28" x14ac:dyDescent="0.2">
      <c r="J3077" s="358" t="str">
        <f t="shared" si="142"/>
        <v>2011FemaleNon-Maori254</v>
      </c>
      <c r="K3077" s="359">
        <v>2011</v>
      </c>
      <c r="L3077" t="s">
        <v>8</v>
      </c>
      <c r="M3077" t="s">
        <v>19</v>
      </c>
      <c r="N3077">
        <v>25</v>
      </c>
      <c r="O3077">
        <v>4</v>
      </c>
      <c r="P3077">
        <v>3</v>
      </c>
      <c r="Q3077">
        <v>4.6776105570095901</v>
      </c>
      <c r="R3077">
        <v>5.3</v>
      </c>
      <c r="T3077" s="358" t="str">
        <f t="shared" ref="T3077:T3140" si="143">U3077&amp;V3077&amp;W3077&amp;X3077&amp;Y3077</f>
        <v>2010MaleNon-Maori24Jumping from a high place</v>
      </c>
      <c r="U3077" s="360">
        <v>2010</v>
      </c>
      <c r="V3077" s="360" t="s">
        <v>20</v>
      </c>
      <c r="W3077" s="360" t="s">
        <v>19</v>
      </c>
      <c r="X3077" s="360">
        <v>24</v>
      </c>
      <c r="Y3077" s="360" t="s">
        <v>44</v>
      </c>
      <c r="Z3077" s="360">
        <v>5</v>
      </c>
      <c r="AA3077" s="360">
        <v>107</v>
      </c>
      <c r="AB3077" s="360">
        <v>4.7</v>
      </c>
    </row>
    <row r="3078" spans="10:28" x14ac:dyDescent="0.2">
      <c r="J3078" s="358" t="str">
        <f t="shared" si="142"/>
        <v>2011FemaleNon-Maori255</v>
      </c>
      <c r="K3078" s="359">
        <v>2011</v>
      </c>
      <c r="L3078" t="s">
        <v>8</v>
      </c>
      <c r="M3078" t="s">
        <v>19</v>
      </c>
      <c r="N3078">
        <v>25</v>
      </c>
      <c r="O3078">
        <v>5</v>
      </c>
      <c r="P3078">
        <v>2</v>
      </c>
      <c r="Q3078">
        <v>4.3128425430153197</v>
      </c>
      <c r="R3078">
        <v>6</v>
      </c>
      <c r="T3078" s="358" t="str">
        <f t="shared" si="143"/>
        <v>2010MaleNon-Maori25Jumping from a high place</v>
      </c>
      <c r="U3078" s="360">
        <v>2010</v>
      </c>
      <c r="V3078" s="360" t="s">
        <v>20</v>
      </c>
      <c r="W3078" s="360" t="s">
        <v>19</v>
      </c>
      <c r="X3078" s="360">
        <v>25</v>
      </c>
      <c r="Y3078" s="360" t="s">
        <v>44</v>
      </c>
      <c r="Z3078" s="360">
        <v>1</v>
      </c>
      <c r="AA3078" s="360">
        <v>43</v>
      </c>
      <c r="AB3078" s="360">
        <v>2.2999999999999998</v>
      </c>
    </row>
    <row r="3079" spans="10:28" x14ac:dyDescent="0.2">
      <c r="J3079" s="358" t="str">
        <f t="shared" si="142"/>
        <v>2011MaleAllEth211</v>
      </c>
      <c r="K3079" s="359">
        <v>2011</v>
      </c>
      <c r="L3079" t="s">
        <v>20</v>
      </c>
      <c r="M3079" t="s">
        <v>27</v>
      </c>
      <c r="N3079">
        <v>21</v>
      </c>
      <c r="O3079">
        <v>1</v>
      </c>
      <c r="P3079">
        <v>0</v>
      </c>
      <c r="T3079" s="358" t="str">
        <f t="shared" si="143"/>
        <v>2010MaleNon-Maori23Other</v>
      </c>
      <c r="U3079" s="360">
        <v>2010</v>
      </c>
      <c r="V3079" s="360" t="s">
        <v>20</v>
      </c>
      <c r="W3079" s="360" t="s">
        <v>19</v>
      </c>
      <c r="X3079" s="360">
        <v>23</v>
      </c>
      <c r="Y3079" s="360" t="s">
        <v>45</v>
      </c>
      <c r="Z3079" s="360">
        <v>2</v>
      </c>
      <c r="AA3079" s="360">
        <v>114</v>
      </c>
      <c r="AB3079" s="360">
        <v>1.8</v>
      </c>
    </row>
    <row r="3080" spans="10:28" x14ac:dyDescent="0.2">
      <c r="J3080" s="358" t="str">
        <f t="shared" si="142"/>
        <v>2011MaleAllEth212</v>
      </c>
      <c r="K3080" s="359">
        <v>2011</v>
      </c>
      <c r="L3080" t="s">
        <v>20</v>
      </c>
      <c r="M3080" t="s">
        <v>27</v>
      </c>
      <c r="N3080">
        <v>21</v>
      </c>
      <c r="O3080">
        <v>2</v>
      </c>
      <c r="P3080">
        <v>1</v>
      </c>
      <c r="T3080" s="358" t="str">
        <f t="shared" si="143"/>
        <v>2010MaleNon-Maori24Other</v>
      </c>
      <c r="U3080" s="360">
        <v>2010</v>
      </c>
      <c r="V3080" s="360" t="s">
        <v>20</v>
      </c>
      <c r="W3080" s="360" t="s">
        <v>19</v>
      </c>
      <c r="X3080" s="360">
        <v>24</v>
      </c>
      <c r="Y3080" s="360" t="s">
        <v>45</v>
      </c>
      <c r="Z3080" s="360">
        <v>8</v>
      </c>
      <c r="AA3080" s="360">
        <v>107</v>
      </c>
      <c r="AB3080" s="360">
        <v>7.5</v>
      </c>
    </row>
    <row r="3081" spans="10:28" x14ac:dyDescent="0.2">
      <c r="J3081" s="358" t="str">
        <f t="shared" si="142"/>
        <v>2011MaleAllEth213</v>
      </c>
      <c r="K3081" s="359">
        <v>2011</v>
      </c>
      <c r="L3081" t="s">
        <v>20</v>
      </c>
      <c r="M3081" t="s">
        <v>27</v>
      </c>
      <c r="N3081">
        <v>21</v>
      </c>
      <c r="O3081">
        <v>3</v>
      </c>
      <c r="P3081">
        <v>1</v>
      </c>
      <c r="T3081" s="358" t="str">
        <f t="shared" si="143"/>
        <v>2010MaleNon-Maori25Other</v>
      </c>
      <c r="U3081" s="360">
        <v>2010</v>
      </c>
      <c r="V3081" s="360" t="s">
        <v>20</v>
      </c>
      <c r="W3081" s="360" t="s">
        <v>19</v>
      </c>
      <c r="X3081" s="360">
        <v>25</v>
      </c>
      <c r="Y3081" s="360" t="s">
        <v>45</v>
      </c>
      <c r="Z3081" s="360">
        <v>1</v>
      </c>
      <c r="AA3081" s="360">
        <v>43</v>
      </c>
      <c r="AB3081" s="360">
        <v>2.2999999999999998</v>
      </c>
    </row>
    <row r="3082" spans="10:28" x14ac:dyDescent="0.2">
      <c r="J3082" s="358" t="str">
        <f t="shared" si="142"/>
        <v>2011MaleAllEth214</v>
      </c>
      <c r="K3082" s="359">
        <v>2011</v>
      </c>
      <c r="L3082" t="s">
        <v>20</v>
      </c>
      <c r="M3082" t="s">
        <v>27</v>
      </c>
      <c r="N3082">
        <v>21</v>
      </c>
      <c r="O3082">
        <v>4</v>
      </c>
      <c r="P3082">
        <v>0</v>
      </c>
      <c r="T3082" s="358" t="str">
        <f t="shared" si="143"/>
        <v>2010MaleNon-Maori22Poisoning by gases and vapours</v>
      </c>
      <c r="U3082" s="360">
        <v>2010</v>
      </c>
      <c r="V3082" s="360" t="s">
        <v>20</v>
      </c>
      <c r="W3082" s="360" t="s">
        <v>19</v>
      </c>
      <c r="X3082" s="360">
        <v>22</v>
      </c>
      <c r="Y3082" s="360" t="s">
        <v>46</v>
      </c>
      <c r="Z3082" s="360">
        <v>2</v>
      </c>
      <c r="AA3082" s="360">
        <v>50</v>
      </c>
      <c r="AB3082" s="360">
        <v>4</v>
      </c>
    </row>
    <row r="3083" spans="10:28" x14ac:dyDescent="0.2">
      <c r="J3083" s="358" t="str">
        <f t="shared" si="142"/>
        <v>2011MaleAllEth215</v>
      </c>
      <c r="K3083" s="359">
        <v>2011</v>
      </c>
      <c r="L3083" t="s">
        <v>20</v>
      </c>
      <c r="M3083" t="s">
        <v>27</v>
      </c>
      <c r="N3083">
        <v>21</v>
      </c>
      <c r="O3083">
        <v>5</v>
      </c>
      <c r="P3083">
        <v>1</v>
      </c>
      <c r="T3083" s="358" t="str">
        <f t="shared" si="143"/>
        <v>2010MaleNon-Maori23Poisoning by gases and vapours</v>
      </c>
      <c r="U3083" s="360">
        <v>2010</v>
      </c>
      <c r="V3083" s="360" t="s">
        <v>20</v>
      </c>
      <c r="W3083" s="360" t="s">
        <v>19</v>
      </c>
      <c r="X3083" s="360">
        <v>23</v>
      </c>
      <c r="Y3083" s="360" t="s">
        <v>46</v>
      </c>
      <c r="Z3083" s="360">
        <v>19</v>
      </c>
      <c r="AA3083" s="360">
        <v>114</v>
      </c>
      <c r="AB3083" s="360">
        <v>16.7</v>
      </c>
    </row>
    <row r="3084" spans="10:28" x14ac:dyDescent="0.2">
      <c r="J3084" s="358" t="str">
        <f t="shared" si="142"/>
        <v>2011MaleAllEth221</v>
      </c>
      <c r="K3084" s="359">
        <v>2011</v>
      </c>
      <c r="L3084" t="s">
        <v>20</v>
      </c>
      <c r="M3084" t="s">
        <v>27</v>
      </c>
      <c r="N3084">
        <v>22</v>
      </c>
      <c r="O3084">
        <v>1</v>
      </c>
      <c r="P3084">
        <v>8</v>
      </c>
      <c r="Q3084">
        <v>14.101401281706</v>
      </c>
      <c r="R3084">
        <v>9.8000000000000007</v>
      </c>
      <c r="T3084" s="358" t="str">
        <f t="shared" si="143"/>
        <v>2010MaleNon-Maori24Poisoning by gases and vapours</v>
      </c>
      <c r="U3084" s="360">
        <v>2010</v>
      </c>
      <c r="V3084" s="360" t="s">
        <v>20</v>
      </c>
      <c r="W3084" s="360" t="s">
        <v>19</v>
      </c>
      <c r="X3084" s="360">
        <v>24</v>
      </c>
      <c r="Y3084" s="360" t="s">
        <v>46</v>
      </c>
      <c r="Z3084" s="360">
        <v>17</v>
      </c>
      <c r="AA3084" s="360">
        <v>107</v>
      </c>
      <c r="AB3084" s="360">
        <v>15.9</v>
      </c>
    </row>
    <row r="3085" spans="10:28" x14ac:dyDescent="0.2">
      <c r="J3085" s="358" t="str">
        <f t="shared" si="142"/>
        <v>2011MaleAllEth222</v>
      </c>
      <c r="K3085" s="359">
        <v>2011</v>
      </c>
      <c r="L3085" t="s">
        <v>20</v>
      </c>
      <c r="M3085" t="s">
        <v>27</v>
      </c>
      <c r="N3085">
        <v>22</v>
      </c>
      <c r="O3085">
        <v>2</v>
      </c>
      <c r="P3085">
        <v>14</v>
      </c>
      <c r="Q3085">
        <v>24.437176258826899</v>
      </c>
      <c r="R3085">
        <v>12.8</v>
      </c>
      <c r="T3085" s="358" t="str">
        <f t="shared" si="143"/>
        <v>2010MaleNon-Maori25Poisoning by gases and vapours</v>
      </c>
      <c r="U3085" s="360">
        <v>2010</v>
      </c>
      <c r="V3085" s="360" t="s">
        <v>20</v>
      </c>
      <c r="W3085" s="360" t="s">
        <v>19</v>
      </c>
      <c r="X3085" s="360">
        <v>25</v>
      </c>
      <c r="Y3085" s="360" t="s">
        <v>46</v>
      </c>
      <c r="Z3085" s="360">
        <v>9</v>
      </c>
      <c r="AA3085" s="360">
        <v>43</v>
      </c>
      <c r="AB3085" s="360">
        <v>20.9</v>
      </c>
    </row>
    <row r="3086" spans="10:28" x14ac:dyDescent="0.2">
      <c r="J3086" s="358" t="str">
        <f t="shared" si="142"/>
        <v>2011MaleAllEth223</v>
      </c>
      <c r="K3086" s="359">
        <v>2011</v>
      </c>
      <c r="L3086" t="s">
        <v>20</v>
      </c>
      <c r="M3086" t="s">
        <v>27</v>
      </c>
      <c r="N3086">
        <v>22</v>
      </c>
      <c r="O3086">
        <v>3</v>
      </c>
      <c r="P3086">
        <v>22</v>
      </c>
      <c r="Q3086">
        <v>36.488655435418799</v>
      </c>
      <c r="R3086">
        <v>15.2</v>
      </c>
      <c r="T3086" s="358" t="str">
        <f t="shared" si="143"/>
        <v>2010MaleNon-Maori22Poisoning by solids and liquids</v>
      </c>
      <c r="U3086" s="360">
        <v>2010</v>
      </c>
      <c r="V3086" s="360" t="s">
        <v>20</v>
      </c>
      <c r="W3086" s="360" t="s">
        <v>19</v>
      </c>
      <c r="X3086" s="360">
        <v>22</v>
      </c>
      <c r="Y3086" s="360" t="s">
        <v>47</v>
      </c>
      <c r="Z3086" s="360">
        <v>2</v>
      </c>
      <c r="AA3086" s="360">
        <v>50</v>
      </c>
      <c r="AB3086" s="360">
        <v>4</v>
      </c>
    </row>
    <row r="3087" spans="10:28" x14ac:dyDescent="0.2">
      <c r="J3087" s="358" t="str">
        <f t="shared" si="142"/>
        <v>2011MaleAllEth224</v>
      </c>
      <c r="K3087" s="359">
        <v>2011</v>
      </c>
      <c r="L3087" t="s">
        <v>20</v>
      </c>
      <c r="M3087" t="s">
        <v>27</v>
      </c>
      <c r="N3087">
        <v>22</v>
      </c>
      <c r="O3087">
        <v>4</v>
      </c>
      <c r="P3087">
        <v>18</v>
      </c>
      <c r="Q3087">
        <v>27.117952834480501</v>
      </c>
      <c r="R3087">
        <v>12.5</v>
      </c>
      <c r="T3087" s="358" t="str">
        <f t="shared" si="143"/>
        <v>2010MaleNon-Maori23Poisoning by solids and liquids</v>
      </c>
      <c r="U3087" s="360">
        <v>2010</v>
      </c>
      <c r="V3087" s="360" t="s">
        <v>20</v>
      </c>
      <c r="W3087" s="360" t="s">
        <v>19</v>
      </c>
      <c r="X3087" s="360">
        <v>23</v>
      </c>
      <c r="Y3087" s="360" t="s">
        <v>47</v>
      </c>
      <c r="Z3087" s="360">
        <v>7</v>
      </c>
      <c r="AA3087" s="360">
        <v>114</v>
      </c>
      <c r="AB3087" s="360">
        <v>6.1</v>
      </c>
    </row>
    <row r="3088" spans="10:28" x14ac:dyDescent="0.2">
      <c r="J3088" s="358" t="str">
        <f t="shared" si="142"/>
        <v>2011MaleAllEth225</v>
      </c>
      <c r="K3088" s="359">
        <v>2011</v>
      </c>
      <c r="L3088" t="s">
        <v>20</v>
      </c>
      <c r="M3088" t="s">
        <v>27</v>
      </c>
      <c r="N3088">
        <v>22</v>
      </c>
      <c r="O3088">
        <v>5</v>
      </c>
      <c r="P3088">
        <v>31</v>
      </c>
      <c r="Q3088">
        <v>41.824534692461803</v>
      </c>
      <c r="R3088">
        <v>14.7</v>
      </c>
      <c r="T3088" s="358" t="str">
        <f t="shared" si="143"/>
        <v>2010MaleNon-Maori24Poisoning by solids and liquids</v>
      </c>
      <c r="U3088" s="360">
        <v>2010</v>
      </c>
      <c r="V3088" s="360" t="s">
        <v>20</v>
      </c>
      <c r="W3088" s="360" t="s">
        <v>19</v>
      </c>
      <c r="X3088" s="360">
        <v>24</v>
      </c>
      <c r="Y3088" s="360" t="s">
        <v>47</v>
      </c>
      <c r="Z3088" s="360">
        <v>11</v>
      </c>
      <c r="AA3088" s="360">
        <v>107</v>
      </c>
      <c r="AB3088" s="360">
        <v>10.3</v>
      </c>
    </row>
    <row r="3089" spans="10:28" x14ac:dyDescent="0.2">
      <c r="J3089" s="358" t="str">
        <f t="shared" si="142"/>
        <v>2011MaleAllEth231</v>
      </c>
      <c r="K3089" s="359">
        <v>2011</v>
      </c>
      <c r="L3089" t="s">
        <v>20</v>
      </c>
      <c r="M3089" t="s">
        <v>27</v>
      </c>
      <c r="N3089">
        <v>23</v>
      </c>
      <c r="O3089">
        <v>1</v>
      </c>
      <c r="P3089">
        <v>23</v>
      </c>
      <c r="Q3089">
        <v>22.178328067609801</v>
      </c>
      <c r="R3089">
        <v>9.1</v>
      </c>
      <c r="T3089" s="358" t="str">
        <f t="shared" si="143"/>
        <v>2010MaleNon-Maori25Poisoning by solids and liquids</v>
      </c>
      <c r="U3089" s="360">
        <v>2010</v>
      </c>
      <c r="V3089" s="360" t="s">
        <v>20</v>
      </c>
      <c r="W3089" s="360" t="s">
        <v>19</v>
      </c>
      <c r="X3089" s="360">
        <v>25</v>
      </c>
      <c r="Y3089" s="360" t="s">
        <v>47</v>
      </c>
      <c r="Z3089" s="360">
        <v>4</v>
      </c>
      <c r="AA3089" s="360">
        <v>43</v>
      </c>
      <c r="AB3089" s="360">
        <v>9.3000000000000007</v>
      </c>
    </row>
    <row r="3090" spans="10:28" x14ac:dyDescent="0.2">
      <c r="J3090" s="358" t="str">
        <f t="shared" si="142"/>
        <v>2011MaleAllEth232</v>
      </c>
      <c r="K3090" s="359">
        <v>2011</v>
      </c>
      <c r="L3090" t="s">
        <v>20</v>
      </c>
      <c r="M3090" t="s">
        <v>27</v>
      </c>
      <c r="N3090">
        <v>23</v>
      </c>
      <c r="O3090">
        <v>2</v>
      </c>
      <c r="P3090">
        <v>22</v>
      </c>
      <c r="Q3090">
        <v>19.464228766200002</v>
      </c>
      <c r="R3090">
        <v>8.1</v>
      </c>
      <c r="T3090" s="358" t="str">
        <f t="shared" si="143"/>
        <v>2010MaleNon-Maori22Sharp object</v>
      </c>
      <c r="U3090" s="360">
        <v>2010</v>
      </c>
      <c r="V3090" s="360" t="s">
        <v>20</v>
      </c>
      <c r="W3090" s="360" t="s">
        <v>19</v>
      </c>
      <c r="X3090" s="360">
        <v>22</v>
      </c>
      <c r="Y3090" s="360" t="s">
        <v>48</v>
      </c>
      <c r="Z3090" s="360">
        <v>2</v>
      </c>
      <c r="AA3090" s="360">
        <v>50</v>
      </c>
      <c r="AB3090" s="360">
        <v>4</v>
      </c>
    </row>
    <row r="3091" spans="10:28" x14ac:dyDescent="0.2">
      <c r="J3091" s="358" t="str">
        <f t="shared" si="142"/>
        <v>2011MaleAllEth233</v>
      </c>
      <c r="K3091" s="359">
        <v>2011</v>
      </c>
      <c r="L3091" t="s">
        <v>20</v>
      </c>
      <c r="M3091" t="s">
        <v>27</v>
      </c>
      <c r="N3091">
        <v>23</v>
      </c>
      <c r="O3091">
        <v>3</v>
      </c>
      <c r="P3091">
        <v>21</v>
      </c>
      <c r="Q3091">
        <v>18.025301448546401</v>
      </c>
      <c r="R3091">
        <v>7.7</v>
      </c>
      <c r="T3091" s="358" t="str">
        <f t="shared" si="143"/>
        <v>2010MaleNon-Maori23Sharp object</v>
      </c>
      <c r="U3091" s="360">
        <v>2010</v>
      </c>
      <c r="V3091" s="360" t="s">
        <v>20</v>
      </c>
      <c r="W3091" s="360" t="s">
        <v>19</v>
      </c>
      <c r="X3091" s="360">
        <v>23</v>
      </c>
      <c r="Y3091" s="360" t="s">
        <v>48</v>
      </c>
      <c r="Z3091" s="360">
        <v>3</v>
      </c>
      <c r="AA3091" s="360">
        <v>114</v>
      </c>
      <c r="AB3091" s="360">
        <v>2.6</v>
      </c>
    </row>
    <row r="3092" spans="10:28" x14ac:dyDescent="0.2">
      <c r="J3092" s="358" t="str">
        <f t="shared" si="142"/>
        <v>2011MaleAllEth234</v>
      </c>
      <c r="K3092" s="359">
        <v>2011</v>
      </c>
      <c r="L3092" t="s">
        <v>20</v>
      </c>
      <c r="M3092" t="s">
        <v>27</v>
      </c>
      <c r="N3092">
        <v>23</v>
      </c>
      <c r="O3092">
        <v>4</v>
      </c>
      <c r="P3092">
        <v>22</v>
      </c>
      <c r="Q3092">
        <v>19.230063888798199</v>
      </c>
      <c r="R3092">
        <v>8</v>
      </c>
      <c r="T3092" s="358" t="str">
        <f t="shared" si="143"/>
        <v>2010MaleNon-Maori25Sharp object</v>
      </c>
      <c r="U3092" s="360">
        <v>2010</v>
      </c>
      <c r="V3092" s="360" t="s">
        <v>20</v>
      </c>
      <c r="W3092" s="360" t="s">
        <v>19</v>
      </c>
      <c r="X3092" s="360">
        <v>25</v>
      </c>
      <c r="Y3092" s="360" t="s">
        <v>48</v>
      </c>
      <c r="Z3092" s="360">
        <v>1</v>
      </c>
      <c r="AA3092" s="360">
        <v>43</v>
      </c>
      <c r="AB3092" s="360">
        <v>2.2999999999999998</v>
      </c>
    </row>
    <row r="3093" spans="10:28" x14ac:dyDescent="0.2">
      <c r="J3093" s="358" t="str">
        <f t="shared" si="142"/>
        <v>2011MaleAllEth235</v>
      </c>
      <c r="K3093" s="359">
        <v>2011</v>
      </c>
      <c r="L3093" t="s">
        <v>20</v>
      </c>
      <c r="M3093" t="s">
        <v>27</v>
      </c>
      <c r="N3093">
        <v>23</v>
      </c>
      <c r="O3093">
        <v>5</v>
      </c>
      <c r="P3093">
        <v>40</v>
      </c>
      <c r="Q3093">
        <v>38.120661210482297</v>
      </c>
      <c r="R3093">
        <v>11.8</v>
      </c>
      <c r="T3093" s="358" t="str">
        <f t="shared" si="143"/>
        <v>2010MaleNon-Maori22Submersion (drowning)</v>
      </c>
      <c r="U3093" s="360">
        <v>2010</v>
      </c>
      <c r="V3093" s="360" t="s">
        <v>20</v>
      </c>
      <c r="W3093" s="360" t="s">
        <v>19</v>
      </c>
      <c r="X3093" s="360">
        <v>22</v>
      </c>
      <c r="Y3093" s="360" t="s">
        <v>49</v>
      </c>
      <c r="Z3093" s="360">
        <v>1</v>
      </c>
      <c r="AA3093" s="360">
        <v>50</v>
      </c>
      <c r="AB3093" s="360">
        <v>2</v>
      </c>
    </row>
    <row r="3094" spans="10:28" x14ac:dyDescent="0.2">
      <c r="J3094" s="358" t="str">
        <f t="shared" si="142"/>
        <v>2011MaleAllEth241</v>
      </c>
      <c r="K3094" s="359">
        <v>2011</v>
      </c>
      <c r="L3094" t="s">
        <v>20</v>
      </c>
      <c r="M3094" t="s">
        <v>27</v>
      </c>
      <c r="N3094">
        <v>24</v>
      </c>
      <c r="O3094">
        <v>1</v>
      </c>
      <c r="P3094">
        <v>23</v>
      </c>
      <c r="Q3094">
        <v>17.212173005586699</v>
      </c>
      <c r="R3094">
        <v>7</v>
      </c>
      <c r="T3094" s="358" t="str">
        <f t="shared" si="143"/>
        <v>2010MaleNon-Maori23Submersion (drowning)</v>
      </c>
      <c r="U3094" s="360">
        <v>2010</v>
      </c>
      <c r="V3094" s="360" t="s">
        <v>20</v>
      </c>
      <c r="W3094" s="360" t="s">
        <v>19</v>
      </c>
      <c r="X3094" s="360">
        <v>23</v>
      </c>
      <c r="Y3094" s="360" t="s">
        <v>49</v>
      </c>
      <c r="Z3094" s="360">
        <v>1</v>
      </c>
      <c r="AA3094" s="360">
        <v>114</v>
      </c>
      <c r="AB3094" s="360">
        <v>0.9</v>
      </c>
    </row>
    <row r="3095" spans="10:28" x14ac:dyDescent="0.2">
      <c r="J3095" s="358" t="str">
        <f t="shared" si="142"/>
        <v>2011MaleAllEth242</v>
      </c>
      <c r="K3095" s="359">
        <v>2011</v>
      </c>
      <c r="L3095" t="s">
        <v>20</v>
      </c>
      <c r="M3095" t="s">
        <v>27</v>
      </c>
      <c r="N3095">
        <v>24</v>
      </c>
      <c r="O3095">
        <v>2</v>
      </c>
      <c r="P3095">
        <v>21</v>
      </c>
      <c r="Q3095">
        <v>17.716664053723601</v>
      </c>
      <c r="R3095">
        <v>7.6</v>
      </c>
      <c r="T3095" s="358" t="str">
        <f t="shared" si="143"/>
        <v>2010MaleNon-Maori24Submersion (drowning)</v>
      </c>
      <c r="U3095" s="360">
        <v>2010</v>
      </c>
      <c r="V3095" s="360" t="s">
        <v>20</v>
      </c>
      <c r="W3095" s="360" t="s">
        <v>19</v>
      </c>
      <c r="X3095" s="360">
        <v>24</v>
      </c>
      <c r="Y3095" s="360" t="s">
        <v>49</v>
      </c>
      <c r="Z3095" s="360">
        <v>1</v>
      </c>
      <c r="AA3095" s="360">
        <v>107</v>
      </c>
      <c r="AB3095" s="360">
        <v>0.9</v>
      </c>
    </row>
    <row r="3096" spans="10:28" x14ac:dyDescent="0.2">
      <c r="J3096" s="358" t="str">
        <f t="shared" si="142"/>
        <v>2011MaleAllEth243</v>
      </c>
      <c r="K3096" s="359">
        <v>2011</v>
      </c>
      <c r="L3096" t="s">
        <v>20</v>
      </c>
      <c r="M3096" t="s">
        <v>27</v>
      </c>
      <c r="N3096">
        <v>24</v>
      </c>
      <c r="O3096">
        <v>3</v>
      </c>
      <c r="P3096">
        <v>31</v>
      </c>
      <c r="Q3096">
        <v>29.041037140971699</v>
      </c>
      <c r="R3096">
        <v>10.199999999999999</v>
      </c>
      <c r="T3096" s="358" t="str">
        <f t="shared" si="143"/>
        <v>2010MaleNon-Maori25Submersion (drowning)</v>
      </c>
      <c r="U3096" s="360">
        <v>2010</v>
      </c>
      <c r="V3096" s="360" t="s">
        <v>20</v>
      </c>
      <c r="W3096" s="360" t="s">
        <v>19</v>
      </c>
      <c r="X3096" s="360">
        <v>25</v>
      </c>
      <c r="Y3096" s="360" t="s">
        <v>49</v>
      </c>
      <c r="Z3096" s="360">
        <v>1</v>
      </c>
      <c r="AA3096" s="360">
        <v>43</v>
      </c>
      <c r="AB3096" s="360">
        <v>2.2999999999999998</v>
      </c>
    </row>
    <row r="3097" spans="10:28" x14ac:dyDescent="0.2">
      <c r="J3097" s="358" t="str">
        <f t="shared" si="142"/>
        <v>2011MaleAllEth244</v>
      </c>
      <c r="K3097" s="359">
        <v>2011</v>
      </c>
      <c r="L3097" t="s">
        <v>20</v>
      </c>
      <c r="M3097" t="s">
        <v>27</v>
      </c>
      <c r="N3097">
        <v>24</v>
      </c>
      <c r="O3097">
        <v>4</v>
      </c>
      <c r="P3097">
        <v>21</v>
      </c>
      <c r="Q3097">
        <v>21.663909271025599</v>
      </c>
      <c r="R3097">
        <v>9.3000000000000007</v>
      </c>
      <c r="T3097" s="358" t="str">
        <f t="shared" si="143"/>
        <v>2011AllSexAllEth22Firearms and explosives</v>
      </c>
      <c r="U3097" s="360">
        <v>2011</v>
      </c>
      <c r="V3097" s="360" t="s">
        <v>17</v>
      </c>
      <c r="W3097" s="360" t="s">
        <v>27</v>
      </c>
      <c r="X3097" s="360">
        <v>22</v>
      </c>
      <c r="Y3097" s="360" t="s">
        <v>42</v>
      </c>
      <c r="Z3097" s="360">
        <v>4</v>
      </c>
      <c r="AA3097" s="360">
        <v>130</v>
      </c>
      <c r="AB3097" s="360">
        <v>3.1</v>
      </c>
    </row>
    <row r="3098" spans="10:28" x14ac:dyDescent="0.2">
      <c r="J3098" s="358" t="str">
        <f t="shared" si="142"/>
        <v>2011MaleAllEth245</v>
      </c>
      <c r="K3098" s="359">
        <v>2011</v>
      </c>
      <c r="L3098" t="s">
        <v>20</v>
      </c>
      <c r="M3098" t="s">
        <v>27</v>
      </c>
      <c r="N3098">
        <v>24</v>
      </c>
      <c r="O3098">
        <v>5</v>
      </c>
      <c r="P3098">
        <v>15</v>
      </c>
      <c r="Q3098">
        <v>16.948899558620202</v>
      </c>
      <c r="R3098">
        <v>8.6</v>
      </c>
      <c r="T3098" s="358" t="str">
        <f t="shared" si="143"/>
        <v>2011AllSexAllEth23Firearms and explosives</v>
      </c>
      <c r="U3098" s="360">
        <v>2011</v>
      </c>
      <c r="V3098" s="360" t="s">
        <v>17</v>
      </c>
      <c r="W3098" s="360" t="s">
        <v>27</v>
      </c>
      <c r="X3098" s="360">
        <v>23</v>
      </c>
      <c r="Y3098" s="360" t="s">
        <v>42</v>
      </c>
      <c r="Z3098" s="360">
        <v>4</v>
      </c>
      <c r="AA3098" s="360">
        <v>163</v>
      </c>
      <c r="AB3098" s="360">
        <v>2.5</v>
      </c>
    </row>
    <row r="3099" spans="10:28" x14ac:dyDescent="0.2">
      <c r="J3099" s="358" t="str">
        <f t="shared" si="142"/>
        <v>2011MaleAllEth251</v>
      </c>
      <c r="K3099" s="359">
        <v>2011</v>
      </c>
      <c r="L3099" t="s">
        <v>20</v>
      </c>
      <c r="M3099" t="s">
        <v>27</v>
      </c>
      <c r="N3099">
        <v>25</v>
      </c>
      <c r="O3099">
        <v>1</v>
      </c>
      <c r="P3099">
        <v>3</v>
      </c>
      <c r="Q3099">
        <v>5.2313738578897997</v>
      </c>
      <c r="R3099">
        <v>5.9</v>
      </c>
      <c r="T3099" s="358" t="str">
        <f t="shared" si="143"/>
        <v>2011AllSexAllEth24Firearms and explosives</v>
      </c>
      <c r="U3099" s="360">
        <v>2011</v>
      </c>
      <c r="V3099" s="360" t="s">
        <v>17</v>
      </c>
      <c r="W3099" s="360" t="s">
        <v>27</v>
      </c>
      <c r="X3099" s="360">
        <v>24</v>
      </c>
      <c r="Y3099" s="360" t="s">
        <v>42</v>
      </c>
      <c r="Z3099" s="360">
        <v>21</v>
      </c>
      <c r="AA3099" s="360">
        <v>150</v>
      </c>
      <c r="AB3099" s="360">
        <v>14</v>
      </c>
    </row>
    <row r="3100" spans="10:28" x14ac:dyDescent="0.2">
      <c r="J3100" s="358" t="str">
        <f t="shared" si="142"/>
        <v>2011MaleAllEth252</v>
      </c>
      <c r="K3100" s="359">
        <v>2011</v>
      </c>
      <c r="L3100" t="s">
        <v>20</v>
      </c>
      <c r="M3100" t="s">
        <v>27</v>
      </c>
      <c r="N3100">
        <v>25</v>
      </c>
      <c r="O3100">
        <v>2</v>
      </c>
      <c r="P3100">
        <v>4</v>
      </c>
      <c r="Q3100">
        <v>7.0679760625467596</v>
      </c>
      <c r="R3100">
        <v>6.9</v>
      </c>
      <c r="T3100" s="358" t="str">
        <f t="shared" si="143"/>
        <v>2011AllSexAllEth25Firearms and explosives</v>
      </c>
      <c r="U3100" s="360">
        <v>2011</v>
      </c>
      <c r="V3100" s="360" t="s">
        <v>17</v>
      </c>
      <c r="W3100" s="360" t="s">
        <v>27</v>
      </c>
      <c r="X3100" s="360">
        <v>25</v>
      </c>
      <c r="Y3100" s="360" t="s">
        <v>42</v>
      </c>
      <c r="Z3100" s="360">
        <v>7</v>
      </c>
      <c r="AA3100" s="360">
        <v>45</v>
      </c>
      <c r="AB3100" s="360">
        <v>15.6</v>
      </c>
    </row>
    <row r="3101" spans="10:28" x14ac:dyDescent="0.2">
      <c r="J3101" s="358" t="str">
        <f t="shared" si="142"/>
        <v>2011MaleAllEth253</v>
      </c>
      <c r="K3101" s="359">
        <v>2011</v>
      </c>
      <c r="L3101" t="s">
        <v>20</v>
      </c>
      <c r="M3101" t="s">
        <v>27</v>
      </c>
      <c r="N3101">
        <v>25</v>
      </c>
      <c r="O3101">
        <v>3</v>
      </c>
      <c r="P3101">
        <v>12</v>
      </c>
      <c r="Q3101">
        <v>22.004198047498001</v>
      </c>
      <c r="R3101">
        <v>12.4</v>
      </c>
      <c r="T3101" s="358" t="str">
        <f t="shared" si="143"/>
        <v>2011AllSexAllEth21Hanging, strangulation and suffocation</v>
      </c>
      <c r="U3101" s="360">
        <v>2011</v>
      </c>
      <c r="V3101" s="360" t="s">
        <v>17</v>
      </c>
      <c r="W3101" s="360" t="s">
        <v>27</v>
      </c>
      <c r="X3101" s="360">
        <v>21</v>
      </c>
      <c r="Y3101" s="360" t="s">
        <v>43</v>
      </c>
      <c r="Z3101" s="360">
        <v>6</v>
      </c>
      <c r="AA3101" s="360">
        <v>6</v>
      </c>
      <c r="AB3101" s="360">
        <v>100</v>
      </c>
    </row>
    <row r="3102" spans="10:28" x14ac:dyDescent="0.2">
      <c r="J3102" s="358" t="str">
        <f t="shared" si="142"/>
        <v>2011MaleAllEth254</v>
      </c>
      <c r="K3102" s="359">
        <v>2011</v>
      </c>
      <c r="L3102" t="s">
        <v>20</v>
      </c>
      <c r="M3102" t="s">
        <v>27</v>
      </c>
      <c r="N3102">
        <v>25</v>
      </c>
      <c r="O3102">
        <v>4</v>
      </c>
      <c r="P3102">
        <v>5</v>
      </c>
      <c r="Q3102">
        <v>9.4440097575666897</v>
      </c>
      <c r="R3102">
        <v>8.3000000000000007</v>
      </c>
      <c r="T3102" s="358" t="str">
        <f t="shared" si="143"/>
        <v>2011AllSexAllEth22Hanging, strangulation and suffocation</v>
      </c>
      <c r="U3102" s="360">
        <v>2011</v>
      </c>
      <c r="V3102" s="360" t="s">
        <v>17</v>
      </c>
      <c r="W3102" s="360" t="s">
        <v>27</v>
      </c>
      <c r="X3102" s="360">
        <v>22</v>
      </c>
      <c r="Y3102" s="360" t="s">
        <v>43</v>
      </c>
      <c r="Z3102" s="360">
        <v>105</v>
      </c>
      <c r="AA3102" s="360">
        <v>130</v>
      </c>
      <c r="AB3102" s="360">
        <v>80.8</v>
      </c>
    </row>
    <row r="3103" spans="10:28" x14ac:dyDescent="0.2">
      <c r="J3103" s="358" t="str">
        <f t="shared" si="142"/>
        <v>2011MaleAllEth255</v>
      </c>
      <c r="K3103" s="359">
        <v>2011</v>
      </c>
      <c r="L3103" t="s">
        <v>20</v>
      </c>
      <c r="M3103" t="s">
        <v>27</v>
      </c>
      <c r="N3103">
        <v>25</v>
      </c>
      <c r="O3103">
        <v>5</v>
      </c>
      <c r="P3103">
        <v>5</v>
      </c>
      <c r="Q3103">
        <v>11.435891222804701</v>
      </c>
      <c r="R3103">
        <v>10</v>
      </c>
      <c r="T3103" s="358" t="str">
        <f t="shared" si="143"/>
        <v>2011AllSexAllEth23Hanging, strangulation and suffocation</v>
      </c>
      <c r="U3103" s="360">
        <v>2011</v>
      </c>
      <c r="V3103" s="360" t="s">
        <v>17</v>
      </c>
      <c r="W3103" s="360" t="s">
        <v>27</v>
      </c>
      <c r="X3103" s="360">
        <v>23</v>
      </c>
      <c r="Y3103" s="360" t="s">
        <v>43</v>
      </c>
      <c r="Z3103" s="360">
        <v>106</v>
      </c>
      <c r="AA3103" s="360">
        <v>163</v>
      </c>
      <c r="AB3103" s="360">
        <v>65</v>
      </c>
    </row>
    <row r="3104" spans="10:28" x14ac:dyDescent="0.2">
      <c r="J3104" s="358" t="str">
        <f t="shared" si="142"/>
        <v>2011MaleMaori211</v>
      </c>
      <c r="K3104" s="359">
        <v>2011</v>
      </c>
      <c r="L3104" t="s">
        <v>20</v>
      </c>
      <c r="M3104" t="s">
        <v>18</v>
      </c>
      <c r="N3104">
        <v>21</v>
      </c>
      <c r="O3104">
        <v>1</v>
      </c>
      <c r="P3104">
        <v>0</v>
      </c>
      <c r="T3104" s="358" t="str">
        <f t="shared" si="143"/>
        <v>2011AllSexAllEth24Hanging, strangulation and suffocation</v>
      </c>
      <c r="U3104" s="360">
        <v>2011</v>
      </c>
      <c r="V3104" s="360" t="s">
        <v>17</v>
      </c>
      <c r="W3104" s="360" t="s">
        <v>27</v>
      </c>
      <c r="X3104" s="360">
        <v>24</v>
      </c>
      <c r="Y3104" s="360" t="s">
        <v>43</v>
      </c>
      <c r="Z3104" s="360">
        <v>70</v>
      </c>
      <c r="AA3104" s="360">
        <v>150</v>
      </c>
      <c r="AB3104" s="360">
        <v>46.7</v>
      </c>
    </row>
    <row r="3105" spans="10:28" x14ac:dyDescent="0.2">
      <c r="J3105" s="358" t="str">
        <f t="shared" si="142"/>
        <v>2011MaleMaori212</v>
      </c>
      <c r="K3105" s="359">
        <v>2011</v>
      </c>
      <c r="L3105" t="s">
        <v>20</v>
      </c>
      <c r="M3105" t="s">
        <v>18</v>
      </c>
      <c r="N3105">
        <v>21</v>
      </c>
      <c r="O3105">
        <v>2</v>
      </c>
      <c r="P3105">
        <v>1</v>
      </c>
      <c r="T3105" s="358" t="str">
        <f t="shared" si="143"/>
        <v>2011AllSexAllEth25Hanging, strangulation and suffocation</v>
      </c>
      <c r="U3105" s="360">
        <v>2011</v>
      </c>
      <c r="V3105" s="360" t="s">
        <v>17</v>
      </c>
      <c r="W3105" s="360" t="s">
        <v>27</v>
      </c>
      <c r="X3105" s="360">
        <v>25</v>
      </c>
      <c r="Y3105" s="360" t="s">
        <v>43</v>
      </c>
      <c r="Z3105" s="360">
        <v>15</v>
      </c>
      <c r="AA3105" s="360">
        <v>45</v>
      </c>
      <c r="AB3105" s="360">
        <v>33.299999999999997</v>
      </c>
    </row>
    <row r="3106" spans="10:28" x14ac:dyDescent="0.2">
      <c r="J3106" s="358" t="str">
        <f t="shared" si="142"/>
        <v>2011MaleMaori213</v>
      </c>
      <c r="K3106" s="359">
        <v>2011</v>
      </c>
      <c r="L3106" t="s">
        <v>20</v>
      </c>
      <c r="M3106" t="s">
        <v>18</v>
      </c>
      <c r="N3106">
        <v>21</v>
      </c>
      <c r="O3106">
        <v>3</v>
      </c>
      <c r="P3106">
        <v>0</v>
      </c>
      <c r="T3106" s="358" t="str">
        <f t="shared" si="143"/>
        <v>2011AllSexAllEth22Jumping from a high place</v>
      </c>
      <c r="U3106" s="360">
        <v>2011</v>
      </c>
      <c r="V3106" s="360" t="s">
        <v>17</v>
      </c>
      <c r="W3106" s="360" t="s">
        <v>27</v>
      </c>
      <c r="X3106" s="360">
        <v>22</v>
      </c>
      <c r="Y3106" s="360" t="s">
        <v>44</v>
      </c>
      <c r="Z3106" s="360">
        <v>3</v>
      </c>
      <c r="AA3106" s="360">
        <v>130</v>
      </c>
      <c r="AB3106" s="360">
        <v>2.2999999999999998</v>
      </c>
    </row>
    <row r="3107" spans="10:28" x14ac:dyDescent="0.2">
      <c r="J3107" s="358" t="str">
        <f t="shared" si="142"/>
        <v>2011MaleMaori214</v>
      </c>
      <c r="K3107" s="359">
        <v>2011</v>
      </c>
      <c r="L3107" t="s">
        <v>20</v>
      </c>
      <c r="M3107" t="s">
        <v>18</v>
      </c>
      <c r="N3107">
        <v>21</v>
      </c>
      <c r="O3107">
        <v>4</v>
      </c>
      <c r="P3107">
        <v>0</v>
      </c>
      <c r="T3107" s="358" t="str">
        <f t="shared" si="143"/>
        <v>2011AllSexAllEth23Jumping from a high place</v>
      </c>
      <c r="U3107" s="360">
        <v>2011</v>
      </c>
      <c r="V3107" s="360" t="s">
        <v>17</v>
      </c>
      <c r="W3107" s="360" t="s">
        <v>27</v>
      </c>
      <c r="X3107" s="360">
        <v>23</v>
      </c>
      <c r="Y3107" s="360" t="s">
        <v>44</v>
      </c>
      <c r="Z3107" s="360">
        <v>4</v>
      </c>
      <c r="AA3107" s="360">
        <v>163</v>
      </c>
      <c r="AB3107" s="360">
        <v>2.5</v>
      </c>
    </row>
    <row r="3108" spans="10:28" x14ac:dyDescent="0.2">
      <c r="J3108" s="358" t="str">
        <f t="shared" si="142"/>
        <v>2011MaleMaori215</v>
      </c>
      <c r="K3108" s="359">
        <v>2011</v>
      </c>
      <c r="L3108" t="s">
        <v>20</v>
      </c>
      <c r="M3108" t="s">
        <v>18</v>
      </c>
      <c r="N3108">
        <v>21</v>
      </c>
      <c r="O3108">
        <v>5</v>
      </c>
      <c r="P3108">
        <v>1</v>
      </c>
      <c r="T3108" s="358" t="str">
        <f t="shared" si="143"/>
        <v>2011AllSexAllEth24Jumping from a high place</v>
      </c>
      <c r="U3108" s="360">
        <v>2011</v>
      </c>
      <c r="V3108" s="360" t="s">
        <v>17</v>
      </c>
      <c r="W3108" s="360" t="s">
        <v>27</v>
      </c>
      <c r="X3108" s="360">
        <v>24</v>
      </c>
      <c r="Y3108" s="360" t="s">
        <v>44</v>
      </c>
      <c r="Z3108" s="360">
        <v>4</v>
      </c>
      <c r="AA3108" s="360">
        <v>150</v>
      </c>
      <c r="AB3108" s="360">
        <v>2.7</v>
      </c>
    </row>
    <row r="3109" spans="10:28" x14ac:dyDescent="0.2">
      <c r="J3109" s="358" t="str">
        <f t="shared" si="142"/>
        <v>2011MaleMaori221</v>
      </c>
      <c r="K3109" s="359">
        <v>2011</v>
      </c>
      <c r="L3109" t="s">
        <v>20</v>
      </c>
      <c r="M3109" t="s">
        <v>18</v>
      </c>
      <c r="N3109">
        <v>22</v>
      </c>
      <c r="O3109">
        <v>1</v>
      </c>
      <c r="P3109">
        <v>2</v>
      </c>
      <c r="Q3109">
        <v>37.115723251095503</v>
      </c>
      <c r="R3109">
        <v>51.4</v>
      </c>
      <c r="T3109" s="358" t="str">
        <f t="shared" si="143"/>
        <v>2011AllSexAllEth25Jumping from a high place</v>
      </c>
      <c r="U3109" s="360">
        <v>2011</v>
      </c>
      <c r="V3109" s="360" t="s">
        <v>17</v>
      </c>
      <c r="W3109" s="360" t="s">
        <v>27</v>
      </c>
      <c r="X3109" s="360">
        <v>25</v>
      </c>
      <c r="Y3109" s="360" t="s">
        <v>44</v>
      </c>
      <c r="Z3109" s="360">
        <v>1</v>
      </c>
      <c r="AA3109" s="360">
        <v>45</v>
      </c>
      <c r="AB3109" s="360">
        <v>2.2000000000000002</v>
      </c>
    </row>
    <row r="3110" spans="10:28" x14ac:dyDescent="0.2">
      <c r="J3110" s="358" t="str">
        <f t="shared" si="142"/>
        <v>2011MaleMaori222</v>
      </c>
      <c r="K3110" s="359">
        <v>2011</v>
      </c>
      <c r="L3110" t="s">
        <v>20</v>
      </c>
      <c r="M3110" t="s">
        <v>18</v>
      </c>
      <c r="N3110">
        <v>22</v>
      </c>
      <c r="O3110">
        <v>2</v>
      </c>
      <c r="P3110">
        <v>4</v>
      </c>
      <c r="Q3110">
        <v>55.521293217433602</v>
      </c>
      <c r="R3110">
        <v>54.4</v>
      </c>
      <c r="T3110" s="358" t="str">
        <f t="shared" si="143"/>
        <v>2011AllSexAllEth22Other</v>
      </c>
      <c r="U3110" s="360">
        <v>2011</v>
      </c>
      <c r="V3110" s="360" t="s">
        <v>17</v>
      </c>
      <c r="W3110" s="360" t="s">
        <v>27</v>
      </c>
      <c r="X3110" s="360">
        <v>22</v>
      </c>
      <c r="Y3110" s="360" t="s">
        <v>45</v>
      </c>
      <c r="Z3110" s="360">
        <v>5</v>
      </c>
      <c r="AA3110" s="360">
        <v>130</v>
      </c>
      <c r="AB3110" s="360">
        <v>3.8</v>
      </c>
    </row>
    <row r="3111" spans="10:28" x14ac:dyDescent="0.2">
      <c r="J3111" s="358" t="str">
        <f t="shared" si="142"/>
        <v>2011MaleMaori223</v>
      </c>
      <c r="K3111" s="359">
        <v>2011</v>
      </c>
      <c r="L3111" t="s">
        <v>20</v>
      </c>
      <c r="M3111" t="s">
        <v>18</v>
      </c>
      <c r="N3111">
        <v>22</v>
      </c>
      <c r="O3111">
        <v>3</v>
      </c>
      <c r="P3111">
        <v>7</v>
      </c>
      <c r="Q3111">
        <v>67.880981179570796</v>
      </c>
      <c r="R3111">
        <v>50.3</v>
      </c>
      <c r="T3111" s="358" t="str">
        <f t="shared" si="143"/>
        <v>2011AllSexAllEth23Other</v>
      </c>
      <c r="U3111" s="360">
        <v>2011</v>
      </c>
      <c r="V3111" s="360" t="s">
        <v>17</v>
      </c>
      <c r="W3111" s="360" t="s">
        <v>27</v>
      </c>
      <c r="X3111" s="360">
        <v>23</v>
      </c>
      <c r="Y3111" s="360" t="s">
        <v>45</v>
      </c>
      <c r="Z3111" s="360">
        <v>6</v>
      </c>
      <c r="AA3111" s="360">
        <v>163</v>
      </c>
      <c r="AB3111" s="360">
        <v>3.7</v>
      </c>
    </row>
    <row r="3112" spans="10:28" x14ac:dyDescent="0.2">
      <c r="J3112" s="358" t="str">
        <f t="shared" si="142"/>
        <v>2011MaleMaori224</v>
      </c>
      <c r="K3112" s="359">
        <v>2011</v>
      </c>
      <c r="L3112" t="s">
        <v>20</v>
      </c>
      <c r="M3112" t="s">
        <v>18</v>
      </c>
      <c r="N3112">
        <v>22</v>
      </c>
      <c r="O3112">
        <v>4</v>
      </c>
      <c r="P3112">
        <v>8</v>
      </c>
      <c r="Q3112">
        <v>54.926334802194397</v>
      </c>
      <c r="R3112">
        <v>38.1</v>
      </c>
      <c r="T3112" s="358" t="str">
        <f t="shared" si="143"/>
        <v>2011AllSexAllEth24Other</v>
      </c>
      <c r="U3112" s="360">
        <v>2011</v>
      </c>
      <c r="V3112" s="360" t="s">
        <v>17</v>
      </c>
      <c r="W3112" s="360" t="s">
        <v>27</v>
      </c>
      <c r="X3112" s="360">
        <v>24</v>
      </c>
      <c r="Y3112" s="360" t="s">
        <v>45</v>
      </c>
      <c r="Z3112" s="360">
        <v>5</v>
      </c>
      <c r="AA3112" s="360">
        <v>150</v>
      </c>
      <c r="AB3112" s="360">
        <v>3.3</v>
      </c>
    </row>
    <row r="3113" spans="10:28" x14ac:dyDescent="0.2">
      <c r="J3113" s="358" t="str">
        <f t="shared" si="142"/>
        <v>2011MaleMaori225</v>
      </c>
      <c r="K3113" s="359">
        <v>2011</v>
      </c>
      <c r="L3113" t="s">
        <v>20</v>
      </c>
      <c r="M3113" t="s">
        <v>18</v>
      </c>
      <c r="N3113">
        <v>22</v>
      </c>
      <c r="O3113">
        <v>5</v>
      </c>
      <c r="P3113">
        <v>12</v>
      </c>
      <c r="Q3113">
        <v>49.556593721107802</v>
      </c>
      <c r="R3113">
        <v>28</v>
      </c>
      <c r="T3113" s="358" t="str">
        <f t="shared" si="143"/>
        <v>2011AllSexAllEth25Other</v>
      </c>
      <c r="U3113" s="360">
        <v>2011</v>
      </c>
      <c r="V3113" s="360" t="s">
        <v>17</v>
      </c>
      <c r="W3113" s="360" t="s">
        <v>27</v>
      </c>
      <c r="X3113" s="360">
        <v>25</v>
      </c>
      <c r="Y3113" s="360" t="s">
        <v>45</v>
      </c>
      <c r="Z3113" s="360">
        <v>2</v>
      </c>
      <c r="AA3113" s="360">
        <v>45</v>
      </c>
      <c r="AB3113" s="360">
        <v>4.4000000000000004</v>
      </c>
    </row>
    <row r="3114" spans="10:28" x14ac:dyDescent="0.2">
      <c r="J3114" s="358" t="str">
        <f t="shared" si="142"/>
        <v>2011MaleMaori231</v>
      </c>
      <c r="K3114" s="359">
        <v>2011</v>
      </c>
      <c r="L3114" t="s">
        <v>20</v>
      </c>
      <c r="M3114" t="s">
        <v>18</v>
      </c>
      <c r="N3114">
        <v>23</v>
      </c>
      <c r="O3114">
        <v>1</v>
      </c>
      <c r="P3114">
        <v>3</v>
      </c>
      <c r="Q3114">
        <v>40.794063837210203</v>
      </c>
      <c r="R3114">
        <v>46.2</v>
      </c>
      <c r="T3114" s="358" t="str">
        <f t="shared" si="143"/>
        <v>2011AllSexAllEth22Poisoning by gases and vapours</v>
      </c>
      <c r="U3114" s="360">
        <v>2011</v>
      </c>
      <c r="V3114" s="360" t="s">
        <v>17</v>
      </c>
      <c r="W3114" s="360" t="s">
        <v>27</v>
      </c>
      <c r="X3114" s="360">
        <v>22</v>
      </c>
      <c r="Y3114" s="360" t="s">
        <v>46</v>
      </c>
      <c r="Z3114" s="360">
        <v>6</v>
      </c>
      <c r="AA3114" s="360">
        <v>130</v>
      </c>
      <c r="AB3114" s="360">
        <v>4.5999999999999996</v>
      </c>
    </row>
    <row r="3115" spans="10:28" x14ac:dyDescent="0.2">
      <c r="J3115" s="358" t="str">
        <f t="shared" si="142"/>
        <v>2011MaleMaori232</v>
      </c>
      <c r="K3115" s="359">
        <v>2011</v>
      </c>
      <c r="L3115" t="s">
        <v>20</v>
      </c>
      <c r="M3115" t="s">
        <v>18</v>
      </c>
      <c r="N3115">
        <v>23</v>
      </c>
      <c r="O3115">
        <v>2</v>
      </c>
      <c r="P3115">
        <v>4</v>
      </c>
      <c r="Q3115">
        <v>40.177558035660198</v>
      </c>
      <c r="R3115">
        <v>39.4</v>
      </c>
      <c r="T3115" s="358" t="str">
        <f t="shared" si="143"/>
        <v>2011AllSexAllEth23Poisoning by gases and vapours</v>
      </c>
      <c r="U3115" s="360">
        <v>2011</v>
      </c>
      <c r="V3115" s="360" t="s">
        <v>17</v>
      </c>
      <c r="W3115" s="360" t="s">
        <v>27</v>
      </c>
      <c r="X3115" s="360">
        <v>23</v>
      </c>
      <c r="Y3115" s="360" t="s">
        <v>46</v>
      </c>
      <c r="Z3115" s="360">
        <v>21</v>
      </c>
      <c r="AA3115" s="360">
        <v>163</v>
      </c>
      <c r="AB3115" s="360">
        <v>12.9</v>
      </c>
    </row>
    <row r="3116" spans="10:28" x14ac:dyDescent="0.2">
      <c r="J3116" s="358" t="str">
        <f t="shared" si="142"/>
        <v>2011MaleMaori233</v>
      </c>
      <c r="K3116" s="359">
        <v>2011</v>
      </c>
      <c r="L3116" t="s">
        <v>20</v>
      </c>
      <c r="M3116" t="s">
        <v>18</v>
      </c>
      <c r="N3116">
        <v>23</v>
      </c>
      <c r="O3116">
        <v>3</v>
      </c>
      <c r="P3116">
        <v>2</v>
      </c>
      <c r="Q3116">
        <v>14.467800625365101</v>
      </c>
      <c r="R3116">
        <v>20.100000000000001</v>
      </c>
      <c r="T3116" s="358" t="str">
        <f t="shared" si="143"/>
        <v>2011AllSexAllEth24Poisoning by gases and vapours</v>
      </c>
      <c r="U3116" s="360">
        <v>2011</v>
      </c>
      <c r="V3116" s="360" t="s">
        <v>17</v>
      </c>
      <c r="W3116" s="360" t="s">
        <v>27</v>
      </c>
      <c r="X3116" s="360">
        <v>24</v>
      </c>
      <c r="Y3116" s="360" t="s">
        <v>46</v>
      </c>
      <c r="Z3116" s="360">
        <v>20</v>
      </c>
      <c r="AA3116" s="360">
        <v>150</v>
      </c>
      <c r="AB3116" s="360">
        <v>13.3</v>
      </c>
    </row>
    <row r="3117" spans="10:28" x14ac:dyDescent="0.2">
      <c r="J3117" s="358" t="str">
        <f t="shared" si="142"/>
        <v>2011MaleMaori234</v>
      </c>
      <c r="K3117" s="359">
        <v>2011</v>
      </c>
      <c r="L3117" t="s">
        <v>20</v>
      </c>
      <c r="M3117" t="s">
        <v>18</v>
      </c>
      <c r="N3117">
        <v>23</v>
      </c>
      <c r="O3117">
        <v>4</v>
      </c>
      <c r="P3117">
        <v>3</v>
      </c>
      <c r="Q3117">
        <v>16.0214698145993</v>
      </c>
      <c r="R3117">
        <v>18.100000000000001</v>
      </c>
      <c r="T3117" s="358" t="str">
        <f t="shared" si="143"/>
        <v>2011AllSexAllEth25Poisoning by gases and vapours</v>
      </c>
      <c r="U3117" s="360">
        <v>2011</v>
      </c>
      <c r="V3117" s="360" t="s">
        <v>17</v>
      </c>
      <c r="W3117" s="360" t="s">
        <v>27</v>
      </c>
      <c r="X3117" s="360">
        <v>25</v>
      </c>
      <c r="Y3117" s="360" t="s">
        <v>46</v>
      </c>
      <c r="Z3117" s="360">
        <v>1</v>
      </c>
      <c r="AA3117" s="360">
        <v>45</v>
      </c>
      <c r="AB3117" s="360">
        <v>2.2000000000000002</v>
      </c>
    </row>
    <row r="3118" spans="10:28" x14ac:dyDescent="0.2">
      <c r="J3118" s="358" t="str">
        <f t="shared" si="142"/>
        <v>2011MaleMaori235</v>
      </c>
      <c r="K3118" s="359">
        <v>2011</v>
      </c>
      <c r="L3118" t="s">
        <v>20</v>
      </c>
      <c r="M3118" t="s">
        <v>18</v>
      </c>
      <c r="N3118">
        <v>23</v>
      </c>
      <c r="O3118">
        <v>5</v>
      </c>
      <c r="P3118">
        <v>21</v>
      </c>
      <c r="Q3118">
        <v>75.120520413746704</v>
      </c>
      <c r="R3118">
        <v>32.1</v>
      </c>
      <c r="T3118" s="358" t="str">
        <f t="shared" si="143"/>
        <v>2011AllSexAllEth22Poisoning by solids and liquids</v>
      </c>
      <c r="U3118" s="360">
        <v>2011</v>
      </c>
      <c r="V3118" s="360" t="s">
        <v>17</v>
      </c>
      <c r="W3118" s="360" t="s">
        <v>27</v>
      </c>
      <c r="X3118" s="360">
        <v>22</v>
      </c>
      <c r="Y3118" s="360" t="s">
        <v>47</v>
      </c>
      <c r="Z3118" s="360">
        <v>6</v>
      </c>
      <c r="AA3118" s="360">
        <v>130</v>
      </c>
      <c r="AB3118" s="360">
        <v>4.5999999999999996</v>
      </c>
    </row>
    <row r="3119" spans="10:28" x14ac:dyDescent="0.2">
      <c r="J3119" s="358" t="str">
        <f t="shared" si="142"/>
        <v>2011MaleMaori241</v>
      </c>
      <c r="K3119" s="359">
        <v>2011</v>
      </c>
      <c r="L3119" t="s">
        <v>20</v>
      </c>
      <c r="M3119" t="s">
        <v>18</v>
      </c>
      <c r="N3119">
        <v>24</v>
      </c>
      <c r="O3119">
        <v>1</v>
      </c>
      <c r="P3119">
        <v>1</v>
      </c>
      <c r="Q3119">
        <v>16.982527506724701</v>
      </c>
      <c r="R3119">
        <v>33.299999999999997</v>
      </c>
      <c r="T3119" s="358" t="str">
        <f t="shared" si="143"/>
        <v>2011AllSexAllEth23Poisoning by solids and liquids</v>
      </c>
      <c r="U3119" s="360">
        <v>2011</v>
      </c>
      <c r="V3119" s="360" t="s">
        <v>17</v>
      </c>
      <c r="W3119" s="360" t="s">
        <v>27</v>
      </c>
      <c r="X3119" s="360">
        <v>23</v>
      </c>
      <c r="Y3119" s="360" t="s">
        <v>47</v>
      </c>
      <c r="Z3119" s="360">
        <v>16</v>
      </c>
      <c r="AA3119" s="360">
        <v>163</v>
      </c>
      <c r="AB3119" s="360">
        <v>9.8000000000000007</v>
      </c>
    </row>
    <row r="3120" spans="10:28" x14ac:dyDescent="0.2">
      <c r="J3120" s="358" t="str">
        <f t="shared" si="142"/>
        <v>2011MaleMaori242</v>
      </c>
      <c r="K3120" s="359">
        <v>2011</v>
      </c>
      <c r="L3120" t="s">
        <v>20</v>
      </c>
      <c r="M3120" t="s">
        <v>18</v>
      </c>
      <c r="N3120">
        <v>24</v>
      </c>
      <c r="O3120">
        <v>2</v>
      </c>
      <c r="P3120">
        <v>5</v>
      </c>
      <c r="Q3120">
        <v>68.565889162844996</v>
      </c>
      <c r="R3120">
        <v>60.1</v>
      </c>
      <c r="T3120" s="358" t="str">
        <f t="shared" si="143"/>
        <v>2011AllSexAllEth24Poisoning by solids and liquids</v>
      </c>
      <c r="U3120" s="360">
        <v>2011</v>
      </c>
      <c r="V3120" s="360" t="s">
        <v>17</v>
      </c>
      <c r="W3120" s="360" t="s">
        <v>27</v>
      </c>
      <c r="X3120" s="360">
        <v>24</v>
      </c>
      <c r="Y3120" s="360" t="s">
        <v>47</v>
      </c>
      <c r="Z3120" s="360">
        <v>23</v>
      </c>
      <c r="AA3120" s="360">
        <v>150</v>
      </c>
      <c r="AB3120" s="360">
        <v>15.3</v>
      </c>
    </row>
    <row r="3121" spans="10:28" x14ac:dyDescent="0.2">
      <c r="J3121" s="358" t="str">
        <f t="shared" si="142"/>
        <v>2011MaleMaori243</v>
      </c>
      <c r="K3121" s="359">
        <v>2011</v>
      </c>
      <c r="L3121" t="s">
        <v>20</v>
      </c>
      <c r="M3121" t="s">
        <v>18</v>
      </c>
      <c r="N3121">
        <v>24</v>
      </c>
      <c r="O3121">
        <v>3</v>
      </c>
      <c r="P3121">
        <v>1</v>
      </c>
      <c r="Q3121">
        <v>10.6478858086386</v>
      </c>
      <c r="R3121">
        <v>20.9</v>
      </c>
      <c r="T3121" s="358" t="str">
        <f t="shared" si="143"/>
        <v>2011AllSexAllEth25Poisoning by solids and liquids</v>
      </c>
      <c r="U3121" s="360">
        <v>2011</v>
      </c>
      <c r="V3121" s="360" t="s">
        <v>17</v>
      </c>
      <c r="W3121" s="360" t="s">
        <v>27</v>
      </c>
      <c r="X3121" s="360">
        <v>25</v>
      </c>
      <c r="Y3121" s="360" t="s">
        <v>47</v>
      </c>
      <c r="Z3121" s="360">
        <v>11</v>
      </c>
      <c r="AA3121" s="360">
        <v>45</v>
      </c>
      <c r="AB3121" s="360">
        <v>24.4</v>
      </c>
    </row>
    <row r="3122" spans="10:28" x14ac:dyDescent="0.2">
      <c r="J3122" s="358" t="str">
        <f t="shared" si="142"/>
        <v>2011MaleMaori244</v>
      </c>
      <c r="K3122" s="359">
        <v>2011</v>
      </c>
      <c r="L3122" t="s">
        <v>20</v>
      </c>
      <c r="M3122" t="s">
        <v>18</v>
      </c>
      <c r="N3122">
        <v>24</v>
      </c>
      <c r="O3122">
        <v>4</v>
      </c>
      <c r="P3122">
        <v>3</v>
      </c>
      <c r="Q3122">
        <v>23.499922738060501</v>
      </c>
      <c r="R3122">
        <v>26.6</v>
      </c>
      <c r="T3122" s="358" t="str">
        <f t="shared" si="143"/>
        <v>2011AllSexAllEth23Sharp object</v>
      </c>
      <c r="U3122" s="360">
        <v>2011</v>
      </c>
      <c r="V3122" s="360" t="s">
        <v>17</v>
      </c>
      <c r="W3122" s="360" t="s">
        <v>27</v>
      </c>
      <c r="X3122" s="360">
        <v>23</v>
      </c>
      <c r="Y3122" s="360" t="s">
        <v>48</v>
      </c>
      <c r="Z3122" s="360">
        <v>2</v>
      </c>
      <c r="AA3122" s="360">
        <v>163</v>
      </c>
      <c r="AB3122" s="360">
        <v>1.2</v>
      </c>
    </row>
    <row r="3123" spans="10:28" x14ac:dyDescent="0.2">
      <c r="J3123" s="358" t="str">
        <f t="shared" si="142"/>
        <v>2011MaleMaori245</v>
      </c>
      <c r="K3123" s="359">
        <v>2011</v>
      </c>
      <c r="L3123" t="s">
        <v>20</v>
      </c>
      <c r="M3123" t="s">
        <v>18</v>
      </c>
      <c r="N3123">
        <v>24</v>
      </c>
      <c r="O3123">
        <v>5</v>
      </c>
      <c r="P3123">
        <v>3</v>
      </c>
      <c r="Q3123">
        <v>14.156920348388701</v>
      </c>
      <c r="R3123">
        <v>16</v>
      </c>
      <c r="T3123" s="358" t="str">
        <f t="shared" si="143"/>
        <v>2011AllSexAllEth24Sharp object</v>
      </c>
      <c r="U3123" s="360">
        <v>2011</v>
      </c>
      <c r="V3123" s="360" t="s">
        <v>17</v>
      </c>
      <c r="W3123" s="360" t="s">
        <v>27</v>
      </c>
      <c r="X3123" s="360">
        <v>24</v>
      </c>
      <c r="Y3123" s="360" t="s">
        <v>48</v>
      </c>
      <c r="Z3123" s="360">
        <v>2</v>
      </c>
      <c r="AA3123" s="360">
        <v>150</v>
      </c>
      <c r="AB3123" s="360">
        <v>1.3</v>
      </c>
    </row>
    <row r="3124" spans="10:28" x14ac:dyDescent="0.2">
      <c r="J3124" s="358" t="str">
        <f t="shared" si="142"/>
        <v>2011MaleMaori251</v>
      </c>
      <c r="K3124" s="359">
        <v>2011</v>
      </c>
      <c r="L3124" t="s">
        <v>20</v>
      </c>
      <c r="M3124" t="s">
        <v>18</v>
      </c>
      <c r="N3124">
        <v>25</v>
      </c>
      <c r="O3124">
        <v>1</v>
      </c>
      <c r="P3124">
        <v>0</v>
      </c>
      <c r="Q3124">
        <v>0</v>
      </c>
      <c r="T3124" s="358" t="str">
        <f t="shared" si="143"/>
        <v>2011AllSexAllEth25Sharp object</v>
      </c>
      <c r="U3124" s="360">
        <v>2011</v>
      </c>
      <c r="V3124" s="360" t="s">
        <v>17</v>
      </c>
      <c r="W3124" s="360" t="s">
        <v>27</v>
      </c>
      <c r="X3124" s="360">
        <v>25</v>
      </c>
      <c r="Y3124" s="360" t="s">
        <v>48</v>
      </c>
      <c r="Z3124" s="360">
        <v>3</v>
      </c>
      <c r="AA3124" s="360">
        <v>45</v>
      </c>
      <c r="AB3124" s="360">
        <v>6.7</v>
      </c>
    </row>
    <row r="3125" spans="10:28" x14ac:dyDescent="0.2">
      <c r="J3125" s="358" t="str">
        <f t="shared" si="142"/>
        <v>2011MaleMaori252</v>
      </c>
      <c r="K3125" s="359">
        <v>2011</v>
      </c>
      <c r="L3125" t="s">
        <v>20</v>
      </c>
      <c r="M3125" t="s">
        <v>18</v>
      </c>
      <c r="N3125">
        <v>25</v>
      </c>
      <c r="O3125">
        <v>2</v>
      </c>
      <c r="P3125">
        <v>0</v>
      </c>
      <c r="Q3125">
        <v>0</v>
      </c>
      <c r="T3125" s="358" t="str">
        <f t="shared" si="143"/>
        <v>2011AllSexAllEth22Submersion (drowning)</v>
      </c>
      <c r="U3125" s="360">
        <v>2011</v>
      </c>
      <c r="V3125" s="360" t="s">
        <v>17</v>
      </c>
      <c r="W3125" s="360" t="s">
        <v>27</v>
      </c>
      <c r="X3125" s="360">
        <v>22</v>
      </c>
      <c r="Y3125" s="360" t="s">
        <v>49</v>
      </c>
      <c r="Z3125" s="360">
        <v>1</v>
      </c>
      <c r="AA3125" s="360">
        <v>130</v>
      </c>
      <c r="AB3125" s="360">
        <v>0.8</v>
      </c>
    </row>
    <row r="3126" spans="10:28" x14ac:dyDescent="0.2">
      <c r="J3126" s="358" t="str">
        <f t="shared" si="142"/>
        <v>2011MaleMaori253</v>
      </c>
      <c r="K3126" s="359">
        <v>2011</v>
      </c>
      <c r="L3126" t="s">
        <v>20</v>
      </c>
      <c r="M3126" t="s">
        <v>18</v>
      </c>
      <c r="N3126">
        <v>25</v>
      </c>
      <c r="O3126">
        <v>3</v>
      </c>
      <c r="P3126">
        <v>0</v>
      </c>
      <c r="Q3126">
        <v>0</v>
      </c>
      <c r="T3126" s="358" t="str">
        <f t="shared" si="143"/>
        <v>2011AllSexAllEth23Submersion (drowning)</v>
      </c>
      <c r="U3126" s="360">
        <v>2011</v>
      </c>
      <c r="V3126" s="360" t="s">
        <v>17</v>
      </c>
      <c r="W3126" s="360" t="s">
        <v>27</v>
      </c>
      <c r="X3126" s="360">
        <v>23</v>
      </c>
      <c r="Y3126" s="360" t="s">
        <v>49</v>
      </c>
      <c r="Z3126" s="360">
        <v>4</v>
      </c>
      <c r="AA3126" s="360">
        <v>163</v>
      </c>
      <c r="AB3126" s="360">
        <v>2.5</v>
      </c>
    </row>
    <row r="3127" spans="10:28" x14ac:dyDescent="0.2">
      <c r="J3127" s="358" t="str">
        <f t="shared" si="142"/>
        <v>2011MaleMaori254</v>
      </c>
      <c r="K3127" s="359">
        <v>2011</v>
      </c>
      <c r="L3127" t="s">
        <v>20</v>
      </c>
      <c r="M3127" t="s">
        <v>18</v>
      </c>
      <c r="N3127">
        <v>25</v>
      </c>
      <c r="O3127">
        <v>4</v>
      </c>
      <c r="P3127">
        <v>0</v>
      </c>
      <c r="Q3127">
        <v>0</v>
      </c>
      <c r="T3127" s="358" t="str">
        <f t="shared" si="143"/>
        <v>2011AllSexAllEth24Submersion (drowning)</v>
      </c>
      <c r="U3127" s="360">
        <v>2011</v>
      </c>
      <c r="V3127" s="360" t="s">
        <v>17</v>
      </c>
      <c r="W3127" s="360" t="s">
        <v>27</v>
      </c>
      <c r="X3127" s="360">
        <v>24</v>
      </c>
      <c r="Y3127" s="360" t="s">
        <v>49</v>
      </c>
      <c r="Z3127" s="360">
        <v>5</v>
      </c>
      <c r="AA3127" s="360">
        <v>150</v>
      </c>
      <c r="AB3127" s="360">
        <v>3.3</v>
      </c>
    </row>
    <row r="3128" spans="10:28" x14ac:dyDescent="0.2">
      <c r="J3128" s="358" t="str">
        <f t="shared" si="142"/>
        <v>2011MaleMaori255</v>
      </c>
      <c r="K3128" s="359">
        <v>2011</v>
      </c>
      <c r="L3128" t="s">
        <v>20</v>
      </c>
      <c r="M3128" t="s">
        <v>18</v>
      </c>
      <c r="N3128">
        <v>25</v>
      </c>
      <c r="O3128">
        <v>5</v>
      </c>
      <c r="P3128">
        <v>0</v>
      </c>
      <c r="Q3128">
        <v>0</v>
      </c>
      <c r="T3128" s="358" t="str">
        <f t="shared" si="143"/>
        <v>2011AllSexAllEth25Submersion (drowning)</v>
      </c>
      <c r="U3128" s="360">
        <v>2011</v>
      </c>
      <c r="V3128" s="360" t="s">
        <v>17</v>
      </c>
      <c r="W3128" s="360" t="s">
        <v>27</v>
      </c>
      <c r="X3128" s="360">
        <v>25</v>
      </c>
      <c r="Y3128" s="360" t="s">
        <v>49</v>
      </c>
      <c r="Z3128" s="360">
        <v>5</v>
      </c>
      <c r="AA3128" s="360">
        <v>45</v>
      </c>
      <c r="AB3128" s="360">
        <v>11.1</v>
      </c>
    </row>
    <row r="3129" spans="10:28" x14ac:dyDescent="0.2">
      <c r="J3129" s="358" t="str">
        <f t="shared" si="142"/>
        <v>2011MaleNon-Maori211</v>
      </c>
      <c r="K3129" s="359">
        <v>2011</v>
      </c>
      <c r="L3129" t="s">
        <v>20</v>
      </c>
      <c r="M3129" t="s">
        <v>19</v>
      </c>
      <c r="N3129">
        <v>21</v>
      </c>
      <c r="O3129">
        <v>1</v>
      </c>
      <c r="P3129">
        <v>0</v>
      </c>
      <c r="T3129" s="358" t="str">
        <f t="shared" si="143"/>
        <v>2011AllSexMaori22Firearms and explosives</v>
      </c>
      <c r="U3129" s="360">
        <v>2011</v>
      </c>
      <c r="V3129" s="360" t="s">
        <v>17</v>
      </c>
      <c r="W3129" s="360" t="s">
        <v>18</v>
      </c>
      <c r="X3129" s="360">
        <v>22</v>
      </c>
      <c r="Y3129" s="360" t="s">
        <v>42</v>
      </c>
      <c r="Z3129" s="360">
        <v>1</v>
      </c>
      <c r="AA3129" s="360">
        <v>49</v>
      </c>
      <c r="AB3129" s="360">
        <v>2</v>
      </c>
    </row>
    <row r="3130" spans="10:28" x14ac:dyDescent="0.2">
      <c r="J3130" s="358" t="str">
        <f t="shared" si="142"/>
        <v>2011MaleNon-Maori212</v>
      </c>
      <c r="K3130" s="359">
        <v>2011</v>
      </c>
      <c r="L3130" t="s">
        <v>20</v>
      </c>
      <c r="M3130" t="s">
        <v>19</v>
      </c>
      <c r="N3130">
        <v>21</v>
      </c>
      <c r="O3130">
        <v>2</v>
      </c>
      <c r="P3130">
        <v>0</v>
      </c>
      <c r="T3130" s="358" t="str">
        <f t="shared" si="143"/>
        <v>2011AllSexMaori23Firearms and explosives</v>
      </c>
      <c r="U3130" s="360">
        <v>2011</v>
      </c>
      <c r="V3130" s="360" t="s">
        <v>17</v>
      </c>
      <c r="W3130" s="360" t="s">
        <v>18</v>
      </c>
      <c r="X3130" s="360">
        <v>23</v>
      </c>
      <c r="Y3130" s="360" t="s">
        <v>42</v>
      </c>
      <c r="Z3130" s="360">
        <v>1</v>
      </c>
      <c r="AA3130" s="360">
        <v>44</v>
      </c>
      <c r="AB3130" s="360">
        <v>2.2999999999999998</v>
      </c>
    </row>
    <row r="3131" spans="10:28" x14ac:dyDescent="0.2">
      <c r="J3131" s="358" t="str">
        <f t="shared" si="142"/>
        <v>2011MaleNon-Maori213</v>
      </c>
      <c r="K3131" s="359">
        <v>2011</v>
      </c>
      <c r="L3131" t="s">
        <v>20</v>
      </c>
      <c r="M3131" t="s">
        <v>19</v>
      </c>
      <c r="N3131">
        <v>21</v>
      </c>
      <c r="O3131">
        <v>3</v>
      </c>
      <c r="P3131">
        <v>1</v>
      </c>
      <c r="T3131" s="358" t="str">
        <f t="shared" si="143"/>
        <v>2011AllSexMaori21Hanging, strangulation and suffocation</v>
      </c>
      <c r="U3131" s="360">
        <v>2011</v>
      </c>
      <c r="V3131" s="360" t="s">
        <v>17</v>
      </c>
      <c r="W3131" s="360" t="s">
        <v>18</v>
      </c>
      <c r="X3131" s="360">
        <v>21</v>
      </c>
      <c r="Y3131" s="360" t="s">
        <v>43</v>
      </c>
      <c r="Z3131" s="360">
        <v>4</v>
      </c>
      <c r="AA3131" s="360">
        <v>4</v>
      </c>
      <c r="AB3131" s="360">
        <v>100</v>
      </c>
    </row>
    <row r="3132" spans="10:28" x14ac:dyDescent="0.2">
      <c r="J3132" s="358" t="str">
        <f t="shared" si="142"/>
        <v>2011MaleNon-Maori214</v>
      </c>
      <c r="K3132" s="359">
        <v>2011</v>
      </c>
      <c r="L3132" t="s">
        <v>20</v>
      </c>
      <c r="M3132" t="s">
        <v>19</v>
      </c>
      <c r="N3132">
        <v>21</v>
      </c>
      <c r="O3132">
        <v>4</v>
      </c>
      <c r="P3132">
        <v>0</v>
      </c>
      <c r="T3132" s="358" t="str">
        <f t="shared" si="143"/>
        <v>2011AllSexMaori22Hanging, strangulation and suffocation</v>
      </c>
      <c r="U3132" s="360">
        <v>2011</v>
      </c>
      <c r="V3132" s="360" t="s">
        <v>17</v>
      </c>
      <c r="W3132" s="360" t="s">
        <v>18</v>
      </c>
      <c r="X3132" s="360">
        <v>22</v>
      </c>
      <c r="Y3132" s="360" t="s">
        <v>43</v>
      </c>
      <c r="Z3132" s="360">
        <v>46</v>
      </c>
      <c r="AA3132" s="360">
        <v>49</v>
      </c>
      <c r="AB3132" s="360">
        <v>93.9</v>
      </c>
    </row>
    <row r="3133" spans="10:28" x14ac:dyDescent="0.2">
      <c r="J3133" s="358" t="str">
        <f t="shared" si="142"/>
        <v>2011MaleNon-Maori215</v>
      </c>
      <c r="K3133" s="359">
        <v>2011</v>
      </c>
      <c r="L3133" t="s">
        <v>20</v>
      </c>
      <c r="M3133" t="s">
        <v>19</v>
      </c>
      <c r="N3133">
        <v>21</v>
      </c>
      <c r="O3133">
        <v>5</v>
      </c>
      <c r="P3133">
        <v>0</v>
      </c>
      <c r="T3133" s="358" t="str">
        <f t="shared" si="143"/>
        <v>2011AllSexMaori23Hanging, strangulation and suffocation</v>
      </c>
      <c r="U3133" s="360">
        <v>2011</v>
      </c>
      <c r="V3133" s="360" t="s">
        <v>17</v>
      </c>
      <c r="W3133" s="360" t="s">
        <v>18</v>
      </c>
      <c r="X3133" s="360">
        <v>23</v>
      </c>
      <c r="Y3133" s="360" t="s">
        <v>43</v>
      </c>
      <c r="Z3133" s="360">
        <v>37</v>
      </c>
      <c r="AA3133" s="360">
        <v>44</v>
      </c>
      <c r="AB3133" s="360">
        <v>84.1</v>
      </c>
    </row>
    <row r="3134" spans="10:28" x14ac:dyDescent="0.2">
      <c r="J3134" s="358" t="str">
        <f t="shared" si="142"/>
        <v>2011MaleNon-Maori221</v>
      </c>
      <c r="K3134" s="359">
        <v>2011</v>
      </c>
      <c r="L3134" t="s">
        <v>20</v>
      </c>
      <c r="M3134" t="s">
        <v>19</v>
      </c>
      <c r="N3134">
        <v>22</v>
      </c>
      <c r="O3134">
        <v>1</v>
      </c>
      <c r="P3134">
        <v>6</v>
      </c>
      <c r="Q3134">
        <v>11.5685703225558</v>
      </c>
      <c r="R3134">
        <v>9.3000000000000007</v>
      </c>
      <c r="T3134" s="358" t="str">
        <f t="shared" si="143"/>
        <v>2011AllSexMaori24Hanging, strangulation and suffocation</v>
      </c>
      <c r="U3134" s="360">
        <v>2011</v>
      </c>
      <c r="V3134" s="360" t="s">
        <v>17</v>
      </c>
      <c r="W3134" s="360" t="s">
        <v>18</v>
      </c>
      <c r="X3134" s="360">
        <v>24</v>
      </c>
      <c r="Y3134" s="360" t="s">
        <v>43</v>
      </c>
      <c r="Z3134" s="360">
        <v>9</v>
      </c>
      <c r="AA3134" s="360">
        <v>16</v>
      </c>
      <c r="AB3134" s="360">
        <v>56.2</v>
      </c>
    </row>
    <row r="3135" spans="10:28" x14ac:dyDescent="0.2">
      <c r="J3135" s="358" t="str">
        <f t="shared" si="142"/>
        <v>2011MaleNon-Maori222</v>
      </c>
      <c r="K3135" s="359">
        <v>2011</v>
      </c>
      <c r="L3135" t="s">
        <v>20</v>
      </c>
      <c r="M3135" t="s">
        <v>19</v>
      </c>
      <c r="N3135">
        <v>22</v>
      </c>
      <c r="O3135">
        <v>2</v>
      </c>
      <c r="P3135">
        <v>10</v>
      </c>
      <c r="Q3135">
        <v>19.8753792368496</v>
      </c>
      <c r="R3135">
        <v>12.3</v>
      </c>
      <c r="T3135" s="358" t="str">
        <f t="shared" si="143"/>
        <v>2011AllSexMaori23Jumping from a high place</v>
      </c>
      <c r="U3135" s="360">
        <v>2011</v>
      </c>
      <c r="V3135" s="360" t="s">
        <v>17</v>
      </c>
      <c r="W3135" s="360" t="s">
        <v>18</v>
      </c>
      <c r="X3135" s="360">
        <v>23</v>
      </c>
      <c r="Y3135" s="360" t="s">
        <v>44</v>
      </c>
      <c r="Z3135" s="360">
        <v>1</v>
      </c>
      <c r="AA3135" s="360">
        <v>44</v>
      </c>
      <c r="AB3135" s="360">
        <v>2.2999999999999998</v>
      </c>
    </row>
    <row r="3136" spans="10:28" x14ac:dyDescent="0.2">
      <c r="J3136" s="358" t="str">
        <f t="shared" si="142"/>
        <v>2011MaleNon-Maori223</v>
      </c>
      <c r="K3136" s="359">
        <v>2011</v>
      </c>
      <c r="L3136" t="s">
        <v>20</v>
      </c>
      <c r="M3136" t="s">
        <v>19</v>
      </c>
      <c r="N3136">
        <v>22</v>
      </c>
      <c r="O3136">
        <v>3</v>
      </c>
      <c r="P3136">
        <v>15</v>
      </c>
      <c r="Q3136">
        <v>29.9570050963619</v>
      </c>
      <c r="R3136">
        <v>15.2</v>
      </c>
      <c r="T3136" s="358" t="str">
        <f t="shared" si="143"/>
        <v>2011AllSexMaori24Jumping from a high place</v>
      </c>
      <c r="U3136" s="360">
        <v>2011</v>
      </c>
      <c r="V3136" s="360" t="s">
        <v>17</v>
      </c>
      <c r="W3136" s="360" t="s">
        <v>18</v>
      </c>
      <c r="X3136" s="360">
        <v>24</v>
      </c>
      <c r="Y3136" s="360" t="s">
        <v>44</v>
      </c>
      <c r="Z3136" s="360">
        <v>1</v>
      </c>
      <c r="AA3136" s="360">
        <v>16</v>
      </c>
      <c r="AB3136" s="360">
        <v>6.2</v>
      </c>
    </row>
    <row r="3137" spans="10:28" x14ac:dyDescent="0.2">
      <c r="J3137" s="358" t="str">
        <f t="shared" si="142"/>
        <v>2011MaleNon-Maori224</v>
      </c>
      <c r="K3137" s="359">
        <v>2011</v>
      </c>
      <c r="L3137" t="s">
        <v>20</v>
      </c>
      <c r="M3137" t="s">
        <v>19</v>
      </c>
      <c r="N3137">
        <v>22</v>
      </c>
      <c r="O3137">
        <v>4</v>
      </c>
      <c r="P3137">
        <v>10</v>
      </c>
      <c r="Q3137">
        <v>19.348287315734801</v>
      </c>
      <c r="R3137">
        <v>12</v>
      </c>
      <c r="T3137" s="358" t="str">
        <f t="shared" si="143"/>
        <v>2011AllSexMaori22Other</v>
      </c>
      <c r="U3137" s="360">
        <v>2011</v>
      </c>
      <c r="V3137" s="360" t="s">
        <v>17</v>
      </c>
      <c r="W3137" s="360" t="s">
        <v>18</v>
      </c>
      <c r="X3137" s="360">
        <v>22</v>
      </c>
      <c r="Y3137" s="360" t="s">
        <v>45</v>
      </c>
      <c r="Z3137" s="360">
        <v>2</v>
      </c>
      <c r="AA3137" s="360">
        <v>49</v>
      </c>
      <c r="AB3137" s="360">
        <v>4.0999999999999996</v>
      </c>
    </row>
    <row r="3138" spans="10:28" x14ac:dyDescent="0.2">
      <c r="J3138" s="358" t="str">
        <f t="shared" si="142"/>
        <v>2011MaleNon-Maori225</v>
      </c>
      <c r="K3138" s="359">
        <v>2011</v>
      </c>
      <c r="L3138" t="s">
        <v>20</v>
      </c>
      <c r="M3138" t="s">
        <v>19</v>
      </c>
      <c r="N3138">
        <v>22</v>
      </c>
      <c r="O3138">
        <v>5</v>
      </c>
      <c r="P3138">
        <v>19</v>
      </c>
      <c r="Q3138">
        <v>38.640259444061499</v>
      </c>
      <c r="R3138">
        <v>17.399999999999999</v>
      </c>
      <c r="T3138" s="358" t="str">
        <f t="shared" si="143"/>
        <v>2011AllSexMaori23Other</v>
      </c>
      <c r="U3138" s="360">
        <v>2011</v>
      </c>
      <c r="V3138" s="360" t="s">
        <v>17</v>
      </c>
      <c r="W3138" s="360" t="s">
        <v>18</v>
      </c>
      <c r="X3138" s="360">
        <v>23</v>
      </c>
      <c r="Y3138" s="360" t="s">
        <v>45</v>
      </c>
      <c r="Z3138" s="360">
        <v>1</v>
      </c>
      <c r="AA3138" s="360">
        <v>44</v>
      </c>
      <c r="AB3138" s="360">
        <v>2.2999999999999998</v>
      </c>
    </row>
    <row r="3139" spans="10:28" x14ac:dyDescent="0.2">
      <c r="J3139" s="358" t="str">
        <f t="shared" si="142"/>
        <v>2011MaleNon-Maori231</v>
      </c>
      <c r="K3139" s="359">
        <v>2011</v>
      </c>
      <c r="L3139" t="s">
        <v>20</v>
      </c>
      <c r="M3139" t="s">
        <v>19</v>
      </c>
      <c r="N3139">
        <v>23</v>
      </c>
      <c r="O3139">
        <v>1</v>
      </c>
      <c r="P3139">
        <v>20</v>
      </c>
      <c r="Q3139">
        <v>20.5689197070582</v>
      </c>
      <c r="R3139">
        <v>9</v>
      </c>
      <c r="T3139" s="358" t="str">
        <f t="shared" si="143"/>
        <v>2011AllSexMaori23Poisoning by gases and vapours</v>
      </c>
      <c r="U3139" s="360">
        <v>2011</v>
      </c>
      <c r="V3139" s="360" t="s">
        <v>17</v>
      </c>
      <c r="W3139" s="360" t="s">
        <v>18</v>
      </c>
      <c r="X3139" s="360">
        <v>23</v>
      </c>
      <c r="Y3139" s="360" t="s">
        <v>46</v>
      </c>
      <c r="Z3139" s="360">
        <v>1</v>
      </c>
      <c r="AA3139" s="360">
        <v>44</v>
      </c>
      <c r="AB3139" s="360">
        <v>2.2999999999999998</v>
      </c>
    </row>
    <row r="3140" spans="10:28" x14ac:dyDescent="0.2">
      <c r="J3140" s="358" t="str">
        <f t="shared" ref="J3140:J3203" si="144">K3140&amp;L3140&amp;M3140&amp;N3140&amp;O3140</f>
        <v>2011MaleNon-Maori232</v>
      </c>
      <c r="K3140" s="359">
        <v>2011</v>
      </c>
      <c r="L3140" t="s">
        <v>20</v>
      </c>
      <c r="M3140" t="s">
        <v>19</v>
      </c>
      <c r="N3140">
        <v>23</v>
      </c>
      <c r="O3140">
        <v>2</v>
      </c>
      <c r="P3140">
        <v>18</v>
      </c>
      <c r="Q3140">
        <v>17.3875934399505</v>
      </c>
      <c r="R3140">
        <v>8</v>
      </c>
      <c r="T3140" s="358" t="str">
        <f t="shared" si="143"/>
        <v>2011AllSexMaori24Poisoning by gases and vapours</v>
      </c>
      <c r="U3140" s="360">
        <v>2011</v>
      </c>
      <c r="V3140" s="360" t="s">
        <v>17</v>
      </c>
      <c r="W3140" s="360" t="s">
        <v>18</v>
      </c>
      <c r="X3140" s="360">
        <v>24</v>
      </c>
      <c r="Y3140" s="360" t="s">
        <v>46</v>
      </c>
      <c r="Z3140" s="360">
        <v>4</v>
      </c>
      <c r="AA3140" s="360">
        <v>16</v>
      </c>
      <c r="AB3140" s="360">
        <v>25</v>
      </c>
    </row>
    <row r="3141" spans="10:28" x14ac:dyDescent="0.2">
      <c r="J3141" s="358" t="str">
        <f t="shared" si="144"/>
        <v>2011MaleNon-Maori233</v>
      </c>
      <c r="K3141" s="359">
        <v>2011</v>
      </c>
      <c r="L3141" t="s">
        <v>20</v>
      </c>
      <c r="M3141" t="s">
        <v>19</v>
      </c>
      <c r="N3141">
        <v>23</v>
      </c>
      <c r="O3141">
        <v>3</v>
      </c>
      <c r="P3141">
        <v>19</v>
      </c>
      <c r="Q3141">
        <v>18.487117787909</v>
      </c>
      <c r="R3141">
        <v>8.3000000000000007</v>
      </c>
      <c r="T3141" s="358" t="str">
        <f t="shared" ref="T3141:T3204" si="145">U3141&amp;V3141&amp;W3141&amp;X3141&amp;Y3141</f>
        <v>2011AllSexMaori23Poisoning by solids and liquids</v>
      </c>
      <c r="U3141" s="360">
        <v>2011</v>
      </c>
      <c r="V3141" s="360" t="s">
        <v>17</v>
      </c>
      <c r="W3141" s="360" t="s">
        <v>18</v>
      </c>
      <c r="X3141" s="360">
        <v>23</v>
      </c>
      <c r="Y3141" s="360" t="s">
        <v>47</v>
      </c>
      <c r="Z3141" s="360">
        <v>1</v>
      </c>
      <c r="AA3141" s="360">
        <v>44</v>
      </c>
      <c r="AB3141" s="360">
        <v>2.2999999999999998</v>
      </c>
    </row>
    <row r="3142" spans="10:28" x14ac:dyDescent="0.2">
      <c r="J3142" s="358" t="str">
        <f t="shared" si="144"/>
        <v>2011MaleNon-Maori234</v>
      </c>
      <c r="K3142" s="359">
        <v>2011</v>
      </c>
      <c r="L3142" t="s">
        <v>20</v>
      </c>
      <c r="M3142" t="s">
        <v>19</v>
      </c>
      <c r="N3142">
        <v>23</v>
      </c>
      <c r="O3142">
        <v>4</v>
      </c>
      <c r="P3142">
        <v>19</v>
      </c>
      <c r="Q3142">
        <v>19.967270420602699</v>
      </c>
      <c r="R3142">
        <v>9</v>
      </c>
      <c r="T3142" s="358" t="str">
        <f t="shared" si="145"/>
        <v>2011AllSexMaori24Poisoning by solids and liquids</v>
      </c>
      <c r="U3142" s="360">
        <v>2011</v>
      </c>
      <c r="V3142" s="360" t="s">
        <v>17</v>
      </c>
      <c r="W3142" s="360" t="s">
        <v>18</v>
      </c>
      <c r="X3142" s="360">
        <v>24</v>
      </c>
      <c r="Y3142" s="360" t="s">
        <v>47</v>
      </c>
      <c r="Z3142" s="360">
        <v>2</v>
      </c>
      <c r="AA3142" s="360">
        <v>16</v>
      </c>
      <c r="AB3142" s="360">
        <v>12.5</v>
      </c>
    </row>
    <row r="3143" spans="10:28" x14ac:dyDescent="0.2">
      <c r="J3143" s="358" t="str">
        <f t="shared" si="144"/>
        <v>2011MaleNon-Maori235</v>
      </c>
      <c r="K3143" s="359">
        <v>2011</v>
      </c>
      <c r="L3143" t="s">
        <v>20</v>
      </c>
      <c r="M3143" t="s">
        <v>19</v>
      </c>
      <c r="N3143">
        <v>23</v>
      </c>
      <c r="O3143">
        <v>5</v>
      </c>
      <c r="P3143">
        <v>19</v>
      </c>
      <c r="Q3143">
        <v>24.999850207903101</v>
      </c>
      <c r="R3143">
        <v>11.2</v>
      </c>
      <c r="T3143" s="358" t="str">
        <f t="shared" si="145"/>
        <v>2011AllSexMaori23Sharp object</v>
      </c>
      <c r="U3143" s="360">
        <v>2011</v>
      </c>
      <c r="V3143" s="360" t="s">
        <v>17</v>
      </c>
      <c r="W3143" s="360" t="s">
        <v>18</v>
      </c>
      <c r="X3143" s="360">
        <v>23</v>
      </c>
      <c r="Y3143" s="360" t="s">
        <v>48</v>
      </c>
      <c r="Z3143" s="360">
        <v>1</v>
      </c>
      <c r="AA3143" s="360">
        <v>44</v>
      </c>
      <c r="AB3143" s="360">
        <v>2.2999999999999998</v>
      </c>
    </row>
    <row r="3144" spans="10:28" x14ac:dyDescent="0.2">
      <c r="J3144" s="358" t="str">
        <f t="shared" si="144"/>
        <v>2011MaleNon-Maori241</v>
      </c>
      <c r="K3144" s="359">
        <v>2011</v>
      </c>
      <c r="L3144" t="s">
        <v>20</v>
      </c>
      <c r="M3144" t="s">
        <v>19</v>
      </c>
      <c r="N3144">
        <v>24</v>
      </c>
      <c r="O3144">
        <v>1</v>
      </c>
      <c r="P3144">
        <v>22</v>
      </c>
      <c r="Q3144">
        <v>17.085518527723</v>
      </c>
      <c r="R3144">
        <v>7.1</v>
      </c>
      <c r="T3144" s="358" t="str">
        <f t="shared" si="145"/>
        <v>2011AllSexMaori23Submersion (drowning)</v>
      </c>
      <c r="U3144" s="360">
        <v>2011</v>
      </c>
      <c r="V3144" s="360" t="s">
        <v>17</v>
      </c>
      <c r="W3144" s="360" t="s">
        <v>18</v>
      </c>
      <c r="X3144" s="360">
        <v>23</v>
      </c>
      <c r="Y3144" s="360" t="s">
        <v>49</v>
      </c>
      <c r="Z3144" s="360">
        <v>1</v>
      </c>
      <c r="AA3144" s="360">
        <v>44</v>
      </c>
      <c r="AB3144" s="360">
        <v>2.2999999999999998</v>
      </c>
    </row>
    <row r="3145" spans="10:28" x14ac:dyDescent="0.2">
      <c r="J3145" s="358" t="str">
        <f t="shared" si="144"/>
        <v>2011MaleNon-Maori242</v>
      </c>
      <c r="K3145" s="359">
        <v>2011</v>
      </c>
      <c r="L3145" t="s">
        <v>20</v>
      </c>
      <c r="M3145" t="s">
        <v>19</v>
      </c>
      <c r="N3145">
        <v>24</v>
      </c>
      <c r="O3145">
        <v>2</v>
      </c>
      <c r="P3145">
        <v>16</v>
      </c>
      <c r="Q3145">
        <v>14.3214027859627</v>
      </c>
      <c r="R3145">
        <v>7</v>
      </c>
      <c r="T3145" s="358" t="str">
        <f t="shared" si="145"/>
        <v>2011AllSexNon-Maori22Firearms and explosives</v>
      </c>
      <c r="U3145" s="360">
        <v>2011</v>
      </c>
      <c r="V3145" s="360" t="s">
        <v>17</v>
      </c>
      <c r="W3145" s="360" t="s">
        <v>19</v>
      </c>
      <c r="X3145" s="360">
        <v>22</v>
      </c>
      <c r="Y3145" s="360" t="s">
        <v>42</v>
      </c>
      <c r="Z3145" s="360">
        <v>3</v>
      </c>
      <c r="AA3145" s="360">
        <v>81</v>
      </c>
      <c r="AB3145" s="360">
        <v>3.7</v>
      </c>
    </row>
    <row r="3146" spans="10:28" x14ac:dyDescent="0.2">
      <c r="J3146" s="358" t="str">
        <f t="shared" si="144"/>
        <v>2011MaleNon-Maori243</v>
      </c>
      <c r="K3146" s="359">
        <v>2011</v>
      </c>
      <c r="L3146" t="s">
        <v>20</v>
      </c>
      <c r="M3146" t="s">
        <v>19</v>
      </c>
      <c r="N3146">
        <v>24</v>
      </c>
      <c r="O3146">
        <v>3</v>
      </c>
      <c r="P3146">
        <v>30</v>
      </c>
      <c r="Q3146">
        <v>30.752644486549599</v>
      </c>
      <c r="R3146">
        <v>11</v>
      </c>
      <c r="T3146" s="358" t="str">
        <f t="shared" si="145"/>
        <v>2011AllSexNon-Maori23Firearms and explosives</v>
      </c>
      <c r="U3146" s="360">
        <v>2011</v>
      </c>
      <c r="V3146" s="360" t="s">
        <v>17</v>
      </c>
      <c r="W3146" s="360" t="s">
        <v>19</v>
      </c>
      <c r="X3146" s="360">
        <v>23</v>
      </c>
      <c r="Y3146" s="360" t="s">
        <v>42</v>
      </c>
      <c r="Z3146" s="360">
        <v>3</v>
      </c>
      <c r="AA3146" s="360">
        <v>119</v>
      </c>
      <c r="AB3146" s="360">
        <v>2.5</v>
      </c>
    </row>
    <row r="3147" spans="10:28" x14ac:dyDescent="0.2">
      <c r="J3147" s="358" t="str">
        <f t="shared" si="144"/>
        <v>2011MaleNon-Maori244</v>
      </c>
      <c r="K3147" s="359">
        <v>2011</v>
      </c>
      <c r="L3147" t="s">
        <v>20</v>
      </c>
      <c r="M3147" t="s">
        <v>19</v>
      </c>
      <c r="N3147">
        <v>24</v>
      </c>
      <c r="O3147">
        <v>4</v>
      </c>
      <c r="P3147">
        <v>18</v>
      </c>
      <c r="Q3147">
        <v>21.458816377732099</v>
      </c>
      <c r="R3147">
        <v>9.9</v>
      </c>
      <c r="T3147" s="358" t="str">
        <f t="shared" si="145"/>
        <v>2011AllSexNon-Maori24Firearms and explosives</v>
      </c>
      <c r="U3147" s="360">
        <v>2011</v>
      </c>
      <c r="V3147" s="360" t="s">
        <v>17</v>
      </c>
      <c r="W3147" s="360" t="s">
        <v>19</v>
      </c>
      <c r="X3147" s="360">
        <v>24</v>
      </c>
      <c r="Y3147" s="360" t="s">
        <v>42</v>
      </c>
      <c r="Z3147" s="360">
        <v>21</v>
      </c>
      <c r="AA3147" s="360">
        <v>134</v>
      </c>
      <c r="AB3147" s="360">
        <v>15.7</v>
      </c>
    </row>
    <row r="3148" spans="10:28" x14ac:dyDescent="0.2">
      <c r="J3148" s="358" t="str">
        <f t="shared" si="144"/>
        <v>2011MaleNon-Maori245</v>
      </c>
      <c r="K3148" s="359">
        <v>2011</v>
      </c>
      <c r="L3148" t="s">
        <v>20</v>
      </c>
      <c r="M3148" t="s">
        <v>19</v>
      </c>
      <c r="N3148">
        <v>24</v>
      </c>
      <c r="O3148">
        <v>5</v>
      </c>
      <c r="P3148">
        <v>12</v>
      </c>
      <c r="Q3148">
        <v>18.206280029893801</v>
      </c>
      <c r="R3148">
        <v>10.3</v>
      </c>
      <c r="T3148" s="358" t="str">
        <f t="shared" si="145"/>
        <v>2011AllSexNon-Maori25Firearms and explosives</v>
      </c>
      <c r="U3148" s="360">
        <v>2011</v>
      </c>
      <c r="V3148" s="360" t="s">
        <v>17</v>
      </c>
      <c r="W3148" s="360" t="s">
        <v>19</v>
      </c>
      <c r="X3148" s="360">
        <v>25</v>
      </c>
      <c r="Y3148" s="360" t="s">
        <v>42</v>
      </c>
      <c r="Z3148" s="360">
        <v>7</v>
      </c>
      <c r="AA3148" s="360">
        <v>45</v>
      </c>
      <c r="AB3148" s="360">
        <v>15.6</v>
      </c>
    </row>
    <row r="3149" spans="10:28" x14ac:dyDescent="0.2">
      <c r="J3149" s="358" t="str">
        <f t="shared" si="144"/>
        <v>2011MaleNon-Maori251</v>
      </c>
      <c r="K3149" s="359">
        <v>2011</v>
      </c>
      <c r="L3149" t="s">
        <v>20</v>
      </c>
      <c r="M3149" t="s">
        <v>19</v>
      </c>
      <c r="N3149">
        <v>25</v>
      </c>
      <c r="O3149">
        <v>1</v>
      </c>
      <c r="P3149">
        <v>3</v>
      </c>
      <c r="Q3149">
        <v>5.3331241711378103</v>
      </c>
      <c r="R3149">
        <v>6</v>
      </c>
      <c r="T3149" s="358" t="str">
        <f t="shared" si="145"/>
        <v>2011AllSexNon-Maori21Hanging, strangulation and suffocation</v>
      </c>
      <c r="U3149" s="360">
        <v>2011</v>
      </c>
      <c r="V3149" s="360" t="s">
        <v>17</v>
      </c>
      <c r="W3149" s="360" t="s">
        <v>19</v>
      </c>
      <c r="X3149" s="360">
        <v>21</v>
      </c>
      <c r="Y3149" s="360" t="s">
        <v>43</v>
      </c>
      <c r="Z3149" s="360">
        <v>2</v>
      </c>
      <c r="AA3149" s="360">
        <v>2</v>
      </c>
      <c r="AB3149" s="360">
        <v>100</v>
      </c>
    </row>
    <row r="3150" spans="10:28" x14ac:dyDescent="0.2">
      <c r="J3150" s="358" t="str">
        <f t="shared" si="144"/>
        <v>2011MaleNon-Maori252</v>
      </c>
      <c r="K3150" s="359">
        <v>2011</v>
      </c>
      <c r="L3150" t="s">
        <v>20</v>
      </c>
      <c r="M3150" t="s">
        <v>19</v>
      </c>
      <c r="N3150">
        <v>25</v>
      </c>
      <c r="O3150">
        <v>2</v>
      </c>
      <c r="P3150">
        <v>4</v>
      </c>
      <c r="Q3150">
        <v>7.2708460675669802</v>
      </c>
      <c r="R3150">
        <v>7.1</v>
      </c>
      <c r="T3150" s="358" t="str">
        <f t="shared" si="145"/>
        <v>2011AllSexNon-Maori22Hanging, strangulation and suffocation</v>
      </c>
      <c r="U3150" s="360">
        <v>2011</v>
      </c>
      <c r="V3150" s="360" t="s">
        <v>17</v>
      </c>
      <c r="W3150" s="360" t="s">
        <v>19</v>
      </c>
      <c r="X3150" s="360">
        <v>22</v>
      </c>
      <c r="Y3150" s="360" t="s">
        <v>43</v>
      </c>
      <c r="Z3150" s="360">
        <v>59</v>
      </c>
      <c r="AA3150" s="360">
        <v>81</v>
      </c>
      <c r="AB3150" s="360">
        <v>72.8</v>
      </c>
    </row>
    <row r="3151" spans="10:28" x14ac:dyDescent="0.2">
      <c r="J3151" s="358" t="str">
        <f t="shared" si="144"/>
        <v>2011MaleNon-Maori253</v>
      </c>
      <c r="K3151" s="359">
        <v>2011</v>
      </c>
      <c r="L3151" t="s">
        <v>20</v>
      </c>
      <c r="M3151" t="s">
        <v>19</v>
      </c>
      <c r="N3151">
        <v>25</v>
      </c>
      <c r="O3151">
        <v>3</v>
      </c>
      <c r="P3151">
        <v>12</v>
      </c>
      <c r="Q3151">
        <v>22.9551784504587</v>
      </c>
      <c r="R3151">
        <v>13</v>
      </c>
      <c r="T3151" s="358" t="str">
        <f t="shared" si="145"/>
        <v>2011AllSexNon-Maori23Hanging, strangulation and suffocation</v>
      </c>
      <c r="U3151" s="360">
        <v>2011</v>
      </c>
      <c r="V3151" s="360" t="s">
        <v>17</v>
      </c>
      <c r="W3151" s="360" t="s">
        <v>19</v>
      </c>
      <c r="X3151" s="360">
        <v>23</v>
      </c>
      <c r="Y3151" s="360" t="s">
        <v>43</v>
      </c>
      <c r="Z3151" s="360">
        <v>69</v>
      </c>
      <c r="AA3151" s="360">
        <v>119</v>
      </c>
      <c r="AB3151" s="360">
        <v>58</v>
      </c>
    </row>
    <row r="3152" spans="10:28" x14ac:dyDescent="0.2">
      <c r="J3152" s="358" t="str">
        <f t="shared" si="144"/>
        <v>2011MaleNon-Maori254</v>
      </c>
      <c r="K3152" s="359">
        <v>2011</v>
      </c>
      <c r="L3152" t="s">
        <v>20</v>
      </c>
      <c r="M3152" t="s">
        <v>19</v>
      </c>
      <c r="N3152">
        <v>25</v>
      </c>
      <c r="O3152">
        <v>4</v>
      </c>
      <c r="P3152">
        <v>5</v>
      </c>
      <c r="Q3152">
        <v>10.089690708249799</v>
      </c>
      <c r="R3152">
        <v>8.8000000000000007</v>
      </c>
      <c r="T3152" s="358" t="str">
        <f t="shared" si="145"/>
        <v>2011AllSexNon-Maori24Hanging, strangulation and suffocation</v>
      </c>
      <c r="U3152" s="360">
        <v>2011</v>
      </c>
      <c r="V3152" s="360" t="s">
        <v>17</v>
      </c>
      <c r="W3152" s="360" t="s">
        <v>19</v>
      </c>
      <c r="X3152" s="360">
        <v>24</v>
      </c>
      <c r="Y3152" s="360" t="s">
        <v>43</v>
      </c>
      <c r="Z3152" s="360">
        <v>61</v>
      </c>
      <c r="AA3152" s="360">
        <v>134</v>
      </c>
      <c r="AB3152" s="360">
        <v>45.5</v>
      </c>
    </row>
    <row r="3153" spans="10:28" x14ac:dyDescent="0.2">
      <c r="J3153" s="358" t="str">
        <f t="shared" si="144"/>
        <v>2011MaleNon-Maori255</v>
      </c>
      <c r="K3153" s="359">
        <v>2011</v>
      </c>
      <c r="L3153" t="s">
        <v>20</v>
      </c>
      <c r="M3153" t="s">
        <v>19</v>
      </c>
      <c r="N3153">
        <v>25</v>
      </c>
      <c r="O3153">
        <v>5</v>
      </c>
      <c r="P3153">
        <v>5</v>
      </c>
      <c r="Q3153">
        <v>13.397660120170499</v>
      </c>
      <c r="R3153">
        <v>11.7</v>
      </c>
      <c r="T3153" s="358" t="str">
        <f t="shared" si="145"/>
        <v>2011AllSexNon-Maori25Hanging, strangulation and suffocation</v>
      </c>
      <c r="U3153" s="360">
        <v>2011</v>
      </c>
      <c r="V3153" s="360" t="s">
        <v>17</v>
      </c>
      <c r="W3153" s="360" t="s">
        <v>19</v>
      </c>
      <c r="X3153" s="360">
        <v>25</v>
      </c>
      <c r="Y3153" s="360" t="s">
        <v>43</v>
      </c>
      <c r="Z3153" s="360">
        <v>15</v>
      </c>
      <c r="AA3153" s="360">
        <v>45</v>
      </c>
      <c r="AB3153" s="360">
        <v>33.299999999999997</v>
      </c>
    </row>
    <row r="3154" spans="10:28" x14ac:dyDescent="0.2">
      <c r="J3154" s="358" t="str">
        <f t="shared" si="144"/>
        <v>2012AllSexAllEth211</v>
      </c>
      <c r="K3154" s="359">
        <v>2012</v>
      </c>
      <c r="L3154" t="s">
        <v>17</v>
      </c>
      <c r="M3154" t="s">
        <v>27</v>
      </c>
      <c r="N3154">
        <v>21</v>
      </c>
      <c r="O3154">
        <v>1</v>
      </c>
      <c r="P3154">
        <v>0</v>
      </c>
      <c r="T3154" s="358" t="str">
        <f t="shared" si="145"/>
        <v>2011AllSexNon-Maori22Jumping from a high place</v>
      </c>
      <c r="U3154" s="360">
        <v>2011</v>
      </c>
      <c r="V3154" s="360" t="s">
        <v>17</v>
      </c>
      <c r="W3154" s="360" t="s">
        <v>19</v>
      </c>
      <c r="X3154" s="360">
        <v>22</v>
      </c>
      <c r="Y3154" s="360" t="s">
        <v>44</v>
      </c>
      <c r="Z3154" s="360">
        <v>3</v>
      </c>
      <c r="AA3154" s="360">
        <v>81</v>
      </c>
      <c r="AB3154" s="360">
        <v>3.7</v>
      </c>
    </row>
    <row r="3155" spans="10:28" x14ac:dyDescent="0.2">
      <c r="J3155" s="358" t="str">
        <f t="shared" si="144"/>
        <v>2012AllSexAllEth212</v>
      </c>
      <c r="K3155" s="359">
        <v>2012</v>
      </c>
      <c r="L3155" t="s">
        <v>17</v>
      </c>
      <c r="M3155" t="s">
        <v>27</v>
      </c>
      <c r="N3155">
        <v>21</v>
      </c>
      <c r="O3155">
        <v>2</v>
      </c>
      <c r="P3155">
        <v>3</v>
      </c>
      <c r="T3155" s="358" t="str">
        <f t="shared" si="145"/>
        <v>2011AllSexNon-Maori23Jumping from a high place</v>
      </c>
      <c r="U3155" s="360">
        <v>2011</v>
      </c>
      <c r="V3155" s="360" t="s">
        <v>17</v>
      </c>
      <c r="W3155" s="360" t="s">
        <v>19</v>
      </c>
      <c r="X3155" s="360">
        <v>23</v>
      </c>
      <c r="Y3155" s="360" t="s">
        <v>44</v>
      </c>
      <c r="Z3155" s="360">
        <v>3</v>
      </c>
      <c r="AA3155" s="360">
        <v>119</v>
      </c>
      <c r="AB3155" s="360">
        <v>2.5</v>
      </c>
    </row>
    <row r="3156" spans="10:28" x14ac:dyDescent="0.2">
      <c r="J3156" s="358" t="str">
        <f t="shared" si="144"/>
        <v>2012AllSexAllEth213</v>
      </c>
      <c r="K3156" s="359">
        <v>2012</v>
      </c>
      <c r="L3156" t="s">
        <v>17</v>
      </c>
      <c r="M3156" t="s">
        <v>27</v>
      </c>
      <c r="N3156">
        <v>21</v>
      </c>
      <c r="O3156">
        <v>3</v>
      </c>
      <c r="P3156">
        <v>2</v>
      </c>
      <c r="T3156" s="358" t="str">
        <f t="shared" si="145"/>
        <v>2011AllSexNon-Maori24Jumping from a high place</v>
      </c>
      <c r="U3156" s="360">
        <v>2011</v>
      </c>
      <c r="V3156" s="360" t="s">
        <v>17</v>
      </c>
      <c r="W3156" s="360" t="s">
        <v>19</v>
      </c>
      <c r="X3156" s="360">
        <v>24</v>
      </c>
      <c r="Y3156" s="360" t="s">
        <v>44</v>
      </c>
      <c r="Z3156" s="360">
        <v>3</v>
      </c>
      <c r="AA3156" s="360">
        <v>134</v>
      </c>
      <c r="AB3156" s="360">
        <v>2.2000000000000002</v>
      </c>
    </row>
    <row r="3157" spans="10:28" x14ac:dyDescent="0.2">
      <c r="J3157" s="358" t="str">
        <f t="shared" si="144"/>
        <v>2012AllSexAllEth214</v>
      </c>
      <c r="K3157" s="359">
        <v>2012</v>
      </c>
      <c r="L3157" t="s">
        <v>17</v>
      </c>
      <c r="M3157" t="s">
        <v>27</v>
      </c>
      <c r="N3157">
        <v>21</v>
      </c>
      <c r="O3157">
        <v>4</v>
      </c>
      <c r="P3157">
        <v>2</v>
      </c>
      <c r="T3157" s="358" t="str">
        <f t="shared" si="145"/>
        <v>2011AllSexNon-Maori25Jumping from a high place</v>
      </c>
      <c r="U3157" s="360">
        <v>2011</v>
      </c>
      <c r="V3157" s="360" t="s">
        <v>17</v>
      </c>
      <c r="W3157" s="360" t="s">
        <v>19</v>
      </c>
      <c r="X3157" s="360">
        <v>25</v>
      </c>
      <c r="Y3157" s="360" t="s">
        <v>44</v>
      </c>
      <c r="Z3157" s="360">
        <v>1</v>
      </c>
      <c r="AA3157" s="360">
        <v>45</v>
      </c>
      <c r="AB3157" s="360">
        <v>2.2000000000000002</v>
      </c>
    </row>
    <row r="3158" spans="10:28" x14ac:dyDescent="0.2">
      <c r="J3158" s="358" t="str">
        <f t="shared" si="144"/>
        <v>2012AllSexAllEth215</v>
      </c>
      <c r="K3158" s="359">
        <v>2012</v>
      </c>
      <c r="L3158" t="s">
        <v>17</v>
      </c>
      <c r="M3158" t="s">
        <v>27</v>
      </c>
      <c r="N3158">
        <v>21</v>
      </c>
      <c r="O3158">
        <v>5</v>
      </c>
      <c r="P3158">
        <v>5</v>
      </c>
      <c r="T3158" s="358" t="str">
        <f t="shared" si="145"/>
        <v>2011AllSexNon-Maori22Other</v>
      </c>
      <c r="U3158" s="360">
        <v>2011</v>
      </c>
      <c r="V3158" s="360" t="s">
        <v>17</v>
      </c>
      <c r="W3158" s="360" t="s">
        <v>19</v>
      </c>
      <c r="X3158" s="360">
        <v>22</v>
      </c>
      <c r="Y3158" s="360" t="s">
        <v>45</v>
      </c>
      <c r="Z3158" s="360">
        <v>3</v>
      </c>
      <c r="AA3158" s="360">
        <v>81</v>
      </c>
      <c r="AB3158" s="360">
        <v>3.7</v>
      </c>
    </row>
    <row r="3159" spans="10:28" x14ac:dyDescent="0.2">
      <c r="J3159" s="358" t="str">
        <f t="shared" si="144"/>
        <v>2012AllSexAllEth221</v>
      </c>
      <c r="K3159" s="359">
        <v>2012</v>
      </c>
      <c r="L3159" t="s">
        <v>17</v>
      </c>
      <c r="M3159" t="s">
        <v>27</v>
      </c>
      <c r="N3159">
        <v>22</v>
      </c>
      <c r="O3159">
        <v>1</v>
      </c>
      <c r="P3159">
        <v>11</v>
      </c>
      <c r="Q3159">
        <v>9.9822790655776394</v>
      </c>
      <c r="R3159">
        <v>5.9</v>
      </c>
      <c r="T3159" s="358" t="str">
        <f t="shared" si="145"/>
        <v>2011AllSexNon-Maori23Other</v>
      </c>
      <c r="U3159" s="360">
        <v>2011</v>
      </c>
      <c r="V3159" s="360" t="s">
        <v>17</v>
      </c>
      <c r="W3159" s="360" t="s">
        <v>19</v>
      </c>
      <c r="X3159" s="360">
        <v>23</v>
      </c>
      <c r="Y3159" s="360" t="s">
        <v>45</v>
      </c>
      <c r="Z3159" s="360">
        <v>5</v>
      </c>
      <c r="AA3159" s="360">
        <v>119</v>
      </c>
      <c r="AB3159" s="360">
        <v>4.2</v>
      </c>
    </row>
    <row r="3160" spans="10:28" x14ac:dyDescent="0.2">
      <c r="J3160" s="358" t="str">
        <f t="shared" si="144"/>
        <v>2012AllSexAllEth222</v>
      </c>
      <c r="K3160" s="359">
        <v>2012</v>
      </c>
      <c r="L3160" t="s">
        <v>17</v>
      </c>
      <c r="M3160" t="s">
        <v>27</v>
      </c>
      <c r="N3160">
        <v>22</v>
      </c>
      <c r="O3160">
        <v>2</v>
      </c>
      <c r="P3160">
        <v>16</v>
      </c>
      <c r="Q3160">
        <v>14.3523465558831</v>
      </c>
      <c r="R3160">
        <v>7</v>
      </c>
      <c r="T3160" s="358" t="str">
        <f t="shared" si="145"/>
        <v>2011AllSexNon-Maori24Other</v>
      </c>
      <c r="U3160" s="360">
        <v>2011</v>
      </c>
      <c r="V3160" s="360" t="s">
        <v>17</v>
      </c>
      <c r="W3160" s="360" t="s">
        <v>19</v>
      </c>
      <c r="X3160" s="360">
        <v>24</v>
      </c>
      <c r="Y3160" s="360" t="s">
        <v>45</v>
      </c>
      <c r="Z3160" s="360">
        <v>5</v>
      </c>
      <c r="AA3160" s="360">
        <v>134</v>
      </c>
      <c r="AB3160" s="360">
        <v>3.7</v>
      </c>
    </row>
    <row r="3161" spans="10:28" x14ac:dyDescent="0.2">
      <c r="J3161" s="358" t="str">
        <f t="shared" si="144"/>
        <v>2012AllSexAllEth223</v>
      </c>
      <c r="K3161" s="359">
        <v>2012</v>
      </c>
      <c r="L3161" t="s">
        <v>17</v>
      </c>
      <c r="M3161" t="s">
        <v>27</v>
      </c>
      <c r="N3161">
        <v>22</v>
      </c>
      <c r="O3161">
        <v>3</v>
      </c>
      <c r="P3161">
        <v>30</v>
      </c>
      <c r="Q3161">
        <v>25.4102857361258</v>
      </c>
      <c r="R3161">
        <v>9.1</v>
      </c>
      <c r="T3161" s="358" t="str">
        <f t="shared" si="145"/>
        <v>2011AllSexNon-Maori25Other</v>
      </c>
      <c r="U3161" s="360">
        <v>2011</v>
      </c>
      <c r="V3161" s="360" t="s">
        <v>17</v>
      </c>
      <c r="W3161" s="360" t="s">
        <v>19</v>
      </c>
      <c r="X3161" s="360">
        <v>25</v>
      </c>
      <c r="Y3161" s="360" t="s">
        <v>45</v>
      </c>
      <c r="Z3161" s="360">
        <v>2</v>
      </c>
      <c r="AA3161" s="360">
        <v>45</v>
      </c>
      <c r="AB3161" s="360">
        <v>4.4000000000000004</v>
      </c>
    </row>
    <row r="3162" spans="10:28" x14ac:dyDescent="0.2">
      <c r="J3162" s="358" t="str">
        <f t="shared" si="144"/>
        <v>2012AllSexAllEth224</v>
      </c>
      <c r="K3162" s="359">
        <v>2012</v>
      </c>
      <c r="L3162" t="s">
        <v>17</v>
      </c>
      <c r="M3162" t="s">
        <v>27</v>
      </c>
      <c r="N3162">
        <v>22</v>
      </c>
      <c r="O3162">
        <v>4</v>
      </c>
      <c r="P3162">
        <v>39</v>
      </c>
      <c r="Q3162">
        <v>29.369879840171301</v>
      </c>
      <c r="R3162">
        <v>9.1999999999999993</v>
      </c>
      <c r="T3162" s="358" t="str">
        <f t="shared" si="145"/>
        <v>2011AllSexNon-Maori22Poisoning by gases and vapours</v>
      </c>
      <c r="U3162" s="360">
        <v>2011</v>
      </c>
      <c r="V3162" s="360" t="s">
        <v>17</v>
      </c>
      <c r="W3162" s="360" t="s">
        <v>19</v>
      </c>
      <c r="X3162" s="360">
        <v>22</v>
      </c>
      <c r="Y3162" s="360" t="s">
        <v>46</v>
      </c>
      <c r="Z3162" s="360">
        <v>6</v>
      </c>
      <c r="AA3162" s="360">
        <v>81</v>
      </c>
      <c r="AB3162" s="360">
        <v>7.4</v>
      </c>
    </row>
    <row r="3163" spans="10:28" x14ac:dyDescent="0.2">
      <c r="J3163" s="358" t="str">
        <f t="shared" si="144"/>
        <v>2012AllSexAllEth225</v>
      </c>
      <c r="K3163" s="359">
        <v>2012</v>
      </c>
      <c r="L3163" t="s">
        <v>17</v>
      </c>
      <c r="M3163" t="s">
        <v>27</v>
      </c>
      <c r="N3163">
        <v>22</v>
      </c>
      <c r="O3163">
        <v>5</v>
      </c>
      <c r="P3163">
        <v>48</v>
      </c>
      <c r="Q3163">
        <v>31.7937605176486</v>
      </c>
      <c r="R3163">
        <v>9</v>
      </c>
      <c r="T3163" s="358" t="str">
        <f t="shared" si="145"/>
        <v>2011AllSexNon-Maori23Poisoning by gases and vapours</v>
      </c>
      <c r="U3163" s="360">
        <v>2011</v>
      </c>
      <c r="V3163" s="360" t="s">
        <v>17</v>
      </c>
      <c r="W3163" s="360" t="s">
        <v>19</v>
      </c>
      <c r="X3163" s="360">
        <v>23</v>
      </c>
      <c r="Y3163" s="360" t="s">
        <v>46</v>
      </c>
      <c r="Z3163" s="360">
        <v>20</v>
      </c>
      <c r="AA3163" s="360">
        <v>119</v>
      </c>
      <c r="AB3163" s="360">
        <v>16.8</v>
      </c>
    </row>
    <row r="3164" spans="10:28" x14ac:dyDescent="0.2">
      <c r="J3164" s="358" t="str">
        <f t="shared" si="144"/>
        <v>2012AllSexAllEth231</v>
      </c>
      <c r="K3164" s="359">
        <v>2012</v>
      </c>
      <c r="L3164" t="s">
        <v>17</v>
      </c>
      <c r="M3164" t="s">
        <v>27</v>
      </c>
      <c r="N3164">
        <v>23</v>
      </c>
      <c r="O3164">
        <v>1</v>
      </c>
      <c r="P3164">
        <v>19</v>
      </c>
      <c r="Q3164">
        <v>8.7270022479196694</v>
      </c>
      <c r="R3164">
        <v>3.9</v>
      </c>
      <c r="T3164" s="358" t="str">
        <f t="shared" si="145"/>
        <v>2011AllSexNon-Maori24Poisoning by gases and vapours</v>
      </c>
      <c r="U3164" s="360">
        <v>2011</v>
      </c>
      <c r="V3164" s="360" t="s">
        <v>17</v>
      </c>
      <c r="W3164" s="360" t="s">
        <v>19</v>
      </c>
      <c r="X3164" s="360">
        <v>24</v>
      </c>
      <c r="Y3164" s="360" t="s">
        <v>46</v>
      </c>
      <c r="Z3164" s="360">
        <v>16</v>
      </c>
      <c r="AA3164" s="360">
        <v>134</v>
      </c>
      <c r="AB3164" s="360">
        <v>11.9</v>
      </c>
    </row>
    <row r="3165" spans="10:28" x14ac:dyDescent="0.2">
      <c r="J3165" s="358" t="str">
        <f t="shared" si="144"/>
        <v>2012AllSexAllEth232</v>
      </c>
      <c r="K3165" s="359">
        <v>2012</v>
      </c>
      <c r="L3165" t="s">
        <v>17</v>
      </c>
      <c r="M3165" t="s">
        <v>27</v>
      </c>
      <c r="N3165">
        <v>23</v>
      </c>
      <c r="O3165">
        <v>2</v>
      </c>
      <c r="P3165">
        <v>27</v>
      </c>
      <c r="Q3165">
        <v>11.517774124728399</v>
      </c>
      <c r="R3165">
        <v>4.3</v>
      </c>
      <c r="T3165" s="358" t="str">
        <f t="shared" si="145"/>
        <v>2011AllSexNon-Maori25Poisoning by gases and vapours</v>
      </c>
      <c r="U3165" s="360">
        <v>2011</v>
      </c>
      <c r="V3165" s="360" t="s">
        <v>17</v>
      </c>
      <c r="W3165" s="360" t="s">
        <v>19</v>
      </c>
      <c r="X3165" s="360">
        <v>25</v>
      </c>
      <c r="Y3165" s="360" t="s">
        <v>46</v>
      </c>
      <c r="Z3165" s="360">
        <v>1</v>
      </c>
      <c r="AA3165" s="360">
        <v>45</v>
      </c>
      <c r="AB3165" s="360">
        <v>2.2000000000000002</v>
      </c>
    </row>
    <row r="3166" spans="10:28" x14ac:dyDescent="0.2">
      <c r="J3166" s="358" t="str">
        <f t="shared" si="144"/>
        <v>2012AllSexAllEth233</v>
      </c>
      <c r="K3166" s="359">
        <v>2012</v>
      </c>
      <c r="L3166" t="s">
        <v>17</v>
      </c>
      <c r="M3166" t="s">
        <v>27</v>
      </c>
      <c r="N3166">
        <v>23</v>
      </c>
      <c r="O3166">
        <v>3</v>
      </c>
      <c r="P3166">
        <v>38</v>
      </c>
      <c r="Q3166">
        <v>15.9266886219936</v>
      </c>
      <c r="R3166">
        <v>5.0999999999999996</v>
      </c>
      <c r="T3166" s="358" t="str">
        <f t="shared" si="145"/>
        <v>2011AllSexNon-Maori22Poisoning by solids and liquids</v>
      </c>
      <c r="U3166" s="360">
        <v>2011</v>
      </c>
      <c r="V3166" s="360" t="s">
        <v>17</v>
      </c>
      <c r="W3166" s="360" t="s">
        <v>19</v>
      </c>
      <c r="X3166" s="360">
        <v>22</v>
      </c>
      <c r="Y3166" s="360" t="s">
        <v>47</v>
      </c>
      <c r="Z3166" s="360">
        <v>6</v>
      </c>
      <c r="AA3166" s="360">
        <v>81</v>
      </c>
      <c r="AB3166" s="360">
        <v>7.4</v>
      </c>
    </row>
    <row r="3167" spans="10:28" x14ac:dyDescent="0.2">
      <c r="J3167" s="358" t="str">
        <f t="shared" si="144"/>
        <v>2012AllSexAllEth234</v>
      </c>
      <c r="K3167" s="359">
        <v>2012</v>
      </c>
      <c r="L3167" t="s">
        <v>17</v>
      </c>
      <c r="M3167" t="s">
        <v>27</v>
      </c>
      <c r="N3167">
        <v>23</v>
      </c>
      <c r="O3167">
        <v>4</v>
      </c>
      <c r="P3167">
        <v>48</v>
      </c>
      <c r="Q3167">
        <v>20.550488387618401</v>
      </c>
      <c r="R3167">
        <v>5.8</v>
      </c>
      <c r="T3167" s="358" t="str">
        <f t="shared" si="145"/>
        <v>2011AllSexNon-Maori23Poisoning by solids and liquids</v>
      </c>
      <c r="U3167" s="360">
        <v>2011</v>
      </c>
      <c r="V3167" s="360" t="s">
        <v>17</v>
      </c>
      <c r="W3167" s="360" t="s">
        <v>19</v>
      </c>
      <c r="X3167" s="360">
        <v>23</v>
      </c>
      <c r="Y3167" s="360" t="s">
        <v>47</v>
      </c>
      <c r="Z3167" s="360">
        <v>15</v>
      </c>
      <c r="AA3167" s="360">
        <v>119</v>
      </c>
      <c r="AB3167" s="360">
        <v>12.6</v>
      </c>
    </row>
    <row r="3168" spans="10:28" x14ac:dyDescent="0.2">
      <c r="J3168" s="358" t="str">
        <f t="shared" si="144"/>
        <v>2012AllSexAllEth235</v>
      </c>
      <c r="K3168" s="359">
        <v>2012</v>
      </c>
      <c r="L3168" t="s">
        <v>17</v>
      </c>
      <c r="M3168" t="s">
        <v>27</v>
      </c>
      <c r="N3168">
        <v>23</v>
      </c>
      <c r="O3168">
        <v>5</v>
      </c>
      <c r="P3168">
        <v>44</v>
      </c>
      <c r="Q3168">
        <v>19.967310634898599</v>
      </c>
      <c r="R3168">
        <v>5.9</v>
      </c>
      <c r="T3168" s="358" t="str">
        <f t="shared" si="145"/>
        <v>2011AllSexNon-Maori24Poisoning by solids and liquids</v>
      </c>
      <c r="U3168" s="360">
        <v>2011</v>
      </c>
      <c r="V3168" s="360" t="s">
        <v>17</v>
      </c>
      <c r="W3168" s="360" t="s">
        <v>19</v>
      </c>
      <c r="X3168" s="360">
        <v>24</v>
      </c>
      <c r="Y3168" s="360" t="s">
        <v>47</v>
      </c>
      <c r="Z3168" s="360">
        <v>21</v>
      </c>
      <c r="AA3168" s="360">
        <v>134</v>
      </c>
      <c r="AB3168" s="360">
        <v>15.7</v>
      </c>
    </row>
    <row r="3169" spans="10:28" x14ac:dyDescent="0.2">
      <c r="J3169" s="358" t="str">
        <f t="shared" si="144"/>
        <v>2012AllSexAllEth241</v>
      </c>
      <c r="K3169" s="359">
        <v>2012</v>
      </c>
      <c r="L3169" t="s">
        <v>17</v>
      </c>
      <c r="M3169" t="s">
        <v>27</v>
      </c>
      <c r="N3169">
        <v>24</v>
      </c>
      <c r="O3169">
        <v>1</v>
      </c>
      <c r="P3169">
        <v>17</v>
      </c>
      <c r="Q3169">
        <v>6.2006799575216904</v>
      </c>
      <c r="R3169">
        <v>2.9</v>
      </c>
      <c r="T3169" s="358" t="str">
        <f t="shared" si="145"/>
        <v>2011AllSexNon-Maori25Poisoning by solids and liquids</v>
      </c>
      <c r="U3169" s="360">
        <v>2011</v>
      </c>
      <c r="V3169" s="360" t="s">
        <v>17</v>
      </c>
      <c r="W3169" s="360" t="s">
        <v>19</v>
      </c>
      <c r="X3169" s="360">
        <v>25</v>
      </c>
      <c r="Y3169" s="360" t="s">
        <v>47</v>
      </c>
      <c r="Z3169" s="360">
        <v>11</v>
      </c>
      <c r="AA3169" s="360">
        <v>45</v>
      </c>
      <c r="AB3169" s="360">
        <v>24.4</v>
      </c>
    </row>
    <row r="3170" spans="10:28" x14ac:dyDescent="0.2">
      <c r="J3170" s="358" t="str">
        <f t="shared" si="144"/>
        <v>2012AllSexAllEth242</v>
      </c>
      <c r="K3170" s="359">
        <v>2012</v>
      </c>
      <c r="L3170" t="s">
        <v>17</v>
      </c>
      <c r="M3170" t="s">
        <v>27</v>
      </c>
      <c r="N3170">
        <v>24</v>
      </c>
      <c r="O3170">
        <v>2</v>
      </c>
      <c r="P3170">
        <v>27</v>
      </c>
      <c r="Q3170">
        <v>11.0276812039756</v>
      </c>
      <c r="R3170">
        <v>4.2</v>
      </c>
      <c r="T3170" s="358" t="str">
        <f t="shared" si="145"/>
        <v>2011AllSexNon-Maori23Sharp object</v>
      </c>
      <c r="U3170" s="360">
        <v>2011</v>
      </c>
      <c r="V3170" s="360" t="s">
        <v>17</v>
      </c>
      <c r="W3170" s="360" t="s">
        <v>19</v>
      </c>
      <c r="X3170" s="360">
        <v>23</v>
      </c>
      <c r="Y3170" s="360" t="s">
        <v>48</v>
      </c>
      <c r="Z3170" s="360">
        <v>1</v>
      </c>
      <c r="AA3170" s="360">
        <v>119</v>
      </c>
      <c r="AB3170" s="360">
        <v>0.8</v>
      </c>
    </row>
    <row r="3171" spans="10:28" x14ac:dyDescent="0.2">
      <c r="J3171" s="358" t="str">
        <f t="shared" si="144"/>
        <v>2012AllSexAllEth243</v>
      </c>
      <c r="K3171" s="359">
        <v>2012</v>
      </c>
      <c r="L3171" t="s">
        <v>17</v>
      </c>
      <c r="M3171" t="s">
        <v>27</v>
      </c>
      <c r="N3171">
        <v>24</v>
      </c>
      <c r="O3171">
        <v>3</v>
      </c>
      <c r="P3171">
        <v>32</v>
      </c>
      <c r="Q3171">
        <v>14.4370924253983</v>
      </c>
      <c r="R3171">
        <v>5</v>
      </c>
      <c r="T3171" s="358" t="str">
        <f t="shared" si="145"/>
        <v>2011AllSexNon-Maori24Sharp object</v>
      </c>
      <c r="U3171" s="360">
        <v>2011</v>
      </c>
      <c r="V3171" s="360" t="s">
        <v>17</v>
      </c>
      <c r="W3171" s="360" t="s">
        <v>19</v>
      </c>
      <c r="X3171" s="360">
        <v>24</v>
      </c>
      <c r="Y3171" s="360" t="s">
        <v>48</v>
      </c>
      <c r="Z3171" s="360">
        <v>2</v>
      </c>
      <c r="AA3171" s="360">
        <v>134</v>
      </c>
      <c r="AB3171" s="360">
        <v>1.5</v>
      </c>
    </row>
    <row r="3172" spans="10:28" x14ac:dyDescent="0.2">
      <c r="J3172" s="358" t="str">
        <f t="shared" si="144"/>
        <v>2012AllSexAllEth244</v>
      </c>
      <c r="K3172" s="359">
        <v>2012</v>
      </c>
      <c r="L3172" t="s">
        <v>17</v>
      </c>
      <c r="M3172" t="s">
        <v>27</v>
      </c>
      <c r="N3172">
        <v>24</v>
      </c>
      <c r="O3172">
        <v>4</v>
      </c>
      <c r="P3172">
        <v>37</v>
      </c>
      <c r="Q3172">
        <v>18.376466860299701</v>
      </c>
      <c r="R3172">
        <v>5.9</v>
      </c>
      <c r="T3172" s="358" t="str">
        <f t="shared" si="145"/>
        <v>2011AllSexNon-Maori25Sharp object</v>
      </c>
      <c r="U3172" s="360">
        <v>2011</v>
      </c>
      <c r="V3172" s="360" t="s">
        <v>17</v>
      </c>
      <c r="W3172" s="360" t="s">
        <v>19</v>
      </c>
      <c r="X3172" s="360">
        <v>25</v>
      </c>
      <c r="Y3172" s="360" t="s">
        <v>48</v>
      </c>
      <c r="Z3172" s="360">
        <v>3</v>
      </c>
      <c r="AA3172" s="360">
        <v>45</v>
      </c>
      <c r="AB3172" s="360">
        <v>6.7</v>
      </c>
    </row>
    <row r="3173" spans="10:28" x14ac:dyDescent="0.2">
      <c r="J3173" s="358" t="str">
        <f t="shared" si="144"/>
        <v>2012AllSexAllEth245</v>
      </c>
      <c r="K3173" s="359">
        <v>2012</v>
      </c>
      <c r="L3173" t="s">
        <v>17</v>
      </c>
      <c r="M3173" t="s">
        <v>27</v>
      </c>
      <c r="N3173">
        <v>24</v>
      </c>
      <c r="O3173">
        <v>5</v>
      </c>
      <c r="P3173">
        <v>29</v>
      </c>
      <c r="Q3173">
        <v>15.6695562381692</v>
      </c>
      <c r="R3173">
        <v>5.7</v>
      </c>
      <c r="T3173" s="358" t="str">
        <f t="shared" si="145"/>
        <v>2011AllSexNon-Maori22Submersion (drowning)</v>
      </c>
      <c r="U3173" s="360">
        <v>2011</v>
      </c>
      <c r="V3173" s="360" t="s">
        <v>17</v>
      </c>
      <c r="W3173" s="360" t="s">
        <v>19</v>
      </c>
      <c r="X3173" s="360">
        <v>22</v>
      </c>
      <c r="Y3173" s="360" t="s">
        <v>49</v>
      </c>
      <c r="Z3173" s="360">
        <v>1</v>
      </c>
      <c r="AA3173" s="360">
        <v>81</v>
      </c>
      <c r="AB3173" s="360">
        <v>1.2</v>
      </c>
    </row>
    <row r="3174" spans="10:28" x14ac:dyDescent="0.2">
      <c r="J3174" s="358" t="str">
        <f t="shared" si="144"/>
        <v>2012AllSexAllEth251</v>
      </c>
      <c r="K3174" s="359">
        <v>2012</v>
      </c>
      <c r="L3174" t="s">
        <v>17</v>
      </c>
      <c r="M3174" t="s">
        <v>27</v>
      </c>
      <c r="N3174">
        <v>25</v>
      </c>
      <c r="O3174">
        <v>1</v>
      </c>
      <c r="P3174">
        <v>5</v>
      </c>
      <c r="Q3174">
        <v>4.0076916080608296</v>
      </c>
      <c r="R3174">
        <v>3.5</v>
      </c>
      <c r="T3174" s="358" t="str">
        <f t="shared" si="145"/>
        <v>2011AllSexNon-Maori23Submersion (drowning)</v>
      </c>
      <c r="U3174" s="360">
        <v>2011</v>
      </c>
      <c r="V3174" s="360" t="s">
        <v>17</v>
      </c>
      <c r="W3174" s="360" t="s">
        <v>19</v>
      </c>
      <c r="X3174" s="360">
        <v>23</v>
      </c>
      <c r="Y3174" s="360" t="s">
        <v>49</v>
      </c>
      <c r="Z3174" s="360">
        <v>3</v>
      </c>
      <c r="AA3174" s="360">
        <v>119</v>
      </c>
      <c r="AB3174" s="360">
        <v>2.5</v>
      </c>
    </row>
    <row r="3175" spans="10:28" x14ac:dyDescent="0.2">
      <c r="J3175" s="358" t="str">
        <f t="shared" si="144"/>
        <v>2012AllSexAllEth252</v>
      </c>
      <c r="K3175" s="359">
        <v>2012</v>
      </c>
      <c r="L3175" t="s">
        <v>17</v>
      </c>
      <c r="M3175" t="s">
        <v>27</v>
      </c>
      <c r="N3175">
        <v>25</v>
      </c>
      <c r="O3175">
        <v>2</v>
      </c>
      <c r="P3175">
        <v>14</v>
      </c>
      <c r="Q3175">
        <v>11.119693883237501</v>
      </c>
      <c r="R3175">
        <v>5.8</v>
      </c>
      <c r="T3175" s="358" t="str">
        <f t="shared" si="145"/>
        <v>2011AllSexNon-Maori24Submersion (drowning)</v>
      </c>
      <c r="U3175" s="360">
        <v>2011</v>
      </c>
      <c r="V3175" s="360" t="s">
        <v>17</v>
      </c>
      <c r="W3175" s="360" t="s">
        <v>19</v>
      </c>
      <c r="X3175" s="360">
        <v>24</v>
      </c>
      <c r="Y3175" s="360" t="s">
        <v>49</v>
      </c>
      <c r="Z3175" s="360">
        <v>5</v>
      </c>
      <c r="AA3175" s="360">
        <v>134</v>
      </c>
      <c r="AB3175" s="360">
        <v>3.7</v>
      </c>
    </row>
    <row r="3176" spans="10:28" x14ac:dyDescent="0.2">
      <c r="J3176" s="358" t="str">
        <f t="shared" si="144"/>
        <v>2012AllSexAllEth253</v>
      </c>
      <c r="K3176" s="359">
        <v>2012</v>
      </c>
      <c r="L3176" t="s">
        <v>17</v>
      </c>
      <c r="M3176" t="s">
        <v>27</v>
      </c>
      <c r="N3176">
        <v>25</v>
      </c>
      <c r="O3176">
        <v>3</v>
      </c>
      <c r="P3176">
        <v>16</v>
      </c>
      <c r="Q3176">
        <v>12.853786246412399</v>
      </c>
      <c r="R3176">
        <v>6.3</v>
      </c>
      <c r="T3176" s="358" t="str">
        <f t="shared" si="145"/>
        <v>2011AllSexNon-Maori25Submersion (drowning)</v>
      </c>
      <c r="U3176" s="360">
        <v>2011</v>
      </c>
      <c r="V3176" s="360" t="s">
        <v>17</v>
      </c>
      <c r="W3176" s="360" t="s">
        <v>19</v>
      </c>
      <c r="X3176" s="360">
        <v>25</v>
      </c>
      <c r="Y3176" s="360" t="s">
        <v>49</v>
      </c>
      <c r="Z3176" s="360">
        <v>5</v>
      </c>
      <c r="AA3176" s="360">
        <v>45</v>
      </c>
      <c r="AB3176" s="360">
        <v>11.1</v>
      </c>
    </row>
    <row r="3177" spans="10:28" x14ac:dyDescent="0.2">
      <c r="J3177" s="358" t="str">
        <f t="shared" si="144"/>
        <v>2012AllSexAllEth254</v>
      </c>
      <c r="K3177" s="359">
        <v>2012</v>
      </c>
      <c r="L3177" t="s">
        <v>17</v>
      </c>
      <c r="M3177" t="s">
        <v>27</v>
      </c>
      <c r="N3177">
        <v>25</v>
      </c>
      <c r="O3177">
        <v>4</v>
      </c>
      <c r="P3177">
        <v>10</v>
      </c>
      <c r="Q3177">
        <v>7.9527013153643802</v>
      </c>
      <c r="R3177">
        <v>4.9000000000000004</v>
      </c>
      <c r="T3177" s="358" t="str">
        <f t="shared" si="145"/>
        <v>2011FemaleAllEth24Firearms and explosives</v>
      </c>
      <c r="U3177" s="360">
        <v>2011</v>
      </c>
      <c r="V3177" s="360" t="s">
        <v>8</v>
      </c>
      <c r="W3177" s="360" t="s">
        <v>27</v>
      </c>
      <c r="X3177" s="360">
        <v>24</v>
      </c>
      <c r="Y3177" s="360" t="s">
        <v>42</v>
      </c>
      <c r="Z3177" s="360">
        <v>2</v>
      </c>
      <c r="AA3177" s="360">
        <v>33</v>
      </c>
      <c r="AB3177" s="360">
        <v>6.1</v>
      </c>
    </row>
    <row r="3178" spans="10:28" x14ac:dyDescent="0.2">
      <c r="J3178" s="358" t="str">
        <f t="shared" si="144"/>
        <v>2012AllSexAllEth255</v>
      </c>
      <c r="K3178" s="359">
        <v>2012</v>
      </c>
      <c r="L3178" t="s">
        <v>17</v>
      </c>
      <c r="M3178" t="s">
        <v>27</v>
      </c>
      <c r="N3178">
        <v>25</v>
      </c>
      <c r="O3178">
        <v>5</v>
      </c>
      <c r="P3178">
        <v>10</v>
      </c>
      <c r="Q3178">
        <v>9.7879592188669502</v>
      </c>
      <c r="R3178">
        <v>6.1</v>
      </c>
      <c r="T3178" s="358" t="str">
        <f t="shared" si="145"/>
        <v>2011FemaleAllEth21Hanging, strangulation and suffocation</v>
      </c>
      <c r="U3178" s="360">
        <v>2011</v>
      </c>
      <c r="V3178" s="360" t="s">
        <v>8</v>
      </c>
      <c r="W3178" s="360" t="s">
        <v>27</v>
      </c>
      <c r="X3178" s="360">
        <v>21</v>
      </c>
      <c r="Y3178" s="360" t="s">
        <v>43</v>
      </c>
      <c r="Z3178" s="360">
        <v>3</v>
      </c>
      <c r="AA3178" s="360">
        <v>3</v>
      </c>
      <c r="AB3178" s="360">
        <v>100</v>
      </c>
    </row>
    <row r="3179" spans="10:28" x14ac:dyDescent="0.2">
      <c r="J3179" s="358" t="str">
        <f t="shared" si="144"/>
        <v>2012AllSexMaori211</v>
      </c>
      <c r="K3179" s="359">
        <v>2012</v>
      </c>
      <c r="L3179" t="s">
        <v>17</v>
      </c>
      <c r="M3179" t="s">
        <v>18</v>
      </c>
      <c r="N3179">
        <v>21</v>
      </c>
      <c r="O3179">
        <v>1</v>
      </c>
      <c r="P3179">
        <v>0</v>
      </c>
      <c r="T3179" s="358" t="str">
        <f t="shared" si="145"/>
        <v>2011FemaleAllEth22Hanging, strangulation and suffocation</v>
      </c>
      <c r="U3179" s="360">
        <v>2011</v>
      </c>
      <c r="V3179" s="360" t="s">
        <v>8</v>
      </c>
      <c r="W3179" s="360" t="s">
        <v>27</v>
      </c>
      <c r="X3179" s="360">
        <v>22</v>
      </c>
      <c r="Y3179" s="360" t="s">
        <v>43</v>
      </c>
      <c r="Z3179" s="360">
        <v>31</v>
      </c>
      <c r="AA3179" s="360">
        <v>34</v>
      </c>
      <c r="AB3179" s="360">
        <v>91.2</v>
      </c>
    </row>
    <row r="3180" spans="10:28" x14ac:dyDescent="0.2">
      <c r="J3180" s="358" t="str">
        <f t="shared" si="144"/>
        <v>2012AllSexMaori212</v>
      </c>
      <c r="K3180" s="359">
        <v>2012</v>
      </c>
      <c r="L3180" t="s">
        <v>17</v>
      </c>
      <c r="M3180" t="s">
        <v>18</v>
      </c>
      <c r="N3180">
        <v>21</v>
      </c>
      <c r="O3180">
        <v>2</v>
      </c>
      <c r="P3180">
        <v>0</v>
      </c>
      <c r="T3180" s="358" t="str">
        <f t="shared" si="145"/>
        <v>2011FemaleAllEth23Hanging, strangulation and suffocation</v>
      </c>
      <c r="U3180" s="360">
        <v>2011</v>
      </c>
      <c r="V3180" s="360" t="s">
        <v>8</v>
      </c>
      <c r="W3180" s="360" t="s">
        <v>27</v>
      </c>
      <c r="X3180" s="360">
        <v>23</v>
      </c>
      <c r="Y3180" s="360" t="s">
        <v>43</v>
      </c>
      <c r="Z3180" s="360">
        <v>20</v>
      </c>
      <c r="AA3180" s="360">
        <v>33</v>
      </c>
      <c r="AB3180" s="360">
        <v>60.6</v>
      </c>
    </row>
    <row r="3181" spans="10:28" x14ac:dyDescent="0.2">
      <c r="J3181" s="358" t="str">
        <f t="shared" si="144"/>
        <v>2012AllSexMaori213</v>
      </c>
      <c r="K3181" s="359">
        <v>2012</v>
      </c>
      <c r="L3181" t="s">
        <v>17</v>
      </c>
      <c r="M3181" t="s">
        <v>18</v>
      </c>
      <c r="N3181">
        <v>21</v>
      </c>
      <c r="O3181">
        <v>3</v>
      </c>
      <c r="P3181">
        <v>2</v>
      </c>
      <c r="T3181" s="358" t="str">
        <f t="shared" si="145"/>
        <v>2011FemaleAllEth24Hanging, strangulation and suffocation</v>
      </c>
      <c r="U3181" s="360">
        <v>2011</v>
      </c>
      <c r="V3181" s="360" t="s">
        <v>8</v>
      </c>
      <c r="W3181" s="360" t="s">
        <v>27</v>
      </c>
      <c r="X3181" s="360">
        <v>24</v>
      </c>
      <c r="Y3181" s="360" t="s">
        <v>43</v>
      </c>
      <c r="Z3181" s="360">
        <v>9</v>
      </c>
      <c r="AA3181" s="360">
        <v>33</v>
      </c>
      <c r="AB3181" s="360">
        <v>27.3</v>
      </c>
    </row>
    <row r="3182" spans="10:28" x14ac:dyDescent="0.2">
      <c r="J3182" s="358" t="str">
        <f t="shared" si="144"/>
        <v>2012AllSexMaori214</v>
      </c>
      <c r="K3182" s="359">
        <v>2012</v>
      </c>
      <c r="L3182" t="s">
        <v>17</v>
      </c>
      <c r="M3182" t="s">
        <v>18</v>
      </c>
      <c r="N3182">
        <v>21</v>
      </c>
      <c r="O3182">
        <v>4</v>
      </c>
      <c r="P3182">
        <v>2</v>
      </c>
      <c r="T3182" s="358" t="str">
        <f t="shared" si="145"/>
        <v>2011FemaleAllEth25Hanging, strangulation and suffocation</v>
      </c>
      <c r="U3182" s="360">
        <v>2011</v>
      </c>
      <c r="V3182" s="360" t="s">
        <v>8</v>
      </c>
      <c r="W3182" s="360" t="s">
        <v>27</v>
      </c>
      <c r="X3182" s="360">
        <v>25</v>
      </c>
      <c r="Y3182" s="360" t="s">
        <v>43</v>
      </c>
      <c r="Z3182" s="360">
        <v>6</v>
      </c>
      <c r="AA3182" s="360">
        <v>14</v>
      </c>
      <c r="AB3182" s="360">
        <v>42.9</v>
      </c>
    </row>
    <row r="3183" spans="10:28" x14ac:dyDescent="0.2">
      <c r="J3183" s="358" t="str">
        <f t="shared" si="144"/>
        <v>2012AllSexMaori215</v>
      </c>
      <c r="K3183" s="359">
        <v>2012</v>
      </c>
      <c r="L3183" t="s">
        <v>17</v>
      </c>
      <c r="M3183" t="s">
        <v>18</v>
      </c>
      <c r="N3183">
        <v>21</v>
      </c>
      <c r="O3183">
        <v>5</v>
      </c>
      <c r="P3183">
        <v>4</v>
      </c>
      <c r="T3183" s="358" t="str">
        <f t="shared" si="145"/>
        <v>2011FemaleAllEth23Jumping from a high place</v>
      </c>
      <c r="U3183" s="360">
        <v>2011</v>
      </c>
      <c r="V3183" s="360" t="s">
        <v>8</v>
      </c>
      <c r="W3183" s="360" t="s">
        <v>27</v>
      </c>
      <c r="X3183" s="360">
        <v>23</v>
      </c>
      <c r="Y3183" s="360" t="s">
        <v>44</v>
      </c>
      <c r="Z3183" s="360">
        <v>1</v>
      </c>
      <c r="AA3183" s="360">
        <v>33</v>
      </c>
      <c r="AB3183" s="360">
        <v>3</v>
      </c>
    </row>
    <row r="3184" spans="10:28" x14ac:dyDescent="0.2">
      <c r="J3184" s="358" t="str">
        <f t="shared" si="144"/>
        <v>2012AllSexMaori221</v>
      </c>
      <c r="K3184" s="359">
        <v>2012</v>
      </c>
      <c r="L3184" t="s">
        <v>17</v>
      </c>
      <c r="M3184" t="s">
        <v>18</v>
      </c>
      <c r="N3184">
        <v>22</v>
      </c>
      <c r="O3184">
        <v>1</v>
      </c>
      <c r="P3184">
        <v>0</v>
      </c>
      <c r="Q3184">
        <v>0</v>
      </c>
      <c r="T3184" s="358" t="str">
        <f t="shared" si="145"/>
        <v>2011FemaleAllEth24Jumping from a high place</v>
      </c>
      <c r="U3184" s="360">
        <v>2011</v>
      </c>
      <c r="V3184" s="360" t="s">
        <v>8</v>
      </c>
      <c r="W3184" s="360" t="s">
        <v>27</v>
      </c>
      <c r="X3184" s="360">
        <v>24</v>
      </c>
      <c r="Y3184" s="360" t="s">
        <v>44</v>
      </c>
      <c r="Z3184" s="360">
        <v>2</v>
      </c>
      <c r="AA3184" s="360">
        <v>33</v>
      </c>
      <c r="AB3184" s="360">
        <v>6.1</v>
      </c>
    </row>
    <row r="3185" spans="10:28" x14ac:dyDescent="0.2">
      <c r="J3185" s="358" t="str">
        <f t="shared" si="144"/>
        <v>2012AllSexMaori222</v>
      </c>
      <c r="K3185" s="359">
        <v>2012</v>
      </c>
      <c r="L3185" t="s">
        <v>17</v>
      </c>
      <c r="M3185" t="s">
        <v>18</v>
      </c>
      <c r="N3185">
        <v>22</v>
      </c>
      <c r="O3185">
        <v>2</v>
      </c>
      <c r="P3185">
        <v>5</v>
      </c>
      <c r="Q3185">
        <v>35.357330414483897</v>
      </c>
      <c r="R3185">
        <v>31</v>
      </c>
      <c r="T3185" s="358" t="str">
        <f t="shared" si="145"/>
        <v>2011FemaleAllEth23Other</v>
      </c>
      <c r="U3185" s="360">
        <v>2011</v>
      </c>
      <c r="V3185" s="360" t="s">
        <v>8</v>
      </c>
      <c r="W3185" s="360" t="s">
        <v>27</v>
      </c>
      <c r="X3185" s="360">
        <v>23</v>
      </c>
      <c r="Y3185" s="360" t="s">
        <v>45</v>
      </c>
      <c r="Z3185" s="360">
        <v>3</v>
      </c>
      <c r="AA3185" s="360">
        <v>33</v>
      </c>
      <c r="AB3185" s="360">
        <v>9.1</v>
      </c>
    </row>
    <row r="3186" spans="10:28" x14ac:dyDescent="0.2">
      <c r="J3186" s="358" t="str">
        <f t="shared" si="144"/>
        <v>2012AllSexMaori223</v>
      </c>
      <c r="K3186" s="359">
        <v>2012</v>
      </c>
      <c r="L3186" t="s">
        <v>17</v>
      </c>
      <c r="M3186" t="s">
        <v>18</v>
      </c>
      <c r="N3186">
        <v>22</v>
      </c>
      <c r="O3186">
        <v>3</v>
      </c>
      <c r="P3186">
        <v>10</v>
      </c>
      <c r="Q3186">
        <v>48.666290663782803</v>
      </c>
      <c r="R3186">
        <v>30.2</v>
      </c>
      <c r="T3186" s="358" t="str">
        <f t="shared" si="145"/>
        <v>2011FemaleAllEth24Other</v>
      </c>
      <c r="U3186" s="360">
        <v>2011</v>
      </c>
      <c r="V3186" s="360" t="s">
        <v>8</v>
      </c>
      <c r="W3186" s="360" t="s">
        <v>27</v>
      </c>
      <c r="X3186" s="360">
        <v>24</v>
      </c>
      <c r="Y3186" s="360" t="s">
        <v>45</v>
      </c>
      <c r="Z3186" s="360">
        <v>2</v>
      </c>
      <c r="AA3186" s="360">
        <v>33</v>
      </c>
      <c r="AB3186" s="360">
        <v>6.1</v>
      </c>
    </row>
    <row r="3187" spans="10:28" x14ac:dyDescent="0.2">
      <c r="J3187" s="358" t="str">
        <f t="shared" si="144"/>
        <v>2012AllSexMaori224</v>
      </c>
      <c r="K3187" s="359">
        <v>2012</v>
      </c>
      <c r="L3187" t="s">
        <v>17</v>
      </c>
      <c r="M3187" t="s">
        <v>18</v>
      </c>
      <c r="N3187">
        <v>22</v>
      </c>
      <c r="O3187">
        <v>4</v>
      </c>
      <c r="P3187">
        <v>16</v>
      </c>
      <c r="Q3187">
        <v>53.913374603787702</v>
      </c>
      <c r="R3187">
        <v>26.4</v>
      </c>
      <c r="T3187" s="358" t="str">
        <f t="shared" si="145"/>
        <v>2011FemaleAllEth23Poisoning by gases and vapours</v>
      </c>
      <c r="U3187" s="360">
        <v>2011</v>
      </c>
      <c r="V3187" s="360" t="s">
        <v>8</v>
      </c>
      <c r="W3187" s="360" t="s">
        <v>27</v>
      </c>
      <c r="X3187" s="360">
        <v>23</v>
      </c>
      <c r="Y3187" s="360" t="s">
        <v>46</v>
      </c>
      <c r="Z3187" s="360">
        <v>3</v>
      </c>
      <c r="AA3187" s="360">
        <v>33</v>
      </c>
      <c r="AB3187" s="360">
        <v>9.1</v>
      </c>
    </row>
    <row r="3188" spans="10:28" x14ac:dyDescent="0.2">
      <c r="J3188" s="358" t="str">
        <f t="shared" si="144"/>
        <v>2012AllSexMaori225</v>
      </c>
      <c r="K3188" s="359">
        <v>2012</v>
      </c>
      <c r="L3188" t="s">
        <v>17</v>
      </c>
      <c r="M3188" t="s">
        <v>18</v>
      </c>
      <c r="N3188">
        <v>22</v>
      </c>
      <c r="O3188">
        <v>5</v>
      </c>
      <c r="P3188">
        <v>28</v>
      </c>
      <c r="Q3188">
        <v>54.857610196567499</v>
      </c>
      <c r="R3188">
        <v>20.3</v>
      </c>
      <c r="T3188" s="358" t="str">
        <f t="shared" si="145"/>
        <v>2011FemaleAllEth24Poisoning by gases and vapours</v>
      </c>
      <c r="U3188" s="360">
        <v>2011</v>
      </c>
      <c r="V3188" s="360" t="s">
        <v>8</v>
      </c>
      <c r="W3188" s="360" t="s">
        <v>27</v>
      </c>
      <c r="X3188" s="360">
        <v>24</v>
      </c>
      <c r="Y3188" s="360" t="s">
        <v>46</v>
      </c>
      <c r="Z3188" s="360">
        <v>2</v>
      </c>
      <c r="AA3188" s="360">
        <v>33</v>
      </c>
      <c r="AB3188" s="360">
        <v>6.1</v>
      </c>
    </row>
    <row r="3189" spans="10:28" x14ac:dyDescent="0.2">
      <c r="J3189" s="358" t="str">
        <f t="shared" si="144"/>
        <v>2012AllSexMaori231</v>
      </c>
      <c r="K3189" s="359">
        <v>2012</v>
      </c>
      <c r="L3189" t="s">
        <v>17</v>
      </c>
      <c r="M3189" t="s">
        <v>18</v>
      </c>
      <c r="N3189">
        <v>23</v>
      </c>
      <c r="O3189">
        <v>1</v>
      </c>
      <c r="P3189">
        <v>2</v>
      </c>
      <c r="Q3189">
        <v>13.4433888001474</v>
      </c>
      <c r="R3189">
        <v>18.600000000000001</v>
      </c>
      <c r="T3189" s="358" t="str">
        <f t="shared" si="145"/>
        <v>2011FemaleAllEth22Poisoning by solids and liquids</v>
      </c>
      <c r="U3189" s="360">
        <v>2011</v>
      </c>
      <c r="V3189" s="360" t="s">
        <v>8</v>
      </c>
      <c r="W3189" s="360" t="s">
        <v>27</v>
      </c>
      <c r="X3189" s="360">
        <v>22</v>
      </c>
      <c r="Y3189" s="360" t="s">
        <v>47</v>
      </c>
      <c r="Z3189" s="360">
        <v>2</v>
      </c>
      <c r="AA3189" s="360">
        <v>34</v>
      </c>
      <c r="AB3189" s="360">
        <v>5.9</v>
      </c>
    </row>
    <row r="3190" spans="10:28" x14ac:dyDescent="0.2">
      <c r="J3190" s="358" t="str">
        <f t="shared" si="144"/>
        <v>2012AllSexMaori232</v>
      </c>
      <c r="K3190" s="359">
        <v>2012</v>
      </c>
      <c r="L3190" t="s">
        <v>17</v>
      </c>
      <c r="M3190" t="s">
        <v>18</v>
      </c>
      <c r="N3190">
        <v>23</v>
      </c>
      <c r="O3190">
        <v>2</v>
      </c>
      <c r="P3190">
        <v>5</v>
      </c>
      <c r="Q3190">
        <v>24.2691222537578</v>
      </c>
      <c r="R3190">
        <v>21.3</v>
      </c>
      <c r="T3190" s="358" t="str">
        <f t="shared" si="145"/>
        <v>2011FemaleAllEth23Poisoning by solids and liquids</v>
      </c>
      <c r="U3190" s="360">
        <v>2011</v>
      </c>
      <c r="V3190" s="360" t="s">
        <v>8</v>
      </c>
      <c r="W3190" s="360" t="s">
        <v>27</v>
      </c>
      <c r="X3190" s="360">
        <v>23</v>
      </c>
      <c r="Y3190" s="360" t="s">
        <v>47</v>
      </c>
      <c r="Z3190" s="360">
        <v>4</v>
      </c>
      <c r="AA3190" s="360">
        <v>33</v>
      </c>
      <c r="AB3190" s="360">
        <v>12.1</v>
      </c>
    </row>
    <row r="3191" spans="10:28" x14ac:dyDescent="0.2">
      <c r="J3191" s="358" t="str">
        <f t="shared" si="144"/>
        <v>2012AllSexMaori233</v>
      </c>
      <c r="K3191" s="359">
        <v>2012</v>
      </c>
      <c r="L3191" t="s">
        <v>17</v>
      </c>
      <c r="M3191" t="s">
        <v>18</v>
      </c>
      <c r="N3191">
        <v>23</v>
      </c>
      <c r="O3191">
        <v>3</v>
      </c>
      <c r="P3191">
        <v>5</v>
      </c>
      <c r="Q3191">
        <v>17.445129261798598</v>
      </c>
      <c r="R3191">
        <v>15.3</v>
      </c>
      <c r="T3191" s="358" t="str">
        <f t="shared" si="145"/>
        <v>2011FemaleAllEth24Poisoning by solids and liquids</v>
      </c>
      <c r="U3191" s="360">
        <v>2011</v>
      </c>
      <c r="V3191" s="360" t="s">
        <v>8</v>
      </c>
      <c r="W3191" s="360" t="s">
        <v>27</v>
      </c>
      <c r="X3191" s="360">
        <v>24</v>
      </c>
      <c r="Y3191" s="360" t="s">
        <v>47</v>
      </c>
      <c r="Z3191" s="360">
        <v>13</v>
      </c>
      <c r="AA3191" s="360">
        <v>33</v>
      </c>
      <c r="AB3191" s="360">
        <v>39.4</v>
      </c>
    </row>
    <row r="3192" spans="10:28" x14ac:dyDescent="0.2">
      <c r="J3192" s="358" t="str">
        <f t="shared" si="144"/>
        <v>2012AllSexMaori234</v>
      </c>
      <c r="K3192" s="359">
        <v>2012</v>
      </c>
      <c r="L3192" t="s">
        <v>17</v>
      </c>
      <c r="M3192" t="s">
        <v>18</v>
      </c>
      <c r="N3192">
        <v>23</v>
      </c>
      <c r="O3192">
        <v>4</v>
      </c>
      <c r="P3192">
        <v>13</v>
      </c>
      <c r="Q3192">
        <v>32.886281530445203</v>
      </c>
      <c r="R3192">
        <v>17.899999999999999</v>
      </c>
      <c r="T3192" s="358" t="str">
        <f t="shared" si="145"/>
        <v>2011FemaleAllEth25Poisoning by solids and liquids</v>
      </c>
      <c r="U3192" s="360">
        <v>2011</v>
      </c>
      <c r="V3192" s="360" t="s">
        <v>8</v>
      </c>
      <c r="W3192" s="360" t="s">
        <v>27</v>
      </c>
      <c r="X3192" s="360">
        <v>25</v>
      </c>
      <c r="Y3192" s="360" t="s">
        <v>47</v>
      </c>
      <c r="Z3192" s="360">
        <v>6</v>
      </c>
      <c r="AA3192" s="360">
        <v>14</v>
      </c>
      <c r="AB3192" s="360">
        <v>42.9</v>
      </c>
    </row>
    <row r="3193" spans="10:28" x14ac:dyDescent="0.2">
      <c r="J3193" s="358" t="str">
        <f t="shared" si="144"/>
        <v>2012AllSexMaori235</v>
      </c>
      <c r="K3193" s="359">
        <v>2012</v>
      </c>
      <c r="L3193" t="s">
        <v>17</v>
      </c>
      <c r="M3193" t="s">
        <v>18</v>
      </c>
      <c r="N3193">
        <v>23</v>
      </c>
      <c r="O3193">
        <v>5</v>
      </c>
      <c r="P3193">
        <v>13</v>
      </c>
      <c r="Q3193">
        <v>20.324032655424499</v>
      </c>
      <c r="R3193">
        <v>11</v>
      </c>
      <c r="T3193" s="358" t="str">
        <f t="shared" si="145"/>
        <v>2011FemaleAllEth23Sharp object</v>
      </c>
      <c r="U3193" s="360">
        <v>2011</v>
      </c>
      <c r="V3193" s="360" t="s">
        <v>8</v>
      </c>
      <c r="W3193" s="360" t="s">
        <v>27</v>
      </c>
      <c r="X3193" s="360">
        <v>23</v>
      </c>
      <c r="Y3193" s="360" t="s">
        <v>48</v>
      </c>
      <c r="Z3193" s="360">
        <v>1</v>
      </c>
      <c r="AA3193" s="360">
        <v>33</v>
      </c>
      <c r="AB3193" s="360">
        <v>3</v>
      </c>
    </row>
    <row r="3194" spans="10:28" x14ac:dyDescent="0.2">
      <c r="J3194" s="358" t="str">
        <f t="shared" si="144"/>
        <v>2012AllSexMaori241</v>
      </c>
      <c r="K3194" s="359">
        <v>2012</v>
      </c>
      <c r="L3194" t="s">
        <v>17</v>
      </c>
      <c r="M3194" t="s">
        <v>18</v>
      </c>
      <c r="N3194">
        <v>24</v>
      </c>
      <c r="O3194">
        <v>1</v>
      </c>
      <c r="P3194">
        <v>0</v>
      </c>
      <c r="Q3194">
        <v>0</v>
      </c>
      <c r="T3194" s="358" t="str">
        <f t="shared" si="145"/>
        <v>2011FemaleAllEth22Submersion (drowning)</v>
      </c>
      <c r="U3194" s="360">
        <v>2011</v>
      </c>
      <c r="V3194" s="360" t="s">
        <v>8</v>
      </c>
      <c r="W3194" s="360" t="s">
        <v>27</v>
      </c>
      <c r="X3194" s="360">
        <v>22</v>
      </c>
      <c r="Y3194" s="360" t="s">
        <v>49</v>
      </c>
      <c r="Z3194" s="360">
        <v>1</v>
      </c>
      <c r="AA3194" s="360">
        <v>34</v>
      </c>
      <c r="AB3194" s="360">
        <v>2.9</v>
      </c>
    </row>
    <row r="3195" spans="10:28" x14ac:dyDescent="0.2">
      <c r="J3195" s="358" t="str">
        <f t="shared" si="144"/>
        <v>2012AllSexMaori242</v>
      </c>
      <c r="K3195" s="359">
        <v>2012</v>
      </c>
      <c r="L3195" t="s">
        <v>17</v>
      </c>
      <c r="M3195" t="s">
        <v>18</v>
      </c>
      <c r="N3195">
        <v>24</v>
      </c>
      <c r="O3195">
        <v>2</v>
      </c>
      <c r="P3195">
        <v>1</v>
      </c>
      <c r="Q3195">
        <v>6.5802964547958398</v>
      </c>
      <c r="R3195">
        <v>12.9</v>
      </c>
      <c r="T3195" s="358" t="str">
        <f t="shared" si="145"/>
        <v>2011FemaleAllEth23Submersion (drowning)</v>
      </c>
      <c r="U3195" s="360">
        <v>2011</v>
      </c>
      <c r="V3195" s="360" t="s">
        <v>8</v>
      </c>
      <c r="W3195" s="360" t="s">
        <v>27</v>
      </c>
      <c r="X3195" s="360">
        <v>23</v>
      </c>
      <c r="Y3195" s="360" t="s">
        <v>49</v>
      </c>
      <c r="Z3195" s="360">
        <v>1</v>
      </c>
      <c r="AA3195" s="360">
        <v>33</v>
      </c>
      <c r="AB3195" s="360">
        <v>3</v>
      </c>
    </row>
    <row r="3196" spans="10:28" x14ac:dyDescent="0.2">
      <c r="J3196" s="358" t="str">
        <f t="shared" si="144"/>
        <v>2012AllSexMaori243</v>
      </c>
      <c r="K3196" s="359">
        <v>2012</v>
      </c>
      <c r="L3196" t="s">
        <v>17</v>
      </c>
      <c r="M3196" t="s">
        <v>18</v>
      </c>
      <c r="N3196">
        <v>24</v>
      </c>
      <c r="O3196">
        <v>3</v>
      </c>
      <c r="P3196">
        <v>1</v>
      </c>
      <c r="Q3196">
        <v>5.0010419070206797</v>
      </c>
      <c r="R3196">
        <v>9.8000000000000007</v>
      </c>
      <c r="T3196" s="358" t="str">
        <f t="shared" si="145"/>
        <v>2011FemaleAllEth24Submersion (drowning)</v>
      </c>
      <c r="U3196" s="360">
        <v>2011</v>
      </c>
      <c r="V3196" s="360" t="s">
        <v>8</v>
      </c>
      <c r="W3196" s="360" t="s">
        <v>27</v>
      </c>
      <c r="X3196" s="360">
        <v>24</v>
      </c>
      <c r="Y3196" s="360" t="s">
        <v>49</v>
      </c>
      <c r="Z3196" s="360">
        <v>3</v>
      </c>
      <c r="AA3196" s="360">
        <v>33</v>
      </c>
      <c r="AB3196" s="360">
        <v>9.1</v>
      </c>
    </row>
    <row r="3197" spans="10:28" x14ac:dyDescent="0.2">
      <c r="J3197" s="358" t="str">
        <f t="shared" si="144"/>
        <v>2012AllSexMaori244</v>
      </c>
      <c r="K3197" s="359">
        <v>2012</v>
      </c>
      <c r="L3197" t="s">
        <v>17</v>
      </c>
      <c r="M3197" t="s">
        <v>18</v>
      </c>
      <c r="N3197">
        <v>24</v>
      </c>
      <c r="O3197">
        <v>4</v>
      </c>
      <c r="P3197">
        <v>3</v>
      </c>
      <c r="Q3197">
        <v>10.790766430146</v>
      </c>
      <c r="R3197">
        <v>12.2</v>
      </c>
      <c r="T3197" s="358" t="str">
        <f t="shared" si="145"/>
        <v>2011FemaleAllEth25Submersion (drowning)</v>
      </c>
      <c r="U3197" s="360">
        <v>2011</v>
      </c>
      <c r="V3197" s="360" t="s">
        <v>8</v>
      </c>
      <c r="W3197" s="360" t="s">
        <v>27</v>
      </c>
      <c r="X3197" s="360">
        <v>25</v>
      </c>
      <c r="Y3197" s="360" t="s">
        <v>49</v>
      </c>
      <c r="Z3197" s="360">
        <v>2</v>
      </c>
      <c r="AA3197" s="360">
        <v>14</v>
      </c>
      <c r="AB3197" s="360">
        <v>14.3</v>
      </c>
    </row>
    <row r="3198" spans="10:28" x14ac:dyDescent="0.2">
      <c r="J3198" s="358" t="str">
        <f t="shared" si="144"/>
        <v>2012AllSexMaori245</v>
      </c>
      <c r="K3198" s="359">
        <v>2012</v>
      </c>
      <c r="L3198" t="s">
        <v>17</v>
      </c>
      <c r="M3198" t="s">
        <v>18</v>
      </c>
      <c r="N3198">
        <v>24</v>
      </c>
      <c r="O3198">
        <v>5</v>
      </c>
      <c r="P3198">
        <v>5</v>
      </c>
      <c r="Q3198">
        <v>10.297853391754099</v>
      </c>
      <c r="R3198">
        <v>9</v>
      </c>
      <c r="T3198" s="358" t="str">
        <f t="shared" si="145"/>
        <v>2011FemaleMaori21Hanging, strangulation and suffocation</v>
      </c>
      <c r="U3198" s="360">
        <v>2011</v>
      </c>
      <c r="V3198" s="360" t="s">
        <v>8</v>
      </c>
      <c r="W3198" s="360" t="s">
        <v>18</v>
      </c>
      <c r="X3198" s="360">
        <v>21</v>
      </c>
      <c r="Y3198" s="360" t="s">
        <v>43</v>
      </c>
      <c r="Z3198" s="360">
        <v>2</v>
      </c>
      <c r="AA3198" s="360">
        <v>2</v>
      </c>
      <c r="AB3198" s="360">
        <v>100</v>
      </c>
    </row>
    <row r="3199" spans="10:28" x14ac:dyDescent="0.2">
      <c r="J3199" s="358" t="str">
        <f t="shared" si="144"/>
        <v>2012AllSexMaori251</v>
      </c>
      <c r="K3199" s="359">
        <v>2012</v>
      </c>
      <c r="L3199" t="s">
        <v>17</v>
      </c>
      <c r="M3199" t="s">
        <v>18</v>
      </c>
      <c r="N3199">
        <v>25</v>
      </c>
      <c r="O3199">
        <v>1</v>
      </c>
      <c r="P3199">
        <v>0</v>
      </c>
      <c r="Q3199">
        <v>0</v>
      </c>
      <c r="T3199" s="358" t="str">
        <f t="shared" si="145"/>
        <v>2011FemaleMaori22Hanging, strangulation and suffocation</v>
      </c>
      <c r="U3199" s="360">
        <v>2011</v>
      </c>
      <c r="V3199" s="360" t="s">
        <v>8</v>
      </c>
      <c r="W3199" s="360" t="s">
        <v>18</v>
      </c>
      <c r="X3199" s="360">
        <v>22</v>
      </c>
      <c r="Y3199" s="360" t="s">
        <v>43</v>
      </c>
      <c r="Z3199" s="360">
        <v>16</v>
      </c>
      <c r="AA3199" s="360">
        <v>16</v>
      </c>
      <c r="AB3199" s="360">
        <v>100</v>
      </c>
    </row>
    <row r="3200" spans="10:28" x14ac:dyDescent="0.2">
      <c r="J3200" s="358" t="str">
        <f t="shared" si="144"/>
        <v>2012AllSexMaori252</v>
      </c>
      <c r="K3200" s="359">
        <v>2012</v>
      </c>
      <c r="L3200" t="s">
        <v>17</v>
      </c>
      <c r="M3200" t="s">
        <v>18</v>
      </c>
      <c r="N3200">
        <v>25</v>
      </c>
      <c r="O3200">
        <v>2</v>
      </c>
      <c r="P3200">
        <v>1</v>
      </c>
      <c r="Q3200">
        <v>27.197743524466599</v>
      </c>
      <c r="R3200">
        <v>53.3</v>
      </c>
      <c r="T3200" s="358" t="str">
        <f t="shared" si="145"/>
        <v>2011FemaleMaori23Hanging, strangulation and suffocation</v>
      </c>
      <c r="U3200" s="360">
        <v>2011</v>
      </c>
      <c r="V3200" s="360" t="s">
        <v>8</v>
      </c>
      <c r="W3200" s="360" t="s">
        <v>18</v>
      </c>
      <c r="X3200" s="360">
        <v>23</v>
      </c>
      <c r="Y3200" s="360" t="s">
        <v>43</v>
      </c>
      <c r="Z3200" s="360">
        <v>10</v>
      </c>
      <c r="AA3200" s="360">
        <v>11</v>
      </c>
      <c r="AB3200" s="360">
        <v>90.9</v>
      </c>
    </row>
    <row r="3201" spans="10:28" x14ac:dyDescent="0.2">
      <c r="J3201" s="358" t="str">
        <f t="shared" si="144"/>
        <v>2012AllSexMaori253</v>
      </c>
      <c r="K3201" s="359">
        <v>2012</v>
      </c>
      <c r="L3201" t="s">
        <v>17</v>
      </c>
      <c r="M3201" t="s">
        <v>18</v>
      </c>
      <c r="N3201">
        <v>25</v>
      </c>
      <c r="O3201">
        <v>3</v>
      </c>
      <c r="P3201">
        <v>0</v>
      </c>
      <c r="Q3201">
        <v>0</v>
      </c>
      <c r="T3201" s="358" t="str">
        <f t="shared" si="145"/>
        <v>2011FemaleMaori24Hanging, strangulation and suffocation</v>
      </c>
      <c r="U3201" s="360">
        <v>2011</v>
      </c>
      <c r="V3201" s="360" t="s">
        <v>8</v>
      </c>
      <c r="W3201" s="360" t="s">
        <v>18</v>
      </c>
      <c r="X3201" s="360">
        <v>24</v>
      </c>
      <c r="Y3201" s="360" t="s">
        <v>43</v>
      </c>
      <c r="Z3201" s="360">
        <v>2</v>
      </c>
      <c r="AA3201" s="360">
        <v>3</v>
      </c>
      <c r="AB3201" s="360">
        <v>66.7</v>
      </c>
    </row>
    <row r="3202" spans="10:28" x14ac:dyDescent="0.2">
      <c r="J3202" s="358" t="str">
        <f t="shared" si="144"/>
        <v>2012AllSexMaori254</v>
      </c>
      <c r="K3202" s="359">
        <v>2012</v>
      </c>
      <c r="L3202" t="s">
        <v>17</v>
      </c>
      <c r="M3202" t="s">
        <v>18</v>
      </c>
      <c r="N3202">
        <v>25</v>
      </c>
      <c r="O3202">
        <v>4</v>
      </c>
      <c r="P3202">
        <v>0</v>
      </c>
      <c r="Q3202">
        <v>0</v>
      </c>
      <c r="T3202" s="358" t="str">
        <f t="shared" si="145"/>
        <v>2011FemaleMaori23Jumping from a high place</v>
      </c>
      <c r="U3202" s="360">
        <v>2011</v>
      </c>
      <c r="V3202" s="360" t="s">
        <v>8</v>
      </c>
      <c r="W3202" s="360" t="s">
        <v>18</v>
      </c>
      <c r="X3202" s="360">
        <v>23</v>
      </c>
      <c r="Y3202" s="360" t="s">
        <v>44</v>
      </c>
      <c r="Z3202" s="360">
        <v>1</v>
      </c>
      <c r="AA3202" s="360">
        <v>11</v>
      </c>
      <c r="AB3202" s="360">
        <v>9.1</v>
      </c>
    </row>
    <row r="3203" spans="10:28" x14ac:dyDescent="0.2">
      <c r="J3203" s="358" t="str">
        <f t="shared" si="144"/>
        <v>2012AllSexMaori255</v>
      </c>
      <c r="K3203" s="359">
        <v>2012</v>
      </c>
      <c r="L3203" t="s">
        <v>17</v>
      </c>
      <c r="M3203" t="s">
        <v>18</v>
      </c>
      <c r="N3203">
        <v>25</v>
      </c>
      <c r="O3203">
        <v>5</v>
      </c>
      <c r="P3203">
        <v>0</v>
      </c>
      <c r="Q3203">
        <v>0</v>
      </c>
      <c r="T3203" s="358" t="str">
        <f t="shared" si="145"/>
        <v>2011FemaleMaori24Poisoning by solids and liquids</v>
      </c>
      <c r="U3203" s="360">
        <v>2011</v>
      </c>
      <c r="V3203" s="360" t="s">
        <v>8</v>
      </c>
      <c r="W3203" s="360" t="s">
        <v>18</v>
      </c>
      <c r="X3203" s="360">
        <v>24</v>
      </c>
      <c r="Y3203" s="360" t="s">
        <v>47</v>
      </c>
      <c r="Z3203" s="360">
        <v>1</v>
      </c>
      <c r="AA3203" s="360">
        <v>3</v>
      </c>
      <c r="AB3203" s="360">
        <v>33.299999999999997</v>
      </c>
    </row>
    <row r="3204" spans="10:28" x14ac:dyDescent="0.2">
      <c r="J3204" s="358" t="str">
        <f t="shared" ref="J3204:J3267" si="146">K3204&amp;L3204&amp;M3204&amp;N3204&amp;O3204</f>
        <v>2012AllSexNon-Maori211</v>
      </c>
      <c r="K3204" s="359">
        <v>2012</v>
      </c>
      <c r="L3204" t="s">
        <v>17</v>
      </c>
      <c r="M3204" t="s">
        <v>19</v>
      </c>
      <c r="N3204">
        <v>21</v>
      </c>
      <c r="O3204">
        <v>1</v>
      </c>
      <c r="P3204">
        <v>0</v>
      </c>
      <c r="T3204" s="358" t="str">
        <f t="shared" si="145"/>
        <v>2011FemaleNon-Maori24Firearms and explosives</v>
      </c>
      <c r="U3204" s="360">
        <v>2011</v>
      </c>
      <c r="V3204" s="360" t="s">
        <v>8</v>
      </c>
      <c r="W3204" s="360" t="s">
        <v>19</v>
      </c>
      <c r="X3204" s="360">
        <v>24</v>
      </c>
      <c r="Y3204" s="360" t="s">
        <v>42</v>
      </c>
      <c r="Z3204" s="360">
        <v>2</v>
      </c>
      <c r="AA3204" s="360">
        <v>30</v>
      </c>
      <c r="AB3204" s="360">
        <v>6.7</v>
      </c>
    </row>
    <row r="3205" spans="10:28" x14ac:dyDescent="0.2">
      <c r="J3205" s="358" t="str">
        <f t="shared" si="146"/>
        <v>2012AllSexNon-Maori212</v>
      </c>
      <c r="K3205" s="359">
        <v>2012</v>
      </c>
      <c r="L3205" t="s">
        <v>17</v>
      </c>
      <c r="M3205" t="s">
        <v>19</v>
      </c>
      <c r="N3205">
        <v>21</v>
      </c>
      <c r="O3205">
        <v>2</v>
      </c>
      <c r="P3205">
        <v>3</v>
      </c>
      <c r="T3205" s="358" t="str">
        <f t="shared" ref="T3205:T3268" si="147">U3205&amp;V3205&amp;W3205&amp;X3205&amp;Y3205</f>
        <v>2011FemaleNon-Maori21Hanging, strangulation and suffocation</v>
      </c>
      <c r="U3205" s="360">
        <v>2011</v>
      </c>
      <c r="V3205" s="360" t="s">
        <v>8</v>
      </c>
      <c r="W3205" s="360" t="s">
        <v>19</v>
      </c>
      <c r="X3205" s="360">
        <v>21</v>
      </c>
      <c r="Y3205" s="360" t="s">
        <v>43</v>
      </c>
      <c r="Z3205" s="360">
        <v>1</v>
      </c>
      <c r="AA3205" s="360">
        <v>1</v>
      </c>
      <c r="AB3205" s="360">
        <v>100</v>
      </c>
    </row>
    <row r="3206" spans="10:28" x14ac:dyDescent="0.2">
      <c r="J3206" s="358" t="str">
        <f t="shared" si="146"/>
        <v>2012AllSexNon-Maori213</v>
      </c>
      <c r="K3206" s="359">
        <v>2012</v>
      </c>
      <c r="L3206" t="s">
        <v>17</v>
      </c>
      <c r="M3206" t="s">
        <v>19</v>
      </c>
      <c r="N3206">
        <v>21</v>
      </c>
      <c r="O3206">
        <v>3</v>
      </c>
      <c r="P3206">
        <v>0</v>
      </c>
      <c r="T3206" s="358" t="str">
        <f t="shared" si="147"/>
        <v>2011FemaleNon-Maori22Hanging, strangulation and suffocation</v>
      </c>
      <c r="U3206" s="360">
        <v>2011</v>
      </c>
      <c r="V3206" s="360" t="s">
        <v>8</v>
      </c>
      <c r="W3206" s="360" t="s">
        <v>19</v>
      </c>
      <c r="X3206" s="360">
        <v>22</v>
      </c>
      <c r="Y3206" s="360" t="s">
        <v>43</v>
      </c>
      <c r="Z3206" s="360">
        <v>15</v>
      </c>
      <c r="AA3206" s="360">
        <v>18</v>
      </c>
      <c r="AB3206" s="360">
        <v>83.3</v>
      </c>
    </row>
    <row r="3207" spans="10:28" x14ac:dyDescent="0.2">
      <c r="J3207" s="358" t="str">
        <f t="shared" si="146"/>
        <v>2012AllSexNon-Maori214</v>
      </c>
      <c r="K3207" s="359">
        <v>2012</v>
      </c>
      <c r="L3207" t="s">
        <v>17</v>
      </c>
      <c r="M3207" t="s">
        <v>19</v>
      </c>
      <c r="N3207">
        <v>21</v>
      </c>
      <c r="O3207">
        <v>4</v>
      </c>
      <c r="P3207">
        <v>0</v>
      </c>
      <c r="T3207" s="358" t="str">
        <f t="shared" si="147"/>
        <v>2011FemaleNon-Maori23Hanging, strangulation and suffocation</v>
      </c>
      <c r="U3207" s="360">
        <v>2011</v>
      </c>
      <c r="V3207" s="360" t="s">
        <v>8</v>
      </c>
      <c r="W3207" s="360" t="s">
        <v>19</v>
      </c>
      <c r="X3207" s="360">
        <v>23</v>
      </c>
      <c r="Y3207" s="360" t="s">
        <v>43</v>
      </c>
      <c r="Z3207" s="360">
        <v>10</v>
      </c>
      <c r="AA3207" s="360">
        <v>22</v>
      </c>
      <c r="AB3207" s="360">
        <v>45.5</v>
      </c>
    </row>
    <row r="3208" spans="10:28" x14ac:dyDescent="0.2">
      <c r="J3208" s="358" t="str">
        <f t="shared" si="146"/>
        <v>2012AllSexNon-Maori215</v>
      </c>
      <c r="K3208" s="359">
        <v>2012</v>
      </c>
      <c r="L3208" t="s">
        <v>17</v>
      </c>
      <c r="M3208" t="s">
        <v>19</v>
      </c>
      <c r="N3208">
        <v>21</v>
      </c>
      <c r="O3208">
        <v>5</v>
      </c>
      <c r="P3208">
        <v>1</v>
      </c>
      <c r="T3208" s="358" t="str">
        <f t="shared" si="147"/>
        <v>2011FemaleNon-Maori24Hanging, strangulation and suffocation</v>
      </c>
      <c r="U3208" s="360">
        <v>2011</v>
      </c>
      <c r="V3208" s="360" t="s">
        <v>8</v>
      </c>
      <c r="W3208" s="360" t="s">
        <v>19</v>
      </c>
      <c r="X3208" s="360">
        <v>24</v>
      </c>
      <c r="Y3208" s="360" t="s">
        <v>43</v>
      </c>
      <c r="Z3208" s="360">
        <v>7</v>
      </c>
      <c r="AA3208" s="360">
        <v>30</v>
      </c>
      <c r="AB3208" s="360">
        <v>23.3</v>
      </c>
    </row>
    <row r="3209" spans="10:28" x14ac:dyDescent="0.2">
      <c r="J3209" s="358" t="str">
        <f t="shared" si="146"/>
        <v>2012AllSexNon-Maori221</v>
      </c>
      <c r="K3209" s="359">
        <v>2012</v>
      </c>
      <c r="L3209" t="s">
        <v>17</v>
      </c>
      <c r="M3209" t="s">
        <v>19</v>
      </c>
      <c r="N3209">
        <v>22</v>
      </c>
      <c r="O3209">
        <v>1</v>
      </c>
      <c r="P3209">
        <v>11</v>
      </c>
      <c r="Q3209">
        <v>10.995179471887001</v>
      </c>
      <c r="R3209">
        <v>6.5</v>
      </c>
      <c r="T3209" s="358" t="str">
        <f t="shared" si="147"/>
        <v>2011FemaleNon-Maori25Hanging, strangulation and suffocation</v>
      </c>
      <c r="U3209" s="360">
        <v>2011</v>
      </c>
      <c r="V3209" s="360" t="s">
        <v>8</v>
      </c>
      <c r="W3209" s="360" t="s">
        <v>19</v>
      </c>
      <c r="X3209" s="360">
        <v>25</v>
      </c>
      <c r="Y3209" s="360" t="s">
        <v>43</v>
      </c>
      <c r="Z3209" s="360">
        <v>6</v>
      </c>
      <c r="AA3209" s="360">
        <v>14</v>
      </c>
      <c r="AB3209" s="360">
        <v>42.9</v>
      </c>
    </row>
    <row r="3210" spans="10:28" x14ac:dyDescent="0.2">
      <c r="J3210" s="358" t="str">
        <f t="shared" si="146"/>
        <v>2012AllSexNon-Maori222</v>
      </c>
      <c r="K3210" s="359">
        <v>2012</v>
      </c>
      <c r="L3210" t="s">
        <v>17</v>
      </c>
      <c r="M3210" t="s">
        <v>19</v>
      </c>
      <c r="N3210">
        <v>22</v>
      </c>
      <c r="O3210">
        <v>2</v>
      </c>
      <c r="P3210">
        <v>11</v>
      </c>
      <c r="Q3210">
        <v>11.276417338480799</v>
      </c>
      <c r="R3210">
        <v>6.7</v>
      </c>
      <c r="T3210" s="358" t="str">
        <f t="shared" si="147"/>
        <v>2011FemaleNon-Maori24Jumping from a high place</v>
      </c>
      <c r="U3210" s="360">
        <v>2011</v>
      </c>
      <c r="V3210" s="360" t="s">
        <v>8</v>
      </c>
      <c r="W3210" s="360" t="s">
        <v>19</v>
      </c>
      <c r="X3210" s="360">
        <v>24</v>
      </c>
      <c r="Y3210" s="360" t="s">
        <v>44</v>
      </c>
      <c r="Z3210" s="360">
        <v>2</v>
      </c>
      <c r="AA3210" s="360">
        <v>30</v>
      </c>
      <c r="AB3210" s="360">
        <v>6.7</v>
      </c>
    </row>
    <row r="3211" spans="10:28" x14ac:dyDescent="0.2">
      <c r="J3211" s="358" t="str">
        <f t="shared" si="146"/>
        <v>2012AllSexNon-Maori223</v>
      </c>
      <c r="K3211" s="359">
        <v>2012</v>
      </c>
      <c r="L3211" t="s">
        <v>17</v>
      </c>
      <c r="M3211" t="s">
        <v>19</v>
      </c>
      <c r="N3211">
        <v>22</v>
      </c>
      <c r="O3211">
        <v>3</v>
      </c>
      <c r="P3211">
        <v>20</v>
      </c>
      <c r="Q3211">
        <v>20.4927025452698</v>
      </c>
      <c r="R3211">
        <v>9</v>
      </c>
      <c r="T3211" s="358" t="str">
        <f t="shared" si="147"/>
        <v>2011FemaleNon-Maori23Other</v>
      </c>
      <c r="U3211" s="360">
        <v>2011</v>
      </c>
      <c r="V3211" s="360" t="s">
        <v>8</v>
      </c>
      <c r="W3211" s="360" t="s">
        <v>19</v>
      </c>
      <c r="X3211" s="360">
        <v>23</v>
      </c>
      <c r="Y3211" s="360" t="s">
        <v>45</v>
      </c>
      <c r="Z3211" s="360">
        <v>3</v>
      </c>
      <c r="AA3211" s="360">
        <v>22</v>
      </c>
      <c r="AB3211" s="360">
        <v>13.6</v>
      </c>
    </row>
    <row r="3212" spans="10:28" x14ac:dyDescent="0.2">
      <c r="J3212" s="358" t="str">
        <f t="shared" si="146"/>
        <v>2012AllSexNon-Maori224</v>
      </c>
      <c r="K3212" s="359">
        <v>2012</v>
      </c>
      <c r="L3212" t="s">
        <v>17</v>
      </c>
      <c r="M3212" t="s">
        <v>19</v>
      </c>
      <c r="N3212">
        <v>22</v>
      </c>
      <c r="O3212">
        <v>4</v>
      </c>
      <c r="P3212">
        <v>23</v>
      </c>
      <c r="Q3212">
        <v>22.329121540663699</v>
      </c>
      <c r="R3212">
        <v>9.1</v>
      </c>
      <c r="T3212" s="358" t="str">
        <f t="shared" si="147"/>
        <v>2011FemaleNon-Maori24Other</v>
      </c>
      <c r="U3212" s="360">
        <v>2011</v>
      </c>
      <c r="V3212" s="360" t="s">
        <v>8</v>
      </c>
      <c r="W3212" s="360" t="s">
        <v>19</v>
      </c>
      <c r="X3212" s="360">
        <v>24</v>
      </c>
      <c r="Y3212" s="360" t="s">
        <v>45</v>
      </c>
      <c r="Z3212" s="360">
        <v>2</v>
      </c>
      <c r="AA3212" s="360">
        <v>30</v>
      </c>
      <c r="AB3212" s="360">
        <v>6.7</v>
      </c>
    </row>
    <row r="3213" spans="10:28" x14ac:dyDescent="0.2">
      <c r="J3213" s="358" t="str">
        <f t="shared" si="146"/>
        <v>2012AllSexNon-Maori225</v>
      </c>
      <c r="K3213" s="359">
        <v>2012</v>
      </c>
      <c r="L3213" t="s">
        <v>17</v>
      </c>
      <c r="M3213" t="s">
        <v>19</v>
      </c>
      <c r="N3213">
        <v>22</v>
      </c>
      <c r="O3213">
        <v>5</v>
      </c>
      <c r="P3213">
        <v>20</v>
      </c>
      <c r="Q3213">
        <v>20.156678788165099</v>
      </c>
      <c r="R3213">
        <v>8.8000000000000007</v>
      </c>
      <c r="T3213" s="358" t="str">
        <f t="shared" si="147"/>
        <v>2011FemaleNon-Maori23Poisoning by gases and vapours</v>
      </c>
      <c r="U3213" s="360">
        <v>2011</v>
      </c>
      <c r="V3213" s="360" t="s">
        <v>8</v>
      </c>
      <c r="W3213" s="360" t="s">
        <v>19</v>
      </c>
      <c r="X3213" s="360">
        <v>23</v>
      </c>
      <c r="Y3213" s="360" t="s">
        <v>46</v>
      </c>
      <c r="Z3213" s="360">
        <v>3</v>
      </c>
      <c r="AA3213" s="360">
        <v>22</v>
      </c>
      <c r="AB3213" s="360">
        <v>13.6</v>
      </c>
    </row>
    <row r="3214" spans="10:28" x14ac:dyDescent="0.2">
      <c r="J3214" s="358" t="str">
        <f t="shared" si="146"/>
        <v>2012AllSexNon-Maori231</v>
      </c>
      <c r="K3214" s="359">
        <v>2012</v>
      </c>
      <c r="L3214" t="s">
        <v>17</v>
      </c>
      <c r="M3214" t="s">
        <v>19</v>
      </c>
      <c r="N3214">
        <v>23</v>
      </c>
      <c r="O3214">
        <v>1</v>
      </c>
      <c r="P3214">
        <v>17</v>
      </c>
      <c r="Q3214">
        <v>8.3478802472853104</v>
      </c>
      <c r="R3214">
        <v>4</v>
      </c>
      <c r="T3214" s="358" t="str">
        <f t="shared" si="147"/>
        <v>2011FemaleNon-Maori24Poisoning by gases and vapours</v>
      </c>
      <c r="U3214" s="360">
        <v>2011</v>
      </c>
      <c r="V3214" s="360" t="s">
        <v>8</v>
      </c>
      <c r="W3214" s="360" t="s">
        <v>19</v>
      </c>
      <c r="X3214" s="360">
        <v>24</v>
      </c>
      <c r="Y3214" s="360" t="s">
        <v>46</v>
      </c>
      <c r="Z3214" s="360">
        <v>2</v>
      </c>
      <c r="AA3214" s="360">
        <v>30</v>
      </c>
      <c r="AB3214" s="360">
        <v>6.7</v>
      </c>
    </row>
    <row r="3215" spans="10:28" x14ac:dyDescent="0.2">
      <c r="J3215" s="358" t="str">
        <f t="shared" si="146"/>
        <v>2012AllSexNon-Maori232</v>
      </c>
      <c r="K3215" s="359">
        <v>2012</v>
      </c>
      <c r="L3215" t="s">
        <v>17</v>
      </c>
      <c r="M3215" t="s">
        <v>19</v>
      </c>
      <c r="N3215">
        <v>23</v>
      </c>
      <c r="O3215">
        <v>2</v>
      </c>
      <c r="P3215">
        <v>22</v>
      </c>
      <c r="Q3215">
        <v>10.2706260769727</v>
      </c>
      <c r="R3215">
        <v>4.3</v>
      </c>
      <c r="T3215" s="358" t="str">
        <f t="shared" si="147"/>
        <v>2011FemaleNon-Maori22Poisoning by solids and liquids</v>
      </c>
      <c r="U3215" s="360">
        <v>2011</v>
      </c>
      <c r="V3215" s="360" t="s">
        <v>8</v>
      </c>
      <c r="W3215" s="360" t="s">
        <v>19</v>
      </c>
      <c r="X3215" s="360">
        <v>22</v>
      </c>
      <c r="Y3215" s="360" t="s">
        <v>47</v>
      </c>
      <c r="Z3215" s="360">
        <v>2</v>
      </c>
      <c r="AA3215" s="360">
        <v>18</v>
      </c>
      <c r="AB3215" s="360">
        <v>11.1</v>
      </c>
    </row>
    <row r="3216" spans="10:28" x14ac:dyDescent="0.2">
      <c r="J3216" s="358" t="str">
        <f t="shared" si="146"/>
        <v>2012AllSexNon-Maori233</v>
      </c>
      <c r="K3216" s="359">
        <v>2012</v>
      </c>
      <c r="L3216" t="s">
        <v>17</v>
      </c>
      <c r="M3216" t="s">
        <v>19</v>
      </c>
      <c r="N3216">
        <v>23</v>
      </c>
      <c r="O3216">
        <v>3</v>
      </c>
      <c r="P3216">
        <v>33</v>
      </c>
      <c r="Q3216">
        <v>15.716995416086201</v>
      </c>
      <c r="R3216">
        <v>5.4</v>
      </c>
      <c r="T3216" s="358" t="str">
        <f t="shared" si="147"/>
        <v>2011FemaleNon-Maori23Poisoning by solids and liquids</v>
      </c>
      <c r="U3216" s="360">
        <v>2011</v>
      </c>
      <c r="V3216" s="360" t="s">
        <v>8</v>
      </c>
      <c r="W3216" s="360" t="s">
        <v>19</v>
      </c>
      <c r="X3216" s="360">
        <v>23</v>
      </c>
      <c r="Y3216" s="360" t="s">
        <v>47</v>
      </c>
      <c r="Z3216" s="360">
        <v>4</v>
      </c>
      <c r="AA3216" s="360">
        <v>22</v>
      </c>
      <c r="AB3216" s="360">
        <v>18.2</v>
      </c>
    </row>
    <row r="3217" spans="10:28" x14ac:dyDescent="0.2">
      <c r="J3217" s="358" t="str">
        <f t="shared" si="146"/>
        <v>2012AllSexNon-Maori234</v>
      </c>
      <c r="K3217" s="359">
        <v>2012</v>
      </c>
      <c r="L3217" t="s">
        <v>17</v>
      </c>
      <c r="M3217" t="s">
        <v>19</v>
      </c>
      <c r="N3217">
        <v>23</v>
      </c>
      <c r="O3217">
        <v>4</v>
      </c>
      <c r="P3217">
        <v>35</v>
      </c>
      <c r="Q3217">
        <v>18.075671781923798</v>
      </c>
      <c r="R3217">
        <v>6</v>
      </c>
      <c r="T3217" s="358" t="str">
        <f t="shared" si="147"/>
        <v>2011FemaleNon-Maori24Poisoning by solids and liquids</v>
      </c>
      <c r="U3217" s="360">
        <v>2011</v>
      </c>
      <c r="V3217" s="360" t="s">
        <v>8</v>
      </c>
      <c r="W3217" s="360" t="s">
        <v>19</v>
      </c>
      <c r="X3217" s="360">
        <v>24</v>
      </c>
      <c r="Y3217" s="360" t="s">
        <v>47</v>
      </c>
      <c r="Z3217" s="360">
        <v>12</v>
      </c>
      <c r="AA3217" s="360">
        <v>30</v>
      </c>
      <c r="AB3217" s="360">
        <v>40</v>
      </c>
    </row>
    <row r="3218" spans="10:28" x14ac:dyDescent="0.2">
      <c r="J3218" s="358" t="str">
        <f t="shared" si="146"/>
        <v>2012AllSexNon-Maori235</v>
      </c>
      <c r="K3218" s="359">
        <v>2012</v>
      </c>
      <c r="L3218" t="s">
        <v>17</v>
      </c>
      <c r="M3218" t="s">
        <v>19</v>
      </c>
      <c r="N3218">
        <v>23</v>
      </c>
      <c r="O3218">
        <v>5</v>
      </c>
      <c r="P3218">
        <v>31</v>
      </c>
      <c r="Q3218">
        <v>19.9257715030922</v>
      </c>
      <c r="R3218">
        <v>7</v>
      </c>
      <c r="T3218" s="358" t="str">
        <f t="shared" si="147"/>
        <v>2011FemaleNon-Maori25Poisoning by solids and liquids</v>
      </c>
      <c r="U3218" s="360">
        <v>2011</v>
      </c>
      <c r="V3218" s="360" t="s">
        <v>8</v>
      </c>
      <c r="W3218" s="360" t="s">
        <v>19</v>
      </c>
      <c r="X3218" s="360">
        <v>25</v>
      </c>
      <c r="Y3218" s="360" t="s">
        <v>47</v>
      </c>
      <c r="Z3218" s="360">
        <v>6</v>
      </c>
      <c r="AA3218" s="360">
        <v>14</v>
      </c>
      <c r="AB3218" s="360">
        <v>42.9</v>
      </c>
    </row>
    <row r="3219" spans="10:28" x14ac:dyDescent="0.2">
      <c r="J3219" s="358" t="str">
        <f t="shared" si="146"/>
        <v>2012AllSexNon-Maori241</v>
      </c>
      <c r="K3219" s="359">
        <v>2012</v>
      </c>
      <c r="L3219" t="s">
        <v>17</v>
      </c>
      <c r="M3219" t="s">
        <v>19</v>
      </c>
      <c r="N3219">
        <v>24</v>
      </c>
      <c r="O3219">
        <v>1</v>
      </c>
      <c r="P3219">
        <v>17</v>
      </c>
      <c r="Q3219">
        <v>6.4613638611917601</v>
      </c>
      <c r="R3219">
        <v>3.1</v>
      </c>
      <c r="T3219" s="358" t="str">
        <f t="shared" si="147"/>
        <v>2011FemaleNon-Maori23Sharp object</v>
      </c>
      <c r="U3219" s="360">
        <v>2011</v>
      </c>
      <c r="V3219" s="360" t="s">
        <v>8</v>
      </c>
      <c r="W3219" s="360" t="s">
        <v>19</v>
      </c>
      <c r="X3219" s="360">
        <v>23</v>
      </c>
      <c r="Y3219" s="360" t="s">
        <v>48</v>
      </c>
      <c r="Z3219" s="360">
        <v>1</v>
      </c>
      <c r="AA3219" s="360">
        <v>22</v>
      </c>
      <c r="AB3219" s="360">
        <v>4.5</v>
      </c>
    </row>
    <row r="3220" spans="10:28" x14ac:dyDescent="0.2">
      <c r="J3220" s="358" t="str">
        <f t="shared" si="146"/>
        <v>2012AllSexNon-Maori242</v>
      </c>
      <c r="K3220" s="359">
        <v>2012</v>
      </c>
      <c r="L3220" t="s">
        <v>17</v>
      </c>
      <c r="M3220" t="s">
        <v>19</v>
      </c>
      <c r="N3220">
        <v>24</v>
      </c>
      <c r="O3220">
        <v>2</v>
      </c>
      <c r="P3220">
        <v>26</v>
      </c>
      <c r="Q3220">
        <v>11.295054122344199</v>
      </c>
      <c r="R3220">
        <v>4.3</v>
      </c>
      <c r="T3220" s="358" t="str">
        <f t="shared" si="147"/>
        <v>2011FemaleNon-Maori22Submersion (drowning)</v>
      </c>
      <c r="U3220" s="360">
        <v>2011</v>
      </c>
      <c r="V3220" s="360" t="s">
        <v>8</v>
      </c>
      <c r="W3220" s="360" t="s">
        <v>19</v>
      </c>
      <c r="X3220" s="360">
        <v>22</v>
      </c>
      <c r="Y3220" s="360" t="s">
        <v>49</v>
      </c>
      <c r="Z3220" s="360">
        <v>1</v>
      </c>
      <c r="AA3220" s="360">
        <v>18</v>
      </c>
      <c r="AB3220" s="360">
        <v>5.6</v>
      </c>
    </row>
    <row r="3221" spans="10:28" x14ac:dyDescent="0.2">
      <c r="J3221" s="358" t="str">
        <f t="shared" si="146"/>
        <v>2012AllSexNon-Maori243</v>
      </c>
      <c r="K3221" s="359">
        <v>2012</v>
      </c>
      <c r="L3221" t="s">
        <v>17</v>
      </c>
      <c r="M3221" t="s">
        <v>19</v>
      </c>
      <c r="N3221">
        <v>24</v>
      </c>
      <c r="O3221">
        <v>3</v>
      </c>
      <c r="P3221">
        <v>31</v>
      </c>
      <c r="Q3221">
        <v>15.3567660645624</v>
      </c>
      <c r="R3221">
        <v>5.4</v>
      </c>
      <c r="T3221" s="358" t="str">
        <f t="shared" si="147"/>
        <v>2011FemaleNon-Maori23Submersion (drowning)</v>
      </c>
      <c r="U3221" s="360">
        <v>2011</v>
      </c>
      <c r="V3221" s="360" t="s">
        <v>8</v>
      </c>
      <c r="W3221" s="360" t="s">
        <v>19</v>
      </c>
      <c r="X3221" s="360">
        <v>23</v>
      </c>
      <c r="Y3221" s="360" t="s">
        <v>49</v>
      </c>
      <c r="Z3221" s="360">
        <v>1</v>
      </c>
      <c r="AA3221" s="360">
        <v>22</v>
      </c>
      <c r="AB3221" s="360">
        <v>4.5</v>
      </c>
    </row>
    <row r="3222" spans="10:28" x14ac:dyDescent="0.2">
      <c r="J3222" s="358" t="str">
        <f t="shared" si="146"/>
        <v>2012AllSexNon-Maori244</v>
      </c>
      <c r="K3222" s="359">
        <v>2012</v>
      </c>
      <c r="L3222" t="s">
        <v>17</v>
      </c>
      <c r="M3222" t="s">
        <v>19</v>
      </c>
      <c r="N3222">
        <v>24</v>
      </c>
      <c r="O3222">
        <v>4</v>
      </c>
      <c r="P3222">
        <v>34</v>
      </c>
      <c r="Q3222">
        <v>19.628084422207699</v>
      </c>
      <c r="R3222">
        <v>6.6</v>
      </c>
      <c r="T3222" s="358" t="str">
        <f t="shared" si="147"/>
        <v>2011FemaleNon-Maori24Submersion (drowning)</v>
      </c>
      <c r="U3222" s="360">
        <v>2011</v>
      </c>
      <c r="V3222" s="360" t="s">
        <v>8</v>
      </c>
      <c r="W3222" s="360" t="s">
        <v>19</v>
      </c>
      <c r="X3222" s="360">
        <v>24</v>
      </c>
      <c r="Y3222" s="360" t="s">
        <v>49</v>
      </c>
      <c r="Z3222" s="360">
        <v>3</v>
      </c>
      <c r="AA3222" s="360">
        <v>30</v>
      </c>
      <c r="AB3222" s="360">
        <v>10</v>
      </c>
    </row>
    <row r="3223" spans="10:28" x14ac:dyDescent="0.2">
      <c r="J3223" s="358" t="str">
        <f t="shared" si="146"/>
        <v>2012AllSexNon-Maori245</v>
      </c>
      <c r="K3223" s="359">
        <v>2012</v>
      </c>
      <c r="L3223" t="s">
        <v>17</v>
      </c>
      <c r="M3223" t="s">
        <v>19</v>
      </c>
      <c r="N3223">
        <v>24</v>
      </c>
      <c r="O3223">
        <v>5</v>
      </c>
      <c r="P3223">
        <v>24</v>
      </c>
      <c r="Q3223">
        <v>17.783378199489999</v>
      </c>
      <c r="R3223">
        <v>7.1</v>
      </c>
      <c r="T3223" s="358" t="str">
        <f t="shared" si="147"/>
        <v>2011FemaleNon-Maori25Submersion (drowning)</v>
      </c>
      <c r="U3223" s="360">
        <v>2011</v>
      </c>
      <c r="V3223" s="360" t="s">
        <v>8</v>
      </c>
      <c r="W3223" s="360" t="s">
        <v>19</v>
      </c>
      <c r="X3223" s="360">
        <v>25</v>
      </c>
      <c r="Y3223" s="360" t="s">
        <v>49</v>
      </c>
      <c r="Z3223" s="360">
        <v>2</v>
      </c>
      <c r="AA3223" s="360">
        <v>14</v>
      </c>
      <c r="AB3223" s="360">
        <v>14.3</v>
      </c>
    </row>
    <row r="3224" spans="10:28" x14ac:dyDescent="0.2">
      <c r="J3224" s="358" t="str">
        <f t="shared" si="146"/>
        <v>2012AllSexNon-Maori251</v>
      </c>
      <c r="K3224" s="359">
        <v>2012</v>
      </c>
      <c r="L3224" t="s">
        <v>17</v>
      </c>
      <c r="M3224" t="s">
        <v>19</v>
      </c>
      <c r="N3224">
        <v>25</v>
      </c>
      <c r="O3224">
        <v>1</v>
      </c>
      <c r="P3224">
        <v>5</v>
      </c>
      <c r="Q3224">
        <v>4.0879407139345503</v>
      </c>
      <c r="R3224">
        <v>3.6</v>
      </c>
      <c r="T3224" s="358" t="str">
        <f t="shared" si="147"/>
        <v>2011MaleAllEth22Firearms and explosives</v>
      </c>
      <c r="U3224" s="360">
        <v>2011</v>
      </c>
      <c r="V3224" s="360" t="s">
        <v>20</v>
      </c>
      <c r="W3224" s="360" t="s">
        <v>27</v>
      </c>
      <c r="X3224" s="360">
        <v>22</v>
      </c>
      <c r="Y3224" s="360" t="s">
        <v>42</v>
      </c>
      <c r="Z3224" s="360">
        <v>4</v>
      </c>
      <c r="AA3224" s="360">
        <v>96</v>
      </c>
      <c r="AB3224" s="360">
        <v>4.2</v>
      </c>
    </row>
    <row r="3225" spans="10:28" x14ac:dyDescent="0.2">
      <c r="J3225" s="358" t="str">
        <f t="shared" si="146"/>
        <v>2012AllSexNon-Maori252</v>
      </c>
      <c r="K3225" s="359">
        <v>2012</v>
      </c>
      <c r="L3225" t="s">
        <v>17</v>
      </c>
      <c r="M3225" t="s">
        <v>19</v>
      </c>
      <c r="N3225">
        <v>25</v>
      </c>
      <c r="O3225">
        <v>2</v>
      </c>
      <c r="P3225">
        <v>13</v>
      </c>
      <c r="Q3225">
        <v>10.622152186741401</v>
      </c>
      <c r="R3225">
        <v>5.8</v>
      </c>
      <c r="T3225" s="358" t="str">
        <f t="shared" si="147"/>
        <v>2011MaleAllEth23Firearms and explosives</v>
      </c>
      <c r="U3225" s="360">
        <v>2011</v>
      </c>
      <c r="V3225" s="360" t="s">
        <v>20</v>
      </c>
      <c r="W3225" s="360" t="s">
        <v>27</v>
      </c>
      <c r="X3225" s="360">
        <v>23</v>
      </c>
      <c r="Y3225" s="360" t="s">
        <v>42</v>
      </c>
      <c r="Z3225" s="360">
        <v>4</v>
      </c>
      <c r="AA3225" s="360">
        <v>130</v>
      </c>
      <c r="AB3225" s="360">
        <v>3.1</v>
      </c>
    </row>
    <row r="3226" spans="10:28" x14ac:dyDescent="0.2">
      <c r="J3226" s="358" t="str">
        <f t="shared" si="146"/>
        <v>2012AllSexNon-Maori253</v>
      </c>
      <c r="K3226" s="359">
        <v>2012</v>
      </c>
      <c r="L3226" t="s">
        <v>17</v>
      </c>
      <c r="M3226" t="s">
        <v>19</v>
      </c>
      <c r="N3226">
        <v>25</v>
      </c>
      <c r="O3226">
        <v>3</v>
      </c>
      <c r="P3226">
        <v>16</v>
      </c>
      <c r="Q3226">
        <v>13.4152797315156</v>
      </c>
      <c r="R3226">
        <v>6.6</v>
      </c>
      <c r="T3226" s="358" t="str">
        <f t="shared" si="147"/>
        <v>2011MaleAllEth24Firearms and explosives</v>
      </c>
      <c r="U3226" s="360">
        <v>2011</v>
      </c>
      <c r="V3226" s="360" t="s">
        <v>20</v>
      </c>
      <c r="W3226" s="360" t="s">
        <v>27</v>
      </c>
      <c r="X3226" s="360">
        <v>24</v>
      </c>
      <c r="Y3226" s="360" t="s">
        <v>42</v>
      </c>
      <c r="Z3226" s="360">
        <v>19</v>
      </c>
      <c r="AA3226" s="360">
        <v>117</v>
      </c>
      <c r="AB3226" s="360">
        <v>16.2</v>
      </c>
    </row>
    <row r="3227" spans="10:28" x14ac:dyDescent="0.2">
      <c r="J3227" s="358" t="str">
        <f t="shared" si="146"/>
        <v>2012AllSexNon-Maori254</v>
      </c>
      <c r="K3227" s="359">
        <v>2012</v>
      </c>
      <c r="L3227" t="s">
        <v>17</v>
      </c>
      <c r="M3227" t="s">
        <v>19</v>
      </c>
      <c r="N3227">
        <v>25</v>
      </c>
      <c r="O3227">
        <v>4</v>
      </c>
      <c r="P3227">
        <v>10</v>
      </c>
      <c r="Q3227">
        <v>8.4890125398566294</v>
      </c>
      <c r="R3227">
        <v>5.3</v>
      </c>
      <c r="T3227" s="358" t="str">
        <f t="shared" si="147"/>
        <v>2011MaleAllEth25Firearms and explosives</v>
      </c>
      <c r="U3227" s="360">
        <v>2011</v>
      </c>
      <c r="V3227" s="360" t="s">
        <v>20</v>
      </c>
      <c r="W3227" s="360" t="s">
        <v>27</v>
      </c>
      <c r="X3227" s="360">
        <v>25</v>
      </c>
      <c r="Y3227" s="360" t="s">
        <v>42</v>
      </c>
      <c r="Z3227" s="360">
        <v>7</v>
      </c>
      <c r="AA3227" s="360">
        <v>31</v>
      </c>
      <c r="AB3227" s="360">
        <v>22.6</v>
      </c>
    </row>
    <row r="3228" spans="10:28" x14ac:dyDescent="0.2">
      <c r="J3228" s="358" t="str">
        <f t="shared" si="146"/>
        <v>2012AllSexNon-Maori255</v>
      </c>
      <c r="K3228" s="359">
        <v>2012</v>
      </c>
      <c r="L3228" t="s">
        <v>17</v>
      </c>
      <c r="M3228" t="s">
        <v>19</v>
      </c>
      <c r="N3228">
        <v>25</v>
      </c>
      <c r="O3228">
        <v>5</v>
      </c>
      <c r="P3228">
        <v>10</v>
      </c>
      <c r="Q3228">
        <v>11.505098619886899</v>
      </c>
      <c r="R3228">
        <v>7.1</v>
      </c>
      <c r="T3228" s="358" t="str">
        <f t="shared" si="147"/>
        <v>2011MaleAllEth21Hanging, strangulation and suffocation</v>
      </c>
      <c r="U3228" s="360">
        <v>2011</v>
      </c>
      <c r="V3228" s="360" t="s">
        <v>20</v>
      </c>
      <c r="W3228" s="360" t="s">
        <v>27</v>
      </c>
      <c r="X3228" s="360">
        <v>21</v>
      </c>
      <c r="Y3228" s="360" t="s">
        <v>43</v>
      </c>
      <c r="Z3228" s="360">
        <v>3</v>
      </c>
      <c r="AA3228" s="360">
        <v>3</v>
      </c>
      <c r="AB3228" s="360">
        <v>100</v>
      </c>
    </row>
    <row r="3229" spans="10:28" x14ac:dyDescent="0.2">
      <c r="J3229" s="358" t="str">
        <f t="shared" si="146"/>
        <v>2012FemaleAllEth211</v>
      </c>
      <c r="K3229" s="359">
        <v>2012</v>
      </c>
      <c r="L3229" t="s">
        <v>8</v>
      </c>
      <c r="M3229" t="s">
        <v>27</v>
      </c>
      <c r="N3229">
        <v>21</v>
      </c>
      <c r="O3229">
        <v>1</v>
      </c>
      <c r="P3229">
        <v>0</v>
      </c>
      <c r="T3229" s="358" t="str">
        <f t="shared" si="147"/>
        <v>2011MaleAllEth22Hanging, strangulation and suffocation</v>
      </c>
      <c r="U3229" s="360">
        <v>2011</v>
      </c>
      <c r="V3229" s="360" t="s">
        <v>20</v>
      </c>
      <c r="W3229" s="360" t="s">
        <v>27</v>
      </c>
      <c r="X3229" s="360">
        <v>22</v>
      </c>
      <c r="Y3229" s="360" t="s">
        <v>43</v>
      </c>
      <c r="Z3229" s="360">
        <v>74</v>
      </c>
      <c r="AA3229" s="360">
        <v>96</v>
      </c>
      <c r="AB3229" s="360">
        <v>77.099999999999994</v>
      </c>
    </row>
    <row r="3230" spans="10:28" x14ac:dyDescent="0.2">
      <c r="J3230" s="358" t="str">
        <f t="shared" si="146"/>
        <v>2012FemaleAllEth212</v>
      </c>
      <c r="K3230" s="359">
        <v>2012</v>
      </c>
      <c r="L3230" t="s">
        <v>8</v>
      </c>
      <c r="M3230" t="s">
        <v>27</v>
      </c>
      <c r="N3230">
        <v>21</v>
      </c>
      <c r="O3230">
        <v>2</v>
      </c>
      <c r="P3230">
        <v>1</v>
      </c>
      <c r="T3230" s="358" t="str">
        <f t="shared" si="147"/>
        <v>2011MaleAllEth23Hanging, strangulation and suffocation</v>
      </c>
      <c r="U3230" s="360">
        <v>2011</v>
      </c>
      <c r="V3230" s="360" t="s">
        <v>20</v>
      </c>
      <c r="W3230" s="360" t="s">
        <v>27</v>
      </c>
      <c r="X3230" s="360">
        <v>23</v>
      </c>
      <c r="Y3230" s="360" t="s">
        <v>43</v>
      </c>
      <c r="Z3230" s="360">
        <v>86</v>
      </c>
      <c r="AA3230" s="360">
        <v>130</v>
      </c>
      <c r="AB3230" s="360">
        <v>66.2</v>
      </c>
    </row>
    <row r="3231" spans="10:28" x14ac:dyDescent="0.2">
      <c r="J3231" s="358" t="str">
        <f t="shared" si="146"/>
        <v>2012FemaleAllEth213</v>
      </c>
      <c r="K3231" s="359">
        <v>2012</v>
      </c>
      <c r="L3231" t="s">
        <v>8</v>
      </c>
      <c r="M3231" t="s">
        <v>27</v>
      </c>
      <c r="N3231">
        <v>21</v>
      </c>
      <c r="O3231">
        <v>3</v>
      </c>
      <c r="P3231">
        <v>0</v>
      </c>
      <c r="T3231" s="358" t="str">
        <f t="shared" si="147"/>
        <v>2011MaleAllEth24Hanging, strangulation and suffocation</v>
      </c>
      <c r="U3231" s="360">
        <v>2011</v>
      </c>
      <c r="V3231" s="360" t="s">
        <v>20</v>
      </c>
      <c r="W3231" s="360" t="s">
        <v>27</v>
      </c>
      <c r="X3231" s="360">
        <v>24</v>
      </c>
      <c r="Y3231" s="360" t="s">
        <v>43</v>
      </c>
      <c r="Z3231" s="360">
        <v>61</v>
      </c>
      <c r="AA3231" s="360">
        <v>117</v>
      </c>
      <c r="AB3231" s="360">
        <v>52.1</v>
      </c>
    </row>
    <row r="3232" spans="10:28" x14ac:dyDescent="0.2">
      <c r="J3232" s="358" t="str">
        <f t="shared" si="146"/>
        <v>2012FemaleAllEth214</v>
      </c>
      <c r="K3232" s="359">
        <v>2012</v>
      </c>
      <c r="L3232" t="s">
        <v>8</v>
      </c>
      <c r="M3232" t="s">
        <v>27</v>
      </c>
      <c r="N3232">
        <v>21</v>
      </c>
      <c r="O3232">
        <v>4</v>
      </c>
      <c r="P3232">
        <v>0</v>
      </c>
      <c r="T3232" s="358" t="str">
        <f t="shared" si="147"/>
        <v>2011MaleAllEth25Hanging, strangulation and suffocation</v>
      </c>
      <c r="U3232" s="360">
        <v>2011</v>
      </c>
      <c r="V3232" s="360" t="s">
        <v>20</v>
      </c>
      <c r="W3232" s="360" t="s">
        <v>27</v>
      </c>
      <c r="X3232" s="360">
        <v>25</v>
      </c>
      <c r="Y3232" s="360" t="s">
        <v>43</v>
      </c>
      <c r="Z3232" s="360">
        <v>9</v>
      </c>
      <c r="AA3232" s="360">
        <v>31</v>
      </c>
      <c r="AB3232" s="360">
        <v>29</v>
      </c>
    </row>
    <row r="3233" spans="10:28" x14ac:dyDescent="0.2">
      <c r="J3233" s="358" t="str">
        <f t="shared" si="146"/>
        <v>2012FemaleAllEth215</v>
      </c>
      <c r="K3233" s="359">
        <v>2012</v>
      </c>
      <c r="L3233" t="s">
        <v>8</v>
      </c>
      <c r="M3233" t="s">
        <v>27</v>
      </c>
      <c r="N3233">
        <v>21</v>
      </c>
      <c r="O3233">
        <v>5</v>
      </c>
      <c r="P3233">
        <v>4</v>
      </c>
      <c r="T3233" s="358" t="str">
        <f t="shared" si="147"/>
        <v>2011MaleAllEth22Jumping from a high place</v>
      </c>
      <c r="U3233" s="360">
        <v>2011</v>
      </c>
      <c r="V3233" s="360" t="s">
        <v>20</v>
      </c>
      <c r="W3233" s="360" t="s">
        <v>27</v>
      </c>
      <c r="X3233" s="360">
        <v>22</v>
      </c>
      <c r="Y3233" s="360" t="s">
        <v>44</v>
      </c>
      <c r="Z3233" s="360">
        <v>3</v>
      </c>
      <c r="AA3233" s="360">
        <v>96</v>
      </c>
      <c r="AB3233" s="360">
        <v>3.1</v>
      </c>
    </row>
    <row r="3234" spans="10:28" x14ac:dyDescent="0.2">
      <c r="J3234" s="358" t="str">
        <f t="shared" si="146"/>
        <v>2012FemaleAllEth221</v>
      </c>
      <c r="K3234" s="359">
        <v>2012</v>
      </c>
      <c r="L3234" t="s">
        <v>8</v>
      </c>
      <c r="M3234" t="s">
        <v>27</v>
      </c>
      <c r="N3234">
        <v>22</v>
      </c>
      <c r="O3234">
        <v>1</v>
      </c>
      <c r="P3234">
        <v>0</v>
      </c>
      <c r="Q3234">
        <v>0</v>
      </c>
      <c r="T3234" s="358" t="str">
        <f t="shared" si="147"/>
        <v>2011MaleAllEth23Jumping from a high place</v>
      </c>
      <c r="U3234" s="360">
        <v>2011</v>
      </c>
      <c r="V3234" s="360" t="s">
        <v>20</v>
      </c>
      <c r="W3234" s="360" t="s">
        <v>27</v>
      </c>
      <c r="X3234" s="360">
        <v>23</v>
      </c>
      <c r="Y3234" s="360" t="s">
        <v>44</v>
      </c>
      <c r="Z3234" s="360">
        <v>3</v>
      </c>
      <c r="AA3234" s="360">
        <v>130</v>
      </c>
      <c r="AB3234" s="360">
        <v>2.2999999999999998</v>
      </c>
    </row>
    <row r="3235" spans="10:28" x14ac:dyDescent="0.2">
      <c r="J3235" s="358" t="str">
        <f t="shared" si="146"/>
        <v>2012FemaleAllEth222</v>
      </c>
      <c r="K3235" s="359">
        <v>2012</v>
      </c>
      <c r="L3235" t="s">
        <v>8</v>
      </c>
      <c r="M3235" t="s">
        <v>27</v>
      </c>
      <c r="N3235">
        <v>22</v>
      </c>
      <c r="O3235">
        <v>2</v>
      </c>
      <c r="P3235">
        <v>6</v>
      </c>
      <c r="Q3235">
        <v>11.1246382256133</v>
      </c>
      <c r="R3235">
        <v>8.9</v>
      </c>
      <c r="T3235" s="358" t="str">
        <f t="shared" si="147"/>
        <v>2011MaleAllEth24Jumping from a high place</v>
      </c>
      <c r="U3235" s="360">
        <v>2011</v>
      </c>
      <c r="V3235" s="360" t="s">
        <v>20</v>
      </c>
      <c r="W3235" s="360" t="s">
        <v>27</v>
      </c>
      <c r="X3235" s="360">
        <v>24</v>
      </c>
      <c r="Y3235" s="360" t="s">
        <v>44</v>
      </c>
      <c r="Z3235" s="360">
        <v>2</v>
      </c>
      <c r="AA3235" s="360">
        <v>117</v>
      </c>
      <c r="AB3235" s="360">
        <v>1.7</v>
      </c>
    </row>
    <row r="3236" spans="10:28" x14ac:dyDescent="0.2">
      <c r="J3236" s="358" t="str">
        <f t="shared" si="146"/>
        <v>2012FemaleAllEth223</v>
      </c>
      <c r="K3236" s="359">
        <v>2012</v>
      </c>
      <c r="L3236" t="s">
        <v>8</v>
      </c>
      <c r="M3236" t="s">
        <v>27</v>
      </c>
      <c r="N3236">
        <v>22</v>
      </c>
      <c r="O3236">
        <v>3</v>
      </c>
      <c r="P3236">
        <v>5</v>
      </c>
      <c r="Q3236">
        <v>8.6984156999726299</v>
      </c>
      <c r="R3236">
        <v>7.6</v>
      </c>
      <c r="T3236" s="358" t="str">
        <f t="shared" si="147"/>
        <v>2011MaleAllEth25Jumping from a high place</v>
      </c>
      <c r="U3236" s="360">
        <v>2011</v>
      </c>
      <c r="V3236" s="360" t="s">
        <v>20</v>
      </c>
      <c r="W3236" s="360" t="s">
        <v>27</v>
      </c>
      <c r="X3236" s="360">
        <v>25</v>
      </c>
      <c r="Y3236" s="360" t="s">
        <v>44</v>
      </c>
      <c r="Z3236" s="360">
        <v>1</v>
      </c>
      <c r="AA3236" s="360">
        <v>31</v>
      </c>
      <c r="AB3236" s="360">
        <v>3.2</v>
      </c>
    </row>
    <row r="3237" spans="10:28" x14ac:dyDescent="0.2">
      <c r="J3237" s="358" t="str">
        <f t="shared" si="146"/>
        <v>2012FemaleAllEth224</v>
      </c>
      <c r="K3237" s="359">
        <v>2012</v>
      </c>
      <c r="L3237" t="s">
        <v>8</v>
      </c>
      <c r="M3237" t="s">
        <v>27</v>
      </c>
      <c r="N3237">
        <v>22</v>
      </c>
      <c r="O3237">
        <v>4</v>
      </c>
      <c r="P3237">
        <v>11</v>
      </c>
      <c r="Q3237">
        <v>16.6458471809174</v>
      </c>
      <c r="R3237">
        <v>9.8000000000000007</v>
      </c>
      <c r="T3237" s="358" t="str">
        <f t="shared" si="147"/>
        <v>2011MaleAllEth22Other</v>
      </c>
      <c r="U3237" s="360">
        <v>2011</v>
      </c>
      <c r="V3237" s="360" t="s">
        <v>20</v>
      </c>
      <c r="W3237" s="360" t="s">
        <v>27</v>
      </c>
      <c r="X3237" s="360">
        <v>22</v>
      </c>
      <c r="Y3237" s="360" t="s">
        <v>45</v>
      </c>
      <c r="Z3237" s="360">
        <v>5</v>
      </c>
      <c r="AA3237" s="360">
        <v>96</v>
      </c>
      <c r="AB3237" s="360">
        <v>5.2</v>
      </c>
    </row>
    <row r="3238" spans="10:28" x14ac:dyDescent="0.2">
      <c r="J3238" s="358" t="str">
        <f t="shared" si="146"/>
        <v>2012FemaleAllEth225</v>
      </c>
      <c r="K3238" s="359">
        <v>2012</v>
      </c>
      <c r="L3238" t="s">
        <v>8</v>
      </c>
      <c r="M3238" t="s">
        <v>27</v>
      </c>
      <c r="N3238">
        <v>22</v>
      </c>
      <c r="O3238">
        <v>5</v>
      </c>
      <c r="P3238">
        <v>18</v>
      </c>
      <c r="Q3238">
        <v>23.519888696348101</v>
      </c>
      <c r="R3238">
        <v>10.9</v>
      </c>
      <c r="T3238" s="358" t="str">
        <f t="shared" si="147"/>
        <v>2011MaleAllEth23Other</v>
      </c>
      <c r="U3238" s="360">
        <v>2011</v>
      </c>
      <c r="V3238" s="360" t="s">
        <v>20</v>
      </c>
      <c r="W3238" s="360" t="s">
        <v>27</v>
      </c>
      <c r="X3238" s="360">
        <v>23</v>
      </c>
      <c r="Y3238" s="360" t="s">
        <v>45</v>
      </c>
      <c r="Z3238" s="360">
        <v>3</v>
      </c>
      <c r="AA3238" s="360">
        <v>130</v>
      </c>
      <c r="AB3238" s="360">
        <v>2.2999999999999998</v>
      </c>
    </row>
    <row r="3239" spans="10:28" x14ac:dyDescent="0.2">
      <c r="J3239" s="358" t="str">
        <f t="shared" si="146"/>
        <v>2012FemaleAllEth231</v>
      </c>
      <c r="K3239" s="359">
        <v>2012</v>
      </c>
      <c r="L3239" t="s">
        <v>8</v>
      </c>
      <c r="M3239" t="s">
        <v>27</v>
      </c>
      <c r="N3239">
        <v>23</v>
      </c>
      <c r="O3239">
        <v>1</v>
      </c>
      <c r="P3239">
        <v>4</v>
      </c>
      <c r="Q3239">
        <v>3.4807212415182298</v>
      </c>
      <c r="R3239">
        <v>3.4</v>
      </c>
      <c r="T3239" s="358" t="str">
        <f t="shared" si="147"/>
        <v>2011MaleAllEth24Other</v>
      </c>
      <c r="U3239" s="360">
        <v>2011</v>
      </c>
      <c r="V3239" s="360" t="s">
        <v>20</v>
      </c>
      <c r="W3239" s="360" t="s">
        <v>27</v>
      </c>
      <c r="X3239" s="360">
        <v>24</v>
      </c>
      <c r="Y3239" s="360" t="s">
        <v>45</v>
      </c>
      <c r="Z3239" s="360">
        <v>3</v>
      </c>
      <c r="AA3239" s="360">
        <v>117</v>
      </c>
      <c r="AB3239" s="360">
        <v>2.6</v>
      </c>
    </row>
    <row r="3240" spans="10:28" x14ac:dyDescent="0.2">
      <c r="J3240" s="358" t="str">
        <f t="shared" si="146"/>
        <v>2012FemaleAllEth232</v>
      </c>
      <c r="K3240" s="359">
        <v>2012</v>
      </c>
      <c r="L3240" t="s">
        <v>8</v>
      </c>
      <c r="M3240" t="s">
        <v>27</v>
      </c>
      <c r="N3240">
        <v>23</v>
      </c>
      <c r="O3240">
        <v>2</v>
      </c>
      <c r="P3240">
        <v>5</v>
      </c>
      <c r="Q3240">
        <v>4.0871772498913996</v>
      </c>
      <c r="R3240">
        <v>3.6</v>
      </c>
      <c r="T3240" s="358" t="str">
        <f t="shared" si="147"/>
        <v>2011MaleAllEth25Other</v>
      </c>
      <c r="U3240" s="360">
        <v>2011</v>
      </c>
      <c r="V3240" s="360" t="s">
        <v>20</v>
      </c>
      <c r="W3240" s="360" t="s">
        <v>27</v>
      </c>
      <c r="X3240" s="360">
        <v>25</v>
      </c>
      <c r="Y3240" s="360" t="s">
        <v>45</v>
      </c>
      <c r="Z3240" s="360">
        <v>2</v>
      </c>
      <c r="AA3240" s="360">
        <v>31</v>
      </c>
      <c r="AB3240" s="360">
        <v>6.5</v>
      </c>
    </row>
    <row r="3241" spans="10:28" x14ac:dyDescent="0.2">
      <c r="J3241" s="358" t="str">
        <f t="shared" si="146"/>
        <v>2012FemaleAllEth233</v>
      </c>
      <c r="K3241" s="359">
        <v>2012</v>
      </c>
      <c r="L3241" t="s">
        <v>8</v>
      </c>
      <c r="M3241" t="s">
        <v>27</v>
      </c>
      <c r="N3241">
        <v>23</v>
      </c>
      <c r="O3241">
        <v>3</v>
      </c>
      <c r="P3241">
        <v>7</v>
      </c>
      <c r="Q3241">
        <v>5.6881823677885599</v>
      </c>
      <c r="R3241">
        <v>4.2</v>
      </c>
      <c r="T3241" s="358" t="str">
        <f t="shared" si="147"/>
        <v>2011MaleAllEth22Poisoning by gases and vapours</v>
      </c>
      <c r="U3241" s="360">
        <v>2011</v>
      </c>
      <c r="V3241" s="360" t="s">
        <v>20</v>
      </c>
      <c r="W3241" s="360" t="s">
        <v>27</v>
      </c>
      <c r="X3241" s="360">
        <v>22</v>
      </c>
      <c r="Y3241" s="360" t="s">
        <v>46</v>
      </c>
      <c r="Z3241" s="360">
        <v>6</v>
      </c>
      <c r="AA3241" s="360">
        <v>96</v>
      </c>
      <c r="AB3241" s="360">
        <v>6.2</v>
      </c>
    </row>
    <row r="3242" spans="10:28" x14ac:dyDescent="0.2">
      <c r="J3242" s="358" t="str">
        <f t="shared" si="146"/>
        <v>2012FemaleAllEth234</v>
      </c>
      <c r="K3242" s="359">
        <v>2012</v>
      </c>
      <c r="L3242" t="s">
        <v>8</v>
      </c>
      <c r="M3242" t="s">
        <v>27</v>
      </c>
      <c r="N3242">
        <v>23</v>
      </c>
      <c r="O3242">
        <v>4</v>
      </c>
      <c r="P3242">
        <v>14</v>
      </c>
      <c r="Q3242">
        <v>11.6530602838648</v>
      </c>
      <c r="R3242">
        <v>6.1</v>
      </c>
      <c r="T3242" s="358" t="str">
        <f t="shared" si="147"/>
        <v>2011MaleAllEth23Poisoning by gases and vapours</v>
      </c>
      <c r="U3242" s="360">
        <v>2011</v>
      </c>
      <c r="V3242" s="360" t="s">
        <v>20</v>
      </c>
      <c r="W3242" s="360" t="s">
        <v>27</v>
      </c>
      <c r="X3242" s="360">
        <v>23</v>
      </c>
      <c r="Y3242" s="360" t="s">
        <v>46</v>
      </c>
      <c r="Z3242" s="360">
        <v>18</v>
      </c>
      <c r="AA3242" s="360">
        <v>130</v>
      </c>
      <c r="AB3242" s="360">
        <v>13.8</v>
      </c>
    </row>
    <row r="3243" spans="10:28" x14ac:dyDescent="0.2">
      <c r="J3243" s="358" t="str">
        <f t="shared" si="146"/>
        <v>2012FemaleAllEth235</v>
      </c>
      <c r="K3243" s="359">
        <v>2012</v>
      </c>
      <c r="L3243" t="s">
        <v>8</v>
      </c>
      <c r="M3243" t="s">
        <v>27</v>
      </c>
      <c r="N3243">
        <v>23</v>
      </c>
      <c r="O3243">
        <v>5</v>
      </c>
      <c r="P3243">
        <v>9</v>
      </c>
      <c r="Q3243">
        <v>7.7395664053941502</v>
      </c>
      <c r="R3243">
        <v>5.0999999999999996</v>
      </c>
      <c r="T3243" s="358" t="str">
        <f t="shared" si="147"/>
        <v>2011MaleAllEth24Poisoning by gases and vapours</v>
      </c>
      <c r="U3243" s="360">
        <v>2011</v>
      </c>
      <c r="V3243" s="360" t="s">
        <v>20</v>
      </c>
      <c r="W3243" s="360" t="s">
        <v>27</v>
      </c>
      <c r="X3243" s="360">
        <v>24</v>
      </c>
      <c r="Y3243" s="360" t="s">
        <v>46</v>
      </c>
      <c r="Z3243" s="360">
        <v>18</v>
      </c>
      <c r="AA3243" s="360">
        <v>117</v>
      </c>
      <c r="AB3243" s="360">
        <v>15.4</v>
      </c>
    </row>
    <row r="3244" spans="10:28" x14ac:dyDescent="0.2">
      <c r="J3244" s="358" t="str">
        <f t="shared" si="146"/>
        <v>2012FemaleAllEth241</v>
      </c>
      <c r="K3244" s="359">
        <v>2012</v>
      </c>
      <c r="L3244" t="s">
        <v>8</v>
      </c>
      <c r="M3244" t="s">
        <v>27</v>
      </c>
      <c r="N3244">
        <v>24</v>
      </c>
      <c r="O3244">
        <v>1</v>
      </c>
      <c r="P3244">
        <v>4</v>
      </c>
      <c r="Q3244">
        <v>2.8615071800141298</v>
      </c>
      <c r="R3244">
        <v>2.8</v>
      </c>
      <c r="T3244" s="358" t="str">
        <f t="shared" si="147"/>
        <v>2011MaleAllEth25Poisoning by gases and vapours</v>
      </c>
      <c r="U3244" s="360">
        <v>2011</v>
      </c>
      <c r="V3244" s="360" t="s">
        <v>20</v>
      </c>
      <c r="W3244" s="360" t="s">
        <v>27</v>
      </c>
      <c r="X3244" s="360">
        <v>25</v>
      </c>
      <c r="Y3244" s="360" t="s">
        <v>46</v>
      </c>
      <c r="Z3244" s="360">
        <v>1</v>
      </c>
      <c r="AA3244" s="360">
        <v>31</v>
      </c>
      <c r="AB3244" s="360">
        <v>3.2</v>
      </c>
    </row>
    <row r="3245" spans="10:28" x14ac:dyDescent="0.2">
      <c r="J3245" s="358" t="str">
        <f t="shared" si="146"/>
        <v>2012FemaleAllEth242</v>
      </c>
      <c r="K3245" s="359">
        <v>2012</v>
      </c>
      <c r="L3245" t="s">
        <v>8</v>
      </c>
      <c r="M3245" t="s">
        <v>27</v>
      </c>
      <c r="N3245">
        <v>24</v>
      </c>
      <c r="O3245">
        <v>2</v>
      </c>
      <c r="P3245">
        <v>10</v>
      </c>
      <c r="Q3245">
        <v>7.9600404890147702</v>
      </c>
      <c r="R3245">
        <v>4.9000000000000004</v>
      </c>
      <c r="T3245" s="358" t="str">
        <f t="shared" si="147"/>
        <v>2011MaleAllEth22Poisoning by solids and liquids</v>
      </c>
      <c r="U3245" s="360">
        <v>2011</v>
      </c>
      <c r="V3245" s="360" t="s">
        <v>20</v>
      </c>
      <c r="W3245" s="360" t="s">
        <v>27</v>
      </c>
      <c r="X3245" s="360">
        <v>22</v>
      </c>
      <c r="Y3245" s="360" t="s">
        <v>47</v>
      </c>
      <c r="Z3245" s="360">
        <v>4</v>
      </c>
      <c r="AA3245" s="360">
        <v>96</v>
      </c>
      <c r="AB3245" s="360">
        <v>4.2</v>
      </c>
    </row>
    <row r="3246" spans="10:28" x14ac:dyDescent="0.2">
      <c r="J3246" s="358" t="str">
        <f t="shared" si="146"/>
        <v>2012FemaleAllEth243</v>
      </c>
      <c r="K3246" s="359">
        <v>2012</v>
      </c>
      <c r="L3246" t="s">
        <v>8</v>
      </c>
      <c r="M3246" t="s">
        <v>27</v>
      </c>
      <c r="N3246">
        <v>24</v>
      </c>
      <c r="O3246">
        <v>3</v>
      </c>
      <c r="P3246">
        <v>6</v>
      </c>
      <c r="Q3246">
        <v>5.2499389653330804</v>
      </c>
      <c r="R3246">
        <v>4.2</v>
      </c>
      <c r="T3246" s="358" t="str">
        <f t="shared" si="147"/>
        <v>2011MaleAllEth23Poisoning by solids and liquids</v>
      </c>
      <c r="U3246" s="360">
        <v>2011</v>
      </c>
      <c r="V3246" s="360" t="s">
        <v>20</v>
      </c>
      <c r="W3246" s="360" t="s">
        <v>27</v>
      </c>
      <c r="X3246" s="360">
        <v>23</v>
      </c>
      <c r="Y3246" s="360" t="s">
        <v>47</v>
      </c>
      <c r="Z3246" s="360">
        <v>12</v>
      </c>
      <c r="AA3246" s="360">
        <v>130</v>
      </c>
      <c r="AB3246" s="360">
        <v>9.1999999999999993</v>
      </c>
    </row>
    <row r="3247" spans="10:28" x14ac:dyDescent="0.2">
      <c r="J3247" s="358" t="str">
        <f t="shared" si="146"/>
        <v>2012FemaleAllEth244</v>
      </c>
      <c r="K3247" s="359">
        <v>2012</v>
      </c>
      <c r="L3247" t="s">
        <v>8</v>
      </c>
      <c r="M3247" t="s">
        <v>27</v>
      </c>
      <c r="N3247">
        <v>24</v>
      </c>
      <c r="O3247">
        <v>4</v>
      </c>
      <c r="P3247">
        <v>12</v>
      </c>
      <c r="Q3247">
        <v>11.553729741612701</v>
      </c>
      <c r="R3247">
        <v>6.5</v>
      </c>
      <c r="T3247" s="358" t="str">
        <f t="shared" si="147"/>
        <v>2011MaleAllEth24Poisoning by solids and liquids</v>
      </c>
      <c r="U3247" s="360">
        <v>2011</v>
      </c>
      <c r="V3247" s="360" t="s">
        <v>20</v>
      </c>
      <c r="W3247" s="360" t="s">
        <v>27</v>
      </c>
      <c r="X3247" s="360">
        <v>24</v>
      </c>
      <c r="Y3247" s="360" t="s">
        <v>47</v>
      </c>
      <c r="Z3247" s="360">
        <v>10</v>
      </c>
      <c r="AA3247" s="360">
        <v>117</v>
      </c>
      <c r="AB3247" s="360">
        <v>8.5</v>
      </c>
    </row>
    <row r="3248" spans="10:28" x14ac:dyDescent="0.2">
      <c r="J3248" s="358" t="str">
        <f t="shared" si="146"/>
        <v>2012FemaleAllEth245</v>
      </c>
      <c r="K3248" s="359">
        <v>2012</v>
      </c>
      <c r="L3248" t="s">
        <v>8</v>
      </c>
      <c r="M3248" t="s">
        <v>27</v>
      </c>
      <c r="N3248">
        <v>24</v>
      </c>
      <c r="O3248">
        <v>5</v>
      </c>
      <c r="P3248">
        <v>8</v>
      </c>
      <c r="Q3248">
        <v>8.3276068584515404</v>
      </c>
      <c r="R3248">
        <v>5.8</v>
      </c>
      <c r="T3248" s="358" t="str">
        <f t="shared" si="147"/>
        <v>2011MaleAllEth25Poisoning by solids and liquids</v>
      </c>
      <c r="U3248" s="360">
        <v>2011</v>
      </c>
      <c r="V3248" s="360" t="s">
        <v>20</v>
      </c>
      <c r="W3248" s="360" t="s">
        <v>27</v>
      </c>
      <c r="X3248" s="360">
        <v>25</v>
      </c>
      <c r="Y3248" s="360" t="s">
        <v>47</v>
      </c>
      <c r="Z3248" s="360">
        <v>5</v>
      </c>
      <c r="AA3248" s="360">
        <v>31</v>
      </c>
      <c r="AB3248" s="360">
        <v>16.100000000000001</v>
      </c>
    </row>
    <row r="3249" spans="10:28" x14ac:dyDescent="0.2">
      <c r="J3249" s="358" t="str">
        <f t="shared" si="146"/>
        <v>2012FemaleAllEth251</v>
      </c>
      <c r="K3249" s="359">
        <v>2012</v>
      </c>
      <c r="L3249" t="s">
        <v>8</v>
      </c>
      <c r="M3249" t="s">
        <v>27</v>
      </c>
      <c r="N3249">
        <v>25</v>
      </c>
      <c r="O3249">
        <v>1</v>
      </c>
      <c r="P3249">
        <v>0</v>
      </c>
      <c r="Q3249">
        <v>0</v>
      </c>
      <c r="T3249" s="358" t="str">
        <f t="shared" si="147"/>
        <v>2011MaleAllEth23Sharp object</v>
      </c>
      <c r="U3249" s="360">
        <v>2011</v>
      </c>
      <c r="V3249" s="360" t="s">
        <v>20</v>
      </c>
      <c r="W3249" s="360" t="s">
        <v>27</v>
      </c>
      <c r="X3249" s="360">
        <v>23</v>
      </c>
      <c r="Y3249" s="360" t="s">
        <v>48</v>
      </c>
      <c r="Z3249" s="360">
        <v>1</v>
      </c>
      <c r="AA3249" s="360">
        <v>130</v>
      </c>
      <c r="AB3249" s="360">
        <v>0.8</v>
      </c>
    </row>
    <row r="3250" spans="10:28" x14ac:dyDescent="0.2">
      <c r="J3250" s="358" t="str">
        <f t="shared" si="146"/>
        <v>2012FemaleAllEth252</v>
      </c>
      <c r="K3250" s="359">
        <v>2012</v>
      </c>
      <c r="L3250" t="s">
        <v>8</v>
      </c>
      <c r="M3250" t="s">
        <v>27</v>
      </c>
      <c r="N3250">
        <v>25</v>
      </c>
      <c r="O3250">
        <v>2</v>
      </c>
      <c r="P3250">
        <v>2</v>
      </c>
      <c r="Q3250">
        <v>2.9970539106656799</v>
      </c>
      <c r="R3250">
        <v>4.2</v>
      </c>
      <c r="T3250" s="358" t="str">
        <f t="shared" si="147"/>
        <v>2011MaleAllEth24Sharp object</v>
      </c>
      <c r="U3250" s="360">
        <v>2011</v>
      </c>
      <c r="V3250" s="360" t="s">
        <v>20</v>
      </c>
      <c r="W3250" s="360" t="s">
        <v>27</v>
      </c>
      <c r="X3250" s="360">
        <v>24</v>
      </c>
      <c r="Y3250" s="360" t="s">
        <v>48</v>
      </c>
      <c r="Z3250" s="360">
        <v>2</v>
      </c>
      <c r="AA3250" s="360">
        <v>117</v>
      </c>
      <c r="AB3250" s="360">
        <v>1.7</v>
      </c>
    </row>
    <row r="3251" spans="10:28" x14ac:dyDescent="0.2">
      <c r="J3251" s="358" t="str">
        <f t="shared" si="146"/>
        <v>2012FemaleAllEth253</v>
      </c>
      <c r="K3251" s="359">
        <v>2012</v>
      </c>
      <c r="L3251" t="s">
        <v>8</v>
      </c>
      <c r="M3251" t="s">
        <v>27</v>
      </c>
      <c r="N3251">
        <v>25</v>
      </c>
      <c r="O3251">
        <v>3</v>
      </c>
      <c r="P3251">
        <v>3</v>
      </c>
      <c r="Q3251">
        <v>4.4438530519960402</v>
      </c>
      <c r="R3251">
        <v>5</v>
      </c>
      <c r="T3251" s="358" t="str">
        <f t="shared" si="147"/>
        <v>2011MaleAllEth25Sharp object</v>
      </c>
      <c r="U3251" s="360">
        <v>2011</v>
      </c>
      <c r="V3251" s="360" t="s">
        <v>20</v>
      </c>
      <c r="W3251" s="360" t="s">
        <v>27</v>
      </c>
      <c r="X3251" s="360">
        <v>25</v>
      </c>
      <c r="Y3251" s="360" t="s">
        <v>48</v>
      </c>
      <c r="Z3251" s="360">
        <v>3</v>
      </c>
      <c r="AA3251" s="360">
        <v>31</v>
      </c>
      <c r="AB3251" s="360">
        <v>9.6999999999999993</v>
      </c>
    </row>
    <row r="3252" spans="10:28" x14ac:dyDescent="0.2">
      <c r="J3252" s="358" t="str">
        <f t="shared" si="146"/>
        <v>2012FemaleAllEth254</v>
      </c>
      <c r="K3252" s="359">
        <v>2012</v>
      </c>
      <c r="L3252" t="s">
        <v>8</v>
      </c>
      <c r="M3252" t="s">
        <v>27</v>
      </c>
      <c r="N3252">
        <v>25</v>
      </c>
      <c r="O3252">
        <v>4</v>
      </c>
      <c r="P3252">
        <v>4</v>
      </c>
      <c r="Q3252">
        <v>5.6719798744883301</v>
      </c>
      <c r="R3252">
        <v>5.6</v>
      </c>
      <c r="T3252" s="358" t="str">
        <f t="shared" si="147"/>
        <v>2011MaleAllEth23Submersion (drowning)</v>
      </c>
      <c r="U3252" s="360">
        <v>2011</v>
      </c>
      <c r="V3252" s="360" t="s">
        <v>20</v>
      </c>
      <c r="W3252" s="360" t="s">
        <v>27</v>
      </c>
      <c r="X3252" s="360">
        <v>23</v>
      </c>
      <c r="Y3252" s="360" t="s">
        <v>49</v>
      </c>
      <c r="Z3252" s="360">
        <v>3</v>
      </c>
      <c r="AA3252" s="360">
        <v>130</v>
      </c>
      <c r="AB3252" s="360">
        <v>2.2999999999999998</v>
      </c>
    </row>
    <row r="3253" spans="10:28" x14ac:dyDescent="0.2">
      <c r="J3253" s="358" t="str">
        <f t="shared" si="146"/>
        <v>2012FemaleAllEth255</v>
      </c>
      <c r="K3253" s="359">
        <v>2012</v>
      </c>
      <c r="L3253" t="s">
        <v>8</v>
      </c>
      <c r="M3253" t="s">
        <v>27</v>
      </c>
      <c r="N3253">
        <v>25</v>
      </c>
      <c r="O3253">
        <v>5</v>
      </c>
      <c r="P3253">
        <v>4</v>
      </c>
      <c r="Q3253">
        <v>7.0770540970332103</v>
      </c>
      <c r="R3253">
        <v>6.9</v>
      </c>
      <c r="T3253" s="358" t="str">
        <f t="shared" si="147"/>
        <v>2011MaleAllEth24Submersion (drowning)</v>
      </c>
      <c r="U3253" s="360">
        <v>2011</v>
      </c>
      <c r="V3253" s="360" t="s">
        <v>20</v>
      </c>
      <c r="W3253" s="360" t="s">
        <v>27</v>
      </c>
      <c r="X3253" s="360">
        <v>24</v>
      </c>
      <c r="Y3253" s="360" t="s">
        <v>49</v>
      </c>
      <c r="Z3253" s="360">
        <v>2</v>
      </c>
      <c r="AA3253" s="360">
        <v>117</v>
      </c>
      <c r="AB3253" s="360">
        <v>1.7</v>
      </c>
    </row>
    <row r="3254" spans="10:28" x14ac:dyDescent="0.2">
      <c r="J3254" s="358" t="str">
        <f t="shared" si="146"/>
        <v>2012FemaleMaori211</v>
      </c>
      <c r="K3254" s="359">
        <v>2012</v>
      </c>
      <c r="L3254" t="s">
        <v>8</v>
      </c>
      <c r="M3254" t="s">
        <v>18</v>
      </c>
      <c r="N3254">
        <v>21</v>
      </c>
      <c r="O3254">
        <v>1</v>
      </c>
      <c r="P3254">
        <v>0</v>
      </c>
      <c r="T3254" s="358" t="str">
        <f t="shared" si="147"/>
        <v>2011MaleAllEth25Submersion (drowning)</v>
      </c>
      <c r="U3254" s="360">
        <v>2011</v>
      </c>
      <c r="V3254" s="360" t="s">
        <v>20</v>
      </c>
      <c r="W3254" s="360" t="s">
        <v>27</v>
      </c>
      <c r="X3254" s="360">
        <v>25</v>
      </c>
      <c r="Y3254" s="360" t="s">
        <v>49</v>
      </c>
      <c r="Z3254" s="360">
        <v>3</v>
      </c>
      <c r="AA3254" s="360">
        <v>31</v>
      </c>
      <c r="AB3254" s="360">
        <v>9.6999999999999993</v>
      </c>
    </row>
    <row r="3255" spans="10:28" x14ac:dyDescent="0.2">
      <c r="J3255" s="358" t="str">
        <f t="shared" si="146"/>
        <v>2012FemaleMaori212</v>
      </c>
      <c r="K3255" s="359">
        <v>2012</v>
      </c>
      <c r="L3255" t="s">
        <v>8</v>
      </c>
      <c r="M3255" t="s">
        <v>18</v>
      </c>
      <c r="N3255">
        <v>21</v>
      </c>
      <c r="O3255">
        <v>2</v>
      </c>
      <c r="P3255">
        <v>0</v>
      </c>
      <c r="T3255" s="358" t="str">
        <f t="shared" si="147"/>
        <v>2011MaleMaori22Firearms and explosives</v>
      </c>
      <c r="U3255" s="360">
        <v>2011</v>
      </c>
      <c r="V3255" s="360" t="s">
        <v>20</v>
      </c>
      <c r="W3255" s="360" t="s">
        <v>18</v>
      </c>
      <c r="X3255" s="360">
        <v>22</v>
      </c>
      <c r="Y3255" s="360" t="s">
        <v>42</v>
      </c>
      <c r="Z3255" s="360">
        <v>1</v>
      </c>
      <c r="AA3255" s="360">
        <v>33</v>
      </c>
      <c r="AB3255" s="360">
        <v>3</v>
      </c>
    </row>
    <row r="3256" spans="10:28" x14ac:dyDescent="0.2">
      <c r="J3256" s="358" t="str">
        <f t="shared" si="146"/>
        <v>2012FemaleMaori213</v>
      </c>
      <c r="K3256" s="359">
        <v>2012</v>
      </c>
      <c r="L3256" t="s">
        <v>8</v>
      </c>
      <c r="M3256" t="s">
        <v>18</v>
      </c>
      <c r="N3256">
        <v>21</v>
      </c>
      <c r="O3256">
        <v>3</v>
      </c>
      <c r="P3256">
        <v>0</v>
      </c>
      <c r="T3256" s="358" t="str">
        <f t="shared" si="147"/>
        <v>2011MaleMaori23Firearms and explosives</v>
      </c>
      <c r="U3256" s="360">
        <v>2011</v>
      </c>
      <c r="V3256" s="360" t="s">
        <v>20</v>
      </c>
      <c r="W3256" s="360" t="s">
        <v>18</v>
      </c>
      <c r="X3256" s="360">
        <v>23</v>
      </c>
      <c r="Y3256" s="360" t="s">
        <v>42</v>
      </c>
      <c r="Z3256" s="360">
        <v>1</v>
      </c>
      <c r="AA3256" s="360">
        <v>33</v>
      </c>
      <c r="AB3256" s="360">
        <v>3</v>
      </c>
    </row>
    <row r="3257" spans="10:28" x14ac:dyDescent="0.2">
      <c r="J3257" s="358" t="str">
        <f t="shared" si="146"/>
        <v>2012FemaleMaori214</v>
      </c>
      <c r="K3257" s="359">
        <v>2012</v>
      </c>
      <c r="L3257" t="s">
        <v>8</v>
      </c>
      <c r="M3257" t="s">
        <v>18</v>
      </c>
      <c r="N3257">
        <v>21</v>
      </c>
      <c r="O3257">
        <v>4</v>
      </c>
      <c r="P3257">
        <v>0</v>
      </c>
      <c r="T3257" s="358" t="str">
        <f t="shared" si="147"/>
        <v>2011MaleMaori21Hanging, strangulation and suffocation</v>
      </c>
      <c r="U3257" s="360">
        <v>2011</v>
      </c>
      <c r="V3257" s="360" t="s">
        <v>20</v>
      </c>
      <c r="W3257" s="360" t="s">
        <v>18</v>
      </c>
      <c r="X3257" s="360">
        <v>21</v>
      </c>
      <c r="Y3257" s="360" t="s">
        <v>43</v>
      </c>
      <c r="Z3257" s="360">
        <v>2</v>
      </c>
      <c r="AA3257" s="360">
        <v>2</v>
      </c>
      <c r="AB3257" s="360">
        <v>100</v>
      </c>
    </row>
    <row r="3258" spans="10:28" x14ac:dyDescent="0.2">
      <c r="J3258" s="358" t="str">
        <f t="shared" si="146"/>
        <v>2012FemaleMaori215</v>
      </c>
      <c r="K3258" s="359">
        <v>2012</v>
      </c>
      <c r="L3258" t="s">
        <v>8</v>
      </c>
      <c r="M3258" t="s">
        <v>18</v>
      </c>
      <c r="N3258">
        <v>21</v>
      </c>
      <c r="O3258">
        <v>5</v>
      </c>
      <c r="P3258">
        <v>3</v>
      </c>
      <c r="T3258" s="358" t="str">
        <f t="shared" si="147"/>
        <v>2011MaleMaori22Hanging, strangulation and suffocation</v>
      </c>
      <c r="U3258" s="360">
        <v>2011</v>
      </c>
      <c r="V3258" s="360" t="s">
        <v>20</v>
      </c>
      <c r="W3258" s="360" t="s">
        <v>18</v>
      </c>
      <c r="X3258" s="360">
        <v>22</v>
      </c>
      <c r="Y3258" s="360" t="s">
        <v>43</v>
      </c>
      <c r="Z3258" s="360">
        <v>30</v>
      </c>
      <c r="AA3258" s="360">
        <v>33</v>
      </c>
      <c r="AB3258" s="360">
        <v>90.9</v>
      </c>
    </row>
    <row r="3259" spans="10:28" x14ac:dyDescent="0.2">
      <c r="J3259" s="358" t="str">
        <f t="shared" si="146"/>
        <v>2012FemaleMaori221</v>
      </c>
      <c r="K3259" s="359">
        <v>2012</v>
      </c>
      <c r="L3259" t="s">
        <v>8</v>
      </c>
      <c r="M3259" t="s">
        <v>18</v>
      </c>
      <c r="N3259">
        <v>22</v>
      </c>
      <c r="O3259">
        <v>1</v>
      </c>
      <c r="P3259">
        <v>0</v>
      </c>
      <c r="Q3259">
        <v>0</v>
      </c>
      <c r="T3259" s="358" t="str">
        <f t="shared" si="147"/>
        <v>2011MaleMaori23Hanging, strangulation and suffocation</v>
      </c>
      <c r="U3259" s="360">
        <v>2011</v>
      </c>
      <c r="V3259" s="360" t="s">
        <v>20</v>
      </c>
      <c r="W3259" s="360" t="s">
        <v>18</v>
      </c>
      <c r="X3259" s="360">
        <v>23</v>
      </c>
      <c r="Y3259" s="360" t="s">
        <v>43</v>
      </c>
      <c r="Z3259" s="360">
        <v>27</v>
      </c>
      <c r="AA3259" s="360">
        <v>33</v>
      </c>
      <c r="AB3259" s="360">
        <v>81.8</v>
      </c>
    </row>
    <row r="3260" spans="10:28" x14ac:dyDescent="0.2">
      <c r="J3260" s="358" t="str">
        <f t="shared" si="146"/>
        <v>2012FemaleMaori222</v>
      </c>
      <c r="K3260" s="359">
        <v>2012</v>
      </c>
      <c r="L3260" t="s">
        <v>8</v>
      </c>
      <c r="M3260" t="s">
        <v>18</v>
      </c>
      <c r="N3260">
        <v>22</v>
      </c>
      <c r="O3260">
        <v>2</v>
      </c>
      <c r="P3260">
        <v>3</v>
      </c>
      <c r="Q3260">
        <v>43.721992895085201</v>
      </c>
      <c r="R3260">
        <v>49.5</v>
      </c>
      <c r="T3260" s="358" t="str">
        <f t="shared" si="147"/>
        <v>2011MaleMaori24Hanging, strangulation and suffocation</v>
      </c>
      <c r="U3260" s="360">
        <v>2011</v>
      </c>
      <c r="V3260" s="360" t="s">
        <v>20</v>
      </c>
      <c r="W3260" s="360" t="s">
        <v>18</v>
      </c>
      <c r="X3260" s="360">
        <v>24</v>
      </c>
      <c r="Y3260" s="360" t="s">
        <v>43</v>
      </c>
      <c r="Z3260" s="360">
        <v>7</v>
      </c>
      <c r="AA3260" s="360">
        <v>13</v>
      </c>
      <c r="AB3260" s="360">
        <v>53.8</v>
      </c>
    </row>
    <row r="3261" spans="10:28" x14ac:dyDescent="0.2">
      <c r="J3261" s="358" t="str">
        <f t="shared" si="146"/>
        <v>2012FemaleMaori223</v>
      </c>
      <c r="K3261" s="359">
        <v>2012</v>
      </c>
      <c r="L3261" t="s">
        <v>8</v>
      </c>
      <c r="M3261" t="s">
        <v>18</v>
      </c>
      <c r="N3261">
        <v>22</v>
      </c>
      <c r="O3261">
        <v>3</v>
      </c>
      <c r="P3261">
        <v>2</v>
      </c>
      <c r="Q3261">
        <v>19.791494372000098</v>
      </c>
      <c r="R3261">
        <v>27.4</v>
      </c>
      <c r="T3261" s="358" t="str">
        <f t="shared" si="147"/>
        <v>2011MaleMaori24Jumping from a high place</v>
      </c>
      <c r="U3261" s="360">
        <v>2011</v>
      </c>
      <c r="V3261" s="360" t="s">
        <v>20</v>
      </c>
      <c r="W3261" s="360" t="s">
        <v>18</v>
      </c>
      <c r="X3261" s="360">
        <v>24</v>
      </c>
      <c r="Y3261" s="360" t="s">
        <v>44</v>
      </c>
      <c r="Z3261" s="360">
        <v>1</v>
      </c>
      <c r="AA3261" s="360">
        <v>13</v>
      </c>
      <c r="AB3261" s="360">
        <v>7.7</v>
      </c>
    </row>
    <row r="3262" spans="10:28" x14ac:dyDescent="0.2">
      <c r="J3262" s="358" t="str">
        <f t="shared" si="146"/>
        <v>2012FemaleMaori224</v>
      </c>
      <c r="K3262" s="359">
        <v>2012</v>
      </c>
      <c r="L3262" t="s">
        <v>8</v>
      </c>
      <c r="M3262" t="s">
        <v>18</v>
      </c>
      <c r="N3262">
        <v>22</v>
      </c>
      <c r="O3262">
        <v>4</v>
      </c>
      <c r="P3262">
        <v>6</v>
      </c>
      <c r="Q3262">
        <v>40.120024397885601</v>
      </c>
      <c r="R3262">
        <v>32.1</v>
      </c>
      <c r="T3262" s="358" t="str">
        <f t="shared" si="147"/>
        <v>2011MaleMaori22Other</v>
      </c>
      <c r="U3262" s="360">
        <v>2011</v>
      </c>
      <c r="V3262" s="360" t="s">
        <v>20</v>
      </c>
      <c r="W3262" s="360" t="s">
        <v>18</v>
      </c>
      <c r="X3262" s="360">
        <v>22</v>
      </c>
      <c r="Y3262" s="360" t="s">
        <v>45</v>
      </c>
      <c r="Z3262" s="360">
        <v>2</v>
      </c>
      <c r="AA3262" s="360">
        <v>33</v>
      </c>
      <c r="AB3262" s="360">
        <v>6.1</v>
      </c>
    </row>
    <row r="3263" spans="10:28" x14ac:dyDescent="0.2">
      <c r="J3263" s="358" t="str">
        <f t="shared" si="146"/>
        <v>2012FemaleMaori225</v>
      </c>
      <c r="K3263" s="359">
        <v>2012</v>
      </c>
      <c r="L3263" t="s">
        <v>8</v>
      </c>
      <c r="M3263" t="s">
        <v>18</v>
      </c>
      <c r="N3263">
        <v>22</v>
      </c>
      <c r="O3263">
        <v>5</v>
      </c>
      <c r="P3263">
        <v>12</v>
      </c>
      <c r="Q3263">
        <v>45.184044146977598</v>
      </c>
      <c r="R3263">
        <v>25.6</v>
      </c>
      <c r="T3263" s="358" t="str">
        <f t="shared" si="147"/>
        <v>2011MaleMaori23Other</v>
      </c>
      <c r="U3263" s="360">
        <v>2011</v>
      </c>
      <c r="V3263" s="360" t="s">
        <v>20</v>
      </c>
      <c r="W3263" s="360" t="s">
        <v>18</v>
      </c>
      <c r="X3263" s="360">
        <v>23</v>
      </c>
      <c r="Y3263" s="360" t="s">
        <v>45</v>
      </c>
      <c r="Z3263" s="360">
        <v>1</v>
      </c>
      <c r="AA3263" s="360">
        <v>33</v>
      </c>
      <c r="AB3263" s="360">
        <v>3</v>
      </c>
    </row>
    <row r="3264" spans="10:28" x14ac:dyDescent="0.2">
      <c r="J3264" s="358" t="str">
        <f t="shared" si="146"/>
        <v>2012FemaleMaori231</v>
      </c>
      <c r="K3264" s="359">
        <v>2012</v>
      </c>
      <c r="L3264" t="s">
        <v>8</v>
      </c>
      <c r="M3264" t="s">
        <v>18</v>
      </c>
      <c r="N3264">
        <v>23</v>
      </c>
      <c r="O3264">
        <v>1</v>
      </c>
      <c r="P3264">
        <v>0</v>
      </c>
      <c r="Q3264">
        <v>0</v>
      </c>
      <c r="T3264" s="358" t="str">
        <f t="shared" si="147"/>
        <v>2011MaleMaori23Poisoning by gases and vapours</v>
      </c>
      <c r="U3264" s="360">
        <v>2011</v>
      </c>
      <c r="V3264" s="360" t="s">
        <v>20</v>
      </c>
      <c r="W3264" s="360" t="s">
        <v>18</v>
      </c>
      <c r="X3264" s="360">
        <v>23</v>
      </c>
      <c r="Y3264" s="360" t="s">
        <v>46</v>
      </c>
      <c r="Z3264" s="360">
        <v>1</v>
      </c>
      <c r="AA3264" s="360">
        <v>33</v>
      </c>
      <c r="AB3264" s="360">
        <v>3</v>
      </c>
    </row>
    <row r="3265" spans="10:28" x14ac:dyDescent="0.2">
      <c r="J3265" s="358" t="str">
        <f t="shared" si="146"/>
        <v>2012FemaleMaori232</v>
      </c>
      <c r="K3265" s="359">
        <v>2012</v>
      </c>
      <c r="L3265" t="s">
        <v>8</v>
      </c>
      <c r="M3265" t="s">
        <v>18</v>
      </c>
      <c r="N3265">
        <v>23</v>
      </c>
      <c r="O3265">
        <v>2</v>
      </c>
      <c r="P3265">
        <v>2</v>
      </c>
      <c r="Q3265">
        <v>18.7384381384154</v>
      </c>
      <c r="R3265">
        <v>26</v>
      </c>
      <c r="T3265" s="358" t="str">
        <f t="shared" si="147"/>
        <v>2011MaleMaori24Poisoning by gases and vapours</v>
      </c>
      <c r="U3265" s="360">
        <v>2011</v>
      </c>
      <c r="V3265" s="360" t="s">
        <v>20</v>
      </c>
      <c r="W3265" s="360" t="s">
        <v>18</v>
      </c>
      <c r="X3265" s="360">
        <v>24</v>
      </c>
      <c r="Y3265" s="360" t="s">
        <v>46</v>
      </c>
      <c r="Z3265" s="360">
        <v>4</v>
      </c>
      <c r="AA3265" s="360">
        <v>13</v>
      </c>
      <c r="AB3265" s="360">
        <v>30.8</v>
      </c>
    </row>
    <row r="3266" spans="10:28" x14ac:dyDescent="0.2">
      <c r="J3266" s="358" t="str">
        <f t="shared" si="146"/>
        <v>2012FemaleMaori233</v>
      </c>
      <c r="K3266" s="359">
        <v>2012</v>
      </c>
      <c r="L3266" t="s">
        <v>8</v>
      </c>
      <c r="M3266" t="s">
        <v>18</v>
      </c>
      <c r="N3266">
        <v>23</v>
      </c>
      <c r="O3266">
        <v>3</v>
      </c>
      <c r="P3266">
        <v>0</v>
      </c>
      <c r="Q3266">
        <v>0</v>
      </c>
      <c r="T3266" s="358" t="str">
        <f t="shared" si="147"/>
        <v>2011MaleMaori23Poisoning by solids and liquids</v>
      </c>
      <c r="U3266" s="360">
        <v>2011</v>
      </c>
      <c r="V3266" s="360" t="s">
        <v>20</v>
      </c>
      <c r="W3266" s="360" t="s">
        <v>18</v>
      </c>
      <c r="X3266" s="360">
        <v>23</v>
      </c>
      <c r="Y3266" s="360" t="s">
        <v>47</v>
      </c>
      <c r="Z3266" s="360">
        <v>1</v>
      </c>
      <c r="AA3266" s="360">
        <v>33</v>
      </c>
      <c r="AB3266" s="360">
        <v>3</v>
      </c>
    </row>
    <row r="3267" spans="10:28" x14ac:dyDescent="0.2">
      <c r="J3267" s="358" t="str">
        <f t="shared" si="146"/>
        <v>2012FemaleMaori234</v>
      </c>
      <c r="K3267" s="359">
        <v>2012</v>
      </c>
      <c r="L3267" t="s">
        <v>8</v>
      </c>
      <c r="M3267" t="s">
        <v>18</v>
      </c>
      <c r="N3267">
        <v>23</v>
      </c>
      <c r="O3267">
        <v>4</v>
      </c>
      <c r="P3267">
        <v>5</v>
      </c>
      <c r="Q3267">
        <v>23.980418456725999</v>
      </c>
      <c r="R3267">
        <v>21</v>
      </c>
      <c r="T3267" s="358" t="str">
        <f t="shared" si="147"/>
        <v>2011MaleMaori24Poisoning by solids and liquids</v>
      </c>
      <c r="U3267" s="360">
        <v>2011</v>
      </c>
      <c r="V3267" s="360" t="s">
        <v>20</v>
      </c>
      <c r="W3267" s="360" t="s">
        <v>18</v>
      </c>
      <c r="X3267" s="360">
        <v>24</v>
      </c>
      <c r="Y3267" s="360" t="s">
        <v>47</v>
      </c>
      <c r="Z3267" s="360">
        <v>1</v>
      </c>
      <c r="AA3267" s="360">
        <v>13</v>
      </c>
      <c r="AB3267" s="360">
        <v>7.7</v>
      </c>
    </row>
    <row r="3268" spans="10:28" x14ac:dyDescent="0.2">
      <c r="J3268" s="358" t="str">
        <f t="shared" ref="J3268:J3331" si="148">K3268&amp;L3268&amp;M3268&amp;N3268&amp;O3268</f>
        <v>2012FemaleMaori235</v>
      </c>
      <c r="K3268" s="359">
        <v>2012</v>
      </c>
      <c r="L3268" t="s">
        <v>8</v>
      </c>
      <c r="M3268" t="s">
        <v>18</v>
      </c>
      <c r="N3268">
        <v>23</v>
      </c>
      <c r="O3268">
        <v>5</v>
      </c>
      <c r="P3268">
        <v>2</v>
      </c>
      <c r="Q3268">
        <v>5.5465025702047503</v>
      </c>
      <c r="R3268">
        <v>7.7</v>
      </c>
      <c r="T3268" s="358" t="str">
        <f t="shared" si="147"/>
        <v>2011MaleMaori23Sharp object</v>
      </c>
      <c r="U3268" s="360">
        <v>2011</v>
      </c>
      <c r="V3268" s="360" t="s">
        <v>20</v>
      </c>
      <c r="W3268" s="360" t="s">
        <v>18</v>
      </c>
      <c r="X3268" s="360">
        <v>23</v>
      </c>
      <c r="Y3268" s="360" t="s">
        <v>48</v>
      </c>
      <c r="Z3268" s="360">
        <v>1</v>
      </c>
      <c r="AA3268" s="360">
        <v>33</v>
      </c>
      <c r="AB3268" s="360">
        <v>3</v>
      </c>
    </row>
    <row r="3269" spans="10:28" x14ac:dyDescent="0.2">
      <c r="J3269" s="358" t="str">
        <f t="shared" si="148"/>
        <v>2012FemaleMaori241</v>
      </c>
      <c r="K3269" s="359">
        <v>2012</v>
      </c>
      <c r="L3269" t="s">
        <v>8</v>
      </c>
      <c r="M3269" t="s">
        <v>18</v>
      </c>
      <c r="N3269">
        <v>24</v>
      </c>
      <c r="O3269">
        <v>1</v>
      </c>
      <c r="P3269">
        <v>0</v>
      </c>
      <c r="Q3269">
        <v>0</v>
      </c>
      <c r="T3269" s="358" t="str">
        <f t="shared" ref="T3269:T3332" si="149">U3269&amp;V3269&amp;W3269&amp;X3269&amp;Y3269</f>
        <v>2011MaleMaori23Submersion (drowning)</v>
      </c>
      <c r="U3269" s="360">
        <v>2011</v>
      </c>
      <c r="V3269" s="360" t="s">
        <v>20</v>
      </c>
      <c r="W3269" s="360" t="s">
        <v>18</v>
      </c>
      <c r="X3269" s="360">
        <v>23</v>
      </c>
      <c r="Y3269" s="360" t="s">
        <v>49</v>
      </c>
      <c r="Z3269" s="360">
        <v>1</v>
      </c>
      <c r="AA3269" s="360">
        <v>33</v>
      </c>
      <c r="AB3269" s="360">
        <v>3</v>
      </c>
    </row>
    <row r="3270" spans="10:28" x14ac:dyDescent="0.2">
      <c r="J3270" s="358" t="str">
        <f t="shared" si="148"/>
        <v>2012FemaleMaori242</v>
      </c>
      <c r="K3270" s="359">
        <v>2012</v>
      </c>
      <c r="L3270" t="s">
        <v>8</v>
      </c>
      <c r="M3270" t="s">
        <v>18</v>
      </c>
      <c r="N3270">
        <v>24</v>
      </c>
      <c r="O3270">
        <v>2</v>
      </c>
      <c r="P3270">
        <v>0</v>
      </c>
      <c r="Q3270">
        <v>0</v>
      </c>
      <c r="T3270" s="358" t="str">
        <f t="shared" si="149"/>
        <v>2011MaleNon-Maori22Firearms and explosives</v>
      </c>
      <c r="U3270" s="360">
        <v>2011</v>
      </c>
      <c r="V3270" s="360" t="s">
        <v>20</v>
      </c>
      <c r="W3270" s="360" t="s">
        <v>19</v>
      </c>
      <c r="X3270" s="360">
        <v>22</v>
      </c>
      <c r="Y3270" s="360" t="s">
        <v>42</v>
      </c>
      <c r="Z3270" s="360">
        <v>3</v>
      </c>
      <c r="AA3270" s="360">
        <v>63</v>
      </c>
      <c r="AB3270" s="360">
        <v>4.8</v>
      </c>
    </row>
    <row r="3271" spans="10:28" x14ac:dyDescent="0.2">
      <c r="J3271" s="358" t="str">
        <f t="shared" si="148"/>
        <v>2012FemaleMaori243</v>
      </c>
      <c r="K3271" s="359">
        <v>2012</v>
      </c>
      <c r="L3271" t="s">
        <v>8</v>
      </c>
      <c r="M3271" t="s">
        <v>18</v>
      </c>
      <c r="N3271">
        <v>24</v>
      </c>
      <c r="O3271">
        <v>3</v>
      </c>
      <c r="P3271">
        <v>0</v>
      </c>
      <c r="Q3271">
        <v>0</v>
      </c>
      <c r="T3271" s="358" t="str">
        <f t="shared" si="149"/>
        <v>2011MaleNon-Maori23Firearms and explosives</v>
      </c>
      <c r="U3271" s="360">
        <v>2011</v>
      </c>
      <c r="V3271" s="360" t="s">
        <v>20</v>
      </c>
      <c r="W3271" s="360" t="s">
        <v>19</v>
      </c>
      <c r="X3271" s="360">
        <v>23</v>
      </c>
      <c r="Y3271" s="360" t="s">
        <v>42</v>
      </c>
      <c r="Z3271" s="360">
        <v>3</v>
      </c>
      <c r="AA3271" s="360">
        <v>97</v>
      </c>
      <c r="AB3271" s="360">
        <v>3.1</v>
      </c>
    </row>
    <row r="3272" spans="10:28" x14ac:dyDescent="0.2">
      <c r="J3272" s="358" t="str">
        <f t="shared" si="148"/>
        <v>2012FemaleMaori244</v>
      </c>
      <c r="K3272" s="359">
        <v>2012</v>
      </c>
      <c r="L3272" t="s">
        <v>8</v>
      </c>
      <c r="M3272" t="s">
        <v>18</v>
      </c>
      <c r="N3272">
        <v>24</v>
      </c>
      <c r="O3272">
        <v>4</v>
      </c>
      <c r="P3272">
        <v>1</v>
      </c>
      <c r="Q3272">
        <v>6.8188668447845702</v>
      </c>
      <c r="R3272">
        <v>13.4</v>
      </c>
      <c r="T3272" s="358" t="str">
        <f t="shared" si="149"/>
        <v>2011MaleNon-Maori24Firearms and explosives</v>
      </c>
      <c r="U3272" s="360">
        <v>2011</v>
      </c>
      <c r="V3272" s="360" t="s">
        <v>20</v>
      </c>
      <c r="W3272" s="360" t="s">
        <v>19</v>
      </c>
      <c r="X3272" s="360">
        <v>24</v>
      </c>
      <c r="Y3272" s="360" t="s">
        <v>42</v>
      </c>
      <c r="Z3272" s="360">
        <v>19</v>
      </c>
      <c r="AA3272" s="360">
        <v>104</v>
      </c>
      <c r="AB3272" s="360">
        <v>18.3</v>
      </c>
    </row>
    <row r="3273" spans="10:28" x14ac:dyDescent="0.2">
      <c r="J3273" s="358" t="str">
        <f t="shared" si="148"/>
        <v>2012FemaleMaori245</v>
      </c>
      <c r="K3273" s="359">
        <v>2012</v>
      </c>
      <c r="L3273" t="s">
        <v>8</v>
      </c>
      <c r="M3273" t="s">
        <v>18</v>
      </c>
      <c r="N3273">
        <v>24</v>
      </c>
      <c r="O3273">
        <v>5</v>
      </c>
      <c r="P3273">
        <v>0</v>
      </c>
      <c r="Q3273">
        <v>0</v>
      </c>
      <c r="T3273" s="358" t="str">
        <f t="shared" si="149"/>
        <v>2011MaleNon-Maori25Firearms and explosives</v>
      </c>
      <c r="U3273" s="360">
        <v>2011</v>
      </c>
      <c r="V3273" s="360" t="s">
        <v>20</v>
      </c>
      <c r="W3273" s="360" t="s">
        <v>19</v>
      </c>
      <c r="X3273" s="360">
        <v>25</v>
      </c>
      <c r="Y3273" s="360" t="s">
        <v>42</v>
      </c>
      <c r="Z3273" s="360">
        <v>7</v>
      </c>
      <c r="AA3273" s="360">
        <v>31</v>
      </c>
      <c r="AB3273" s="360">
        <v>22.6</v>
      </c>
    </row>
    <row r="3274" spans="10:28" x14ac:dyDescent="0.2">
      <c r="J3274" s="358" t="str">
        <f t="shared" si="148"/>
        <v>2012FemaleMaori251</v>
      </c>
      <c r="K3274" s="359">
        <v>2012</v>
      </c>
      <c r="L3274" t="s">
        <v>8</v>
      </c>
      <c r="M3274" t="s">
        <v>18</v>
      </c>
      <c r="N3274">
        <v>25</v>
      </c>
      <c r="O3274">
        <v>1</v>
      </c>
      <c r="P3274">
        <v>0</v>
      </c>
      <c r="Q3274">
        <v>0</v>
      </c>
      <c r="T3274" s="358" t="str">
        <f t="shared" si="149"/>
        <v>2011MaleNon-Maori21Hanging, strangulation and suffocation</v>
      </c>
      <c r="U3274" s="360">
        <v>2011</v>
      </c>
      <c r="V3274" s="360" t="s">
        <v>20</v>
      </c>
      <c r="W3274" s="360" t="s">
        <v>19</v>
      </c>
      <c r="X3274" s="360">
        <v>21</v>
      </c>
      <c r="Y3274" s="360" t="s">
        <v>43</v>
      </c>
      <c r="Z3274" s="360">
        <v>1</v>
      </c>
      <c r="AA3274" s="360">
        <v>1</v>
      </c>
      <c r="AB3274" s="360">
        <v>100</v>
      </c>
    </row>
    <row r="3275" spans="10:28" x14ac:dyDescent="0.2">
      <c r="J3275" s="358" t="str">
        <f t="shared" si="148"/>
        <v>2012FemaleMaori252</v>
      </c>
      <c r="K3275" s="359">
        <v>2012</v>
      </c>
      <c r="L3275" t="s">
        <v>8</v>
      </c>
      <c r="M3275" t="s">
        <v>18</v>
      </c>
      <c r="N3275">
        <v>25</v>
      </c>
      <c r="O3275">
        <v>2</v>
      </c>
      <c r="P3275">
        <v>0</v>
      </c>
      <c r="Q3275">
        <v>0</v>
      </c>
      <c r="T3275" s="358" t="str">
        <f t="shared" si="149"/>
        <v>2011MaleNon-Maori22Hanging, strangulation and suffocation</v>
      </c>
      <c r="U3275" s="360">
        <v>2011</v>
      </c>
      <c r="V3275" s="360" t="s">
        <v>20</v>
      </c>
      <c r="W3275" s="360" t="s">
        <v>19</v>
      </c>
      <c r="X3275" s="360">
        <v>22</v>
      </c>
      <c r="Y3275" s="360" t="s">
        <v>43</v>
      </c>
      <c r="Z3275" s="360">
        <v>44</v>
      </c>
      <c r="AA3275" s="360">
        <v>63</v>
      </c>
      <c r="AB3275" s="360">
        <v>69.8</v>
      </c>
    </row>
    <row r="3276" spans="10:28" x14ac:dyDescent="0.2">
      <c r="J3276" s="358" t="str">
        <f t="shared" si="148"/>
        <v>2012FemaleMaori253</v>
      </c>
      <c r="K3276" s="359">
        <v>2012</v>
      </c>
      <c r="L3276" t="s">
        <v>8</v>
      </c>
      <c r="M3276" t="s">
        <v>18</v>
      </c>
      <c r="N3276">
        <v>25</v>
      </c>
      <c r="O3276">
        <v>3</v>
      </c>
      <c r="P3276">
        <v>0</v>
      </c>
      <c r="Q3276">
        <v>0</v>
      </c>
      <c r="T3276" s="358" t="str">
        <f t="shared" si="149"/>
        <v>2011MaleNon-Maori23Hanging, strangulation and suffocation</v>
      </c>
      <c r="U3276" s="360">
        <v>2011</v>
      </c>
      <c r="V3276" s="360" t="s">
        <v>20</v>
      </c>
      <c r="W3276" s="360" t="s">
        <v>19</v>
      </c>
      <c r="X3276" s="360">
        <v>23</v>
      </c>
      <c r="Y3276" s="360" t="s">
        <v>43</v>
      </c>
      <c r="Z3276" s="360">
        <v>59</v>
      </c>
      <c r="AA3276" s="360">
        <v>97</v>
      </c>
      <c r="AB3276" s="360">
        <v>60.8</v>
      </c>
    </row>
    <row r="3277" spans="10:28" x14ac:dyDescent="0.2">
      <c r="J3277" s="358" t="str">
        <f t="shared" si="148"/>
        <v>2012FemaleMaori254</v>
      </c>
      <c r="K3277" s="359">
        <v>2012</v>
      </c>
      <c r="L3277" t="s">
        <v>8</v>
      </c>
      <c r="M3277" t="s">
        <v>18</v>
      </c>
      <c r="N3277">
        <v>25</v>
      </c>
      <c r="O3277">
        <v>4</v>
      </c>
      <c r="P3277">
        <v>0</v>
      </c>
      <c r="Q3277">
        <v>0</v>
      </c>
      <c r="T3277" s="358" t="str">
        <f t="shared" si="149"/>
        <v>2011MaleNon-Maori24Hanging, strangulation and suffocation</v>
      </c>
      <c r="U3277" s="360">
        <v>2011</v>
      </c>
      <c r="V3277" s="360" t="s">
        <v>20</v>
      </c>
      <c r="W3277" s="360" t="s">
        <v>19</v>
      </c>
      <c r="X3277" s="360">
        <v>24</v>
      </c>
      <c r="Y3277" s="360" t="s">
        <v>43</v>
      </c>
      <c r="Z3277" s="360">
        <v>54</v>
      </c>
      <c r="AA3277" s="360">
        <v>104</v>
      </c>
      <c r="AB3277" s="360">
        <v>51.9</v>
      </c>
    </row>
    <row r="3278" spans="10:28" x14ac:dyDescent="0.2">
      <c r="J3278" s="358" t="str">
        <f t="shared" si="148"/>
        <v>2012FemaleMaori255</v>
      </c>
      <c r="K3278" s="359">
        <v>2012</v>
      </c>
      <c r="L3278" t="s">
        <v>8</v>
      </c>
      <c r="M3278" t="s">
        <v>18</v>
      </c>
      <c r="N3278">
        <v>25</v>
      </c>
      <c r="O3278">
        <v>5</v>
      </c>
      <c r="P3278">
        <v>0</v>
      </c>
      <c r="Q3278">
        <v>0</v>
      </c>
      <c r="T3278" s="358" t="str">
        <f t="shared" si="149"/>
        <v>2011MaleNon-Maori25Hanging, strangulation and suffocation</v>
      </c>
      <c r="U3278" s="360">
        <v>2011</v>
      </c>
      <c r="V3278" s="360" t="s">
        <v>20</v>
      </c>
      <c r="W3278" s="360" t="s">
        <v>19</v>
      </c>
      <c r="X3278" s="360">
        <v>25</v>
      </c>
      <c r="Y3278" s="360" t="s">
        <v>43</v>
      </c>
      <c r="Z3278" s="360">
        <v>9</v>
      </c>
      <c r="AA3278" s="360">
        <v>31</v>
      </c>
      <c r="AB3278" s="360">
        <v>29</v>
      </c>
    </row>
    <row r="3279" spans="10:28" x14ac:dyDescent="0.2">
      <c r="J3279" s="358" t="str">
        <f t="shared" si="148"/>
        <v>2012FemaleNon-Maori211</v>
      </c>
      <c r="K3279" s="359">
        <v>2012</v>
      </c>
      <c r="L3279" t="s">
        <v>8</v>
      </c>
      <c r="M3279" t="s">
        <v>19</v>
      </c>
      <c r="N3279">
        <v>21</v>
      </c>
      <c r="O3279">
        <v>1</v>
      </c>
      <c r="P3279">
        <v>0</v>
      </c>
      <c r="T3279" s="358" t="str">
        <f t="shared" si="149"/>
        <v>2011MaleNon-Maori22Jumping from a high place</v>
      </c>
      <c r="U3279" s="360">
        <v>2011</v>
      </c>
      <c r="V3279" s="360" t="s">
        <v>20</v>
      </c>
      <c r="W3279" s="360" t="s">
        <v>19</v>
      </c>
      <c r="X3279" s="360">
        <v>22</v>
      </c>
      <c r="Y3279" s="360" t="s">
        <v>44</v>
      </c>
      <c r="Z3279" s="360">
        <v>3</v>
      </c>
      <c r="AA3279" s="360">
        <v>63</v>
      </c>
      <c r="AB3279" s="360">
        <v>4.8</v>
      </c>
    </row>
    <row r="3280" spans="10:28" x14ac:dyDescent="0.2">
      <c r="J3280" s="358" t="str">
        <f t="shared" si="148"/>
        <v>2012FemaleNon-Maori212</v>
      </c>
      <c r="K3280" s="359">
        <v>2012</v>
      </c>
      <c r="L3280" t="s">
        <v>8</v>
      </c>
      <c r="M3280" t="s">
        <v>19</v>
      </c>
      <c r="N3280">
        <v>21</v>
      </c>
      <c r="O3280">
        <v>2</v>
      </c>
      <c r="P3280">
        <v>1</v>
      </c>
      <c r="T3280" s="358" t="str">
        <f t="shared" si="149"/>
        <v>2011MaleNon-Maori23Jumping from a high place</v>
      </c>
      <c r="U3280" s="360">
        <v>2011</v>
      </c>
      <c r="V3280" s="360" t="s">
        <v>20</v>
      </c>
      <c r="W3280" s="360" t="s">
        <v>19</v>
      </c>
      <c r="X3280" s="360">
        <v>23</v>
      </c>
      <c r="Y3280" s="360" t="s">
        <v>44</v>
      </c>
      <c r="Z3280" s="360">
        <v>3</v>
      </c>
      <c r="AA3280" s="360">
        <v>97</v>
      </c>
      <c r="AB3280" s="360">
        <v>3.1</v>
      </c>
    </row>
    <row r="3281" spans="10:28" x14ac:dyDescent="0.2">
      <c r="J3281" s="358" t="str">
        <f t="shared" si="148"/>
        <v>2012FemaleNon-Maori213</v>
      </c>
      <c r="K3281" s="359">
        <v>2012</v>
      </c>
      <c r="L3281" t="s">
        <v>8</v>
      </c>
      <c r="M3281" t="s">
        <v>19</v>
      </c>
      <c r="N3281">
        <v>21</v>
      </c>
      <c r="O3281">
        <v>3</v>
      </c>
      <c r="P3281">
        <v>0</v>
      </c>
      <c r="T3281" s="358" t="str">
        <f t="shared" si="149"/>
        <v>2011MaleNon-Maori24Jumping from a high place</v>
      </c>
      <c r="U3281" s="360">
        <v>2011</v>
      </c>
      <c r="V3281" s="360" t="s">
        <v>20</v>
      </c>
      <c r="W3281" s="360" t="s">
        <v>19</v>
      </c>
      <c r="X3281" s="360">
        <v>24</v>
      </c>
      <c r="Y3281" s="360" t="s">
        <v>44</v>
      </c>
      <c r="Z3281" s="360">
        <v>1</v>
      </c>
      <c r="AA3281" s="360">
        <v>104</v>
      </c>
      <c r="AB3281" s="360">
        <v>1</v>
      </c>
    </row>
    <row r="3282" spans="10:28" x14ac:dyDescent="0.2">
      <c r="J3282" s="358" t="str">
        <f t="shared" si="148"/>
        <v>2012FemaleNon-Maori214</v>
      </c>
      <c r="K3282" s="359">
        <v>2012</v>
      </c>
      <c r="L3282" t="s">
        <v>8</v>
      </c>
      <c r="M3282" t="s">
        <v>19</v>
      </c>
      <c r="N3282">
        <v>21</v>
      </c>
      <c r="O3282">
        <v>4</v>
      </c>
      <c r="P3282">
        <v>0</v>
      </c>
      <c r="T3282" s="358" t="str">
        <f t="shared" si="149"/>
        <v>2011MaleNon-Maori25Jumping from a high place</v>
      </c>
      <c r="U3282" s="360">
        <v>2011</v>
      </c>
      <c r="V3282" s="360" t="s">
        <v>20</v>
      </c>
      <c r="W3282" s="360" t="s">
        <v>19</v>
      </c>
      <c r="X3282" s="360">
        <v>25</v>
      </c>
      <c r="Y3282" s="360" t="s">
        <v>44</v>
      </c>
      <c r="Z3282" s="360">
        <v>1</v>
      </c>
      <c r="AA3282" s="360">
        <v>31</v>
      </c>
      <c r="AB3282" s="360">
        <v>3.2</v>
      </c>
    </row>
    <row r="3283" spans="10:28" x14ac:dyDescent="0.2">
      <c r="J3283" s="358" t="str">
        <f t="shared" si="148"/>
        <v>2012FemaleNon-Maori215</v>
      </c>
      <c r="K3283" s="359">
        <v>2012</v>
      </c>
      <c r="L3283" t="s">
        <v>8</v>
      </c>
      <c r="M3283" t="s">
        <v>19</v>
      </c>
      <c r="N3283">
        <v>21</v>
      </c>
      <c r="O3283">
        <v>5</v>
      </c>
      <c r="P3283">
        <v>1</v>
      </c>
      <c r="T3283" s="358" t="str">
        <f t="shared" si="149"/>
        <v>2011MaleNon-Maori22Other</v>
      </c>
      <c r="U3283" s="360">
        <v>2011</v>
      </c>
      <c r="V3283" s="360" t="s">
        <v>20</v>
      </c>
      <c r="W3283" s="360" t="s">
        <v>19</v>
      </c>
      <c r="X3283" s="360">
        <v>22</v>
      </c>
      <c r="Y3283" s="360" t="s">
        <v>45</v>
      </c>
      <c r="Z3283" s="360">
        <v>3</v>
      </c>
      <c r="AA3283" s="360">
        <v>63</v>
      </c>
      <c r="AB3283" s="360">
        <v>4.8</v>
      </c>
    </row>
    <row r="3284" spans="10:28" x14ac:dyDescent="0.2">
      <c r="J3284" s="358" t="str">
        <f t="shared" si="148"/>
        <v>2012FemaleNon-Maori221</v>
      </c>
      <c r="K3284" s="359">
        <v>2012</v>
      </c>
      <c r="L3284" t="s">
        <v>8</v>
      </c>
      <c r="M3284" t="s">
        <v>19</v>
      </c>
      <c r="N3284">
        <v>22</v>
      </c>
      <c r="O3284">
        <v>1</v>
      </c>
      <c r="P3284">
        <v>0</v>
      </c>
      <c r="Q3284">
        <v>0</v>
      </c>
      <c r="T3284" s="358" t="str">
        <f t="shared" si="149"/>
        <v>2011MaleNon-Maori23Other</v>
      </c>
      <c r="U3284" s="360">
        <v>2011</v>
      </c>
      <c r="V3284" s="360" t="s">
        <v>20</v>
      </c>
      <c r="W3284" s="360" t="s">
        <v>19</v>
      </c>
      <c r="X3284" s="360">
        <v>23</v>
      </c>
      <c r="Y3284" s="360" t="s">
        <v>45</v>
      </c>
      <c r="Z3284" s="360">
        <v>2</v>
      </c>
      <c r="AA3284" s="360">
        <v>97</v>
      </c>
      <c r="AB3284" s="360">
        <v>2.1</v>
      </c>
    </row>
    <row r="3285" spans="10:28" x14ac:dyDescent="0.2">
      <c r="J3285" s="358" t="str">
        <f t="shared" si="148"/>
        <v>2012FemaleNon-Maori222</v>
      </c>
      <c r="K3285" s="359">
        <v>2012</v>
      </c>
      <c r="L3285" t="s">
        <v>8</v>
      </c>
      <c r="M3285" t="s">
        <v>19</v>
      </c>
      <c r="N3285">
        <v>22</v>
      </c>
      <c r="O3285">
        <v>2</v>
      </c>
      <c r="P3285">
        <v>3</v>
      </c>
      <c r="Q3285">
        <v>6.3536086058839496</v>
      </c>
      <c r="R3285">
        <v>7.2</v>
      </c>
      <c r="T3285" s="358" t="str">
        <f t="shared" si="149"/>
        <v>2011MaleNon-Maori24Other</v>
      </c>
      <c r="U3285" s="360">
        <v>2011</v>
      </c>
      <c r="V3285" s="360" t="s">
        <v>20</v>
      </c>
      <c r="W3285" s="360" t="s">
        <v>19</v>
      </c>
      <c r="X3285" s="360">
        <v>24</v>
      </c>
      <c r="Y3285" s="360" t="s">
        <v>45</v>
      </c>
      <c r="Z3285" s="360">
        <v>3</v>
      </c>
      <c r="AA3285" s="360">
        <v>104</v>
      </c>
      <c r="AB3285" s="360">
        <v>2.9</v>
      </c>
    </row>
    <row r="3286" spans="10:28" x14ac:dyDescent="0.2">
      <c r="J3286" s="358" t="str">
        <f t="shared" si="148"/>
        <v>2012FemaleNon-Maori223</v>
      </c>
      <c r="K3286" s="359">
        <v>2012</v>
      </c>
      <c r="L3286" t="s">
        <v>8</v>
      </c>
      <c r="M3286" t="s">
        <v>19</v>
      </c>
      <c r="N3286">
        <v>22</v>
      </c>
      <c r="O3286">
        <v>3</v>
      </c>
      <c r="P3286">
        <v>3</v>
      </c>
      <c r="Q3286">
        <v>6.3272651750907896</v>
      </c>
      <c r="R3286">
        <v>7.2</v>
      </c>
      <c r="T3286" s="358" t="str">
        <f t="shared" si="149"/>
        <v>2011MaleNon-Maori25Other</v>
      </c>
      <c r="U3286" s="360">
        <v>2011</v>
      </c>
      <c r="V3286" s="360" t="s">
        <v>20</v>
      </c>
      <c r="W3286" s="360" t="s">
        <v>19</v>
      </c>
      <c r="X3286" s="360">
        <v>25</v>
      </c>
      <c r="Y3286" s="360" t="s">
        <v>45</v>
      </c>
      <c r="Z3286" s="360">
        <v>2</v>
      </c>
      <c r="AA3286" s="360">
        <v>31</v>
      </c>
      <c r="AB3286" s="360">
        <v>6.5</v>
      </c>
    </row>
    <row r="3287" spans="10:28" x14ac:dyDescent="0.2">
      <c r="J3287" s="358" t="str">
        <f t="shared" si="148"/>
        <v>2012FemaleNon-Maori224</v>
      </c>
      <c r="K3287" s="359">
        <v>2012</v>
      </c>
      <c r="L3287" t="s">
        <v>8</v>
      </c>
      <c r="M3287" t="s">
        <v>19</v>
      </c>
      <c r="N3287">
        <v>22</v>
      </c>
      <c r="O3287">
        <v>4</v>
      </c>
      <c r="P3287">
        <v>5</v>
      </c>
      <c r="Q3287">
        <v>9.7834060628481403</v>
      </c>
      <c r="R3287">
        <v>8.6</v>
      </c>
      <c r="T3287" s="358" t="str">
        <f t="shared" si="149"/>
        <v>2011MaleNon-Maori22Poisoning by gases and vapours</v>
      </c>
      <c r="U3287" s="360">
        <v>2011</v>
      </c>
      <c r="V3287" s="360" t="s">
        <v>20</v>
      </c>
      <c r="W3287" s="360" t="s">
        <v>19</v>
      </c>
      <c r="X3287" s="360">
        <v>22</v>
      </c>
      <c r="Y3287" s="360" t="s">
        <v>46</v>
      </c>
      <c r="Z3287" s="360">
        <v>6</v>
      </c>
      <c r="AA3287" s="360">
        <v>63</v>
      </c>
      <c r="AB3287" s="360">
        <v>9.5</v>
      </c>
    </row>
    <row r="3288" spans="10:28" x14ac:dyDescent="0.2">
      <c r="J3288" s="358" t="str">
        <f t="shared" si="148"/>
        <v>2012FemaleNon-Maori225</v>
      </c>
      <c r="K3288" s="359">
        <v>2012</v>
      </c>
      <c r="L3288" t="s">
        <v>8</v>
      </c>
      <c r="M3288" t="s">
        <v>19</v>
      </c>
      <c r="N3288">
        <v>22</v>
      </c>
      <c r="O3288">
        <v>5</v>
      </c>
      <c r="P3288">
        <v>6</v>
      </c>
      <c r="Q3288">
        <v>12.0858804827271</v>
      </c>
      <c r="R3288">
        <v>9.6999999999999993</v>
      </c>
      <c r="T3288" s="358" t="str">
        <f t="shared" si="149"/>
        <v>2011MaleNon-Maori23Poisoning by gases and vapours</v>
      </c>
      <c r="U3288" s="360">
        <v>2011</v>
      </c>
      <c r="V3288" s="360" t="s">
        <v>20</v>
      </c>
      <c r="W3288" s="360" t="s">
        <v>19</v>
      </c>
      <c r="X3288" s="360">
        <v>23</v>
      </c>
      <c r="Y3288" s="360" t="s">
        <v>46</v>
      </c>
      <c r="Z3288" s="360">
        <v>17</v>
      </c>
      <c r="AA3288" s="360">
        <v>97</v>
      </c>
      <c r="AB3288" s="360">
        <v>17.5</v>
      </c>
    </row>
    <row r="3289" spans="10:28" x14ac:dyDescent="0.2">
      <c r="J3289" s="358" t="str">
        <f t="shared" si="148"/>
        <v>2012FemaleNon-Maori231</v>
      </c>
      <c r="K3289" s="359">
        <v>2012</v>
      </c>
      <c r="L3289" t="s">
        <v>8</v>
      </c>
      <c r="M3289" t="s">
        <v>19</v>
      </c>
      <c r="N3289">
        <v>23</v>
      </c>
      <c r="O3289">
        <v>1</v>
      </c>
      <c r="P3289">
        <v>4</v>
      </c>
      <c r="Q3289">
        <v>3.7099982262681301</v>
      </c>
      <c r="R3289">
        <v>3.6</v>
      </c>
      <c r="T3289" s="358" t="str">
        <f t="shared" si="149"/>
        <v>2011MaleNon-Maori24Poisoning by gases and vapours</v>
      </c>
      <c r="U3289" s="360">
        <v>2011</v>
      </c>
      <c r="V3289" s="360" t="s">
        <v>20</v>
      </c>
      <c r="W3289" s="360" t="s">
        <v>19</v>
      </c>
      <c r="X3289" s="360">
        <v>24</v>
      </c>
      <c r="Y3289" s="360" t="s">
        <v>46</v>
      </c>
      <c r="Z3289" s="360">
        <v>14</v>
      </c>
      <c r="AA3289" s="360">
        <v>104</v>
      </c>
      <c r="AB3289" s="360">
        <v>13.5</v>
      </c>
    </row>
    <row r="3290" spans="10:28" x14ac:dyDescent="0.2">
      <c r="J3290" s="358" t="str">
        <f t="shared" si="148"/>
        <v>2012FemaleNon-Maori232</v>
      </c>
      <c r="K3290" s="359">
        <v>2012</v>
      </c>
      <c r="L3290" t="s">
        <v>8</v>
      </c>
      <c r="M3290" t="s">
        <v>19</v>
      </c>
      <c r="N3290">
        <v>23</v>
      </c>
      <c r="O3290">
        <v>2</v>
      </c>
      <c r="P3290">
        <v>3</v>
      </c>
      <c r="Q3290">
        <v>2.6812978155945801</v>
      </c>
      <c r="R3290">
        <v>3</v>
      </c>
      <c r="T3290" s="358" t="str">
        <f t="shared" si="149"/>
        <v>2011MaleNon-Maori25Poisoning by gases and vapours</v>
      </c>
      <c r="U3290" s="360">
        <v>2011</v>
      </c>
      <c r="V3290" s="360" t="s">
        <v>20</v>
      </c>
      <c r="W3290" s="360" t="s">
        <v>19</v>
      </c>
      <c r="X3290" s="360">
        <v>25</v>
      </c>
      <c r="Y3290" s="360" t="s">
        <v>46</v>
      </c>
      <c r="Z3290" s="360">
        <v>1</v>
      </c>
      <c r="AA3290" s="360">
        <v>31</v>
      </c>
      <c r="AB3290" s="360">
        <v>3.2</v>
      </c>
    </row>
    <row r="3291" spans="10:28" x14ac:dyDescent="0.2">
      <c r="J3291" s="358" t="str">
        <f t="shared" si="148"/>
        <v>2012FemaleNon-Maori233</v>
      </c>
      <c r="K3291" s="359">
        <v>2012</v>
      </c>
      <c r="L3291" t="s">
        <v>8</v>
      </c>
      <c r="M3291" t="s">
        <v>19</v>
      </c>
      <c r="N3291">
        <v>23</v>
      </c>
      <c r="O3291">
        <v>3</v>
      </c>
      <c r="P3291">
        <v>7</v>
      </c>
      <c r="Q3291">
        <v>6.4686326429065</v>
      </c>
      <c r="R3291">
        <v>4.8</v>
      </c>
      <c r="T3291" s="358" t="str">
        <f t="shared" si="149"/>
        <v>2011MaleNon-Maori22Poisoning by solids and liquids</v>
      </c>
      <c r="U3291" s="360">
        <v>2011</v>
      </c>
      <c r="V3291" s="360" t="s">
        <v>20</v>
      </c>
      <c r="W3291" s="360" t="s">
        <v>19</v>
      </c>
      <c r="X3291" s="360">
        <v>22</v>
      </c>
      <c r="Y3291" s="360" t="s">
        <v>47</v>
      </c>
      <c r="Z3291" s="360">
        <v>4</v>
      </c>
      <c r="AA3291" s="360">
        <v>63</v>
      </c>
      <c r="AB3291" s="360">
        <v>6.3</v>
      </c>
    </row>
    <row r="3292" spans="10:28" x14ac:dyDescent="0.2">
      <c r="J3292" s="358" t="str">
        <f t="shared" si="148"/>
        <v>2012FemaleNon-Maori234</v>
      </c>
      <c r="K3292" s="359">
        <v>2012</v>
      </c>
      <c r="L3292" t="s">
        <v>8</v>
      </c>
      <c r="M3292" t="s">
        <v>19</v>
      </c>
      <c r="N3292">
        <v>23</v>
      </c>
      <c r="O3292">
        <v>4</v>
      </c>
      <c r="P3292">
        <v>9</v>
      </c>
      <c r="Q3292">
        <v>9.0816739208332997</v>
      </c>
      <c r="R3292">
        <v>5.9</v>
      </c>
      <c r="T3292" s="358" t="str">
        <f t="shared" si="149"/>
        <v>2011MaleNon-Maori23Poisoning by solids and liquids</v>
      </c>
      <c r="U3292" s="360">
        <v>2011</v>
      </c>
      <c r="V3292" s="360" t="s">
        <v>20</v>
      </c>
      <c r="W3292" s="360" t="s">
        <v>19</v>
      </c>
      <c r="X3292" s="360">
        <v>23</v>
      </c>
      <c r="Y3292" s="360" t="s">
        <v>47</v>
      </c>
      <c r="Z3292" s="360">
        <v>11</v>
      </c>
      <c r="AA3292" s="360">
        <v>97</v>
      </c>
      <c r="AB3292" s="360">
        <v>11.3</v>
      </c>
    </row>
    <row r="3293" spans="10:28" x14ac:dyDescent="0.2">
      <c r="J3293" s="358" t="str">
        <f t="shared" si="148"/>
        <v>2012FemaleNon-Maori235</v>
      </c>
      <c r="K3293" s="359">
        <v>2012</v>
      </c>
      <c r="L3293" t="s">
        <v>8</v>
      </c>
      <c r="M3293" t="s">
        <v>19</v>
      </c>
      <c r="N3293">
        <v>23</v>
      </c>
      <c r="O3293">
        <v>5</v>
      </c>
      <c r="P3293">
        <v>7</v>
      </c>
      <c r="Q3293">
        <v>8.7779255474069</v>
      </c>
      <c r="R3293">
        <v>6.5</v>
      </c>
      <c r="T3293" s="358" t="str">
        <f t="shared" si="149"/>
        <v>2011MaleNon-Maori24Poisoning by solids and liquids</v>
      </c>
      <c r="U3293" s="360">
        <v>2011</v>
      </c>
      <c r="V3293" s="360" t="s">
        <v>20</v>
      </c>
      <c r="W3293" s="360" t="s">
        <v>19</v>
      </c>
      <c r="X3293" s="360">
        <v>24</v>
      </c>
      <c r="Y3293" s="360" t="s">
        <v>47</v>
      </c>
      <c r="Z3293" s="360">
        <v>9</v>
      </c>
      <c r="AA3293" s="360">
        <v>104</v>
      </c>
      <c r="AB3293" s="360">
        <v>8.6999999999999993</v>
      </c>
    </row>
    <row r="3294" spans="10:28" x14ac:dyDescent="0.2">
      <c r="J3294" s="358" t="str">
        <f t="shared" si="148"/>
        <v>2012FemaleNon-Maori241</v>
      </c>
      <c r="K3294" s="359">
        <v>2012</v>
      </c>
      <c r="L3294" t="s">
        <v>8</v>
      </c>
      <c r="M3294" t="s">
        <v>19</v>
      </c>
      <c r="N3294">
        <v>24</v>
      </c>
      <c r="O3294">
        <v>1</v>
      </c>
      <c r="P3294">
        <v>4</v>
      </c>
      <c r="Q3294">
        <v>2.9784261562640801</v>
      </c>
      <c r="R3294">
        <v>2.9</v>
      </c>
      <c r="T3294" s="358" t="str">
        <f t="shared" si="149"/>
        <v>2011MaleNon-Maori25Poisoning by solids and liquids</v>
      </c>
      <c r="U3294" s="360">
        <v>2011</v>
      </c>
      <c r="V3294" s="360" t="s">
        <v>20</v>
      </c>
      <c r="W3294" s="360" t="s">
        <v>19</v>
      </c>
      <c r="X3294" s="360">
        <v>25</v>
      </c>
      <c r="Y3294" s="360" t="s">
        <v>47</v>
      </c>
      <c r="Z3294" s="360">
        <v>5</v>
      </c>
      <c r="AA3294" s="360">
        <v>31</v>
      </c>
      <c r="AB3294" s="360">
        <v>16.100000000000001</v>
      </c>
    </row>
    <row r="3295" spans="10:28" x14ac:dyDescent="0.2">
      <c r="J3295" s="358" t="str">
        <f t="shared" si="148"/>
        <v>2012FemaleNon-Maori242</v>
      </c>
      <c r="K3295" s="359">
        <v>2012</v>
      </c>
      <c r="L3295" t="s">
        <v>8</v>
      </c>
      <c r="M3295" t="s">
        <v>19</v>
      </c>
      <c r="N3295">
        <v>24</v>
      </c>
      <c r="O3295">
        <v>2</v>
      </c>
      <c r="P3295">
        <v>10</v>
      </c>
      <c r="Q3295">
        <v>8.4566911671176506</v>
      </c>
      <c r="R3295">
        <v>5.2</v>
      </c>
      <c r="T3295" s="358" t="str">
        <f t="shared" si="149"/>
        <v>2011MaleNon-Maori24Sharp object</v>
      </c>
      <c r="U3295" s="360">
        <v>2011</v>
      </c>
      <c r="V3295" s="360" t="s">
        <v>20</v>
      </c>
      <c r="W3295" s="360" t="s">
        <v>19</v>
      </c>
      <c r="X3295" s="360">
        <v>24</v>
      </c>
      <c r="Y3295" s="360" t="s">
        <v>48</v>
      </c>
      <c r="Z3295" s="360">
        <v>2</v>
      </c>
      <c r="AA3295" s="360">
        <v>104</v>
      </c>
      <c r="AB3295" s="360">
        <v>1.9</v>
      </c>
    </row>
    <row r="3296" spans="10:28" x14ac:dyDescent="0.2">
      <c r="J3296" s="358" t="str">
        <f t="shared" si="148"/>
        <v>2012FemaleNon-Maori243</v>
      </c>
      <c r="K3296" s="359">
        <v>2012</v>
      </c>
      <c r="L3296" t="s">
        <v>8</v>
      </c>
      <c r="M3296" t="s">
        <v>19</v>
      </c>
      <c r="N3296">
        <v>24</v>
      </c>
      <c r="O3296">
        <v>3</v>
      </c>
      <c r="P3296">
        <v>6</v>
      </c>
      <c r="Q3296">
        <v>5.7630984923849704</v>
      </c>
      <c r="R3296">
        <v>4.5999999999999996</v>
      </c>
      <c r="T3296" s="358" t="str">
        <f t="shared" si="149"/>
        <v>2011MaleNon-Maori25Sharp object</v>
      </c>
      <c r="U3296" s="360">
        <v>2011</v>
      </c>
      <c r="V3296" s="360" t="s">
        <v>20</v>
      </c>
      <c r="W3296" s="360" t="s">
        <v>19</v>
      </c>
      <c r="X3296" s="360">
        <v>25</v>
      </c>
      <c r="Y3296" s="360" t="s">
        <v>48</v>
      </c>
      <c r="Z3296" s="360">
        <v>3</v>
      </c>
      <c r="AA3296" s="360">
        <v>31</v>
      </c>
      <c r="AB3296" s="360">
        <v>9.6999999999999993</v>
      </c>
    </row>
    <row r="3297" spans="10:28" x14ac:dyDescent="0.2">
      <c r="J3297" s="358" t="str">
        <f t="shared" si="148"/>
        <v>2012FemaleNon-Maori244</v>
      </c>
      <c r="K3297" s="359">
        <v>2012</v>
      </c>
      <c r="L3297" t="s">
        <v>8</v>
      </c>
      <c r="M3297" t="s">
        <v>19</v>
      </c>
      <c r="N3297">
        <v>24</v>
      </c>
      <c r="O3297">
        <v>4</v>
      </c>
      <c r="P3297">
        <v>11</v>
      </c>
      <c r="Q3297">
        <v>12.350172563569201</v>
      </c>
      <c r="R3297">
        <v>7.3</v>
      </c>
      <c r="T3297" s="358" t="str">
        <f t="shared" si="149"/>
        <v>2011MaleNon-Maori23Submersion (drowning)</v>
      </c>
      <c r="U3297" s="360">
        <v>2011</v>
      </c>
      <c r="V3297" s="360" t="s">
        <v>20</v>
      </c>
      <c r="W3297" s="360" t="s">
        <v>19</v>
      </c>
      <c r="X3297" s="360">
        <v>23</v>
      </c>
      <c r="Y3297" s="360" t="s">
        <v>49</v>
      </c>
      <c r="Z3297" s="360">
        <v>2</v>
      </c>
      <c r="AA3297" s="360">
        <v>97</v>
      </c>
      <c r="AB3297" s="360">
        <v>2.1</v>
      </c>
    </row>
    <row r="3298" spans="10:28" x14ac:dyDescent="0.2">
      <c r="J3298" s="358" t="str">
        <f t="shared" si="148"/>
        <v>2012FemaleNon-Maori245</v>
      </c>
      <c r="K3298" s="359">
        <v>2012</v>
      </c>
      <c r="L3298" t="s">
        <v>8</v>
      </c>
      <c r="M3298" t="s">
        <v>19</v>
      </c>
      <c r="N3298">
        <v>24</v>
      </c>
      <c r="O3298">
        <v>5</v>
      </c>
      <c r="P3298">
        <v>8</v>
      </c>
      <c r="Q3298">
        <v>11.6760113442811</v>
      </c>
      <c r="R3298">
        <v>8.1</v>
      </c>
      <c r="T3298" s="358" t="str">
        <f t="shared" si="149"/>
        <v>2011MaleNon-Maori24Submersion (drowning)</v>
      </c>
      <c r="U3298" s="360">
        <v>2011</v>
      </c>
      <c r="V3298" s="360" t="s">
        <v>20</v>
      </c>
      <c r="W3298" s="360" t="s">
        <v>19</v>
      </c>
      <c r="X3298" s="360">
        <v>24</v>
      </c>
      <c r="Y3298" s="360" t="s">
        <v>49</v>
      </c>
      <c r="Z3298" s="360">
        <v>2</v>
      </c>
      <c r="AA3298" s="360">
        <v>104</v>
      </c>
      <c r="AB3298" s="360">
        <v>1.9</v>
      </c>
    </row>
    <row r="3299" spans="10:28" x14ac:dyDescent="0.2">
      <c r="J3299" s="358" t="str">
        <f t="shared" si="148"/>
        <v>2012FemaleNon-Maori251</v>
      </c>
      <c r="K3299" s="359">
        <v>2012</v>
      </c>
      <c r="L3299" t="s">
        <v>8</v>
      </c>
      <c r="M3299" t="s">
        <v>19</v>
      </c>
      <c r="N3299">
        <v>25</v>
      </c>
      <c r="O3299">
        <v>1</v>
      </c>
      <c r="P3299">
        <v>0</v>
      </c>
      <c r="Q3299">
        <v>0</v>
      </c>
      <c r="T3299" s="358" t="str">
        <f t="shared" si="149"/>
        <v>2011MaleNon-Maori25Submersion (drowning)</v>
      </c>
      <c r="U3299" s="360">
        <v>2011</v>
      </c>
      <c r="V3299" s="360" t="s">
        <v>20</v>
      </c>
      <c r="W3299" s="360" t="s">
        <v>19</v>
      </c>
      <c r="X3299" s="360">
        <v>25</v>
      </c>
      <c r="Y3299" s="360" t="s">
        <v>49</v>
      </c>
      <c r="Z3299" s="360">
        <v>3</v>
      </c>
      <c r="AA3299" s="360">
        <v>31</v>
      </c>
      <c r="AB3299" s="360">
        <v>9.6999999999999993</v>
      </c>
    </row>
    <row r="3300" spans="10:28" x14ac:dyDescent="0.2">
      <c r="J3300" s="358" t="str">
        <f t="shared" si="148"/>
        <v>2012FemaleNon-Maori252</v>
      </c>
      <c r="K3300" s="359">
        <v>2012</v>
      </c>
      <c r="L3300" t="s">
        <v>8</v>
      </c>
      <c r="M3300" t="s">
        <v>19</v>
      </c>
      <c r="N3300">
        <v>25</v>
      </c>
      <c r="O3300">
        <v>2</v>
      </c>
      <c r="P3300">
        <v>2</v>
      </c>
      <c r="Q3300">
        <v>3.0782512346201401</v>
      </c>
      <c r="R3300">
        <v>4.3</v>
      </c>
      <c r="T3300" s="358" t="str">
        <f t="shared" si="149"/>
        <v>2012AllSexAllEth21Firearms and explosives</v>
      </c>
      <c r="U3300" s="360">
        <v>2012</v>
      </c>
      <c r="V3300" s="360" t="s">
        <v>17</v>
      </c>
      <c r="W3300" s="360" t="s">
        <v>27</v>
      </c>
      <c r="X3300" s="360">
        <v>21</v>
      </c>
      <c r="Y3300" s="360" t="s">
        <v>42</v>
      </c>
      <c r="Z3300" s="360">
        <v>2</v>
      </c>
      <c r="AA3300" s="360">
        <v>12</v>
      </c>
      <c r="AB3300" s="360">
        <v>16.7</v>
      </c>
    </row>
    <row r="3301" spans="10:28" x14ac:dyDescent="0.2">
      <c r="J3301" s="358" t="str">
        <f t="shared" si="148"/>
        <v>2012FemaleNon-Maori253</v>
      </c>
      <c r="K3301" s="359">
        <v>2012</v>
      </c>
      <c r="L3301" t="s">
        <v>8</v>
      </c>
      <c r="M3301" t="s">
        <v>19</v>
      </c>
      <c r="N3301">
        <v>25</v>
      </c>
      <c r="O3301">
        <v>3</v>
      </c>
      <c r="P3301">
        <v>3</v>
      </c>
      <c r="Q3301">
        <v>4.6329526382867501</v>
      </c>
      <c r="R3301">
        <v>5.2</v>
      </c>
      <c r="T3301" s="358" t="str">
        <f t="shared" si="149"/>
        <v>2012AllSexAllEth22Firearms and explosives</v>
      </c>
      <c r="U3301" s="360">
        <v>2012</v>
      </c>
      <c r="V3301" s="360" t="s">
        <v>17</v>
      </c>
      <c r="W3301" s="360" t="s">
        <v>27</v>
      </c>
      <c r="X3301" s="360">
        <v>22</v>
      </c>
      <c r="Y3301" s="360" t="s">
        <v>42</v>
      </c>
      <c r="Z3301" s="360">
        <v>9</v>
      </c>
      <c r="AA3301" s="360">
        <v>148</v>
      </c>
      <c r="AB3301" s="360">
        <v>6.1</v>
      </c>
    </row>
    <row r="3302" spans="10:28" x14ac:dyDescent="0.2">
      <c r="J3302" s="358" t="str">
        <f t="shared" si="148"/>
        <v>2012FemaleNon-Maori254</v>
      </c>
      <c r="K3302" s="359">
        <v>2012</v>
      </c>
      <c r="L3302" t="s">
        <v>8</v>
      </c>
      <c r="M3302" t="s">
        <v>19</v>
      </c>
      <c r="N3302">
        <v>25</v>
      </c>
      <c r="O3302">
        <v>4</v>
      </c>
      <c r="P3302">
        <v>4</v>
      </c>
      <c r="Q3302">
        <v>6.0470212767807903</v>
      </c>
      <c r="R3302">
        <v>5.9</v>
      </c>
      <c r="T3302" s="358" t="str">
        <f t="shared" si="149"/>
        <v>2012AllSexAllEth23Firearms and explosives</v>
      </c>
      <c r="U3302" s="360">
        <v>2012</v>
      </c>
      <c r="V3302" s="360" t="s">
        <v>17</v>
      </c>
      <c r="W3302" s="360" t="s">
        <v>27</v>
      </c>
      <c r="X3302" s="360">
        <v>23</v>
      </c>
      <c r="Y3302" s="360" t="s">
        <v>42</v>
      </c>
      <c r="Z3302" s="360">
        <v>11</v>
      </c>
      <c r="AA3302" s="360">
        <v>186</v>
      </c>
      <c r="AB3302" s="360">
        <v>5.9</v>
      </c>
    </row>
    <row r="3303" spans="10:28" x14ac:dyDescent="0.2">
      <c r="J3303" s="358" t="str">
        <f t="shared" si="148"/>
        <v>2012FemaleNon-Maori255</v>
      </c>
      <c r="K3303" s="359">
        <v>2012</v>
      </c>
      <c r="L3303" t="s">
        <v>8</v>
      </c>
      <c r="M3303" t="s">
        <v>19</v>
      </c>
      <c r="N3303">
        <v>25</v>
      </c>
      <c r="O3303">
        <v>5</v>
      </c>
      <c r="P3303">
        <v>4</v>
      </c>
      <c r="Q3303">
        <v>8.3497273098656297</v>
      </c>
      <c r="R3303">
        <v>8.1999999999999993</v>
      </c>
      <c r="T3303" s="358" t="str">
        <f t="shared" si="149"/>
        <v>2012AllSexAllEth24Firearms and explosives</v>
      </c>
      <c r="U3303" s="360">
        <v>2012</v>
      </c>
      <c r="V3303" s="360" t="s">
        <v>17</v>
      </c>
      <c r="W3303" s="360" t="s">
        <v>27</v>
      </c>
      <c r="X3303" s="360">
        <v>24</v>
      </c>
      <c r="Y3303" s="360" t="s">
        <v>42</v>
      </c>
      <c r="Z3303" s="360">
        <v>17</v>
      </c>
      <c r="AA3303" s="360">
        <v>147</v>
      </c>
      <c r="AB3303" s="360">
        <v>11.6</v>
      </c>
    </row>
    <row r="3304" spans="10:28" x14ac:dyDescent="0.2">
      <c r="J3304" s="358" t="str">
        <f t="shared" si="148"/>
        <v>2012MaleAllEth211</v>
      </c>
      <c r="K3304" s="359">
        <v>2012</v>
      </c>
      <c r="L3304" t="s">
        <v>20</v>
      </c>
      <c r="M3304" t="s">
        <v>27</v>
      </c>
      <c r="N3304">
        <v>21</v>
      </c>
      <c r="O3304">
        <v>1</v>
      </c>
      <c r="P3304">
        <v>0</v>
      </c>
      <c r="T3304" s="358" t="str">
        <f t="shared" si="149"/>
        <v>2012AllSexAllEth25Firearms and explosives</v>
      </c>
      <c r="U3304" s="360">
        <v>2012</v>
      </c>
      <c r="V3304" s="360" t="s">
        <v>17</v>
      </c>
      <c r="W3304" s="360" t="s">
        <v>27</v>
      </c>
      <c r="X3304" s="360">
        <v>25</v>
      </c>
      <c r="Y3304" s="360" t="s">
        <v>42</v>
      </c>
      <c r="Z3304" s="360">
        <v>8</v>
      </c>
      <c r="AA3304" s="360">
        <v>57</v>
      </c>
      <c r="AB3304" s="360">
        <v>14</v>
      </c>
    </row>
    <row r="3305" spans="10:28" x14ac:dyDescent="0.2">
      <c r="J3305" s="358" t="str">
        <f t="shared" si="148"/>
        <v>2012MaleAllEth212</v>
      </c>
      <c r="K3305" s="359">
        <v>2012</v>
      </c>
      <c r="L3305" t="s">
        <v>20</v>
      </c>
      <c r="M3305" t="s">
        <v>27</v>
      </c>
      <c r="N3305">
        <v>21</v>
      </c>
      <c r="O3305">
        <v>2</v>
      </c>
      <c r="P3305">
        <v>2</v>
      </c>
      <c r="T3305" s="358" t="str">
        <f t="shared" si="149"/>
        <v>2012AllSexAllEth21Hanging, strangulation and suffocation</v>
      </c>
      <c r="U3305" s="360">
        <v>2012</v>
      </c>
      <c r="V3305" s="360" t="s">
        <v>17</v>
      </c>
      <c r="W3305" s="360" t="s">
        <v>27</v>
      </c>
      <c r="X3305" s="360">
        <v>21</v>
      </c>
      <c r="Y3305" s="360" t="s">
        <v>43</v>
      </c>
      <c r="Z3305" s="360">
        <v>9</v>
      </c>
      <c r="AA3305" s="360">
        <v>12</v>
      </c>
      <c r="AB3305" s="360">
        <v>75</v>
      </c>
    </row>
    <row r="3306" spans="10:28" x14ac:dyDescent="0.2">
      <c r="J3306" s="358" t="str">
        <f t="shared" si="148"/>
        <v>2012MaleAllEth213</v>
      </c>
      <c r="K3306" s="359">
        <v>2012</v>
      </c>
      <c r="L3306" t="s">
        <v>20</v>
      </c>
      <c r="M3306" t="s">
        <v>27</v>
      </c>
      <c r="N3306">
        <v>21</v>
      </c>
      <c r="O3306">
        <v>3</v>
      </c>
      <c r="P3306">
        <v>2</v>
      </c>
      <c r="T3306" s="358" t="str">
        <f t="shared" si="149"/>
        <v>2012AllSexAllEth22Hanging, strangulation and suffocation</v>
      </c>
      <c r="U3306" s="360">
        <v>2012</v>
      </c>
      <c r="V3306" s="360" t="s">
        <v>17</v>
      </c>
      <c r="W3306" s="360" t="s">
        <v>27</v>
      </c>
      <c r="X3306" s="360">
        <v>22</v>
      </c>
      <c r="Y3306" s="360" t="s">
        <v>43</v>
      </c>
      <c r="Z3306" s="360">
        <v>128</v>
      </c>
      <c r="AA3306" s="360">
        <v>148</v>
      </c>
      <c r="AB3306" s="360">
        <v>86.5</v>
      </c>
    </row>
    <row r="3307" spans="10:28" x14ac:dyDescent="0.2">
      <c r="J3307" s="358" t="str">
        <f t="shared" si="148"/>
        <v>2012MaleAllEth214</v>
      </c>
      <c r="K3307" s="359">
        <v>2012</v>
      </c>
      <c r="L3307" t="s">
        <v>20</v>
      </c>
      <c r="M3307" t="s">
        <v>27</v>
      </c>
      <c r="N3307">
        <v>21</v>
      </c>
      <c r="O3307">
        <v>4</v>
      </c>
      <c r="P3307">
        <v>2</v>
      </c>
      <c r="T3307" s="358" t="str">
        <f t="shared" si="149"/>
        <v>2012AllSexAllEth23Hanging, strangulation and suffocation</v>
      </c>
      <c r="U3307" s="360">
        <v>2012</v>
      </c>
      <c r="V3307" s="360" t="s">
        <v>17</v>
      </c>
      <c r="W3307" s="360" t="s">
        <v>27</v>
      </c>
      <c r="X3307" s="360">
        <v>23</v>
      </c>
      <c r="Y3307" s="360" t="s">
        <v>43</v>
      </c>
      <c r="Z3307" s="360">
        <v>111</v>
      </c>
      <c r="AA3307" s="360">
        <v>186</v>
      </c>
      <c r="AB3307" s="360">
        <v>59.7</v>
      </c>
    </row>
    <row r="3308" spans="10:28" x14ac:dyDescent="0.2">
      <c r="J3308" s="358" t="str">
        <f t="shared" si="148"/>
        <v>2012MaleAllEth215</v>
      </c>
      <c r="K3308" s="359">
        <v>2012</v>
      </c>
      <c r="L3308" t="s">
        <v>20</v>
      </c>
      <c r="M3308" t="s">
        <v>27</v>
      </c>
      <c r="N3308">
        <v>21</v>
      </c>
      <c r="O3308">
        <v>5</v>
      </c>
      <c r="P3308">
        <v>1</v>
      </c>
      <c r="T3308" s="358" t="str">
        <f t="shared" si="149"/>
        <v>2012AllSexAllEth24Hanging, strangulation and suffocation</v>
      </c>
      <c r="U3308" s="360">
        <v>2012</v>
      </c>
      <c r="V3308" s="360" t="s">
        <v>17</v>
      </c>
      <c r="W3308" s="360" t="s">
        <v>27</v>
      </c>
      <c r="X3308" s="360">
        <v>24</v>
      </c>
      <c r="Y3308" s="360" t="s">
        <v>43</v>
      </c>
      <c r="Z3308" s="360">
        <v>72</v>
      </c>
      <c r="AA3308" s="360">
        <v>147</v>
      </c>
      <c r="AB3308" s="360">
        <v>49</v>
      </c>
    </row>
    <row r="3309" spans="10:28" x14ac:dyDescent="0.2">
      <c r="J3309" s="358" t="str">
        <f t="shared" si="148"/>
        <v>2012MaleAllEth221</v>
      </c>
      <c r="K3309" s="359">
        <v>2012</v>
      </c>
      <c r="L3309" t="s">
        <v>20</v>
      </c>
      <c r="M3309" t="s">
        <v>27</v>
      </c>
      <c r="N3309">
        <v>22</v>
      </c>
      <c r="O3309">
        <v>1</v>
      </c>
      <c r="P3309">
        <v>11</v>
      </c>
      <c r="Q3309">
        <v>19.3229449287447</v>
      </c>
      <c r="R3309">
        <v>11.4</v>
      </c>
      <c r="T3309" s="358" t="str">
        <f t="shared" si="149"/>
        <v>2012AllSexAllEth25Hanging, strangulation and suffocation</v>
      </c>
      <c r="U3309" s="360">
        <v>2012</v>
      </c>
      <c r="V3309" s="360" t="s">
        <v>17</v>
      </c>
      <c r="W3309" s="360" t="s">
        <v>27</v>
      </c>
      <c r="X3309" s="360">
        <v>25</v>
      </c>
      <c r="Y3309" s="360" t="s">
        <v>43</v>
      </c>
      <c r="Z3309" s="360">
        <v>23</v>
      </c>
      <c r="AA3309" s="360">
        <v>57</v>
      </c>
      <c r="AB3309" s="360">
        <v>40.4</v>
      </c>
    </row>
    <row r="3310" spans="10:28" x14ac:dyDescent="0.2">
      <c r="J3310" s="358" t="str">
        <f t="shared" si="148"/>
        <v>2012MaleAllEth222</v>
      </c>
      <c r="K3310" s="359">
        <v>2012</v>
      </c>
      <c r="L3310" t="s">
        <v>20</v>
      </c>
      <c r="M3310" t="s">
        <v>27</v>
      </c>
      <c r="N3310">
        <v>22</v>
      </c>
      <c r="O3310">
        <v>2</v>
      </c>
      <c r="P3310">
        <v>10</v>
      </c>
      <c r="Q3310">
        <v>17.382841579352299</v>
      </c>
      <c r="R3310">
        <v>10.8</v>
      </c>
      <c r="T3310" s="358" t="str">
        <f t="shared" si="149"/>
        <v>2012AllSexAllEth22Jumping from a high place</v>
      </c>
      <c r="U3310" s="360">
        <v>2012</v>
      </c>
      <c r="V3310" s="360" t="s">
        <v>17</v>
      </c>
      <c r="W3310" s="360" t="s">
        <v>27</v>
      </c>
      <c r="X3310" s="360">
        <v>22</v>
      </c>
      <c r="Y3310" s="360" t="s">
        <v>44</v>
      </c>
      <c r="Z3310" s="360">
        <v>6</v>
      </c>
      <c r="AA3310" s="360">
        <v>148</v>
      </c>
      <c r="AB3310" s="360">
        <v>4.0999999999999996</v>
      </c>
    </row>
    <row r="3311" spans="10:28" x14ac:dyDescent="0.2">
      <c r="J3311" s="358" t="str">
        <f t="shared" si="148"/>
        <v>2012MaleAllEth223</v>
      </c>
      <c r="K3311" s="359">
        <v>2012</v>
      </c>
      <c r="L3311" t="s">
        <v>20</v>
      </c>
      <c r="M3311" t="s">
        <v>27</v>
      </c>
      <c r="N3311">
        <v>22</v>
      </c>
      <c r="O3311">
        <v>3</v>
      </c>
      <c r="P3311">
        <v>25</v>
      </c>
      <c r="Q3311">
        <v>41.270815891296103</v>
      </c>
      <c r="R3311">
        <v>16.2</v>
      </c>
      <c r="T3311" s="358" t="str">
        <f t="shared" si="149"/>
        <v>2012AllSexAllEth23Jumping from a high place</v>
      </c>
      <c r="U3311" s="360">
        <v>2012</v>
      </c>
      <c r="V3311" s="360" t="s">
        <v>17</v>
      </c>
      <c r="W3311" s="360" t="s">
        <v>27</v>
      </c>
      <c r="X3311" s="360">
        <v>23</v>
      </c>
      <c r="Y3311" s="360" t="s">
        <v>44</v>
      </c>
      <c r="Z3311" s="360">
        <v>4</v>
      </c>
      <c r="AA3311" s="360">
        <v>186</v>
      </c>
      <c r="AB3311" s="360">
        <v>2.2000000000000002</v>
      </c>
    </row>
    <row r="3312" spans="10:28" x14ac:dyDescent="0.2">
      <c r="J3312" s="358" t="str">
        <f t="shared" si="148"/>
        <v>2012MaleAllEth224</v>
      </c>
      <c r="K3312" s="359">
        <v>2012</v>
      </c>
      <c r="L3312" t="s">
        <v>20</v>
      </c>
      <c r="M3312" t="s">
        <v>27</v>
      </c>
      <c r="N3312">
        <v>22</v>
      </c>
      <c r="O3312">
        <v>4</v>
      </c>
      <c r="P3312">
        <v>28</v>
      </c>
      <c r="Q3312">
        <v>41.9782376596715</v>
      </c>
      <c r="R3312">
        <v>15.5</v>
      </c>
      <c r="T3312" s="358" t="str">
        <f t="shared" si="149"/>
        <v>2012AllSexAllEth24Jumping from a high place</v>
      </c>
      <c r="U3312" s="360">
        <v>2012</v>
      </c>
      <c r="V3312" s="360" t="s">
        <v>17</v>
      </c>
      <c r="W3312" s="360" t="s">
        <v>27</v>
      </c>
      <c r="X3312" s="360">
        <v>24</v>
      </c>
      <c r="Y3312" s="360" t="s">
        <v>44</v>
      </c>
      <c r="Z3312" s="360">
        <v>4</v>
      </c>
      <c r="AA3312" s="360">
        <v>147</v>
      </c>
      <c r="AB3312" s="360">
        <v>2.7</v>
      </c>
    </row>
    <row r="3313" spans="10:28" x14ac:dyDescent="0.2">
      <c r="J3313" s="358" t="str">
        <f t="shared" si="148"/>
        <v>2012MaleAllEth225</v>
      </c>
      <c r="K3313" s="359">
        <v>2012</v>
      </c>
      <c r="L3313" t="s">
        <v>20</v>
      </c>
      <c r="M3313" t="s">
        <v>27</v>
      </c>
      <c r="N3313">
        <v>22</v>
      </c>
      <c r="O3313">
        <v>5</v>
      </c>
      <c r="P3313">
        <v>30</v>
      </c>
      <c r="Q3313">
        <v>40.290998330412499</v>
      </c>
      <c r="R3313">
        <v>14.4</v>
      </c>
      <c r="T3313" s="358" t="str">
        <f t="shared" si="149"/>
        <v>2012AllSexAllEth25Jumping from a high place</v>
      </c>
      <c r="U3313" s="360">
        <v>2012</v>
      </c>
      <c r="V3313" s="360" t="s">
        <v>17</v>
      </c>
      <c r="W3313" s="360" t="s">
        <v>27</v>
      </c>
      <c r="X3313" s="360">
        <v>25</v>
      </c>
      <c r="Y3313" s="360" t="s">
        <v>44</v>
      </c>
      <c r="Z3313" s="360">
        <v>2</v>
      </c>
      <c r="AA3313" s="360">
        <v>57</v>
      </c>
      <c r="AB3313" s="360">
        <v>3.5</v>
      </c>
    </row>
    <row r="3314" spans="10:28" x14ac:dyDescent="0.2">
      <c r="J3314" s="358" t="str">
        <f t="shared" si="148"/>
        <v>2012MaleAllEth231</v>
      </c>
      <c r="K3314" s="359">
        <v>2012</v>
      </c>
      <c r="L3314" t="s">
        <v>20</v>
      </c>
      <c r="M3314" t="s">
        <v>27</v>
      </c>
      <c r="N3314">
        <v>23</v>
      </c>
      <c r="O3314">
        <v>1</v>
      </c>
      <c r="P3314">
        <v>15</v>
      </c>
      <c r="Q3314">
        <v>14.5915940285623</v>
      </c>
      <c r="R3314">
        <v>7.4</v>
      </c>
      <c r="T3314" s="358" t="str">
        <f t="shared" si="149"/>
        <v>2012AllSexAllEth23Other</v>
      </c>
      <c r="U3314" s="360">
        <v>2012</v>
      </c>
      <c r="V3314" s="360" t="s">
        <v>17</v>
      </c>
      <c r="W3314" s="360" t="s">
        <v>27</v>
      </c>
      <c r="X3314" s="360">
        <v>23</v>
      </c>
      <c r="Y3314" s="360" t="s">
        <v>45</v>
      </c>
      <c r="Z3314" s="360">
        <v>11</v>
      </c>
      <c r="AA3314" s="360">
        <v>186</v>
      </c>
      <c r="AB3314" s="360">
        <v>5.9</v>
      </c>
    </row>
    <row r="3315" spans="10:28" x14ac:dyDescent="0.2">
      <c r="J3315" s="358" t="str">
        <f t="shared" si="148"/>
        <v>2012MaleAllEth232</v>
      </c>
      <c r="K3315" s="359">
        <v>2012</v>
      </c>
      <c r="L3315" t="s">
        <v>20</v>
      </c>
      <c r="M3315" t="s">
        <v>27</v>
      </c>
      <c r="N3315">
        <v>23</v>
      </c>
      <c r="O3315">
        <v>2</v>
      </c>
      <c r="P3315">
        <v>22</v>
      </c>
      <c r="Q3315">
        <v>19.631198989009299</v>
      </c>
      <c r="R3315">
        <v>8.1999999999999993</v>
      </c>
      <c r="T3315" s="358" t="str">
        <f t="shared" si="149"/>
        <v>2012AllSexAllEth24Other</v>
      </c>
      <c r="U3315" s="360">
        <v>2012</v>
      </c>
      <c r="V3315" s="360" t="s">
        <v>17</v>
      </c>
      <c r="W3315" s="360" t="s">
        <v>27</v>
      </c>
      <c r="X3315" s="360">
        <v>24</v>
      </c>
      <c r="Y3315" s="360" t="s">
        <v>45</v>
      </c>
      <c r="Z3315" s="360">
        <v>6</v>
      </c>
      <c r="AA3315" s="360">
        <v>147</v>
      </c>
      <c r="AB3315" s="360">
        <v>4.0999999999999996</v>
      </c>
    </row>
    <row r="3316" spans="10:28" x14ac:dyDescent="0.2">
      <c r="J3316" s="358" t="str">
        <f t="shared" si="148"/>
        <v>2012MaleAllEth233</v>
      </c>
      <c r="K3316" s="359">
        <v>2012</v>
      </c>
      <c r="L3316" t="s">
        <v>20</v>
      </c>
      <c r="M3316" t="s">
        <v>27</v>
      </c>
      <c r="N3316">
        <v>23</v>
      </c>
      <c r="O3316">
        <v>3</v>
      </c>
      <c r="P3316">
        <v>31</v>
      </c>
      <c r="Q3316">
        <v>26.835325252923202</v>
      </c>
      <c r="R3316">
        <v>9.4</v>
      </c>
      <c r="T3316" s="358" t="str">
        <f t="shared" si="149"/>
        <v>2012AllSexAllEth25Other</v>
      </c>
      <c r="U3316" s="360">
        <v>2012</v>
      </c>
      <c r="V3316" s="360" t="s">
        <v>17</v>
      </c>
      <c r="W3316" s="360" t="s">
        <v>27</v>
      </c>
      <c r="X3316" s="360">
        <v>25</v>
      </c>
      <c r="Y3316" s="360" t="s">
        <v>45</v>
      </c>
      <c r="Z3316" s="360">
        <v>2</v>
      </c>
      <c r="AA3316" s="360">
        <v>57</v>
      </c>
      <c r="AB3316" s="360">
        <v>3.5</v>
      </c>
    </row>
    <row r="3317" spans="10:28" x14ac:dyDescent="0.2">
      <c r="J3317" s="358" t="str">
        <f t="shared" si="148"/>
        <v>2012MaleAllEth234</v>
      </c>
      <c r="K3317" s="359">
        <v>2012</v>
      </c>
      <c r="L3317" t="s">
        <v>20</v>
      </c>
      <c r="M3317" t="s">
        <v>27</v>
      </c>
      <c r="N3317">
        <v>23</v>
      </c>
      <c r="O3317">
        <v>4</v>
      </c>
      <c r="P3317">
        <v>34</v>
      </c>
      <c r="Q3317">
        <v>29.9639286317454</v>
      </c>
      <c r="R3317">
        <v>10.1</v>
      </c>
      <c r="T3317" s="358" t="str">
        <f t="shared" si="149"/>
        <v>2012AllSexAllEth22Poisoning by gases and vapours</v>
      </c>
      <c r="U3317" s="360">
        <v>2012</v>
      </c>
      <c r="V3317" s="360" t="s">
        <v>17</v>
      </c>
      <c r="W3317" s="360" t="s">
        <v>27</v>
      </c>
      <c r="X3317" s="360">
        <v>22</v>
      </c>
      <c r="Y3317" s="360" t="s">
        <v>46</v>
      </c>
      <c r="Z3317" s="360">
        <v>2</v>
      </c>
      <c r="AA3317" s="360">
        <v>148</v>
      </c>
      <c r="AB3317" s="360">
        <v>1.4</v>
      </c>
    </row>
    <row r="3318" spans="10:28" x14ac:dyDescent="0.2">
      <c r="J3318" s="358" t="str">
        <f t="shared" si="148"/>
        <v>2012MaleAllEth235</v>
      </c>
      <c r="K3318" s="359">
        <v>2012</v>
      </c>
      <c r="L3318" t="s">
        <v>20</v>
      </c>
      <c r="M3318" t="s">
        <v>27</v>
      </c>
      <c r="N3318">
        <v>23</v>
      </c>
      <c r="O3318">
        <v>5</v>
      </c>
      <c r="P3318">
        <v>35</v>
      </c>
      <c r="Q3318">
        <v>33.6295388197127</v>
      </c>
      <c r="R3318">
        <v>11.1</v>
      </c>
      <c r="T3318" s="358" t="str">
        <f t="shared" si="149"/>
        <v>2012AllSexAllEth23Poisoning by gases and vapours</v>
      </c>
      <c r="U3318" s="360">
        <v>2012</v>
      </c>
      <c r="V3318" s="360" t="s">
        <v>17</v>
      </c>
      <c r="W3318" s="360" t="s">
        <v>27</v>
      </c>
      <c r="X3318" s="360">
        <v>23</v>
      </c>
      <c r="Y3318" s="360" t="s">
        <v>46</v>
      </c>
      <c r="Z3318" s="360">
        <v>19</v>
      </c>
      <c r="AA3318" s="360">
        <v>186</v>
      </c>
      <c r="AB3318" s="360">
        <v>10.199999999999999</v>
      </c>
    </row>
    <row r="3319" spans="10:28" x14ac:dyDescent="0.2">
      <c r="J3319" s="358" t="str">
        <f t="shared" si="148"/>
        <v>2012MaleAllEth241</v>
      </c>
      <c r="K3319" s="359">
        <v>2012</v>
      </c>
      <c r="L3319" t="s">
        <v>20</v>
      </c>
      <c r="M3319" t="s">
        <v>27</v>
      </c>
      <c r="N3319">
        <v>24</v>
      </c>
      <c r="O3319">
        <v>1</v>
      </c>
      <c r="P3319">
        <v>13</v>
      </c>
      <c r="Q3319">
        <v>9.6740274506708008</v>
      </c>
      <c r="R3319">
        <v>5.3</v>
      </c>
      <c r="T3319" s="358" t="str">
        <f t="shared" si="149"/>
        <v>2012AllSexAllEth24Poisoning by gases and vapours</v>
      </c>
      <c r="U3319" s="360">
        <v>2012</v>
      </c>
      <c r="V3319" s="360" t="s">
        <v>17</v>
      </c>
      <c r="W3319" s="360" t="s">
        <v>27</v>
      </c>
      <c r="X3319" s="360">
        <v>24</v>
      </c>
      <c r="Y3319" s="360" t="s">
        <v>46</v>
      </c>
      <c r="Z3319" s="360">
        <v>16</v>
      </c>
      <c r="AA3319" s="360">
        <v>147</v>
      </c>
      <c r="AB3319" s="360">
        <v>10.9</v>
      </c>
    </row>
    <row r="3320" spans="10:28" x14ac:dyDescent="0.2">
      <c r="J3320" s="358" t="str">
        <f t="shared" si="148"/>
        <v>2012MaleAllEth242</v>
      </c>
      <c r="K3320" s="359">
        <v>2012</v>
      </c>
      <c r="L3320" t="s">
        <v>20</v>
      </c>
      <c r="M3320" t="s">
        <v>27</v>
      </c>
      <c r="N3320">
        <v>24</v>
      </c>
      <c r="O3320">
        <v>2</v>
      </c>
      <c r="P3320">
        <v>17</v>
      </c>
      <c r="Q3320">
        <v>14.260478501868899</v>
      </c>
      <c r="R3320">
        <v>6.8</v>
      </c>
      <c r="T3320" s="358" t="str">
        <f t="shared" si="149"/>
        <v>2012AllSexAllEth25Poisoning by gases and vapours</v>
      </c>
      <c r="U3320" s="360">
        <v>2012</v>
      </c>
      <c r="V3320" s="360" t="s">
        <v>17</v>
      </c>
      <c r="W3320" s="360" t="s">
        <v>27</v>
      </c>
      <c r="X3320" s="360">
        <v>25</v>
      </c>
      <c r="Y3320" s="360" t="s">
        <v>46</v>
      </c>
      <c r="Z3320" s="360">
        <v>6</v>
      </c>
      <c r="AA3320" s="360">
        <v>57</v>
      </c>
      <c r="AB3320" s="360">
        <v>10.5</v>
      </c>
    </row>
    <row r="3321" spans="10:28" x14ac:dyDescent="0.2">
      <c r="J3321" s="358" t="str">
        <f t="shared" si="148"/>
        <v>2012MaleAllEth243</v>
      </c>
      <c r="K3321" s="359">
        <v>2012</v>
      </c>
      <c r="L3321" t="s">
        <v>20</v>
      </c>
      <c r="M3321" t="s">
        <v>27</v>
      </c>
      <c r="N3321">
        <v>24</v>
      </c>
      <c r="O3321">
        <v>3</v>
      </c>
      <c r="P3321">
        <v>26</v>
      </c>
      <c r="Q3321">
        <v>24.217340291727101</v>
      </c>
      <c r="R3321">
        <v>9.3000000000000007</v>
      </c>
      <c r="T3321" s="358" t="str">
        <f t="shared" si="149"/>
        <v>2012AllSexAllEth21Poisoning by solids and liquids</v>
      </c>
      <c r="U3321" s="360">
        <v>2012</v>
      </c>
      <c r="V3321" s="360" t="s">
        <v>17</v>
      </c>
      <c r="W3321" s="360" t="s">
        <v>27</v>
      </c>
      <c r="X3321" s="360">
        <v>21</v>
      </c>
      <c r="Y3321" s="360" t="s">
        <v>47</v>
      </c>
      <c r="Z3321" s="360">
        <v>1</v>
      </c>
      <c r="AA3321" s="360">
        <v>12</v>
      </c>
      <c r="AB3321" s="360">
        <v>8.3000000000000007</v>
      </c>
    </row>
    <row r="3322" spans="10:28" x14ac:dyDescent="0.2">
      <c r="J3322" s="358" t="str">
        <f t="shared" si="148"/>
        <v>2012MaleAllEth244</v>
      </c>
      <c r="K3322" s="359">
        <v>2012</v>
      </c>
      <c r="L3322" t="s">
        <v>20</v>
      </c>
      <c r="M3322" t="s">
        <v>27</v>
      </c>
      <c r="N3322">
        <v>24</v>
      </c>
      <c r="O3322">
        <v>4</v>
      </c>
      <c r="P3322">
        <v>25</v>
      </c>
      <c r="Q3322">
        <v>25.6442943380864</v>
      </c>
      <c r="R3322">
        <v>10.1</v>
      </c>
      <c r="T3322" s="358" t="str">
        <f t="shared" si="149"/>
        <v>2012AllSexAllEth22Poisoning by solids and liquids</v>
      </c>
      <c r="U3322" s="360">
        <v>2012</v>
      </c>
      <c r="V3322" s="360" t="s">
        <v>17</v>
      </c>
      <c r="W3322" s="360" t="s">
        <v>27</v>
      </c>
      <c r="X3322" s="360">
        <v>22</v>
      </c>
      <c r="Y3322" s="360" t="s">
        <v>47</v>
      </c>
      <c r="Z3322" s="360">
        <v>3</v>
      </c>
      <c r="AA3322" s="360">
        <v>148</v>
      </c>
      <c r="AB3322" s="360">
        <v>2</v>
      </c>
    </row>
    <row r="3323" spans="10:28" x14ac:dyDescent="0.2">
      <c r="J3323" s="358" t="str">
        <f t="shared" si="148"/>
        <v>2012MaleAllEth245</v>
      </c>
      <c r="K3323" s="359">
        <v>2012</v>
      </c>
      <c r="L3323" t="s">
        <v>20</v>
      </c>
      <c r="M3323" t="s">
        <v>27</v>
      </c>
      <c r="N3323">
        <v>24</v>
      </c>
      <c r="O3323">
        <v>5</v>
      </c>
      <c r="P3323">
        <v>21</v>
      </c>
      <c r="Q3323">
        <v>23.595295902741199</v>
      </c>
      <c r="R3323">
        <v>10.1</v>
      </c>
      <c r="T3323" s="358" t="str">
        <f t="shared" si="149"/>
        <v>2012AllSexAllEth23Poisoning by solids and liquids</v>
      </c>
      <c r="U3323" s="360">
        <v>2012</v>
      </c>
      <c r="V3323" s="360" t="s">
        <v>17</v>
      </c>
      <c r="W3323" s="360" t="s">
        <v>27</v>
      </c>
      <c r="X3323" s="360">
        <v>23</v>
      </c>
      <c r="Y3323" s="360" t="s">
        <v>47</v>
      </c>
      <c r="Z3323" s="360">
        <v>22</v>
      </c>
      <c r="AA3323" s="360">
        <v>186</v>
      </c>
      <c r="AB3323" s="360">
        <v>11.8</v>
      </c>
    </row>
    <row r="3324" spans="10:28" x14ac:dyDescent="0.2">
      <c r="J3324" s="358" t="str">
        <f t="shared" si="148"/>
        <v>2012MaleAllEth251</v>
      </c>
      <c r="K3324" s="359">
        <v>2012</v>
      </c>
      <c r="L3324" t="s">
        <v>20</v>
      </c>
      <c r="M3324" t="s">
        <v>27</v>
      </c>
      <c r="N3324">
        <v>25</v>
      </c>
      <c r="O3324">
        <v>1</v>
      </c>
      <c r="P3324">
        <v>5</v>
      </c>
      <c r="Q3324">
        <v>8.3379635941752692</v>
      </c>
      <c r="R3324">
        <v>7.3</v>
      </c>
      <c r="T3324" s="358" t="str">
        <f t="shared" si="149"/>
        <v>2012AllSexAllEth24Poisoning by solids and liquids</v>
      </c>
      <c r="U3324" s="360">
        <v>2012</v>
      </c>
      <c r="V3324" s="360" t="s">
        <v>17</v>
      </c>
      <c r="W3324" s="360" t="s">
        <v>27</v>
      </c>
      <c r="X3324" s="360">
        <v>24</v>
      </c>
      <c r="Y3324" s="360" t="s">
        <v>47</v>
      </c>
      <c r="Z3324" s="360">
        <v>27</v>
      </c>
      <c r="AA3324" s="360">
        <v>147</v>
      </c>
      <c r="AB3324" s="360">
        <v>18.399999999999999</v>
      </c>
    </row>
    <row r="3325" spans="10:28" x14ac:dyDescent="0.2">
      <c r="J3325" s="358" t="str">
        <f t="shared" si="148"/>
        <v>2012MaleAllEth252</v>
      </c>
      <c r="K3325" s="359">
        <v>2012</v>
      </c>
      <c r="L3325" t="s">
        <v>20</v>
      </c>
      <c r="M3325" t="s">
        <v>27</v>
      </c>
      <c r="N3325">
        <v>25</v>
      </c>
      <c r="O3325">
        <v>2</v>
      </c>
      <c r="P3325">
        <v>12</v>
      </c>
      <c r="Q3325">
        <v>20.2942553879925</v>
      </c>
      <c r="R3325">
        <v>11.5</v>
      </c>
      <c r="T3325" s="358" t="str">
        <f t="shared" si="149"/>
        <v>2012AllSexAllEth25Poisoning by solids and liquids</v>
      </c>
      <c r="U3325" s="360">
        <v>2012</v>
      </c>
      <c r="V3325" s="360" t="s">
        <v>17</v>
      </c>
      <c r="W3325" s="360" t="s">
        <v>27</v>
      </c>
      <c r="X3325" s="360">
        <v>25</v>
      </c>
      <c r="Y3325" s="360" t="s">
        <v>47</v>
      </c>
      <c r="Z3325" s="360">
        <v>11</v>
      </c>
      <c r="AA3325" s="360">
        <v>57</v>
      </c>
      <c r="AB3325" s="360">
        <v>19.3</v>
      </c>
    </row>
    <row r="3326" spans="10:28" x14ac:dyDescent="0.2">
      <c r="J3326" s="358" t="str">
        <f t="shared" si="148"/>
        <v>2012MaleAllEth253</v>
      </c>
      <c r="K3326" s="359">
        <v>2012</v>
      </c>
      <c r="L3326" t="s">
        <v>20</v>
      </c>
      <c r="M3326" t="s">
        <v>27</v>
      </c>
      <c r="N3326">
        <v>25</v>
      </c>
      <c r="O3326">
        <v>3</v>
      </c>
      <c r="P3326">
        <v>13</v>
      </c>
      <c r="Q3326">
        <v>22.828586111185299</v>
      </c>
      <c r="R3326">
        <v>12.4</v>
      </c>
      <c r="T3326" s="358" t="str">
        <f t="shared" si="149"/>
        <v>2012AllSexAllEth23Sharp object</v>
      </c>
      <c r="U3326" s="360">
        <v>2012</v>
      </c>
      <c r="V3326" s="360" t="s">
        <v>17</v>
      </c>
      <c r="W3326" s="360" t="s">
        <v>27</v>
      </c>
      <c r="X3326" s="360">
        <v>23</v>
      </c>
      <c r="Y3326" s="360" t="s">
        <v>48</v>
      </c>
      <c r="Z3326" s="360">
        <v>6</v>
      </c>
      <c r="AA3326" s="360">
        <v>186</v>
      </c>
      <c r="AB3326" s="360">
        <v>3.2</v>
      </c>
    </row>
    <row r="3327" spans="10:28" x14ac:dyDescent="0.2">
      <c r="J3327" s="358" t="str">
        <f t="shared" si="148"/>
        <v>2012MaleAllEth254</v>
      </c>
      <c r="K3327" s="359">
        <v>2012</v>
      </c>
      <c r="L3327" t="s">
        <v>20</v>
      </c>
      <c r="M3327" t="s">
        <v>27</v>
      </c>
      <c r="N3327">
        <v>25</v>
      </c>
      <c r="O3327">
        <v>4</v>
      </c>
      <c r="P3327">
        <v>6</v>
      </c>
      <c r="Q3327">
        <v>10.8583900791937</v>
      </c>
      <c r="R3327">
        <v>8.6999999999999993</v>
      </c>
      <c r="T3327" s="358" t="str">
        <f t="shared" si="149"/>
        <v>2012AllSexAllEth24Sharp object</v>
      </c>
      <c r="U3327" s="360">
        <v>2012</v>
      </c>
      <c r="V3327" s="360" t="s">
        <v>17</v>
      </c>
      <c r="W3327" s="360" t="s">
        <v>27</v>
      </c>
      <c r="X3327" s="360">
        <v>24</v>
      </c>
      <c r="Y3327" s="360" t="s">
        <v>48</v>
      </c>
      <c r="Z3327" s="360">
        <v>4</v>
      </c>
      <c r="AA3327" s="360">
        <v>147</v>
      </c>
      <c r="AB3327" s="360">
        <v>2.7</v>
      </c>
    </row>
    <row r="3328" spans="10:28" x14ac:dyDescent="0.2">
      <c r="J3328" s="358" t="str">
        <f t="shared" si="148"/>
        <v>2012MaleAllEth255</v>
      </c>
      <c r="K3328" s="359">
        <v>2012</v>
      </c>
      <c r="L3328" t="s">
        <v>20</v>
      </c>
      <c r="M3328" t="s">
        <v>27</v>
      </c>
      <c r="N3328">
        <v>25</v>
      </c>
      <c r="O3328">
        <v>5</v>
      </c>
      <c r="P3328">
        <v>6</v>
      </c>
      <c r="Q3328">
        <v>13.1431273765626</v>
      </c>
      <c r="R3328">
        <v>10.5</v>
      </c>
      <c r="T3328" s="358" t="str">
        <f t="shared" si="149"/>
        <v>2012AllSexAllEth25Sharp object</v>
      </c>
      <c r="U3328" s="360">
        <v>2012</v>
      </c>
      <c r="V3328" s="360" t="s">
        <v>17</v>
      </c>
      <c r="W3328" s="360" t="s">
        <v>27</v>
      </c>
      <c r="X3328" s="360">
        <v>25</v>
      </c>
      <c r="Y3328" s="360" t="s">
        <v>48</v>
      </c>
      <c r="Z3328" s="360">
        <v>3</v>
      </c>
      <c r="AA3328" s="360">
        <v>57</v>
      </c>
      <c r="AB3328" s="360">
        <v>5.3</v>
      </c>
    </row>
    <row r="3329" spans="10:28" x14ac:dyDescent="0.2">
      <c r="J3329" s="358" t="str">
        <f t="shared" si="148"/>
        <v>2012MaleMaori211</v>
      </c>
      <c r="K3329" s="359">
        <v>2012</v>
      </c>
      <c r="L3329" t="s">
        <v>20</v>
      </c>
      <c r="M3329" t="s">
        <v>18</v>
      </c>
      <c r="N3329">
        <v>21</v>
      </c>
      <c r="O3329">
        <v>1</v>
      </c>
      <c r="P3329">
        <v>0</v>
      </c>
      <c r="T3329" s="358" t="str">
        <f t="shared" si="149"/>
        <v>2012AllSexAllEth23Submersion (drowning)</v>
      </c>
      <c r="U3329" s="360">
        <v>2012</v>
      </c>
      <c r="V3329" s="360" t="s">
        <v>17</v>
      </c>
      <c r="W3329" s="360" t="s">
        <v>27</v>
      </c>
      <c r="X3329" s="360">
        <v>23</v>
      </c>
      <c r="Y3329" s="360" t="s">
        <v>49</v>
      </c>
      <c r="Z3329" s="360">
        <v>2</v>
      </c>
      <c r="AA3329" s="360">
        <v>186</v>
      </c>
      <c r="AB3329" s="360">
        <v>1.1000000000000001</v>
      </c>
    </row>
    <row r="3330" spans="10:28" x14ac:dyDescent="0.2">
      <c r="J3330" s="358" t="str">
        <f t="shared" si="148"/>
        <v>2012MaleMaori212</v>
      </c>
      <c r="K3330" s="359">
        <v>2012</v>
      </c>
      <c r="L3330" t="s">
        <v>20</v>
      </c>
      <c r="M3330" t="s">
        <v>18</v>
      </c>
      <c r="N3330">
        <v>21</v>
      </c>
      <c r="O3330">
        <v>2</v>
      </c>
      <c r="P3330">
        <v>0</v>
      </c>
      <c r="T3330" s="358" t="str">
        <f t="shared" si="149"/>
        <v>2012AllSexAllEth24Submersion (drowning)</v>
      </c>
      <c r="U3330" s="360">
        <v>2012</v>
      </c>
      <c r="V3330" s="360" t="s">
        <v>17</v>
      </c>
      <c r="W3330" s="360" t="s">
        <v>27</v>
      </c>
      <c r="X3330" s="360">
        <v>24</v>
      </c>
      <c r="Y3330" s="360" t="s">
        <v>49</v>
      </c>
      <c r="Z3330" s="360">
        <v>1</v>
      </c>
      <c r="AA3330" s="360">
        <v>147</v>
      </c>
      <c r="AB3330" s="360">
        <v>0.7</v>
      </c>
    </row>
    <row r="3331" spans="10:28" x14ac:dyDescent="0.2">
      <c r="J3331" s="358" t="str">
        <f t="shared" si="148"/>
        <v>2012MaleMaori213</v>
      </c>
      <c r="K3331" s="359">
        <v>2012</v>
      </c>
      <c r="L3331" t="s">
        <v>20</v>
      </c>
      <c r="M3331" t="s">
        <v>18</v>
      </c>
      <c r="N3331">
        <v>21</v>
      </c>
      <c r="O3331">
        <v>3</v>
      </c>
      <c r="P3331">
        <v>2</v>
      </c>
      <c r="T3331" s="358" t="str">
        <f t="shared" si="149"/>
        <v>2012AllSexAllEth25Submersion (drowning)</v>
      </c>
      <c r="U3331" s="360">
        <v>2012</v>
      </c>
      <c r="V3331" s="360" t="s">
        <v>17</v>
      </c>
      <c r="W3331" s="360" t="s">
        <v>27</v>
      </c>
      <c r="X3331" s="360">
        <v>25</v>
      </c>
      <c r="Y3331" s="360" t="s">
        <v>49</v>
      </c>
      <c r="Z3331" s="360">
        <v>2</v>
      </c>
      <c r="AA3331" s="360">
        <v>57</v>
      </c>
      <c r="AB3331" s="360">
        <v>3.5</v>
      </c>
    </row>
    <row r="3332" spans="10:28" x14ac:dyDescent="0.2">
      <c r="J3332" s="358" t="str">
        <f t="shared" ref="J3332:J3395" si="150">K3332&amp;L3332&amp;M3332&amp;N3332&amp;O3332</f>
        <v>2012MaleMaori214</v>
      </c>
      <c r="K3332" s="359">
        <v>2012</v>
      </c>
      <c r="L3332" t="s">
        <v>20</v>
      </c>
      <c r="M3332" t="s">
        <v>18</v>
      </c>
      <c r="N3332">
        <v>21</v>
      </c>
      <c r="O3332">
        <v>4</v>
      </c>
      <c r="P3332">
        <v>2</v>
      </c>
      <c r="T3332" s="358" t="str">
        <f t="shared" si="149"/>
        <v>2012AllSexMaori21Firearms and explosives</v>
      </c>
      <c r="U3332" s="360">
        <v>2012</v>
      </c>
      <c r="V3332" s="360" t="s">
        <v>17</v>
      </c>
      <c r="W3332" s="360" t="s">
        <v>18</v>
      </c>
      <c r="X3332" s="360">
        <v>21</v>
      </c>
      <c r="Y3332" s="360" t="s">
        <v>42</v>
      </c>
      <c r="Z3332" s="360">
        <v>2</v>
      </c>
      <c r="AA3332" s="360">
        <v>8</v>
      </c>
      <c r="AB3332" s="360">
        <v>25</v>
      </c>
    </row>
    <row r="3333" spans="10:28" x14ac:dyDescent="0.2">
      <c r="J3333" s="358" t="str">
        <f t="shared" si="150"/>
        <v>2012MaleMaori215</v>
      </c>
      <c r="K3333" s="359">
        <v>2012</v>
      </c>
      <c r="L3333" t="s">
        <v>20</v>
      </c>
      <c r="M3333" t="s">
        <v>18</v>
      </c>
      <c r="N3333">
        <v>21</v>
      </c>
      <c r="O3333">
        <v>5</v>
      </c>
      <c r="P3333">
        <v>1</v>
      </c>
      <c r="T3333" s="358" t="str">
        <f t="shared" ref="T3333:T3396" si="151">U3333&amp;V3333&amp;W3333&amp;X3333&amp;Y3333</f>
        <v>2012AllSexMaori22Firearms and explosives</v>
      </c>
      <c r="U3333" s="360">
        <v>2012</v>
      </c>
      <c r="V3333" s="360" t="s">
        <v>17</v>
      </c>
      <c r="W3333" s="360" t="s">
        <v>18</v>
      </c>
      <c r="X3333" s="360">
        <v>22</v>
      </c>
      <c r="Y3333" s="360" t="s">
        <v>42</v>
      </c>
      <c r="Z3333" s="360">
        <v>2</v>
      </c>
      <c r="AA3333" s="360">
        <v>61</v>
      </c>
      <c r="AB3333" s="360">
        <v>3.3</v>
      </c>
    </row>
    <row r="3334" spans="10:28" x14ac:dyDescent="0.2">
      <c r="J3334" s="358" t="str">
        <f t="shared" si="150"/>
        <v>2012MaleMaori221</v>
      </c>
      <c r="K3334" s="359">
        <v>2012</v>
      </c>
      <c r="L3334" t="s">
        <v>20</v>
      </c>
      <c r="M3334" t="s">
        <v>18</v>
      </c>
      <c r="N3334">
        <v>22</v>
      </c>
      <c r="O3334">
        <v>1</v>
      </c>
      <c r="P3334">
        <v>0</v>
      </c>
      <c r="Q3334">
        <v>0</v>
      </c>
      <c r="T3334" s="358" t="str">
        <f t="shared" si="151"/>
        <v>2012AllSexMaori24Firearms and explosives</v>
      </c>
      <c r="U3334" s="360">
        <v>2012</v>
      </c>
      <c r="V3334" s="360" t="s">
        <v>17</v>
      </c>
      <c r="W3334" s="360" t="s">
        <v>18</v>
      </c>
      <c r="X3334" s="360">
        <v>24</v>
      </c>
      <c r="Y3334" s="360" t="s">
        <v>42</v>
      </c>
      <c r="Z3334" s="360">
        <v>1</v>
      </c>
      <c r="AA3334" s="360">
        <v>10</v>
      </c>
      <c r="AB3334" s="360">
        <v>10</v>
      </c>
    </row>
    <row r="3335" spans="10:28" x14ac:dyDescent="0.2">
      <c r="J3335" s="358" t="str">
        <f t="shared" si="150"/>
        <v>2012MaleMaori222</v>
      </c>
      <c r="K3335" s="359">
        <v>2012</v>
      </c>
      <c r="L3335" t="s">
        <v>20</v>
      </c>
      <c r="M3335" t="s">
        <v>18</v>
      </c>
      <c r="N3335">
        <v>22</v>
      </c>
      <c r="O3335">
        <v>2</v>
      </c>
      <c r="P3335">
        <v>2</v>
      </c>
      <c r="Q3335">
        <v>27.444737902983899</v>
      </c>
      <c r="R3335">
        <v>38</v>
      </c>
      <c r="T3335" s="358" t="str">
        <f t="shared" si="151"/>
        <v>2012AllSexMaori21Hanging, strangulation and suffocation</v>
      </c>
      <c r="U3335" s="360">
        <v>2012</v>
      </c>
      <c r="V3335" s="360" t="s">
        <v>17</v>
      </c>
      <c r="W3335" s="360" t="s">
        <v>18</v>
      </c>
      <c r="X3335" s="360">
        <v>21</v>
      </c>
      <c r="Y3335" s="360" t="s">
        <v>43</v>
      </c>
      <c r="Z3335" s="360">
        <v>6</v>
      </c>
      <c r="AA3335" s="360">
        <v>8</v>
      </c>
      <c r="AB3335" s="360">
        <v>75</v>
      </c>
    </row>
    <row r="3336" spans="10:28" x14ac:dyDescent="0.2">
      <c r="J3336" s="358" t="str">
        <f t="shared" si="150"/>
        <v>2012MaleMaori223</v>
      </c>
      <c r="K3336" s="359">
        <v>2012</v>
      </c>
      <c r="L3336" t="s">
        <v>20</v>
      </c>
      <c r="M3336" t="s">
        <v>18</v>
      </c>
      <c r="N3336">
        <v>22</v>
      </c>
      <c r="O3336">
        <v>3</v>
      </c>
      <c r="P3336">
        <v>8</v>
      </c>
      <c r="Q3336">
        <v>76.695234685093894</v>
      </c>
      <c r="R3336">
        <v>53.1</v>
      </c>
      <c r="T3336" s="358" t="str">
        <f t="shared" si="151"/>
        <v>2012AllSexMaori22Hanging, strangulation and suffocation</v>
      </c>
      <c r="U3336" s="360">
        <v>2012</v>
      </c>
      <c r="V3336" s="360" t="s">
        <v>17</v>
      </c>
      <c r="W3336" s="360" t="s">
        <v>18</v>
      </c>
      <c r="X3336" s="360">
        <v>22</v>
      </c>
      <c r="Y3336" s="360" t="s">
        <v>43</v>
      </c>
      <c r="Z3336" s="360">
        <v>58</v>
      </c>
      <c r="AA3336" s="360">
        <v>61</v>
      </c>
      <c r="AB3336" s="360">
        <v>95.1</v>
      </c>
    </row>
    <row r="3337" spans="10:28" x14ac:dyDescent="0.2">
      <c r="J3337" s="358" t="str">
        <f t="shared" si="150"/>
        <v>2012MaleMaori224</v>
      </c>
      <c r="K3337" s="359">
        <v>2012</v>
      </c>
      <c r="L3337" t="s">
        <v>20</v>
      </c>
      <c r="M3337" t="s">
        <v>18</v>
      </c>
      <c r="N3337">
        <v>22</v>
      </c>
      <c r="O3337">
        <v>4</v>
      </c>
      <c r="P3337">
        <v>10</v>
      </c>
      <c r="Q3337">
        <v>67.876471138304893</v>
      </c>
      <c r="R3337">
        <v>42.1</v>
      </c>
      <c r="T3337" s="358" t="str">
        <f t="shared" si="151"/>
        <v>2012AllSexMaori23Hanging, strangulation and suffocation</v>
      </c>
      <c r="U3337" s="360">
        <v>2012</v>
      </c>
      <c r="V3337" s="360" t="s">
        <v>17</v>
      </c>
      <c r="W3337" s="360" t="s">
        <v>18</v>
      </c>
      <c r="X3337" s="360">
        <v>23</v>
      </c>
      <c r="Y3337" s="360" t="s">
        <v>43</v>
      </c>
      <c r="Z3337" s="360">
        <v>34</v>
      </c>
      <c r="AA3337" s="360">
        <v>39</v>
      </c>
      <c r="AB3337" s="360">
        <v>87.2</v>
      </c>
    </row>
    <row r="3338" spans="10:28" x14ac:dyDescent="0.2">
      <c r="J3338" s="358" t="str">
        <f t="shared" si="150"/>
        <v>2012MaleMaori225</v>
      </c>
      <c r="K3338" s="359">
        <v>2012</v>
      </c>
      <c r="L3338" t="s">
        <v>20</v>
      </c>
      <c r="M3338" t="s">
        <v>18</v>
      </c>
      <c r="N3338">
        <v>22</v>
      </c>
      <c r="O3338">
        <v>5</v>
      </c>
      <c r="P3338">
        <v>16</v>
      </c>
      <c r="Q3338">
        <v>65.323618675979901</v>
      </c>
      <c r="R3338">
        <v>32</v>
      </c>
      <c r="T3338" s="358" t="str">
        <f t="shared" si="151"/>
        <v>2012AllSexMaori24Hanging, strangulation and suffocation</v>
      </c>
      <c r="U3338" s="360">
        <v>2012</v>
      </c>
      <c r="V3338" s="360" t="s">
        <v>17</v>
      </c>
      <c r="W3338" s="360" t="s">
        <v>18</v>
      </c>
      <c r="X3338" s="360">
        <v>24</v>
      </c>
      <c r="Y3338" s="360" t="s">
        <v>43</v>
      </c>
      <c r="Z3338" s="360">
        <v>7</v>
      </c>
      <c r="AA3338" s="360">
        <v>10</v>
      </c>
      <c r="AB3338" s="360">
        <v>70</v>
      </c>
    </row>
    <row r="3339" spans="10:28" x14ac:dyDescent="0.2">
      <c r="J3339" s="358" t="str">
        <f t="shared" si="150"/>
        <v>2012MaleMaori231</v>
      </c>
      <c r="K3339" s="359">
        <v>2012</v>
      </c>
      <c r="L3339" t="s">
        <v>20</v>
      </c>
      <c r="M3339" t="s">
        <v>18</v>
      </c>
      <c r="N3339">
        <v>23</v>
      </c>
      <c r="O3339">
        <v>1</v>
      </c>
      <c r="P3339">
        <v>2</v>
      </c>
      <c r="Q3339">
        <v>27.295487424529799</v>
      </c>
      <c r="R3339">
        <v>37.799999999999997</v>
      </c>
      <c r="T3339" s="358" t="str">
        <f t="shared" si="151"/>
        <v>2012AllSexMaori25Hanging, strangulation and suffocation</v>
      </c>
      <c r="U3339" s="360">
        <v>2012</v>
      </c>
      <c r="V3339" s="360" t="s">
        <v>17</v>
      </c>
      <c r="W3339" s="360" t="s">
        <v>18</v>
      </c>
      <c r="X3339" s="360">
        <v>25</v>
      </c>
      <c r="Y3339" s="360" t="s">
        <v>43</v>
      </c>
      <c r="Z3339" s="360">
        <v>1</v>
      </c>
      <c r="AA3339" s="360">
        <v>1</v>
      </c>
      <c r="AB3339" s="360">
        <v>100</v>
      </c>
    </row>
    <row r="3340" spans="10:28" x14ac:dyDescent="0.2">
      <c r="J3340" s="358" t="str">
        <f t="shared" si="150"/>
        <v>2012MaleMaori232</v>
      </c>
      <c r="K3340" s="359">
        <v>2012</v>
      </c>
      <c r="L3340" t="s">
        <v>20</v>
      </c>
      <c r="M3340" t="s">
        <v>18</v>
      </c>
      <c r="N3340">
        <v>23</v>
      </c>
      <c r="O3340">
        <v>2</v>
      </c>
      <c r="P3340">
        <v>3</v>
      </c>
      <c r="Q3340">
        <v>30.227601507386002</v>
      </c>
      <c r="R3340">
        <v>34.200000000000003</v>
      </c>
      <c r="T3340" s="358" t="str">
        <f t="shared" si="151"/>
        <v>2012AllSexMaori22Jumping from a high place</v>
      </c>
      <c r="U3340" s="360">
        <v>2012</v>
      </c>
      <c r="V3340" s="360" t="s">
        <v>17</v>
      </c>
      <c r="W3340" s="360" t="s">
        <v>18</v>
      </c>
      <c r="X3340" s="360">
        <v>22</v>
      </c>
      <c r="Y3340" s="360" t="s">
        <v>44</v>
      </c>
      <c r="Z3340" s="360">
        <v>1</v>
      </c>
      <c r="AA3340" s="360">
        <v>61</v>
      </c>
      <c r="AB3340" s="360">
        <v>1.6</v>
      </c>
    </row>
    <row r="3341" spans="10:28" x14ac:dyDescent="0.2">
      <c r="J3341" s="358" t="str">
        <f t="shared" si="150"/>
        <v>2012MaleMaori233</v>
      </c>
      <c r="K3341" s="359">
        <v>2012</v>
      </c>
      <c r="L3341" t="s">
        <v>20</v>
      </c>
      <c r="M3341" t="s">
        <v>18</v>
      </c>
      <c r="N3341">
        <v>23</v>
      </c>
      <c r="O3341">
        <v>3</v>
      </c>
      <c r="P3341">
        <v>5</v>
      </c>
      <c r="Q3341">
        <v>36.267815773579002</v>
      </c>
      <c r="R3341">
        <v>31.8</v>
      </c>
      <c r="T3341" s="358" t="str">
        <f t="shared" si="151"/>
        <v>2012AllSexMaori23Other</v>
      </c>
      <c r="U3341" s="360">
        <v>2012</v>
      </c>
      <c r="V3341" s="360" t="s">
        <v>17</v>
      </c>
      <c r="W3341" s="360" t="s">
        <v>18</v>
      </c>
      <c r="X3341" s="360">
        <v>23</v>
      </c>
      <c r="Y3341" s="360" t="s">
        <v>45</v>
      </c>
      <c r="Z3341" s="360">
        <v>2</v>
      </c>
      <c r="AA3341" s="360">
        <v>39</v>
      </c>
      <c r="AB3341" s="360">
        <v>5.0999999999999996</v>
      </c>
    </row>
    <row r="3342" spans="10:28" x14ac:dyDescent="0.2">
      <c r="J3342" s="358" t="str">
        <f t="shared" si="150"/>
        <v>2012MaleMaori234</v>
      </c>
      <c r="K3342" s="359">
        <v>2012</v>
      </c>
      <c r="L3342" t="s">
        <v>20</v>
      </c>
      <c r="M3342" t="s">
        <v>18</v>
      </c>
      <c r="N3342">
        <v>23</v>
      </c>
      <c r="O3342">
        <v>4</v>
      </c>
      <c r="P3342">
        <v>8</v>
      </c>
      <c r="Q3342">
        <v>42.8328696517409</v>
      </c>
      <c r="R3342">
        <v>29.7</v>
      </c>
      <c r="T3342" s="358" t="str">
        <f t="shared" si="151"/>
        <v>2012AllSexMaori24Poisoning by gases and vapours</v>
      </c>
      <c r="U3342" s="360">
        <v>2012</v>
      </c>
      <c r="V3342" s="360" t="s">
        <v>17</v>
      </c>
      <c r="W3342" s="360" t="s">
        <v>18</v>
      </c>
      <c r="X3342" s="360">
        <v>24</v>
      </c>
      <c r="Y3342" s="360" t="s">
        <v>46</v>
      </c>
      <c r="Z3342" s="360">
        <v>2</v>
      </c>
      <c r="AA3342" s="360">
        <v>10</v>
      </c>
      <c r="AB3342" s="360">
        <v>20</v>
      </c>
    </row>
    <row r="3343" spans="10:28" x14ac:dyDescent="0.2">
      <c r="J3343" s="358" t="str">
        <f t="shared" si="150"/>
        <v>2012MaleMaori235</v>
      </c>
      <c r="K3343" s="359">
        <v>2012</v>
      </c>
      <c r="L3343" t="s">
        <v>20</v>
      </c>
      <c r="M3343" t="s">
        <v>18</v>
      </c>
      <c r="N3343">
        <v>23</v>
      </c>
      <c r="O3343">
        <v>5</v>
      </c>
      <c r="P3343">
        <v>11</v>
      </c>
      <c r="Q3343">
        <v>39.4421997700777</v>
      </c>
      <c r="R3343">
        <v>23.3</v>
      </c>
      <c r="T3343" s="358" t="str">
        <f t="shared" si="151"/>
        <v>2012AllSexMaori23Poisoning by solids and liquids</v>
      </c>
      <c r="U3343" s="360">
        <v>2012</v>
      </c>
      <c r="V3343" s="360" t="s">
        <v>17</v>
      </c>
      <c r="W3343" s="360" t="s">
        <v>18</v>
      </c>
      <c r="X3343" s="360">
        <v>23</v>
      </c>
      <c r="Y3343" s="360" t="s">
        <v>47</v>
      </c>
      <c r="Z3343" s="360">
        <v>2</v>
      </c>
      <c r="AA3343" s="360">
        <v>39</v>
      </c>
      <c r="AB3343" s="360">
        <v>5.0999999999999996</v>
      </c>
    </row>
    <row r="3344" spans="10:28" x14ac:dyDescent="0.2">
      <c r="J3344" s="358" t="str">
        <f t="shared" si="150"/>
        <v>2012MaleMaori241</v>
      </c>
      <c r="K3344" s="359">
        <v>2012</v>
      </c>
      <c r="L3344" t="s">
        <v>20</v>
      </c>
      <c r="M3344" t="s">
        <v>18</v>
      </c>
      <c r="N3344">
        <v>24</v>
      </c>
      <c r="O3344">
        <v>1</v>
      </c>
      <c r="P3344">
        <v>0</v>
      </c>
      <c r="Q3344">
        <v>0</v>
      </c>
      <c r="T3344" s="358" t="str">
        <f t="shared" si="151"/>
        <v>2012AllSexMaori23Sharp object</v>
      </c>
      <c r="U3344" s="360">
        <v>2012</v>
      </c>
      <c r="V3344" s="360" t="s">
        <v>17</v>
      </c>
      <c r="W3344" s="360" t="s">
        <v>18</v>
      </c>
      <c r="X3344" s="360">
        <v>23</v>
      </c>
      <c r="Y3344" s="360" t="s">
        <v>48</v>
      </c>
      <c r="Z3344" s="360">
        <v>1</v>
      </c>
      <c r="AA3344" s="360">
        <v>39</v>
      </c>
      <c r="AB3344" s="360">
        <v>2.6</v>
      </c>
    </row>
    <row r="3345" spans="10:28" x14ac:dyDescent="0.2">
      <c r="J3345" s="358" t="str">
        <f t="shared" si="150"/>
        <v>2012MaleMaori242</v>
      </c>
      <c r="K3345" s="359">
        <v>2012</v>
      </c>
      <c r="L3345" t="s">
        <v>20</v>
      </c>
      <c r="M3345" t="s">
        <v>18</v>
      </c>
      <c r="N3345">
        <v>24</v>
      </c>
      <c r="O3345">
        <v>2</v>
      </c>
      <c r="P3345">
        <v>1</v>
      </c>
      <c r="Q3345">
        <v>13.307566882341099</v>
      </c>
      <c r="R3345">
        <v>26.1</v>
      </c>
      <c r="T3345" s="358" t="str">
        <f t="shared" si="151"/>
        <v>2012AllSexNon-Maori22Firearms and explosives</v>
      </c>
      <c r="U3345" s="360">
        <v>2012</v>
      </c>
      <c r="V3345" s="360" t="s">
        <v>17</v>
      </c>
      <c r="W3345" s="360" t="s">
        <v>19</v>
      </c>
      <c r="X3345" s="360">
        <v>22</v>
      </c>
      <c r="Y3345" s="360" t="s">
        <v>42</v>
      </c>
      <c r="Z3345" s="360">
        <v>7</v>
      </c>
      <c r="AA3345" s="360">
        <v>87</v>
      </c>
      <c r="AB3345" s="360">
        <v>8</v>
      </c>
    </row>
    <row r="3346" spans="10:28" x14ac:dyDescent="0.2">
      <c r="J3346" s="358" t="str">
        <f t="shared" si="150"/>
        <v>2012MaleMaori243</v>
      </c>
      <c r="K3346" s="359">
        <v>2012</v>
      </c>
      <c r="L3346" t="s">
        <v>20</v>
      </c>
      <c r="M3346" t="s">
        <v>18</v>
      </c>
      <c r="N3346">
        <v>24</v>
      </c>
      <c r="O3346">
        <v>3</v>
      </c>
      <c r="P3346">
        <v>1</v>
      </c>
      <c r="Q3346">
        <v>10.327050509440999</v>
      </c>
      <c r="R3346">
        <v>20.2</v>
      </c>
      <c r="T3346" s="358" t="str">
        <f t="shared" si="151"/>
        <v>2012AllSexNon-Maori23Firearms and explosives</v>
      </c>
      <c r="U3346" s="360">
        <v>2012</v>
      </c>
      <c r="V3346" s="360" t="s">
        <v>17</v>
      </c>
      <c r="W3346" s="360" t="s">
        <v>19</v>
      </c>
      <c r="X3346" s="360">
        <v>23</v>
      </c>
      <c r="Y3346" s="360" t="s">
        <v>42</v>
      </c>
      <c r="Z3346" s="360">
        <v>11</v>
      </c>
      <c r="AA3346" s="360">
        <v>147</v>
      </c>
      <c r="AB3346" s="360">
        <v>7.5</v>
      </c>
    </row>
    <row r="3347" spans="10:28" x14ac:dyDescent="0.2">
      <c r="J3347" s="358" t="str">
        <f t="shared" si="150"/>
        <v>2012MaleMaori244</v>
      </c>
      <c r="K3347" s="359">
        <v>2012</v>
      </c>
      <c r="L3347" t="s">
        <v>20</v>
      </c>
      <c r="M3347" t="s">
        <v>18</v>
      </c>
      <c r="N3347">
        <v>24</v>
      </c>
      <c r="O3347">
        <v>4</v>
      </c>
      <c r="P3347">
        <v>2</v>
      </c>
      <c r="Q3347">
        <v>15.189644441537499</v>
      </c>
      <c r="R3347">
        <v>21.1</v>
      </c>
      <c r="T3347" s="358" t="str">
        <f t="shared" si="151"/>
        <v>2012AllSexNon-Maori24Firearms and explosives</v>
      </c>
      <c r="U3347" s="360">
        <v>2012</v>
      </c>
      <c r="V3347" s="360" t="s">
        <v>17</v>
      </c>
      <c r="W3347" s="360" t="s">
        <v>19</v>
      </c>
      <c r="X3347" s="360">
        <v>24</v>
      </c>
      <c r="Y3347" s="360" t="s">
        <v>42</v>
      </c>
      <c r="Z3347" s="360">
        <v>16</v>
      </c>
      <c r="AA3347" s="360">
        <v>137</v>
      </c>
      <c r="AB3347" s="360">
        <v>11.7</v>
      </c>
    </row>
    <row r="3348" spans="10:28" x14ac:dyDescent="0.2">
      <c r="J3348" s="358" t="str">
        <f t="shared" si="150"/>
        <v>2012MaleMaori245</v>
      </c>
      <c r="K3348" s="359">
        <v>2012</v>
      </c>
      <c r="L3348" t="s">
        <v>20</v>
      </c>
      <c r="M3348" t="s">
        <v>18</v>
      </c>
      <c r="N3348">
        <v>24</v>
      </c>
      <c r="O3348">
        <v>5</v>
      </c>
      <c r="P3348">
        <v>5</v>
      </c>
      <c r="Q3348">
        <v>22.872852467104401</v>
      </c>
      <c r="R3348">
        <v>20</v>
      </c>
      <c r="T3348" s="358" t="str">
        <f t="shared" si="151"/>
        <v>2012AllSexNon-Maori25Firearms and explosives</v>
      </c>
      <c r="U3348" s="360">
        <v>2012</v>
      </c>
      <c r="V3348" s="360" t="s">
        <v>17</v>
      </c>
      <c r="W3348" s="360" t="s">
        <v>19</v>
      </c>
      <c r="X3348" s="360">
        <v>25</v>
      </c>
      <c r="Y3348" s="360" t="s">
        <v>42</v>
      </c>
      <c r="Z3348" s="360">
        <v>8</v>
      </c>
      <c r="AA3348" s="360">
        <v>56</v>
      </c>
      <c r="AB3348" s="360">
        <v>14.3</v>
      </c>
    </row>
    <row r="3349" spans="10:28" x14ac:dyDescent="0.2">
      <c r="J3349" s="358" t="str">
        <f t="shared" si="150"/>
        <v>2012MaleMaori251</v>
      </c>
      <c r="K3349" s="359">
        <v>2012</v>
      </c>
      <c r="L3349" t="s">
        <v>20</v>
      </c>
      <c r="M3349" t="s">
        <v>18</v>
      </c>
      <c r="N3349">
        <v>25</v>
      </c>
      <c r="O3349">
        <v>1</v>
      </c>
      <c r="P3349">
        <v>0</v>
      </c>
      <c r="Q3349">
        <v>0</v>
      </c>
      <c r="T3349" s="358" t="str">
        <f t="shared" si="151"/>
        <v>2012AllSexNon-Maori21Hanging, strangulation and suffocation</v>
      </c>
      <c r="U3349" s="360">
        <v>2012</v>
      </c>
      <c r="V3349" s="360" t="s">
        <v>17</v>
      </c>
      <c r="W3349" s="360" t="s">
        <v>19</v>
      </c>
      <c r="X3349" s="360">
        <v>21</v>
      </c>
      <c r="Y3349" s="360" t="s">
        <v>43</v>
      </c>
      <c r="Z3349" s="360">
        <v>3</v>
      </c>
      <c r="AA3349" s="360">
        <v>4</v>
      </c>
      <c r="AB3349" s="360">
        <v>75</v>
      </c>
    </row>
    <row r="3350" spans="10:28" x14ac:dyDescent="0.2">
      <c r="J3350" s="358" t="str">
        <f t="shared" si="150"/>
        <v>2012MaleMaori252</v>
      </c>
      <c r="K3350" s="359">
        <v>2012</v>
      </c>
      <c r="L3350" t="s">
        <v>20</v>
      </c>
      <c r="M3350" t="s">
        <v>18</v>
      </c>
      <c r="N3350">
        <v>25</v>
      </c>
      <c r="O3350">
        <v>2</v>
      </c>
      <c r="P3350">
        <v>1</v>
      </c>
      <c r="Q3350">
        <v>56.115588826194802</v>
      </c>
      <c r="R3350">
        <v>110</v>
      </c>
      <c r="T3350" s="358" t="str">
        <f t="shared" si="151"/>
        <v>2012AllSexNon-Maori22Hanging, strangulation and suffocation</v>
      </c>
      <c r="U3350" s="360">
        <v>2012</v>
      </c>
      <c r="V3350" s="360" t="s">
        <v>17</v>
      </c>
      <c r="W3350" s="360" t="s">
        <v>19</v>
      </c>
      <c r="X3350" s="360">
        <v>22</v>
      </c>
      <c r="Y3350" s="360" t="s">
        <v>43</v>
      </c>
      <c r="Z3350" s="360">
        <v>70</v>
      </c>
      <c r="AA3350" s="360">
        <v>87</v>
      </c>
      <c r="AB3350" s="360">
        <v>80.5</v>
      </c>
    </row>
    <row r="3351" spans="10:28" x14ac:dyDescent="0.2">
      <c r="J3351" s="358" t="str">
        <f t="shared" si="150"/>
        <v>2012MaleMaori253</v>
      </c>
      <c r="K3351" s="359">
        <v>2012</v>
      </c>
      <c r="L3351" t="s">
        <v>20</v>
      </c>
      <c r="M3351" t="s">
        <v>18</v>
      </c>
      <c r="N3351">
        <v>25</v>
      </c>
      <c r="O3351">
        <v>3</v>
      </c>
      <c r="P3351">
        <v>0</v>
      </c>
      <c r="Q3351">
        <v>0</v>
      </c>
      <c r="T3351" s="358" t="str">
        <f t="shared" si="151"/>
        <v>2012AllSexNon-Maori23Hanging, strangulation and suffocation</v>
      </c>
      <c r="U3351" s="360">
        <v>2012</v>
      </c>
      <c r="V3351" s="360" t="s">
        <v>17</v>
      </c>
      <c r="W3351" s="360" t="s">
        <v>19</v>
      </c>
      <c r="X3351" s="360">
        <v>23</v>
      </c>
      <c r="Y3351" s="360" t="s">
        <v>43</v>
      </c>
      <c r="Z3351" s="360">
        <v>77</v>
      </c>
      <c r="AA3351" s="360">
        <v>147</v>
      </c>
      <c r="AB3351" s="360">
        <v>52.4</v>
      </c>
    </row>
    <row r="3352" spans="10:28" x14ac:dyDescent="0.2">
      <c r="J3352" s="358" t="str">
        <f t="shared" si="150"/>
        <v>2012MaleMaori254</v>
      </c>
      <c r="K3352" s="359">
        <v>2012</v>
      </c>
      <c r="L3352" t="s">
        <v>20</v>
      </c>
      <c r="M3352" t="s">
        <v>18</v>
      </c>
      <c r="N3352">
        <v>25</v>
      </c>
      <c r="O3352">
        <v>4</v>
      </c>
      <c r="P3352">
        <v>0</v>
      </c>
      <c r="Q3352">
        <v>0</v>
      </c>
      <c r="T3352" s="358" t="str">
        <f t="shared" si="151"/>
        <v>2012AllSexNon-Maori24Hanging, strangulation and suffocation</v>
      </c>
      <c r="U3352" s="360">
        <v>2012</v>
      </c>
      <c r="V3352" s="360" t="s">
        <v>17</v>
      </c>
      <c r="W3352" s="360" t="s">
        <v>19</v>
      </c>
      <c r="X3352" s="360">
        <v>24</v>
      </c>
      <c r="Y3352" s="360" t="s">
        <v>43</v>
      </c>
      <c r="Z3352" s="360">
        <v>65</v>
      </c>
      <c r="AA3352" s="360">
        <v>137</v>
      </c>
      <c r="AB3352" s="360">
        <v>47.4</v>
      </c>
    </row>
    <row r="3353" spans="10:28" x14ac:dyDescent="0.2">
      <c r="J3353" s="358" t="str">
        <f t="shared" si="150"/>
        <v>2012MaleMaori255</v>
      </c>
      <c r="K3353" s="359">
        <v>2012</v>
      </c>
      <c r="L3353" t="s">
        <v>20</v>
      </c>
      <c r="M3353" t="s">
        <v>18</v>
      </c>
      <c r="N3353">
        <v>25</v>
      </c>
      <c r="O3353">
        <v>5</v>
      </c>
      <c r="P3353">
        <v>0</v>
      </c>
      <c r="Q3353">
        <v>0</v>
      </c>
      <c r="T3353" s="358" t="str">
        <f t="shared" si="151"/>
        <v>2012AllSexNon-Maori25Hanging, strangulation and suffocation</v>
      </c>
      <c r="U3353" s="360">
        <v>2012</v>
      </c>
      <c r="V3353" s="360" t="s">
        <v>17</v>
      </c>
      <c r="W3353" s="360" t="s">
        <v>19</v>
      </c>
      <c r="X3353" s="360">
        <v>25</v>
      </c>
      <c r="Y3353" s="360" t="s">
        <v>43</v>
      </c>
      <c r="Z3353" s="360">
        <v>22</v>
      </c>
      <c r="AA3353" s="360">
        <v>56</v>
      </c>
      <c r="AB3353" s="360">
        <v>39.299999999999997</v>
      </c>
    </row>
    <row r="3354" spans="10:28" x14ac:dyDescent="0.2">
      <c r="J3354" s="358" t="str">
        <f t="shared" si="150"/>
        <v>2012MaleNon-Maori211</v>
      </c>
      <c r="K3354" s="359">
        <v>2012</v>
      </c>
      <c r="L3354" t="s">
        <v>20</v>
      </c>
      <c r="M3354" t="s">
        <v>19</v>
      </c>
      <c r="N3354">
        <v>21</v>
      </c>
      <c r="O3354">
        <v>1</v>
      </c>
      <c r="P3354">
        <v>0</v>
      </c>
      <c r="T3354" s="358" t="str">
        <f t="shared" si="151"/>
        <v>2012AllSexNon-Maori22Jumping from a high place</v>
      </c>
      <c r="U3354" s="360">
        <v>2012</v>
      </c>
      <c r="V3354" s="360" t="s">
        <v>17</v>
      </c>
      <c r="W3354" s="360" t="s">
        <v>19</v>
      </c>
      <c r="X3354" s="360">
        <v>22</v>
      </c>
      <c r="Y3354" s="360" t="s">
        <v>44</v>
      </c>
      <c r="Z3354" s="360">
        <v>5</v>
      </c>
      <c r="AA3354" s="360">
        <v>87</v>
      </c>
      <c r="AB3354" s="360">
        <v>5.7</v>
      </c>
    </row>
    <row r="3355" spans="10:28" x14ac:dyDescent="0.2">
      <c r="J3355" s="358" t="str">
        <f t="shared" si="150"/>
        <v>2012MaleNon-Maori212</v>
      </c>
      <c r="K3355" s="359">
        <v>2012</v>
      </c>
      <c r="L3355" t="s">
        <v>20</v>
      </c>
      <c r="M3355" t="s">
        <v>19</v>
      </c>
      <c r="N3355">
        <v>21</v>
      </c>
      <c r="O3355">
        <v>2</v>
      </c>
      <c r="P3355">
        <v>2</v>
      </c>
      <c r="T3355" s="358" t="str">
        <f t="shared" si="151"/>
        <v>2012AllSexNon-Maori23Jumping from a high place</v>
      </c>
      <c r="U3355" s="360">
        <v>2012</v>
      </c>
      <c r="V3355" s="360" t="s">
        <v>17</v>
      </c>
      <c r="W3355" s="360" t="s">
        <v>19</v>
      </c>
      <c r="X3355" s="360">
        <v>23</v>
      </c>
      <c r="Y3355" s="360" t="s">
        <v>44</v>
      </c>
      <c r="Z3355" s="360">
        <v>4</v>
      </c>
      <c r="AA3355" s="360">
        <v>147</v>
      </c>
      <c r="AB3355" s="360">
        <v>2.7</v>
      </c>
    </row>
    <row r="3356" spans="10:28" x14ac:dyDescent="0.2">
      <c r="J3356" s="358" t="str">
        <f t="shared" si="150"/>
        <v>2012MaleNon-Maori213</v>
      </c>
      <c r="K3356" s="359">
        <v>2012</v>
      </c>
      <c r="L3356" t="s">
        <v>20</v>
      </c>
      <c r="M3356" t="s">
        <v>19</v>
      </c>
      <c r="N3356">
        <v>21</v>
      </c>
      <c r="O3356">
        <v>3</v>
      </c>
      <c r="P3356">
        <v>0</v>
      </c>
      <c r="T3356" s="358" t="str">
        <f t="shared" si="151"/>
        <v>2012AllSexNon-Maori24Jumping from a high place</v>
      </c>
      <c r="U3356" s="360">
        <v>2012</v>
      </c>
      <c r="V3356" s="360" t="s">
        <v>17</v>
      </c>
      <c r="W3356" s="360" t="s">
        <v>19</v>
      </c>
      <c r="X3356" s="360">
        <v>24</v>
      </c>
      <c r="Y3356" s="360" t="s">
        <v>44</v>
      </c>
      <c r="Z3356" s="360">
        <v>4</v>
      </c>
      <c r="AA3356" s="360">
        <v>137</v>
      </c>
      <c r="AB3356" s="360">
        <v>2.9</v>
      </c>
    </row>
    <row r="3357" spans="10:28" x14ac:dyDescent="0.2">
      <c r="J3357" s="358" t="str">
        <f t="shared" si="150"/>
        <v>2012MaleNon-Maori214</v>
      </c>
      <c r="K3357" s="359">
        <v>2012</v>
      </c>
      <c r="L3357" t="s">
        <v>20</v>
      </c>
      <c r="M3357" t="s">
        <v>19</v>
      </c>
      <c r="N3357">
        <v>21</v>
      </c>
      <c r="O3357">
        <v>4</v>
      </c>
      <c r="P3357">
        <v>0</v>
      </c>
      <c r="T3357" s="358" t="str">
        <f t="shared" si="151"/>
        <v>2012AllSexNon-Maori25Jumping from a high place</v>
      </c>
      <c r="U3357" s="360">
        <v>2012</v>
      </c>
      <c r="V3357" s="360" t="s">
        <v>17</v>
      </c>
      <c r="W3357" s="360" t="s">
        <v>19</v>
      </c>
      <c r="X3357" s="360">
        <v>25</v>
      </c>
      <c r="Y3357" s="360" t="s">
        <v>44</v>
      </c>
      <c r="Z3357" s="360">
        <v>2</v>
      </c>
      <c r="AA3357" s="360">
        <v>56</v>
      </c>
      <c r="AB3357" s="360">
        <v>3.6</v>
      </c>
    </row>
    <row r="3358" spans="10:28" x14ac:dyDescent="0.2">
      <c r="J3358" s="358" t="str">
        <f t="shared" si="150"/>
        <v>2012MaleNon-Maori215</v>
      </c>
      <c r="K3358" s="359">
        <v>2012</v>
      </c>
      <c r="L3358" t="s">
        <v>20</v>
      </c>
      <c r="M3358" t="s">
        <v>19</v>
      </c>
      <c r="N3358">
        <v>21</v>
      </c>
      <c r="O3358">
        <v>5</v>
      </c>
      <c r="P3358">
        <v>0</v>
      </c>
      <c r="T3358" s="358" t="str">
        <f t="shared" si="151"/>
        <v>2012AllSexNon-Maori23Other</v>
      </c>
      <c r="U3358" s="360">
        <v>2012</v>
      </c>
      <c r="V3358" s="360" t="s">
        <v>17</v>
      </c>
      <c r="W3358" s="360" t="s">
        <v>19</v>
      </c>
      <c r="X3358" s="360">
        <v>23</v>
      </c>
      <c r="Y3358" s="360" t="s">
        <v>45</v>
      </c>
      <c r="Z3358" s="360">
        <v>9</v>
      </c>
      <c r="AA3358" s="360">
        <v>147</v>
      </c>
      <c r="AB3358" s="360">
        <v>6.1</v>
      </c>
    </row>
    <row r="3359" spans="10:28" x14ac:dyDescent="0.2">
      <c r="J3359" s="358" t="str">
        <f t="shared" si="150"/>
        <v>2012MaleNon-Maori221</v>
      </c>
      <c r="K3359" s="359">
        <v>2012</v>
      </c>
      <c r="L3359" t="s">
        <v>20</v>
      </c>
      <c r="M3359" t="s">
        <v>19</v>
      </c>
      <c r="N3359">
        <v>22</v>
      </c>
      <c r="O3359">
        <v>1</v>
      </c>
      <c r="P3359">
        <v>11</v>
      </c>
      <c r="Q3359">
        <v>21.262361303593501</v>
      </c>
      <c r="R3359">
        <v>12.6</v>
      </c>
      <c r="T3359" s="358" t="str">
        <f t="shared" si="151"/>
        <v>2012AllSexNon-Maori24Other</v>
      </c>
      <c r="U3359" s="360">
        <v>2012</v>
      </c>
      <c r="V3359" s="360" t="s">
        <v>17</v>
      </c>
      <c r="W3359" s="360" t="s">
        <v>19</v>
      </c>
      <c r="X3359" s="360">
        <v>24</v>
      </c>
      <c r="Y3359" s="360" t="s">
        <v>45</v>
      </c>
      <c r="Z3359" s="360">
        <v>6</v>
      </c>
      <c r="AA3359" s="360">
        <v>137</v>
      </c>
      <c r="AB3359" s="360">
        <v>4.4000000000000004</v>
      </c>
    </row>
    <row r="3360" spans="10:28" x14ac:dyDescent="0.2">
      <c r="J3360" s="358" t="str">
        <f t="shared" si="150"/>
        <v>2012MaleNon-Maori222</v>
      </c>
      <c r="K3360" s="359">
        <v>2012</v>
      </c>
      <c r="L3360" t="s">
        <v>20</v>
      </c>
      <c r="M3360" t="s">
        <v>19</v>
      </c>
      <c r="N3360">
        <v>22</v>
      </c>
      <c r="O3360">
        <v>2</v>
      </c>
      <c r="P3360">
        <v>8</v>
      </c>
      <c r="Q3360">
        <v>15.8907126632083</v>
      </c>
      <c r="R3360">
        <v>11</v>
      </c>
      <c r="T3360" s="358" t="str">
        <f t="shared" si="151"/>
        <v>2012AllSexNon-Maori25Other</v>
      </c>
      <c r="U3360" s="360">
        <v>2012</v>
      </c>
      <c r="V3360" s="360" t="s">
        <v>17</v>
      </c>
      <c r="W3360" s="360" t="s">
        <v>19</v>
      </c>
      <c r="X3360" s="360">
        <v>25</v>
      </c>
      <c r="Y3360" s="360" t="s">
        <v>45</v>
      </c>
      <c r="Z3360" s="360">
        <v>2</v>
      </c>
      <c r="AA3360" s="360">
        <v>56</v>
      </c>
      <c r="AB3360" s="360">
        <v>3.6</v>
      </c>
    </row>
    <row r="3361" spans="10:28" x14ac:dyDescent="0.2">
      <c r="J3361" s="358" t="str">
        <f t="shared" si="150"/>
        <v>2012MaleNon-Maori223</v>
      </c>
      <c r="K3361" s="359">
        <v>2012</v>
      </c>
      <c r="L3361" t="s">
        <v>20</v>
      </c>
      <c r="M3361" t="s">
        <v>19</v>
      </c>
      <c r="N3361">
        <v>22</v>
      </c>
      <c r="O3361">
        <v>3</v>
      </c>
      <c r="P3361">
        <v>17</v>
      </c>
      <c r="Q3361">
        <v>33.875259517500503</v>
      </c>
      <c r="R3361">
        <v>16.100000000000001</v>
      </c>
      <c r="T3361" s="358" t="str">
        <f t="shared" si="151"/>
        <v>2012AllSexNon-Maori22Poisoning by gases and vapours</v>
      </c>
      <c r="U3361" s="360">
        <v>2012</v>
      </c>
      <c r="V3361" s="360" t="s">
        <v>17</v>
      </c>
      <c r="W3361" s="360" t="s">
        <v>19</v>
      </c>
      <c r="X3361" s="360">
        <v>22</v>
      </c>
      <c r="Y3361" s="360" t="s">
        <v>46</v>
      </c>
      <c r="Z3361" s="360">
        <v>2</v>
      </c>
      <c r="AA3361" s="360">
        <v>87</v>
      </c>
      <c r="AB3361" s="360">
        <v>2.2999999999999998</v>
      </c>
    </row>
    <row r="3362" spans="10:28" x14ac:dyDescent="0.2">
      <c r="J3362" s="358" t="str">
        <f t="shared" si="150"/>
        <v>2012MaleNon-Maori224</v>
      </c>
      <c r="K3362" s="359">
        <v>2012</v>
      </c>
      <c r="L3362" t="s">
        <v>20</v>
      </c>
      <c r="M3362" t="s">
        <v>19</v>
      </c>
      <c r="N3362">
        <v>22</v>
      </c>
      <c r="O3362">
        <v>4</v>
      </c>
      <c r="P3362">
        <v>18</v>
      </c>
      <c r="Q3362">
        <v>34.682004783192099</v>
      </c>
      <c r="R3362">
        <v>16</v>
      </c>
      <c r="T3362" s="358" t="str">
        <f t="shared" si="151"/>
        <v>2012AllSexNon-Maori23Poisoning by gases and vapours</v>
      </c>
      <c r="U3362" s="360">
        <v>2012</v>
      </c>
      <c r="V3362" s="360" t="s">
        <v>17</v>
      </c>
      <c r="W3362" s="360" t="s">
        <v>19</v>
      </c>
      <c r="X3362" s="360">
        <v>23</v>
      </c>
      <c r="Y3362" s="360" t="s">
        <v>46</v>
      </c>
      <c r="Z3362" s="360">
        <v>19</v>
      </c>
      <c r="AA3362" s="360">
        <v>147</v>
      </c>
      <c r="AB3362" s="360">
        <v>12.9</v>
      </c>
    </row>
    <row r="3363" spans="10:28" x14ac:dyDescent="0.2">
      <c r="J3363" s="358" t="str">
        <f t="shared" si="150"/>
        <v>2012MaleNon-Maori225</v>
      </c>
      <c r="K3363" s="359">
        <v>2012</v>
      </c>
      <c r="L3363" t="s">
        <v>20</v>
      </c>
      <c r="M3363" t="s">
        <v>19</v>
      </c>
      <c r="N3363">
        <v>22</v>
      </c>
      <c r="O3363">
        <v>5</v>
      </c>
      <c r="P3363">
        <v>14</v>
      </c>
      <c r="Q3363">
        <v>28.224266276776302</v>
      </c>
      <c r="R3363">
        <v>14.8</v>
      </c>
      <c r="T3363" s="358" t="str">
        <f t="shared" si="151"/>
        <v>2012AllSexNon-Maori24Poisoning by gases and vapours</v>
      </c>
      <c r="U3363" s="360">
        <v>2012</v>
      </c>
      <c r="V3363" s="360" t="s">
        <v>17</v>
      </c>
      <c r="W3363" s="360" t="s">
        <v>19</v>
      </c>
      <c r="X3363" s="360">
        <v>24</v>
      </c>
      <c r="Y3363" s="360" t="s">
        <v>46</v>
      </c>
      <c r="Z3363" s="360">
        <v>14</v>
      </c>
      <c r="AA3363" s="360">
        <v>137</v>
      </c>
      <c r="AB3363" s="360">
        <v>10.199999999999999</v>
      </c>
    </row>
    <row r="3364" spans="10:28" x14ac:dyDescent="0.2">
      <c r="J3364" s="358" t="str">
        <f t="shared" si="150"/>
        <v>2012MaleNon-Maori231</v>
      </c>
      <c r="K3364" s="359">
        <v>2012</v>
      </c>
      <c r="L3364" t="s">
        <v>20</v>
      </c>
      <c r="M3364" t="s">
        <v>19</v>
      </c>
      <c r="N3364">
        <v>23</v>
      </c>
      <c r="O3364">
        <v>1</v>
      </c>
      <c r="P3364">
        <v>13</v>
      </c>
      <c r="Q3364">
        <v>13.5616028056735</v>
      </c>
      <c r="R3364">
        <v>7.4</v>
      </c>
      <c r="T3364" s="358" t="str">
        <f t="shared" si="151"/>
        <v>2012AllSexNon-Maori25Poisoning by gases and vapours</v>
      </c>
      <c r="U3364" s="360">
        <v>2012</v>
      </c>
      <c r="V3364" s="360" t="s">
        <v>17</v>
      </c>
      <c r="W3364" s="360" t="s">
        <v>19</v>
      </c>
      <c r="X3364" s="360">
        <v>25</v>
      </c>
      <c r="Y3364" s="360" t="s">
        <v>46</v>
      </c>
      <c r="Z3364" s="360">
        <v>6</v>
      </c>
      <c r="AA3364" s="360">
        <v>56</v>
      </c>
      <c r="AB3364" s="360">
        <v>10.7</v>
      </c>
    </row>
    <row r="3365" spans="10:28" x14ac:dyDescent="0.2">
      <c r="J3365" s="358" t="str">
        <f t="shared" si="150"/>
        <v>2012MaleNon-Maori232</v>
      </c>
      <c r="K3365" s="359">
        <v>2012</v>
      </c>
      <c r="L3365" t="s">
        <v>20</v>
      </c>
      <c r="M3365" t="s">
        <v>19</v>
      </c>
      <c r="N3365">
        <v>23</v>
      </c>
      <c r="O3365">
        <v>2</v>
      </c>
      <c r="P3365">
        <v>19</v>
      </c>
      <c r="Q3365">
        <v>18.571820700857199</v>
      </c>
      <c r="R3365">
        <v>8.4</v>
      </c>
      <c r="T3365" s="358" t="str">
        <f t="shared" si="151"/>
        <v>2012AllSexNon-Maori21Poisoning by solids and liquids</v>
      </c>
      <c r="U3365" s="360">
        <v>2012</v>
      </c>
      <c r="V3365" s="360" t="s">
        <v>17</v>
      </c>
      <c r="W3365" s="360" t="s">
        <v>19</v>
      </c>
      <c r="X3365" s="360">
        <v>21</v>
      </c>
      <c r="Y3365" s="360" t="s">
        <v>47</v>
      </c>
      <c r="Z3365" s="360">
        <v>1</v>
      </c>
      <c r="AA3365" s="360">
        <v>4</v>
      </c>
      <c r="AB3365" s="360">
        <v>25</v>
      </c>
    </row>
    <row r="3366" spans="10:28" x14ac:dyDescent="0.2">
      <c r="J3366" s="358" t="str">
        <f t="shared" si="150"/>
        <v>2012MaleNon-Maori233</v>
      </c>
      <c r="K3366" s="359">
        <v>2012</v>
      </c>
      <c r="L3366" t="s">
        <v>20</v>
      </c>
      <c r="M3366" t="s">
        <v>19</v>
      </c>
      <c r="N3366">
        <v>23</v>
      </c>
      <c r="O3366">
        <v>3</v>
      </c>
      <c r="P3366">
        <v>26</v>
      </c>
      <c r="Q3366">
        <v>25.555174343299399</v>
      </c>
      <c r="R3366">
        <v>9.8000000000000007</v>
      </c>
      <c r="T3366" s="358" t="str">
        <f t="shared" si="151"/>
        <v>2012AllSexNon-Maori22Poisoning by solids and liquids</v>
      </c>
      <c r="U3366" s="360">
        <v>2012</v>
      </c>
      <c r="V3366" s="360" t="s">
        <v>17</v>
      </c>
      <c r="W3366" s="360" t="s">
        <v>19</v>
      </c>
      <c r="X3366" s="360">
        <v>22</v>
      </c>
      <c r="Y3366" s="360" t="s">
        <v>47</v>
      </c>
      <c r="Z3366" s="360">
        <v>3</v>
      </c>
      <c r="AA3366" s="360">
        <v>87</v>
      </c>
      <c r="AB3366" s="360">
        <v>3.4</v>
      </c>
    </row>
    <row r="3367" spans="10:28" x14ac:dyDescent="0.2">
      <c r="J3367" s="358" t="str">
        <f t="shared" si="150"/>
        <v>2012MaleNon-Maori234</v>
      </c>
      <c r="K3367" s="359">
        <v>2012</v>
      </c>
      <c r="L3367" t="s">
        <v>20</v>
      </c>
      <c r="M3367" t="s">
        <v>19</v>
      </c>
      <c r="N3367">
        <v>23</v>
      </c>
      <c r="O3367">
        <v>4</v>
      </c>
      <c r="P3367">
        <v>26</v>
      </c>
      <c r="Q3367">
        <v>27.502814325444799</v>
      </c>
      <c r="R3367">
        <v>10.6</v>
      </c>
      <c r="T3367" s="358" t="str">
        <f t="shared" si="151"/>
        <v>2012AllSexNon-Maori23Poisoning by solids and liquids</v>
      </c>
      <c r="U3367" s="360">
        <v>2012</v>
      </c>
      <c r="V3367" s="360" t="s">
        <v>17</v>
      </c>
      <c r="W3367" s="360" t="s">
        <v>19</v>
      </c>
      <c r="X3367" s="360">
        <v>23</v>
      </c>
      <c r="Y3367" s="360" t="s">
        <v>47</v>
      </c>
      <c r="Z3367" s="360">
        <v>20</v>
      </c>
      <c r="AA3367" s="360">
        <v>147</v>
      </c>
      <c r="AB3367" s="360">
        <v>13.6</v>
      </c>
    </row>
    <row r="3368" spans="10:28" x14ac:dyDescent="0.2">
      <c r="J3368" s="358" t="str">
        <f t="shared" si="150"/>
        <v>2012MaleNon-Maori235</v>
      </c>
      <c r="K3368" s="359">
        <v>2012</v>
      </c>
      <c r="L3368" t="s">
        <v>20</v>
      </c>
      <c r="M3368" t="s">
        <v>19</v>
      </c>
      <c r="N3368">
        <v>23</v>
      </c>
      <c r="O3368">
        <v>5</v>
      </c>
      <c r="P3368">
        <v>24</v>
      </c>
      <c r="Q3368">
        <v>31.655896170781102</v>
      </c>
      <c r="R3368">
        <v>12.7</v>
      </c>
      <c r="T3368" s="358" t="str">
        <f t="shared" si="151"/>
        <v>2012AllSexNon-Maori24Poisoning by solids and liquids</v>
      </c>
      <c r="U3368" s="360">
        <v>2012</v>
      </c>
      <c r="V3368" s="360" t="s">
        <v>17</v>
      </c>
      <c r="W3368" s="360" t="s">
        <v>19</v>
      </c>
      <c r="X3368" s="360">
        <v>24</v>
      </c>
      <c r="Y3368" s="360" t="s">
        <v>47</v>
      </c>
      <c r="Z3368" s="360">
        <v>27</v>
      </c>
      <c r="AA3368" s="360">
        <v>137</v>
      </c>
      <c r="AB3368" s="360">
        <v>19.7</v>
      </c>
    </row>
    <row r="3369" spans="10:28" x14ac:dyDescent="0.2">
      <c r="J3369" s="358" t="str">
        <f t="shared" si="150"/>
        <v>2012MaleNon-Maori241</v>
      </c>
      <c r="K3369" s="359">
        <v>2012</v>
      </c>
      <c r="L3369" t="s">
        <v>20</v>
      </c>
      <c r="M3369" t="s">
        <v>19</v>
      </c>
      <c r="N3369">
        <v>24</v>
      </c>
      <c r="O3369">
        <v>1</v>
      </c>
      <c r="P3369">
        <v>13</v>
      </c>
      <c r="Q3369">
        <v>10.091258423402699</v>
      </c>
      <c r="R3369">
        <v>5.5</v>
      </c>
      <c r="T3369" s="358" t="str">
        <f t="shared" si="151"/>
        <v>2012AllSexNon-Maori25Poisoning by solids and liquids</v>
      </c>
      <c r="U3369" s="360">
        <v>2012</v>
      </c>
      <c r="V3369" s="360" t="s">
        <v>17</v>
      </c>
      <c r="W3369" s="360" t="s">
        <v>19</v>
      </c>
      <c r="X3369" s="360">
        <v>25</v>
      </c>
      <c r="Y3369" s="360" t="s">
        <v>47</v>
      </c>
      <c r="Z3369" s="360">
        <v>11</v>
      </c>
      <c r="AA3369" s="360">
        <v>56</v>
      </c>
      <c r="AB3369" s="360">
        <v>19.600000000000001</v>
      </c>
    </row>
    <row r="3370" spans="10:28" x14ac:dyDescent="0.2">
      <c r="J3370" s="358" t="str">
        <f t="shared" si="150"/>
        <v>2012MaleNon-Maori242</v>
      </c>
      <c r="K3370" s="359">
        <v>2012</v>
      </c>
      <c r="L3370" t="s">
        <v>20</v>
      </c>
      <c r="M3370" t="s">
        <v>19</v>
      </c>
      <c r="N3370">
        <v>24</v>
      </c>
      <c r="O3370">
        <v>2</v>
      </c>
      <c r="P3370">
        <v>16</v>
      </c>
      <c r="Q3370">
        <v>14.2968704549509</v>
      </c>
      <c r="R3370">
        <v>7</v>
      </c>
      <c r="T3370" s="358" t="str">
        <f t="shared" si="151"/>
        <v>2012AllSexNon-Maori23Sharp object</v>
      </c>
      <c r="U3370" s="360">
        <v>2012</v>
      </c>
      <c r="V3370" s="360" t="s">
        <v>17</v>
      </c>
      <c r="W3370" s="360" t="s">
        <v>19</v>
      </c>
      <c r="X3370" s="360">
        <v>23</v>
      </c>
      <c r="Y3370" s="360" t="s">
        <v>48</v>
      </c>
      <c r="Z3370" s="360">
        <v>5</v>
      </c>
      <c r="AA3370" s="360">
        <v>147</v>
      </c>
      <c r="AB3370" s="360">
        <v>3.4</v>
      </c>
    </row>
    <row r="3371" spans="10:28" x14ac:dyDescent="0.2">
      <c r="J3371" s="358" t="str">
        <f t="shared" si="150"/>
        <v>2012MaleNon-Maori243</v>
      </c>
      <c r="K3371" s="359">
        <v>2012</v>
      </c>
      <c r="L3371" t="s">
        <v>20</v>
      </c>
      <c r="M3371" t="s">
        <v>19</v>
      </c>
      <c r="N3371">
        <v>24</v>
      </c>
      <c r="O3371">
        <v>3</v>
      </c>
      <c r="P3371">
        <v>25</v>
      </c>
      <c r="Q3371">
        <v>25.568519840966101</v>
      </c>
      <c r="R3371">
        <v>10</v>
      </c>
      <c r="T3371" s="358" t="str">
        <f t="shared" si="151"/>
        <v>2012AllSexNon-Maori24Sharp object</v>
      </c>
      <c r="U3371" s="360">
        <v>2012</v>
      </c>
      <c r="V3371" s="360" t="s">
        <v>17</v>
      </c>
      <c r="W3371" s="360" t="s">
        <v>19</v>
      </c>
      <c r="X3371" s="360">
        <v>24</v>
      </c>
      <c r="Y3371" s="360" t="s">
        <v>48</v>
      </c>
      <c r="Z3371" s="360">
        <v>4</v>
      </c>
      <c r="AA3371" s="360">
        <v>137</v>
      </c>
      <c r="AB3371" s="360">
        <v>2.9</v>
      </c>
    </row>
    <row r="3372" spans="10:28" x14ac:dyDescent="0.2">
      <c r="J3372" s="358" t="str">
        <f t="shared" si="150"/>
        <v>2012MaleNon-Maori244</v>
      </c>
      <c r="K3372" s="359">
        <v>2012</v>
      </c>
      <c r="L3372" t="s">
        <v>20</v>
      </c>
      <c r="M3372" t="s">
        <v>19</v>
      </c>
      <c r="N3372">
        <v>24</v>
      </c>
      <c r="O3372">
        <v>4</v>
      </c>
      <c r="P3372">
        <v>23</v>
      </c>
      <c r="Q3372">
        <v>27.320050243413199</v>
      </c>
      <c r="R3372">
        <v>11.2</v>
      </c>
      <c r="T3372" s="358" t="str">
        <f t="shared" si="151"/>
        <v>2012AllSexNon-Maori25Sharp object</v>
      </c>
      <c r="U3372" s="360">
        <v>2012</v>
      </c>
      <c r="V3372" s="360" t="s">
        <v>17</v>
      </c>
      <c r="W3372" s="360" t="s">
        <v>19</v>
      </c>
      <c r="X3372" s="360">
        <v>25</v>
      </c>
      <c r="Y3372" s="360" t="s">
        <v>48</v>
      </c>
      <c r="Z3372" s="360">
        <v>3</v>
      </c>
      <c r="AA3372" s="360">
        <v>56</v>
      </c>
      <c r="AB3372" s="360">
        <v>5.4</v>
      </c>
    </row>
    <row r="3373" spans="10:28" x14ac:dyDescent="0.2">
      <c r="J3373" s="358" t="str">
        <f t="shared" si="150"/>
        <v>2012MaleNon-Maori245</v>
      </c>
      <c r="K3373" s="359">
        <v>2012</v>
      </c>
      <c r="L3373" t="s">
        <v>20</v>
      </c>
      <c r="M3373" t="s">
        <v>19</v>
      </c>
      <c r="N3373">
        <v>24</v>
      </c>
      <c r="O3373">
        <v>5</v>
      </c>
      <c r="P3373">
        <v>16</v>
      </c>
      <c r="Q3373">
        <v>24.063947990033</v>
      </c>
      <c r="R3373">
        <v>11.8</v>
      </c>
      <c r="T3373" s="358" t="str">
        <f t="shared" si="151"/>
        <v>2012AllSexNon-Maori23Submersion (drowning)</v>
      </c>
      <c r="U3373" s="360">
        <v>2012</v>
      </c>
      <c r="V3373" s="360" t="s">
        <v>17</v>
      </c>
      <c r="W3373" s="360" t="s">
        <v>19</v>
      </c>
      <c r="X3373" s="360">
        <v>23</v>
      </c>
      <c r="Y3373" s="360" t="s">
        <v>49</v>
      </c>
      <c r="Z3373" s="360">
        <v>2</v>
      </c>
      <c r="AA3373" s="360">
        <v>147</v>
      </c>
      <c r="AB3373" s="360">
        <v>1.4</v>
      </c>
    </row>
    <row r="3374" spans="10:28" x14ac:dyDescent="0.2">
      <c r="J3374" s="358" t="str">
        <f t="shared" si="150"/>
        <v>2012MaleNon-Maori251</v>
      </c>
      <c r="K3374" s="359">
        <v>2012</v>
      </c>
      <c r="L3374" t="s">
        <v>20</v>
      </c>
      <c r="M3374" t="s">
        <v>19</v>
      </c>
      <c r="N3374">
        <v>25</v>
      </c>
      <c r="O3374">
        <v>1</v>
      </c>
      <c r="P3374">
        <v>5</v>
      </c>
      <c r="Q3374">
        <v>8.5096316209715894</v>
      </c>
      <c r="R3374">
        <v>7.5</v>
      </c>
      <c r="T3374" s="358" t="str">
        <f t="shared" si="151"/>
        <v>2012AllSexNon-Maori24Submersion (drowning)</v>
      </c>
      <c r="U3374" s="360">
        <v>2012</v>
      </c>
      <c r="V3374" s="360" t="s">
        <v>17</v>
      </c>
      <c r="W3374" s="360" t="s">
        <v>19</v>
      </c>
      <c r="X3374" s="360">
        <v>24</v>
      </c>
      <c r="Y3374" s="360" t="s">
        <v>49</v>
      </c>
      <c r="Z3374" s="360">
        <v>1</v>
      </c>
      <c r="AA3374" s="360">
        <v>137</v>
      </c>
      <c r="AB3374" s="360">
        <v>0.7</v>
      </c>
    </row>
    <row r="3375" spans="10:28" x14ac:dyDescent="0.2">
      <c r="J3375" s="358" t="str">
        <f t="shared" si="150"/>
        <v>2012MaleNon-Maori252</v>
      </c>
      <c r="K3375" s="359">
        <v>2012</v>
      </c>
      <c r="L3375" t="s">
        <v>20</v>
      </c>
      <c r="M3375" t="s">
        <v>19</v>
      </c>
      <c r="N3375">
        <v>25</v>
      </c>
      <c r="O3375">
        <v>2</v>
      </c>
      <c r="P3375">
        <v>11</v>
      </c>
      <c r="Q3375">
        <v>19.155717666465598</v>
      </c>
      <c r="R3375">
        <v>11.3</v>
      </c>
      <c r="T3375" s="358" t="str">
        <f t="shared" si="151"/>
        <v>2012AllSexNon-Maori25Submersion (drowning)</v>
      </c>
      <c r="U3375" s="360">
        <v>2012</v>
      </c>
      <c r="V3375" s="360" t="s">
        <v>17</v>
      </c>
      <c r="W3375" s="360" t="s">
        <v>19</v>
      </c>
      <c r="X3375" s="360">
        <v>25</v>
      </c>
      <c r="Y3375" s="360" t="s">
        <v>49</v>
      </c>
      <c r="Z3375" s="360">
        <v>2</v>
      </c>
      <c r="AA3375" s="360">
        <v>56</v>
      </c>
      <c r="AB3375" s="360">
        <v>3.6</v>
      </c>
    </row>
    <row r="3376" spans="10:28" x14ac:dyDescent="0.2">
      <c r="J3376" s="358" t="str">
        <f t="shared" si="150"/>
        <v>2012MaleNon-Maori253</v>
      </c>
      <c r="K3376" s="359">
        <v>2012</v>
      </c>
      <c r="L3376" t="s">
        <v>20</v>
      </c>
      <c r="M3376" t="s">
        <v>19</v>
      </c>
      <c r="N3376">
        <v>25</v>
      </c>
      <c r="O3376">
        <v>3</v>
      </c>
      <c r="P3376">
        <v>13</v>
      </c>
      <c r="Q3376">
        <v>23.837793526647001</v>
      </c>
      <c r="R3376">
        <v>13</v>
      </c>
      <c r="T3376" s="358" t="str">
        <f t="shared" si="151"/>
        <v>2012FemaleAllEth23Firearms and explosives</v>
      </c>
      <c r="U3376" s="360">
        <v>2012</v>
      </c>
      <c r="V3376" s="360" t="s">
        <v>8</v>
      </c>
      <c r="W3376" s="360" t="s">
        <v>27</v>
      </c>
      <c r="X3376" s="360">
        <v>23</v>
      </c>
      <c r="Y3376" s="360" t="s">
        <v>42</v>
      </c>
      <c r="Z3376" s="360">
        <v>1</v>
      </c>
      <c r="AA3376" s="360">
        <v>43</v>
      </c>
      <c r="AB3376" s="360">
        <v>2.2999999999999998</v>
      </c>
    </row>
    <row r="3377" spans="10:28" x14ac:dyDescent="0.2">
      <c r="J3377" s="358" t="str">
        <f t="shared" si="150"/>
        <v>2012MaleNon-Maori254</v>
      </c>
      <c r="K3377" s="359">
        <v>2012</v>
      </c>
      <c r="L3377" t="s">
        <v>20</v>
      </c>
      <c r="M3377" t="s">
        <v>19</v>
      </c>
      <c r="N3377">
        <v>25</v>
      </c>
      <c r="O3377">
        <v>4</v>
      </c>
      <c r="P3377">
        <v>6</v>
      </c>
      <c r="Q3377">
        <v>11.6133693720843</v>
      </c>
      <c r="R3377">
        <v>9.3000000000000007</v>
      </c>
      <c r="T3377" s="358" t="str">
        <f t="shared" si="151"/>
        <v>2012FemaleAllEth24Firearms and explosives</v>
      </c>
      <c r="U3377" s="360">
        <v>2012</v>
      </c>
      <c r="V3377" s="360" t="s">
        <v>8</v>
      </c>
      <c r="W3377" s="360" t="s">
        <v>27</v>
      </c>
      <c r="X3377" s="360">
        <v>24</v>
      </c>
      <c r="Y3377" s="360" t="s">
        <v>42</v>
      </c>
      <c r="Z3377" s="360">
        <v>1</v>
      </c>
      <c r="AA3377" s="360">
        <v>42</v>
      </c>
      <c r="AB3377" s="360">
        <v>2.4</v>
      </c>
    </row>
    <row r="3378" spans="10:28" x14ac:dyDescent="0.2">
      <c r="J3378" s="358" t="str">
        <f t="shared" si="150"/>
        <v>2012MaleNon-Maori255</v>
      </c>
      <c r="K3378" s="359">
        <v>2012</v>
      </c>
      <c r="L3378" t="s">
        <v>20</v>
      </c>
      <c r="M3378" t="s">
        <v>19</v>
      </c>
      <c r="N3378">
        <v>25</v>
      </c>
      <c r="O3378">
        <v>5</v>
      </c>
      <c r="P3378">
        <v>6</v>
      </c>
      <c r="Q3378">
        <v>15.397816219858001</v>
      </c>
      <c r="R3378">
        <v>12.3</v>
      </c>
      <c r="T3378" s="358" t="str">
        <f t="shared" si="151"/>
        <v>2012FemaleAllEth21Hanging, strangulation and suffocation</v>
      </c>
      <c r="U3378" s="360">
        <v>2012</v>
      </c>
      <c r="V3378" s="360" t="s">
        <v>8</v>
      </c>
      <c r="W3378" s="360" t="s">
        <v>27</v>
      </c>
      <c r="X3378" s="360">
        <v>21</v>
      </c>
      <c r="Y3378" s="360" t="s">
        <v>43</v>
      </c>
      <c r="Z3378" s="360">
        <v>5</v>
      </c>
      <c r="AA3378" s="360">
        <v>5</v>
      </c>
      <c r="AB3378" s="360">
        <v>100</v>
      </c>
    </row>
    <row r="3379" spans="10:28" x14ac:dyDescent="0.2">
      <c r="J3379" s="358" t="str">
        <f t="shared" si="150"/>
        <v>2013AllSexAllEth211</v>
      </c>
      <c r="K3379" s="359">
        <v>2013</v>
      </c>
      <c r="L3379" t="s">
        <v>17</v>
      </c>
      <c r="M3379" t="s">
        <v>27</v>
      </c>
      <c r="N3379">
        <v>21</v>
      </c>
      <c r="O3379">
        <v>1</v>
      </c>
      <c r="P3379">
        <v>0</v>
      </c>
      <c r="T3379" s="358" t="str">
        <f t="shared" si="151"/>
        <v>2012FemaleAllEth22Hanging, strangulation and suffocation</v>
      </c>
      <c r="U3379" s="360">
        <v>2012</v>
      </c>
      <c r="V3379" s="360" t="s">
        <v>8</v>
      </c>
      <c r="W3379" s="360" t="s">
        <v>27</v>
      </c>
      <c r="X3379" s="360">
        <v>22</v>
      </c>
      <c r="Y3379" s="360" t="s">
        <v>43</v>
      </c>
      <c r="Z3379" s="360">
        <v>39</v>
      </c>
      <c r="AA3379" s="360">
        <v>41</v>
      </c>
      <c r="AB3379" s="360">
        <v>95.1</v>
      </c>
    </row>
    <row r="3380" spans="10:28" x14ac:dyDescent="0.2">
      <c r="J3380" s="358" t="str">
        <f t="shared" si="150"/>
        <v>2013AllSexAllEth212</v>
      </c>
      <c r="K3380" s="359">
        <v>2013</v>
      </c>
      <c r="L3380" t="s">
        <v>17</v>
      </c>
      <c r="M3380" t="s">
        <v>27</v>
      </c>
      <c r="N3380">
        <v>21</v>
      </c>
      <c r="O3380">
        <v>2</v>
      </c>
      <c r="P3380">
        <v>0</v>
      </c>
      <c r="T3380" s="358" t="str">
        <f t="shared" si="151"/>
        <v>2012FemaleAllEth23Hanging, strangulation and suffocation</v>
      </c>
      <c r="U3380" s="360">
        <v>2012</v>
      </c>
      <c r="V3380" s="360" t="s">
        <v>8</v>
      </c>
      <c r="W3380" s="360" t="s">
        <v>27</v>
      </c>
      <c r="X3380" s="360">
        <v>23</v>
      </c>
      <c r="Y3380" s="360" t="s">
        <v>43</v>
      </c>
      <c r="Z3380" s="360">
        <v>21</v>
      </c>
      <c r="AA3380" s="360">
        <v>43</v>
      </c>
      <c r="AB3380" s="360">
        <v>48.8</v>
      </c>
    </row>
    <row r="3381" spans="10:28" x14ac:dyDescent="0.2">
      <c r="J3381" s="358" t="str">
        <f t="shared" si="150"/>
        <v>2013AllSexAllEth213</v>
      </c>
      <c r="K3381" s="359">
        <v>2013</v>
      </c>
      <c r="L3381" t="s">
        <v>17</v>
      </c>
      <c r="M3381" t="s">
        <v>27</v>
      </c>
      <c r="N3381">
        <v>21</v>
      </c>
      <c r="O3381">
        <v>3</v>
      </c>
      <c r="P3381">
        <v>0</v>
      </c>
      <c r="T3381" s="358" t="str">
        <f t="shared" si="151"/>
        <v>2012FemaleAllEth24Hanging, strangulation and suffocation</v>
      </c>
      <c r="U3381" s="360">
        <v>2012</v>
      </c>
      <c r="V3381" s="360" t="s">
        <v>8</v>
      </c>
      <c r="W3381" s="360" t="s">
        <v>27</v>
      </c>
      <c r="X3381" s="360">
        <v>24</v>
      </c>
      <c r="Y3381" s="360" t="s">
        <v>43</v>
      </c>
      <c r="Z3381" s="360">
        <v>17</v>
      </c>
      <c r="AA3381" s="360">
        <v>42</v>
      </c>
      <c r="AB3381" s="360">
        <v>40.5</v>
      </c>
    </row>
    <row r="3382" spans="10:28" x14ac:dyDescent="0.2">
      <c r="J3382" s="358" t="str">
        <f t="shared" si="150"/>
        <v>2013AllSexAllEth214</v>
      </c>
      <c r="K3382" s="359">
        <v>2013</v>
      </c>
      <c r="L3382" t="s">
        <v>17</v>
      </c>
      <c r="M3382" t="s">
        <v>27</v>
      </c>
      <c r="N3382">
        <v>21</v>
      </c>
      <c r="O3382">
        <v>4</v>
      </c>
      <c r="P3382">
        <v>0</v>
      </c>
      <c r="T3382" s="358" t="str">
        <f t="shared" si="151"/>
        <v>2012FemaleAllEth25Hanging, strangulation and suffocation</v>
      </c>
      <c r="U3382" s="360">
        <v>2012</v>
      </c>
      <c r="V3382" s="360" t="s">
        <v>8</v>
      </c>
      <c r="W3382" s="360" t="s">
        <v>27</v>
      </c>
      <c r="X3382" s="360">
        <v>25</v>
      </c>
      <c r="Y3382" s="360" t="s">
        <v>43</v>
      </c>
      <c r="Z3382" s="360">
        <v>6</v>
      </c>
      <c r="AA3382" s="360">
        <v>14</v>
      </c>
      <c r="AB3382" s="360">
        <v>42.9</v>
      </c>
    </row>
    <row r="3383" spans="10:28" x14ac:dyDescent="0.2">
      <c r="J3383" s="358" t="str">
        <f t="shared" si="150"/>
        <v>2013AllSexAllEth215</v>
      </c>
      <c r="K3383" s="359">
        <v>2013</v>
      </c>
      <c r="L3383" t="s">
        <v>17</v>
      </c>
      <c r="M3383" t="s">
        <v>27</v>
      </c>
      <c r="N3383">
        <v>21</v>
      </c>
      <c r="O3383">
        <v>5</v>
      </c>
      <c r="P3383">
        <v>2</v>
      </c>
      <c r="T3383" s="358" t="str">
        <f t="shared" si="151"/>
        <v>2012FemaleAllEth22Jumping from a high place</v>
      </c>
      <c r="U3383" s="360">
        <v>2012</v>
      </c>
      <c r="V3383" s="360" t="s">
        <v>8</v>
      </c>
      <c r="W3383" s="360" t="s">
        <v>27</v>
      </c>
      <c r="X3383" s="360">
        <v>22</v>
      </c>
      <c r="Y3383" s="360" t="s">
        <v>44</v>
      </c>
      <c r="Z3383" s="360">
        <v>2</v>
      </c>
      <c r="AA3383" s="360">
        <v>41</v>
      </c>
      <c r="AB3383" s="360">
        <v>4.9000000000000004</v>
      </c>
    </row>
    <row r="3384" spans="10:28" x14ac:dyDescent="0.2">
      <c r="J3384" s="358" t="str">
        <f t="shared" si="150"/>
        <v>2013AllSexAllEth221</v>
      </c>
      <c r="K3384" s="359">
        <v>2013</v>
      </c>
      <c r="L3384" t="s">
        <v>17</v>
      </c>
      <c r="M3384" t="s">
        <v>27</v>
      </c>
      <c r="N3384">
        <v>22</v>
      </c>
      <c r="O3384">
        <v>1</v>
      </c>
      <c r="P3384">
        <v>8</v>
      </c>
      <c r="Q3384">
        <v>7.2217854410360403</v>
      </c>
      <c r="R3384">
        <v>5</v>
      </c>
      <c r="T3384" s="358" t="str">
        <f t="shared" si="151"/>
        <v>2012FemaleAllEth23Jumping from a high place</v>
      </c>
      <c r="U3384" s="360">
        <v>2012</v>
      </c>
      <c r="V3384" s="360" t="s">
        <v>8</v>
      </c>
      <c r="W3384" s="360" t="s">
        <v>27</v>
      </c>
      <c r="X3384" s="360">
        <v>23</v>
      </c>
      <c r="Y3384" s="360" t="s">
        <v>44</v>
      </c>
      <c r="Z3384" s="360">
        <v>2</v>
      </c>
      <c r="AA3384" s="360">
        <v>43</v>
      </c>
      <c r="AB3384" s="360">
        <v>4.7</v>
      </c>
    </row>
    <row r="3385" spans="10:28" x14ac:dyDescent="0.2">
      <c r="J3385" s="358" t="str">
        <f t="shared" si="150"/>
        <v>2013AllSexAllEth222</v>
      </c>
      <c r="K3385" s="359">
        <v>2013</v>
      </c>
      <c r="L3385" t="s">
        <v>17</v>
      </c>
      <c r="M3385" t="s">
        <v>27</v>
      </c>
      <c r="N3385">
        <v>22</v>
      </c>
      <c r="O3385">
        <v>2</v>
      </c>
      <c r="P3385">
        <v>11</v>
      </c>
      <c r="Q3385">
        <v>9.8086002178118505</v>
      </c>
      <c r="R3385">
        <v>5.8</v>
      </c>
      <c r="T3385" s="358" t="str">
        <f t="shared" si="151"/>
        <v>2012FemaleAllEth24Jumping from a high place</v>
      </c>
      <c r="U3385" s="360">
        <v>2012</v>
      </c>
      <c r="V3385" s="360" t="s">
        <v>8</v>
      </c>
      <c r="W3385" s="360" t="s">
        <v>27</v>
      </c>
      <c r="X3385" s="360">
        <v>24</v>
      </c>
      <c r="Y3385" s="360" t="s">
        <v>44</v>
      </c>
      <c r="Z3385" s="360">
        <v>2</v>
      </c>
      <c r="AA3385" s="360">
        <v>42</v>
      </c>
      <c r="AB3385" s="360">
        <v>4.8</v>
      </c>
    </row>
    <row r="3386" spans="10:28" x14ac:dyDescent="0.2">
      <c r="J3386" s="358" t="str">
        <f t="shared" si="150"/>
        <v>2013AllSexAllEth223</v>
      </c>
      <c r="K3386" s="359">
        <v>2013</v>
      </c>
      <c r="L3386" t="s">
        <v>17</v>
      </c>
      <c r="M3386" t="s">
        <v>27</v>
      </c>
      <c r="N3386">
        <v>22</v>
      </c>
      <c r="O3386">
        <v>3</v>
      </c>
      <c r="P3386">
        <v>18</v>
      </c>
      <c r="Q3386">
        <v>15.1465122576609</v>
      </c>
      <c r="R3386">
        <v>7</v>
      </c>
      <c r="T3386" s="358" t="str">
        <f t="shared" si="151"/>
        <v>2012FemaleAllEth25Jumping from a high place</v>
      </c>
      <c r="U3386" s="360">
        <v>2012</v>
      </c>
      <c r="V3386" s="360" t="s">
        <v>8</v>
      </c>
      <c r="W3386" s="360" t="s">
        <v>27</v>
      </c>
      <c r="X3386" s="360">
        <v>25</v>
      </c>
      <c r="Y3386" s="360" t="s">
        <v>44</v>
      </c>
      <c r="Z3386" s="360">
        <v>1</v>
      </c>
      <c r="AA3386" s="360">
        <v>14</v>
      </c>
      <c r="AB3386" s="360">
        <v>7.1</v>
      </c>
    </row>
    <row r="3387" spans="10:28" x14ac:dyDescent="0.2">
      <c r="J3387" s="358" t="str">
        <f t="shared" si="150"/>
        <v>2013AllSexAllEth224</v>
      </c>
      <c r="K3387" s="359">
        <v>2013</v>
      </c>
      <c r="L3387" t="s">
        <v>17</v>
      </c>
      <c r="M3387" t="s">
        <v>27</v>
      </c>
      <c r="N3387">
        <v>22</v>
      </c>
      <c r="O3387">
        <v>4</v>
      </c>
      <c r="P3387">
        <v>26</v>
      </c>
      <c r="Q3387">
        <v>19.448647880211901</v>
      </c>
      <c r="R3387">
        <v>7.5</v>
      </c>
      <c r="T3387" s="358" t="str">
        <f t="shared" si="151"/>
        <v>2012FemaleAllEth23Other</v>
      </c>
      <c r="U3387" s="360">
        <v>2012</v>
      </c>
      <c r="V3387" s="360" t="s">
        <v>8</v>
      </c>
      <c r="W3387" s="360" t="s">
        <v>27</v>
      </c>
      <c r="X3387" s="360">
        <v>23</v>
      </c>
      <c r="Y3387" s="360" t="s">
        <v>45</v>
      </c>
      <c r="Z3387" s="360">
        <v>2</v>
      </c>
      <c r="AA3387" s="360">
        <v>43</v>
      </c>
      <c r="AB3387" s="360">
        <v>4.7</v>
      </c>
    </row>
    <row r="3388" spans="10:28" x14ac:dyDescent="0.2">
      <c r="J3388" s="358" t="str">
        <f t="shared" si="150"/>
        <v>2013AllSexAllEth225</v>
      </c>
      <c r="K3388" s="359">
        <v>2013</v>
      </c>
      <c r="L3388" t="s">
        <v>17</v>
      </c>
      <c r="M3388" t="s">
        <v>27</v>
      </c>
      <c r="N3388">
        <v>22</v>
      </c>
      <c r="O3388">
        <v>5</v>
      </c>
      <c r="P3388">
        <v>46</v>
      </c>
      <c r="Q3388">
        <v>30.272525876177799</v>
      </c>
      <c r="R3388">
        <v>8.6999999999999993</v>
      </c>
      <c r="T3388" s="358" t="str">
        <f t="shared" si="151"/>
        <v>2012FemaleAllEth24Other</v>
      </c>
      <c r="U3388" s="360">
        <v>2012</v>
      </c>
      <c r="V3388" s="360" t="s">
        <v>8</v>
      </c>
      <c r="W3388" s="360" t="s">
        <v>27</v>
      </c>
      <c r="X3388" s="360">
        <v>24</v>
      </c>
      <c r="Y3388" s="360" t="s">
        <v>45</v>
      </c>
      <c r="Z3388" s="360">
        <v>3</v>
      </c>
      <c r="AA3388" s="360">
        <v>42</v>
      </c>
      <c r="AB3388" s="360">
        <v>7.1</v>
      </c>
    </row>
    <row r="3389" spans="10:28" x14ac:dyDescent="0.2">
      <c r="J3389" s="358" t="str">
        <f t="shared" si="150"/>
        <v>2013AllSexAllEth231</v>
      </c>
      <c r="K3389" s="359">
        <v>2013</v>
      </c>
      <c r="L3389" t="s">
        <v>17</v>
      </c>
      <c r="M3389" t="s">
        <v>27</v>
      </c>
      <c r="N3389">
        <v>23</v>
      </c>
      <c r="O3389">
        <v>1</v>
      </c>
      <c r="P3389">
        <v>17</v>
      </c>
      <c r="Q3389">
        <v>7.8428840678284901</v>
      </c>
      <c r="R3389">
        <v>3.7</v>
      </c>
      <c r="T3389" s="358" t="str">
        <f t="shared" si="151"/>
        <v>2012FemaleAllEth23Poisoning by gases and vapours</v>
      </c>
      <c r="U3389" s="360">
        <v>2012</v>
      </c>
      <c r="V3389" s="360" t="s">
        <v>8</v>
      </c>
      <c r="W3389" s="360" t="s">
        <v>27</v>
      </c>
      <c r="X3389" s="360">
        <v>23</v>
      </c>
      <c r="Y3389" s="360" t="s">
        <v>46</v>
      </c>
      <c r="Z3389" s="360">
        <v>3</v>
      </c>
      <c r="AA3389" s="360">
        <v>43</v>
      </c>
      <c r="AB3389" s="360">
        <v>7</v>
      </c>
    </row>
    <row r="3390" spans="10:28" x14ac:dyDescent="0.2">
      <c r="J3390" s="358" t="str">
        <f t="shared" si="150"/>
        <v>2013AllSexAllEth232</v>
      </c>
      <c r="K3390" s="359">
        <v>2013</v>
      </c>
      <c r="L3390" t="s">
        <v>17</v>
      </c>
      <c r="M3390" t="s">
        <v>27</v>
      </c>
      <c r="N3390">
        <v>23</v>
      </c>
      <c r="O3390">
        <v>2</v>
      </c>
      <c r="P3390">
        <v>26</v>
      </c>
      <c r="Q3390">
        <v>11.1265212735501</v>
      </c>
      <c r="R3390">
        <v>4.3</v>
      </c>
      <c r="T3390" s="358" t="str">
        <f t="shared" si="151"/>
        <v>2012FemaleAllEth24Poisoning by gases and vapours</v>
      </c>
      <c r="U3390" s="360">
        <v>2012</v>
      </c>
      <c r="V3390" s="360" t="s">
        <v>8</v>
      </c>
      <c r="W3390" s="360" t="s">
        <v>27</v>
      </c>
      <c r="X3390" s="360">
        <v>24</v>
      </c>
      <c r="Y3390" s="360" t="s">
        <v>46</v>
      </c>
      <c r="Z3390" s="360">
        <v>2</v>
      </c>
      <c r="AA3390" s="360">
        <v>42</v>
      </c>
      <c r="AB3390" s="360">
        <v>4.8</v>
      </c>
    </row>
    <row r="3391" spans="10:28" x14ac:dyDescent="0.2">
      <c r="J3391" s="358" t="str">
        <f t="shared" si="150"/>
        <v>2013AllSexAllEth233</v>
      </c>
      <c r="K3391" s="359">
        <v>2013</v>
      </c>
      <c r="L3391" t="s">
        <v>17</v>
      </c>
      <c r="M3391" t="s">
        <v>27</v>
      </c>
      <c r="N3391">
        <v>23</v>
      </c>
      <c r="O3391">
        <v>3</v>
      </c>
      <c r="P3391">
        <v>30</v>
      </c>
      <c r="Q3391">
        <v>12.6051108228083</v>
      </c>
      <c r="R3391">
        <v>4.5</v>
      </c>
      <c r="T3391" s="358" t="str">
        <f t="shared" si="151"/>
        <v>2012FemaleAllEth25Poisoning by gases and vapours</v>
      </c>
      <c r="U3391" s="360">
        <v>2012</v>
      </c>
      <c r="V3391" s="360" t="s">
        <v>8</v>
      </c>
      <c r="W3391" s="360" t="s">
        <v>27</v>
      </c>
      <c r="X3391" s="360">
        <v>25</v>
      </c>
      <c r="Y3391" s="360" t="s">
        <v>46</v>
      </c>
      <c r="Z3391" s="360">
        <v>1</v>
      </c>
      <c r="AA3391" s="360">
        <v>14</v>
      </c>
      <c r="AB3391" s="360">
        <v>7.1</v>
      </c>
    </row>
    <row r="3392" spans="10:28" x14ac:dyDescent="0.2">
      <c r="J3392" s="358" t="str">
        <f t="shared" si="150"/>
        <v>2013AllSexAllEth234</v>
      </c>
      <c r="K3392" s="359">
        <v>2013</v>
      </c>
      <c r="L3392" t="s">
        <v>17</v>
      </c>
      <c r="M3392" t="s">
        <v>27</v>
      </c>
      <c r="N3392">
        <v>23</v>
      </c>
      <c r="O3392">
        <v>4</v>
      </c>
      <c r="P3392">
        <v>32</v>
      </c>
      <c r="Q3392">
        <v>13.727006596395499</v>
      </c>
      <c r="R3392">
        <v>4.8</v>
      </c>
      <c r="T3392" s="358" t="str">
        <f t="shared" si="151"/>
        <v>2012FemaleAllEth23Poisoning by solids and liquids</v>
      </c>
      <c r="U3392" s="360">
        <v>2012</v>
      </c>
      <c r="V3392" s="360" t="s">
        <v>8</v>
      </c>
      <c r="W3392" s="360" t="s">
        <v>27</v>
      </c>
      <c r="X3392" s="360">
        <v>23</v>
      </c>
      <c r="Y3392" s="360" t="s">
        <v>47</v>
      </c>
      <c r="Z3392" s="360">
        <v>13</v>
      </c>
      <c r="AA3392" s="360">
        <v>43</v>
      </c>
      <c r="AB3392" s="360">
        <v>30.2</v>
      </c>
    </row>
    <row r="3393" spans="10:28" x14ac:dyDescent="0.2">
      <c r="J3393" s="358" t="str">
        <f t="shared" si="150"/>
        <v>2013AllSexAllEth235</v>
      </c>
      <c r="K3393" s="359">
        <v>2013</v>
      </c>
      <c r="L3393" t="s">
        <v>17</v>
      </c>
      <c r="M3393" t="s">
        <v>27</v>
      </c>
      <c r="N3393">
        <v>23</v>
      </c>
      <c r="O3393">
        <v>5</v>
      </c>
      <c r="P3393">
        <v>46</v>
      </c>
      <c r="Q3393">
        <v>20.9127707375795</v>
      </c>
      <c r="R3393">
        <v>6</v>
      </c>
      <c r="T3393" s="358" t="str">
        <f t="shared" si="151"/>
        <v>2012FemaleAllEth24Poisoning by solids and liquids</v>
      </c>
      <c r="U3393" s="360">
        <v>2012</v>
      </c>
      <c r="V3393" s="360" t="s">
        <v>8</v>
      </c>
      <c r="W3393" s="360" t="s">
        <v>27</v>
      </c>
      <c r="X3393" s="360">
        <v>24</v>
      </c>
      <c r="Y3393" s="360" t="s">
        <v>47</v>
      </c>
      <c r="Z3393" s="360">
        <v>17</v>
      </c>
      <c r="AA3393" s="360">
        <v>42</v>
      </c>
      <c r="AB3393" s="360">
        <v>40.5</v>
      </c>
    </row>
    <row r="3394" spans="10:28" x14ac:dyDescent="0.2">
      <c r="J3394" s="358" t="str">
        <f t="shared" si="150"/>
        <v>2013AllSexAllEth241</v>
      </c>
      <c r="K3394" s="359">
        <v>2013</v>
      </c>
      <c r="L3394" t="s">
        <v>17</v>
      </c>
      <c r="M3394" t="s">
        <v>27</v>
      </c>
      <c r="N3394">
        <v>24</v>
      </c>
      <c r="O3394">
        <v>1</v>
      </c>
      <c r="P3394">
        <v>38</v>
      </c>
      <c r="Q3394">
        <v>13.722666242449399</v>
      </c>
      <c r="R3394">
        <v>4.4000000000000004</v>
      </c>
      <c r="T3394" s="358" t="str">
        <f t="shared" si="151"/>
        <v>2012FemaleAllEth25Poisoning by solids and liquids</v>
      </c>
      <c r="U3394" s="360">
        <v>2012</v>
      </c>
      <c r="V3394" s="360" t="s">
        <v>8</v>
      </c>
      <c r="W3394" s="360" t="s">
        <v>27</v>
      </c>
      <c r="X3394" s="360">
        <v>25</v>
      </c>
      <c r="Y3394" s="360" t="s">
        <v>47</v>
      </c>
      <c r="Z3394" s="360">
        <v>5</v>
      </c>
      <c r="AA3394" s="360">
        <v>14</v>
      </c>
      <c r="AB3394" s="360">
        <v>35.700000000000003</v>
      </c>
    </row>
    <row r="3395" spans="10:28" x14ac:dyDescent="0.2">
      <c r="J3395" s="358" t="str">
        <f t="shared" si="150"/>
        <v>2013AllSexAllEth242</v>
      </c>
      <c r="K3395" s="359">
        <v>2013</v>
      </c>
      <c r="L3395" t="s">
        <v>17</v>
      </c>
      <c r="M3395" t="s">
        <v>27</v>
      </c>
      <c r="N3395">
        <v>24</v>
      </c>
      <c r="O3395">
        <v>2</v>
      </c>
      <c r="P3395">
        <v>35</v>
      </c>
      <c r="Q3395">
        <v>14.1523911696958</v>
      </c>
      <c r="R3395">
        <v>4.7</v>
      </c>
      <c r="T3395" s="358" t="str">
        <f t="shared" si="151"/>
        <v>2012FemaleAllEth23Submersion (drowning)</v>
      </c>
      <c r="U3395" s="360">
        <v>2012</v>
      </c>
      <c r="V3395" s="360" t="s">
        <v>8</v>
      </c>
      <c r="W3395" s="360" t="s">
        <v>27</v>
      </c>
      <c r="X3395" s="360">
        <v>23</v>
      </c>
      <c r="Y3395" s="360" t="s">
        <v>49</v>
      </c>
      <c r="Z3395" s="360">
        <v>1</v>
      </c>
      <c r="AA3395" s="360">
        <v>43</v>
      </c>
      <c r="AB3395" s="360">
        <v>2.2999999999999998</v>
      </c>
    </row>
    <row r="3396" spans="10:28" x14ac:dyDescent="0.2">
      <c r="J3396" s="358" t="str">
        <f t="shared" ref="J3396:J3459" si="152">K3396&amp;L3396&amp;M3396&amp;N3396&amp;O3396</f>
        <v>2013AllSexAllEth243</v>
      </c>
      <c r="K3396" s="359">
        <v>2013</v>
      </c>
      <c r="L3396" t="s">
        <v>17</v>
      </c>
      <c r="M3396" t="s">
        <v>27</v>
      </c>
      <c r="N3396">
        <v>24</v>
      </c>
      <c r="O3396">
        <v>3</v>
      </c>
      <c r="P3396">
        <v>26</v>
      </c>
      <c r="Q3396">
        <v>11.612468791183399</v>
      </c>
      <c r="R3396">
        <v>4.5</v>
      </c>
      <c r="T3396" s="358" t="str">
        <f t="shared" si="151"/>
        <v>2012FemaleAllEth25Submersion (drowning)</v>
      </c>
      <c r="U3396" s="360">
        <v>2012</v>
      </c>
      <c r="V3396" s="360" t="s">
        <v>8</v>
      </c>
      <c r="W3396" s="360" t="s">
        <v>27</v>
      </c>
      <c r="X3396" s="360">
        <v>25</v>
      </c>
      <c r="Y3396" s="360" t="s">
        <v>49</v>
      </c>
      <c r="Z3396" s="360">
        <v>1</v>
      </c>
      <c r="AA3396" s="360">
        <v>14</v>
      </c>
      <c r="AB3396" s="360">
        <v>7.1</v>
      </c>
    </row>
    <row r="3397" spans="10:28" x14ac:dyDescent="0.2">
      <c r="J3397" s="358" t="str">
        <f t="shared" si="152"/>
        <v>2013AllSexAllEth244</v>
      </c>
      <c r="K3397" s="359">
        <v>2013</v>
      </c>
      <c r="L3397" t="s">
        <v>17</v>
      </c>
      <c r="M3397" t="s">
        <v>27</v>
      </c>
      <c r="N3397">
        <v>24</v>
      </c>
      <c r="O3397">
        <v>4</v>
      </c>
      <c r="P3397">
        <v>35</v>
      </c>
      <c r="Q3397">
        <v>17.207570453768401</v>
      </c>
      <c r="R3397">
        <v>5.7</v>
      </c>
      <c r="T3397" s="358" t="str">
        <f t="shared" ref="T3397:T3460" si="153">U3397&amp;V3397&amp;W3397&amp;X3397&amp;Y3397</f>
        <v>2012FemaleMaori21Hanging, strangulation and suffocation</v>
      </c>
      <c r="U3397" s="360">
        <v>2012</v>
      </c>
      <c r="V3397" s="360" t="s">
        <v>8</v>
      </c>
      <c r="W3397" s="360" t="s">
        <v>18</v>
      </c>
      <c r="X3397" s="360">
        <v>21</v>
      </c>
      <c r="Y3397" s="360" t="s">
        <v>43</v>
      </c>
      <c r="Z3397" s="360">
        <v>3</v>
      </c>
      <c r="AA3397" s="360">
        <v>3</v>
      </c>
      <c r="AB3397" s="360">
        <v>100</v>
      </c>
    </row>
    <row r="3398" spans="10:28" x14ac:dyDescent="0.2">
      <c r="J3398" s="358" t="str">
        <f t="shared" si="152"/>
        <v>2013AllSexAllEth245</v>
      </c>
      <c r="K3398" s="359">
        <v>2013</v>
      </c>
      <c r="L3398" t="s">
        <v>17</v>
      </c>
      <c r="M3398" t="s">
        <v>27</v>
      </c>
      <c r="N3398">
        <v>24</v>
      </c>
      <c r="O3398">
        <v>5</v>
      </c>
      <c r="P3398">
        <v>37</v>
      </c>
      <c r="Q3398">
        <v>19.793319766457898</v>
      </c>
      <c r="R3398">
        <v>6.4</v>
      </c>
      <c r="T3398" s="358" t="str">
        <f t="shared" si="153"/>
        <v>2012FemaleMaori22Hanging, strangulation and suffocation</v>
      </c>
      <c r="U3398" s="360">
        <v>2012</v>
      </c>
      <c r="V3398" s="360" t="s">
        <v>8</v>
      </c>
      <c r="W3398" s="360" t="s">
        <v>18</v>
      </c>
      <c r="X3398" s="360">
        <v>22</v>
      </c>
      <c r="Y3398" s="360" t="s">
        <v>43</v>
      </c>
      <c r="Z3398" s="360">
        <v>23</v>
      </c>
      <c r="AA3398" s="360">
        <v>24</v>
      </c>
      <c r="AB3398" s="360">
        <v>95.8</v>
      </c>
    </row>
    <row r="3399" spans="10:28" x14ac:dyDescent="0.2">
      <c r="J3399" s="358" t="str">
        <f t="shared" si="152"/>
        <v>2013AllSexAllEth251</v>
      </c>
      <c r="K3399" s="359">
        <v>2013</v>
      </c>
      <c r="L3399" t="s">
        <v>17</v>
      </c>
      <c r="M3399" t="s">
        <v>27</v>
      </c>
      <c r="N3399">
        <v>25</v>
      </c>
      <c r="O3399">
        <v>1</v>
      </c>
      <c r="P3399">
        <v>9</v>
      </c>
      <c r="Q3399">
        <v>6.9351193276698302</v>
      </c>
      <c r="R3399">
        <v>4.5</v>
      </c>
      <c r="T3399" s="358" t="str">
        <f t="shared" si="153"/>
        <v>2012FemaleMaori23Hanging, strangulation and suffocation</v>
      </c>
      <c r="U3399" s="360">
        <v>2012</v>
      </c>
      <c r="V3399" s="360" t="s">
        <v>8</v>
      </c>
      <c r="W3399" s="360" t="s">
        <v>18</v>
      </c>
      <c r="X3399" s="360">
        <v>23</v>
      </c>
      <c r="Y3399" s="360" t="s">
        <v>43</v>
      </c>
      <c r="Z3399" s="360">
        <v>8</v>
      </c>
      <c r="AA3399" s="360">
        <v>9</v>
      </c>
      <c r="AB3399" s="360">
        <v>88.9</v>
      </c>
    </row>
    <row r="3400" spans="10:28" x14ac:dyDescent="0.2">
      <c r="J3400" s="358" t="str">
        <f t="shared" si="152"/>
        <v>2013AllSexAllEth252</v>
      </c>
      <c r="K3400" s="359">
        <v>2013</v>
      </c>
      <c r="L3400" t="s">
        <v>17</v>
      </c>
      <c r="M3400" t="s">
        <v>27</v>
      </c>
      <c r="N3400">
        <v>25</v>
      </c>
      <c r="O3400">
        <v>2</v>
      </c>
      <c r="P3400">
        <v>11</v>
      </c>
      <c r="Q3400">
        <v>8.4105504861635794</v>
      </c>
      <c r="R3400">
        <v>5</v>
      </c>
      <c r="T3400" s="358" t="str">
        <f t="shared" si="153"/>
        <v>2012FemaleMaori24Hanging, strangulation and suffocation</v>
      </c>
      <c r="U3400" s="360">
        <v>2012</v>
      </c>
      <c r="V3400" s="360" t="s">
        <v>8</v>
      </c>
      <c r="W3400" s="360" t="s">
        <v>18</v>
      </c>
      <c r="X3400" s="360">
        <v>24</v>
      </c>
      <c r="Y3400" s="360" t="s">
        <v>43</v>
      </c>
      <c r="Z3400" s="360">
        <v>1</v>
      </c>
      <c r="AA3400" s="360">
        <v>1</v>
      </c>
      <c r="AB3400" s="360">
        <v>100</v>
      </c>
    </row>
    <row r="3401" spans="10:28" x14ac:dyDescent="0.2">
      <c r="J3401" s="358" t="str">
        <f t="shared" si="152"/>
        <v>2013AllSexAllEth253</v>
      </c>
      <c r="K3401" s="359">
        <v>2013</v>
      </c>
      <c r="L3401" t="s">
        <v>17</v>
      </c>
      <c r="M3401" t="s">
        <v>27</v>
      </c>
      <c r="N3401">
        <v>25</v>
      </c>
      <c r="O3401">
        <v>3</v>
      </c>
      <c r="P3401">
        <v>24</v>
      </c>
      <c r="Q3401">
        <v>18.580178916540699</v>
      </c>
      <c r="R3401">
        <v>7.4</v>
      </c>
      <c r="T3401" s="358" t="str">
        <f t="shared" si="153"/>
        <v>2012FemaleMaori22Jumping from a high place</v>
      </c>
      <c r="U3401" s="360">
        <v>2012</v>
      </c>
      <c r="V3401" s="360" t="s">
        <v>8</v>
      </c>
      <c r="W3401" s="360" t="s">
        <v>18</v>
      </c>
      <c r="X3401" s="360">
        <v>22</v>
      </c>
      <c r="Y3401" s="360" t="s">
        <v>44</v>
      </c>
      <c r="Z3401" s="360">
        <v>1</v>
      </c>
      <c r="AA3401" s="360">
        <v>24</v>
      </c>
      <c r="AB3401" s="360">
        <v>4.2</v>
      </c>
    </row>
    <row r="3402" spans="10:28" x14ac:dyDescent="0.2">
      <c r="J3402" s="358" t="str">
        <f t="shared" si="152"/>
        <v>2013AllSexAllEth254</v>
      </c>
      <c r="K3402" s="359">
        <v>2013</v>
      </c>
      <c r="L3402" t="s">
        <v>17</v>
      </c>
      <c r="M3402" t="s">
        <v>27</v>
      </c>
      <c r="N3402">
        <v>25</v>
      </c>
      <c r="O3402">
        <v>4</v>
      </c>
      <c r="P3402">
        <v>6</v>
      </c>
      <c r="Q3402">
        <v>4.6041006591166402</v>
      </c>
      <c r="R3402">
        <v>3.7</v>
      </c>
      <c r="T3402" s="358" t="str">
        <f t="shared" si="153"/>
        <v>2012FemaleMaori23Poisoning by solids and liquids</v>
      </c>
      <c r="U3402" s="360">
        <v>2012</v>
      </c>
      <c r="V3402" s="360" t="s">
        <v>8</v>
      </c>
      <c r="W3402" s="360" t="s">
        <v>18</v>
      </c>
      <c r="X3402" s="360">
        <v>23</v>
      </c>
      <c r="Y3402" s="360" t="s">
        <v>47</v>
      </c>
      <c r="Z3402" s="360">
        <v>1</v>
      </c>
      <c r="AA3402" s="360">
        <v>9</v>
      </c>
      <c r="AB3402" s="360">
        <v>11.1</v>
      </c>
    </row>
    <row r="3403" spans="10:28" x14ac:dyDescent="0.2">
      <c r="J3403" s="358" t="str">
        <f t="shared" si="152"/>
        <v>2013AllSexAllEth255</v>
      </c>
      <c r="K3403" s="359">
        <v>2013</v>
      </c>
      <c r="L3403" t="s">
        <v>17</v>
      </c>
      <c r="M3403" t="s">
        <v>27</v>
      </c>
      <c r="N3403">
        <v>25</v>
      </c>
      <c r="O3403">
        <v>5</v>
      </c>
      <c r="P3403">
        <v>3</v>
      </c>
      <c r="Q3403">
        <v>2.8310017031853301</v>
      </c>
      <c r="R3403">
        <v>3.2</v>
      </c>
      <c r="T3403" s="358" t="str">
        <f t="shared" si="153"/>
        <v>2012FemaleNon-Maori23Firearms and explosives</v>
      </c>
      <c r="U3403" s="360">
        <v>2012</v>
      </c>
      <c r="V3403" s="360" t="s">
        <v>8</v>
      </c>
      <c r="W3403" s="360" t="s">
        <v>19</v>
      </c>
      <c r="X3403" s="360">
        <v>23</v>
      </c>
      <c r="Y3403" s="360" t="s">
        <v>42</v>
      </c>
      <c r="Z3403" s="360">
        <v>1</v>
      </c>
      <c r="AA3403" s="360">
        <v>34</v>
      </c>
      <c r="AB3403" s="360">
        <v>2.9</v>
      </c>
    </row>
    <row r="3404" spans="10:28" x14ac:dyDescent="0.2">
      <c r="J3404" s="358" t="str">
        <f t="shared" si="152"/>
        <v>2013AllSexMaori211</v>
      </c>
      <c r="K3404" s="359">
        <v>2013</v>
      </c>
      <c r="L3404" t="s">
        <v>17</v>
      </c>
      <c r="M3404" t="s">
        <v>18</v>
      </c>
      <c r="N3404">
        <v>21</v>
      </c>
      <c r="O3404">
        <v>1</v>
      </c>
      <c r="P3404">
        <v>0</v>
      </c>
      <c r="T3404" s="358" t="str">
        <f t="shared" si="153"/>
        <v>2012FemaleNon-Maori24Firearms and explosives</v>
      </c>
      <c r="U3404" s="360">
        <v>2012</v>
      </c>
      <c r="V3404" s="360" t="s">
        <v>8</v>
      </c>
      <c r="W3404" s="360" t="s">
        <v>19</v>
      </c>
      <c r="X3404" s="360">
        <v>24</v>
      </c>
      <c r="Y3404" s="360" t="s">
        <v>42</v>
      </c>
      <c r="Z3404" s="360">
        <v>1</v>
      </c>
      <c r="AA3404" s="360">
        <v>41</v>
      </c>
      <c r="AB3404" s="360">
        <v>2.4</v>
      </c>
    </row>
    <row r="3405" spans="10:28" x14ac:dyDescent="0.2">
      <c r="J3405" s="358" t="str">
        <f t="shared" si="152"/>
        <v>2013AllSexMaori212</v>
      </c>
      <c r="K3405" s="359">
        <v>2013</v>
      </c>
      <c r="L3405" t="s">
        <v>17</v>
      </c>
      <c r="M3405" t="s">
        <v>18</v>
      </c>
      <c r="N3405">
        <v>21</v>
      </c>
      <c r="O3405">
        <v>2</v>
      </c>
      <c r="P3405">
        <v>0</v>
      </c>
      <c r="T3405" s="358" t="str">
        <f t="shared" si="153"/>
        <v>2012FemaleNon-Maori21Hanging, strangulation and suffocation</v>
      </c>
      <c r="U3405" s="360">
        <v>2012</v>
      </c>
      <c r="V3405" s="360" t="s">
        <v>8</v>
      </c>
      <c r="W3405" s="360" t="s">
        <v>19</v>
      </c>
      <c r="X3405" s="360">
        <v>21</v>
      </c>
      <c r="Y3405" s="360" t="s">
        <v>43</v>
      </c>
      <c r="Z3405" s="360">
        <v>2</v>
      </c>
      <c r="AA3405" s="360">
        <v>2</v>
      </c>
      <c r="AB3405" s="360">
        <v>100</v>
      </c>
    </row>
    <row r="3406" spans="10:28" x14ac:dyDescent="0.2">
      <c r="J3406" s="358" t="str">
        <f t="shared" si="152"/>
        <v>2013AllSexMaori213</v>
      </c>
      <c r="K3406" s="359">
        <v>2013</v>
      </c>
      <c r="L3406" t="s">
        <v>17</v>
      </c>
      <c r="M3406" t="s">
        <v>18</v>
      </c>
      <c r="N3406">
        <v>21</v>
      </c>
      <c r="O3406">
        <v>3</v>
      </c>
      <c r="P3406">
        <v>0</v>
      </c>
      <c r="T3406" s="358" t="str">
        <f t="shared" si="153"/>
        <v>2012FemaleNon-Maori22Hanging, strangulation and suffocation</v>
      </c>
      <c r="U3406" s="360">
        <v>2012</v>
      </c>
      <c r="V3406" s="360" t="s">
        <v>8</v>
      </c>
      <c r="W3406" s="360" t="s">
        <v>19</v>
      </c>
      <c r="X3406" s="360">
        <v>22</v>
      </c>
      <c r="Y3406" s="360" t="s">
        <v>43</v>
      </c>
      <c r="Z3406" s="360">
        <v>16</v>
      </c>
      <c r="AA3406" s="360">
        <v>17</v>
      </c>
      <c r="AB3406" s="360">
        <v>94.1</v>
      </c>
    </row>
    <row r="3407" spans="10:28" x14ac:dyDescent="0.2">
      <c r="J3407" s="358" t="str">
        <f t="shared" si="152"/>
        <v>2013AllSexMaori214</v>
      </c>
      <c r="K3407" s="359">
        <v>2013</v>
      </c>
      <c r="L3407" t="s">
        <v>17</v>
      </c>
      <c r="M3407" t="s">
        <v>18</v>
      </c>
      <c r="N3407">
        <v>21</v>
      </c>
      <c r="O3407">
        <v>4</v>
      </c>
      <c r="P3407">
        <v>0</v>
      </c>
      <c r="T3407" s="358" t="str">
        <f t="shared" si="153"/>
        <v>2012FemaleNon-Maori23Hanging, strangulation and suffocation</v>
      </c>
      <c r="U3407" s="360">
        <v>2012</v>
      </c>
      <c r="V3407" s="360" t="s">
        <v>8</v>
      </c>
      <c r="W3407" s="360" t="s">
        <v>19</v>
      </c>
      <c r="X3407" s="360">
        <v>23</v>
      </c>
      <c r="Y3407" s="360" t="s">
        <v>43</v>
      </c>
      <c r="Z3407" s="360">
        <v>13</v>
      </c>
      <c r="AA3407" s="360">
        <v>34</v>
      </c>
      <c r="AB3407" s="360">
        <v>38.200000000000003</v>
      </c>
    </row>
    <row r="3408" spans="10:28" x14ac:dyDescent="0.2">
      <c r="J3408" s="358" t="str">
        <f t="shared" si="152"/>
        <v>2013AllSexMaori215</v>
      </c>
      <c r="K3408" s="359">
        <v>2013</v>
      </c>
      <c r="L3408" t="s">
        <v>17</v>
      </c>
      <c r="M3408" t="s">
        <v>18</v>
      </c>
      <c r="N3408">
        <v>21</v>
      </c>
      <c r="O3408">
        <v>5</v>
      </c>
      <c r="P3408">
        <v>1</v>
      </c>
      <c r="T3408" s="358" t="str">
        <f t="shared" si="153"/>
        <v>2012FemaleNon-Maori24Hanging, strangulation and suffocation</v>
      </c>
      <c r="U3408" s="360">
        <v>2012</v>
      </c>
      <c r="V3408" s="360" t="s">
        <v>8</v>
      </c>
      <c r="W3408" s="360" t="s">
        <v>19</v>
      </c>
      <c r="X3408" s="360">
        <v>24</v>
      </c>
      <c r="Y3408" s="360" t="s">
        <v>43</v>
      </c>
      <c r="Z3408" s="360">
        <v>16</v>
      </c>
      <c r="AA3408" s="360">
        <v>41</v>
      </c>
      <c r="AB3408" s="360">
        <v>39</v>
      </c>
    </row>
    <row r="3409" spans="10:28" x14ac:dyDescent="0.2">
      <c r="J3409" s="358" t="str">
        <f t="shared" si="152"/>
        <v>2013AllSexMaori221</v>
      </c>
      <c r="K3409" s="359">
        <v>2013</v>
      </c>
      <c r="L3409" t="s">
        <v>17</v>
      </c>
      <c r="M3409" t="s">
        <v>18</v>
      </c>
      <c r="N3409">
        <v>22</v>
      </c>
      <c r="O3409">
        <v>1</v>
      </c>
      <c r="P3409">
        <v>1</v>
      </c>
      <c r="Q3409">
        <v>9.2896763072345703</v>
      </c>
      <c r="R3409">
        <v>18.2</v>
      </c>
      <c r="T3409" s="358" t="str">
        <f t="shared" si="153"/>
        <v>2012FemaleNon-Maori25Hanging, strangulation and suffocation</v>
      </c>
      <c r="U3409" s="360">
        <v>2012</v>
      </c>
      <c r="V3409" s="360" t="s">
        <v>8</v>
      </c>
      <c r="W3409" s="360" t="s">
        <v>19</v>
      </c>
      <c r="X3409" s="360">
        <v>25</v>
      </c>
      <c r="Y3409" s="360" t="s">
        <v>43</v>
      </c>
      <c r="Z3409" s="360">
        <v>6</v>
      </c>
      <c r="AA3409" s="360">
        <v>14</v>
      </c>
      <c r="AB3409" s="360">
        <v>42.9</v>
      </c>
    </row>
    <row r="3410" spans="10:28" x14ac:dyDescent="0.2">
      <c r="J3410" s="358" t="str">
        <f t="shared" si="152"/>
        <v>2013AllSexMaori222</v>
      </c>
      <c r="K3410" s="359">
        <v>2013</v>
      </c>
      <c r="L3410" t="s">
        <v>17</v>
      </c>
      <c r="M3410" t="s">
        <v>18</v>
      </c>
      <c r="N3410">
        <v>22</v>
      </c>
      <c r="O3410">
        <v>2</v>
      </c>
      <c r="P3410">
        <v>2</v>
      </c>
      <c r="Q3410">
        <v>13.9507243933179</v>
      </c>
      <c r="R3410">
        <v>19.3</v>
      </c>
      <c r="T3410" s="358" t="str">
        <f t="shared" si="153"/>
        <v>2012FemaleNon-Maori22Jumping from a high place</v>
      </c>
      <c r="U3410" s="360">
        <v>2012</v>
      </c>
      <c r="V3410" s="360" t="s">
        <v>8</v>
      </c>
      <c r="W3410" s="360" t="s">
        <v>19</v>
      </c>
      <c r="X3410" s="360">
        <v>22</v>
      </c>
      <c r="Y3410" s="360" t="s">
        <v>44</v>
      </c>
      <c r="Z3410" s="360">
        <v>1</v>
      </c>
      <c r="AA3410" s="360">
        <v>17</v>
      </c>
      <c r="AB3410" s="360">
        <v>5.9</v>
      </c>
    </row>
    <row r="3411" spans="10:28" x14ac:dyDescent="0.2">
      <c r="J3411" s="358" t="str">
        <f t="shared" si="152"/>
        <v>2013AllSexMaori223</v>
      </c>
      <c r="K3411" s="359">
        <v>2013</v>
      </c>
      <c r="L3411" t="s">
        <v>17</v>
      </c>
      <c r="M3411" t="s">
        <v>18</v>
      </c>
      <c r="N3411">
        <v>22</v>
      </c>
      <c r="O3411">
        <v>3</v>
      </c>
      <c r="P3411">
        <v>6</v>
      </c>
      <c r="Q3411">
        <v>28.806041023136</v>
      </c>
      <c r="R3411">
        <v>23</v>
      </c>
      <c r="T3411" s="358" t="str">
        <f t="shared" si="153"/>
        <v>2012FemaleNon-Maori23Jumping from a high place</v>
      </c>
      <c r="U3411" s="360">
        <v>2012</v>
      </c>
      <c r="V3411" s="360" t="s">
        <v>8</v>
      </c>
      <c r="W3411" s="360" t="s">
        <v>19</v>
      </c>
      <c r="X3411" s="360">
        <v>23</v>
      </c>
      <c r="Y3411" s="360" t="s">
        <v>44</v>
      </c>
      <c r="Z3411" s="360">
        <v>2</v>
      </c>
      <c r="AA3411" s="360">
        <v>34</v>
      </c>
      <c r="AB3411" s="360">
        <v>5.9</v>
      </c>
    </row>
    <row r="3412" spans="10:28" x14ac:dyDescent="0.2">
      <c r="J3412" s="358" t="str">
        <f t="shared" si="152"/>
        <v>2013AllSexMaori224</v>
      </c>
      <c r="K3412" s="359">
        <v>2013</v>
      </c>
      <c r="L3412" t="s">
        <v>17</v>
      </c>
      <c r="M3412" t="s">
        <v>18</v>
      </c>
      <c r="N3412">
        <v>22</v>
      </c>
      <c r="O3412">
        <v>4</v>
      </c>
      <c r="P3412">
        <v>16</v>
      </c>
      <c r="Q3412">
        <v>53.186278354048</v>
      </c>
      <c r="R3412">
        <v>26.1</v>
      </c>
      <c r="T3412" s="358" t="str">
        <f t="shared" si="153"/>
        <v>2012FemaleNon-Maori24Jumping from a high place</v>
      </c>
      <c r="U3412" s="360">
        <v>2012</v>
      </c>
      <c r="V3412" s="360" t="s">
        <v>8</v>
      </c>
      <c r="W3412" s="360" t="s">
        <v>19</v>
      </c>
      <c r="X3412" s="360">
        <v>24</v>
      </c>
      <c r="Y3412" s="360" t="s">
        <v>44</v>
      </c>
      <c r="Z3412" s="360">
        <v>2</v>
      </c>
      <c r="AA3412" s="360">
        <v>41</v>
      </c>
      <c r="AB3412" s="360">
        <v>4.9000000000000004</v>
      </c>
    </row>
    <row r="3413" spans="10:28" x14ac:dyDescent="0.2">
      <c r="J3413" s="358" t="str">
        <f t="shared" si="152"/>
        <v>2013AllSexMaori225</v>
      </c>
      <c r="K3413" s="359">
        <v>2013</v>
      </c>
      <c r="L3413" t="s">
        <v>17</v>
      </c>
      <c r="M3413" t="s">
        <v>18</v>
      </c>
      <c r="N3413">
        <v>22</v>
      </c>
      <c r="O3413">
        <v>5</v>
      </c>
      <c r="P3413">
        <v>25</v>
      </c>
      <c r="Q3413">
        <v>48.316390623956998</v>
      </c>
      <c r="R3413">
        <v>18.899999999999999</v>
      </c>
      <c r="T3413" s="358" t="str">
        <f t="shared" si="153"/>
        <v>2012FemaleNon-Maori25Jumping from a high place</v>
      </c>
      <c r="U3413" s="360">
        <v>2012</v>
      </c>
      <c r="V3413" s="360" t="s">
        <v>8</v>
      </c>
      <c r="W3413" s="360" t="s">
        <v>19</v>
      </c>
      <c r="X3413" s="360">
        <v>25</v>
      </c>
      <c r="Y3413" s="360" t="s">
        <v>44</v>
      </c>
      <c r="Z3413" s="360">
        <v>1</v>
      </c>
      <c r="AA3413" s="360">
        <v>14</v>
      </c>
      <c r="AB3413" s="360">
        <v>7.1</v>
      </c>
    </row>
    <row r="3414" spans="10:28" x14ac:dyDescent="0.2">
      <c r="J3414" s="358" t="str">
        <f t="shared" si="152"/>
        <v>2013AllSexMaori231</v>
      </c>
      <c r="K3414" s="359">
        <v>2013</v>
      </c>
      <c r="L3414" t="s">
        <v>17</v>
      </c>
      <c r="M3414" t="s">
        <v>18</v>
      </c>
      <c r="N3414">
        <v>23</v>
      </c>
      <c r="O3414">
        <v>1</v>
      </c>
      <c r="P3414">
        <v>1</v>
      </c>
      <c r="Q3414">
        <v>6.7310120843944397</v>
      </c>
      <c r="R3414">
        <v>13.2</v>
      </c>
      <c r="T3414" s="358" t="str">
        <f t="shared" si="153"/>
        <v>2012FemaleNon-Maori23Other</v>
      </c>
      <c r="U3414" s="360">
        <v>2012</v>
      </c>
      <c r="V3414" s="360" t="s">
        <v>8</v>
      </c>
      <c r="W3414" s="360" t="s">
        <v>19</v>
      </c>
      <c r="X3414" s="360">
        <v>23</v>
      </c>
      <c r="Y3414" s="360" t="s">
        <v>45</v>
      </c>
      <c r="Z3414" s="360">
        <v>2</v>
      </c>
      <c r="AA3414" s="360">
        <v>34</v>
      </c>
      <c r="AB3414" s="360">
        <v>5.9</v>
      </c>
    </row>
    <row r="3415" spans="10:28" x14ac:dyDescent="0.2">
      <c r="J3415" s="358" t="str">
        <f t="shared" si="152"/>
        <v>2013AllSexMaori232</v>
      </c>
      <c r="K3415" s="359">
        <v>2013</v>
      </c>
      <c r="L3415" t="s">
        <v>17</v>
      </c>
      <c r="M3415" t="s">
        <v>18</v>
      </c>
      <c r="N3415">
        <v>23</v>
      </c>
      <c r="O3415">
        <v>2</v>
      </c>
      <c r="P3415">
        <v>7</v>
      </c>
      <c r="Q3415">
        <v>33.9984487127305</v>
      </c>
      <c r="R3415">
        <v>25.2</v>
      </c>
      <c r="T3415" s="358" t="str">
        <f t="shared" si="153"/>
        <v>2012FemaleNon-Maori24Other</v>
      </c>
      <c r="U3415" s="360">
        <v>2012</v>
      </c>
      <c r="V3415" s="360" t="s">
        <v>8</v>
      </c>
      <c r="W3415" s="360" t="s">
        <v>19</v>
      </c>
      <c r="X3415" s="360">
        <v>24</v>
      </c>
      <c r="Y3415" s="360" t="s">
        <v>45</v>
      </c>
      <c r="Z3415" s="360">
        <v>3</v>
      </c>
      <c r="AA3415" s="360">
        <v>41</v>
      </c>
      <c r="AB3415" s="360">
        <v>7.3</v>
      </c>
    </row>
    <row r="3416" spans="10:28" x14ac:dyDescent="0.2">
      <c r="J3416" s="358" t="str">
        <f t="shared" si="152"/>
        <v>2013AllSexMaori233</v>
      </c>
      <c r="K3416" s="359">
        <v>2013</v>
      </c>
      <c r="L3416" t="s">
        <v>17</v>
      </c>
      <c r="M3416" t="s">
        <v>18</v>
      </c>
      <c r="N3416">
        <v>23</v>
      </c>
      <c r="O3416">
        <v>3</v>
      </c>
      <c r="P3416">
        <v>4</v>
      </c>
      <c r="Q3416">
        <v>13.9602357370295</v>
      </c>
      <c r="R3416">
        <v>13.7</v>
      </c>
      <c r="T3416" s="358" t="str">
        <f t="shared" si="153"/>
        <v>2012FemaleNon-Maori23Poisoning by gases and vapours</v>
      </c>
      <c r="U3416" s="360">
        <v>2012</v>
      </c>
      <c r="V3416" s="360" t="s">
        <v>8</v>
      </c>
      <c r="W3416" s="360" t="s">
        <v>19</v>
      </c>
      <c r="X3416" s="360">
        <v>23</v>
      </c>
      <c r="Y3416" s="360" t="s">
        <v>46</v>
      </c>
      <c r="Z3416" s="360">
        <v>3</v>
      </c>
      <c r="AA3416" s="360">
        <v>34</v>
      </c>
      <c r="AB3416" s="360">
        <v>8.8000000000000007</v>
      </c>
    </row>
    <row r="3417" spans="10:28" x14ac:dyDescent="0.2">
      <c r="J3417" s="358" t="str">
        <f t="shared" si="152"/>
        <v>2013AllSexMaori234</v>
      </c>
      <c r="K3417" s="359">
        <v>2013</v>
      </c>
      <c r="L3417" t="s">
        <v>17</v>
      </c>
      <c r="M3417" t="s">
        <v>18</v>
      </c>
      <c r="N3417">
        <v>23</v>
      </c>
      <c r="O3417">
        <v>4</v>
      </c>
      <c r="P3417">
        <v>11</v>
      </c>
      <c r="Q3417">
        <v>27.828608458742099</v>
      </c>
      <c r="R3417">
        <v>16.399999999999999</v>
      </c>
      <c r="T3417" s="358" t="str">
        <f t="shared" si="153"/>
        <v>2012FemaleNon-Maori24Poisoning by gases and vapours</v>
      </c>
      <c r="U3417" s="360">
        <v>2012</v>
      </c>
      <c r="V3417" s="360" t="s">
        <v>8</v>
      </c>
      <c r="W3417" s="360" t="s">
        <v>19</v>
      </c>
      <c r="X3417" s="360">
        <v>24</v>
      </c>
      <c r="Y3417" s="360" t="s">
        <v>46</v>
      </c>
      <c r="Z3417" s="360">
        <v>2</v>
      </c>
      <c r="AA3417" s="360">
        <v>41</v>
      </c>
      <c r="AB3417" s="360">
        <v>4.9000000000000004</v>
      </c>
    </row>
    <row r="3418" spans="10:28" x14ac:dyDescent="0.2">
      <c r="J3418" s="358" t="str">
        <f t="shared" si="152"/>
        <v>2013AllSexMaori235</v>
      </c>
      <c r="K3418" s="359">
        <v>2013</v>
      </c>
      <c r="L3418" t="s">
        <v>17</v>
      </c>
      <c r="M3418" t="s">
        <v>18</v>
      </c>
      <c r="N3418">
        <v>23</v>
      </c>
      <c r="O3418">
        <v>5</v>
      </c>
      <c r="P3418">
        <v>20</v>
      </c>
      <c r="Q3418">
        <v>31.260382264808701</v>
      </c>
      <c r="R3418">
        <v>13.7</v>
      </c>
      <c r="T3418" s="358" t="str">
        <f t="shared" si="153"/>
        <v>2012FemaleNon-Maori25Poisoning by gases and vapours</v>
      </c>
      <c r="U3418" s="360">
        <v>2012</v>
      </c>
      <c r="V3418" s="360" t="s">
        <v>8</v>
      </c>
      <c r="W3418" s="360" t="s">
        <v>19</v>
      </c>
      <c r="X3418" s="360">
        <v>25</v>
      </c>
      <c r="Y3418" s="360" t="s">
        <v>46</v>
      </c>
      <c r="Z3418" s="360">
        <v>1</v>
      </c>
      <c r="AA3418" s="360">
        <v>14</v>
      </c>
      <c r="AB3418" s="360">
        <v>7.1</v>
      </c>
    </row>
    <row r="3419" spans="10:28" x14ac:dyDescent="0.2">
      <c r="J3419" s="358" t="str">
        <f t="shared" si="152"/>
        <v>2013AllSexMaori241</v>
      </c>
      <c r="K3419" s="359">
        <v>2013</v>
      </c>
      <c r="L3419" t="s">
        <v>17</v>
      </c>
      <c r="M3419" t="s">
        <v>18</v>
      </c>
      <c r="N3419">
        <v>24</v>
      </c>
      <c r="O3419">
        <v>1</v>
      </c>
      <c r="P3419">
        <v>0</v>
      </c>
      <c r="Q3419">
        <v>0</v>
      </c>
      <c r="T3419" s="358" t="str">
        <f t="shared" si="153"/>
        <v>2012FemaleNon-Maori23Poisoning by solids and liquids</v>
      </c>
      <c r="U3419" s="360">
        <v>2012</v>
      </c>
      <c r="V3419" s="360" t="s">
        <v>8</v>
      </c>
      <c r="W3419" s="360" t="s">
        <v>19</v>
      </c>
      <c r="X3419" s="360">
        <v>23</v>
      </c>
      <c r="Y3419" s="360" t="s">
        <v>47</v>
      </c>
      <c r="Z3419" s="360">
        <v>12</v>
      </c>
      <c r="AA3419" s="360">
        <v>34</v>
      </c>
      <c r="AB3419" s="360">
        <v>35.299999999999997</v>
      </c>
    </row>
    <row r="3420" spans="10:28" x14ac:dyDescent="0.2">
      <c r="J3420" s="358" t="str">
        <f t="shared" si="152"/>
        <v>2013AllSexMaori242</v>
      </c>
      <c r="K3420" s="359">
        <v>2013</v>
      </c>
      <c r="L3420" t="s">
        <v>17</v>
      </c>
      <c r="M3420" t="s">
        <v>18</v>
      </c>
      <c r="N3420">
        <v>24</v>
      </c>
      <c r="O3420">
        <v>2</v>
      </c>
      <c r="P3420">
        <v>0</v>
      </c>
      <c r="Q3420">
        <v>0</v>
      </c>
      <c r="T3420" s="358" t="str">
        <f t="shared" si="153"/>
        <v>2012FemaleNon-Maori24Poisoning by solids and liquids</v>
      </c>
      <c r="U3420" s="360">
        <v>2012</v>
      </c>
      <c r="V3420" s="360" t="s">
        <v>8</v>
      </c>
      <c r="W3420" s="360" t="s">
        <v>19</v>
      </c>
      <c r="X3420" s="360">
        <v>24</v>
      </c>
      <c r="Y3420" s="360" t="s">
        <v>47</v>
      </c>
      <c r="Z3420" s="360">
        <v>17</v>
      </c>
      <c r="AA3420" s="360">
        <v>41</v>
      </c>
      <c r="AB3420" s="360">
        <v>41.5</v>
      </c>
    </row>
    <row r="3421" spans="10:28" x14ac:dyDescent="0.2">
      <c r="J3421" s="358" t="str">
        <f t="shared" si="152"/>
        <v>2013AllSexMaori243</v>
      </c>
      <c r="K3421" s="359">
        <v>2013</v>
      </c>
      <c r="L3421" t="s">
        <v>17</v>
      </c>
      <c r="M3421" t="s">
        <v>18</v>
      </c>
      <c r="N3421">
        <v>24</v>
      </c>
      <c r="O3421">
        <v>3</v>
      </c>
      <c r="P3421">
        <v>1</v>
      </c>
      <c r="Q3421">
        <v>4.8529122486929204</v>
      </c>
      <c r="R3421">
        <v>9.5</v>
      </c>
      <c r="T3421" s="358" t="str">
        <f t="shared" si="153"/>
        <v>2012FemaleNon-Maori25Poisoning by solids and liquids</v>
      </c>
      <c r="U3421" s="360">
        <v>2012</v>
      </c>
      <c r="V3421" s="360" t="s">
        <v>8</v>
      </c>
      <c r="W3421" s="360" t="s">
        <v>19</v>
      </c>
      <c r="X3421" s="360">
        <v>25</v>
      </c>
      <c r="Y3421" s="360" t="s">
        <v>47</v>
      </c>
      <c r="Z3421" s="360">
        <v>5</v>
      </c>
      <c r="AA3421" s="360">
        <v>14</v>
      </c>
      <c r="AB3421" s="360">
        <v>35.700000000000003</v>
      </c>
    </row>
    <row r="3422" spans="10:28" x14ac:dyDescent="0.2">
      <c r="J3422" s="358" t="str">
        <f t="shared" si="152"/>
        <v>2013AllSexMaori244</v>
      </c>
      <c r="K3422" s="359">
        <v>2013</v>
      </c>
      <c r="L3422" t="s">
        <v>17</v>
      </c>
      <c r="M3422" t="s">
        <v>18</v>
      </c>
      <c r="N3422">
        <v>24</v>
      </c>
      <c r="O3422">
        <v>4</v>
      </c>
      <c r="P3422">
        <v>1</v>
      </c>
      <c r="Q3422">
        <v>3.4900935307622301</v>
      </c>
      <c r="R3422">
        <v>6.8</v>
      </c>
      <c r="T3422" s="358" t="str">
        <f t="shared" si="153"/>
        <v>2012FemaleNon-Maori23Submersion (drowning)</v>
      </c>
      <c r="U3422" s="360">
        <v>2012</v>
      </c>
      <c r="V3422" s="360" t="s">
        <v>8</v>
      </c>
      <c r="W3422" s="360" t="s">
        <v>19</v>
      </c>
      <c r="X3422" s="360">
        <v>23</v>
      </c>
      <c r="Y3422" s="360" t="s">
        <v>49</v>
      </c>
      <c r="Z3422" s="360">
        <v>1</v>
      </c>
      <c r="AA3422" s="360">
        <v>34</v>
      </c>
      <c r="AB3422" s="360">
        <v>2.9</v>
      </c>
    </row>
    <row r="3423" spans="10:28" x14ac:dyDescent="0.2">
      <c r="J3423" s="358" t="str">
        <f t="shared" si="152"/>
        <v>2013AllSexMaori245</v>
      </c>
      <c r="K3423" s="359">
        <v>2013</v>
      </c>
      <c r="L3423" t="s">
        <v>17</v>
      </c>
      <c r="M3423" t="s">
        <v>18</v>
      </c>
      <c r="N3423">
        <v>24</v>
      </c>
      <c r="O3423">
        <v>5</v>
      </c>
      <c r="P3423">
        <v>8</v>
      </c>
      <c r="Q3423">
        <v>15.984178164732599</v>
      </c>
      <c r="R3423">
        <v>11.1</v>
      </c>
      <c r="T3423" s="358" t="str">
        <f t="shared" si="153"/>
        <v>2012FemaleNon-Maori25Submersion (drowning)</v>
      </c>
      <c r="U3423" s="360">
        <v>2012</v>
      </c>
      <c r="V3423" s="360" t="s">
        <v>8</v>
      </c>
      <c r="W3423" s="360" t="s">
        <v>19</v>
      </c>
      <c r="X3423" s="360">
        <v>25</v>
      </c>
      <c r="Y3423" s="360" t="s">
        <v>49</v>
      </c>
      <c r="Z3423" s="360">
        <v>1</v>
      </c>
      <c r="AA3423" s="360">
        <v>14</v>
      </c>
      <c r="AB3423" s="360">
        <v>7.1</v>
      </c>
    </row>
    <row r="3424" spans="10:28" x14ac:dyDescent="0.2">
      <c r="J3424" s="358" t="str">
        <f t="shared" si="152"/>
        <v>2013AllSexMaori251</v>
      </c>
      <c r="K3424" s="359">
        <v>2013</v>
      </c>
      <c r="L3424" t="s">
        <v>17</v>
      </c>
      <c r="M3424" t="s">
        <v>18</v>
      </c>
      <c r="N3424">
        <v>25</v>
      </c>
      <c r="O3424">
        <v>1</v>
      </c>
      <c r="P3424">
        <v>0</v>
      </c>
      <c r="Q3424">
        <v>0</v>
      </c>
      <c r="T3424" s="358" t="str">
        <f t="shared" si="153"/>
        <v>2012MaleAllEth21Firearms and explosives</v>
      </c>
      <c r="U3424" s="360">
        <v>2012</v>
      </c>
      <c r="V3424" s="360" t="s">
        <v>20</v>
      </c>
      <c r="W3424" s="360" t="s">
        <v>27</v>
      </c>
      <c r="X3424" s="360">
        <v>21</v>
      </c>
      <c r="Y3424" s="360" t="s">
        <v>42</v>
      </c>
      <c r="Z3424" s="360">
        <v>2</v>
      </c>
      <c r="AA3424" s="360">
        <v>7</v>
      </c>
      <c r="AB3424" s="360">
        <v>28.6</v>
      </c>
    </row>
    <row r="3425" spans="10:28" x14ac:dyDescent="0.2">
      <c r="J3425" s="358" t="str">
        <f t="shared" si="152"/>
        <v>2013AllSexMaori252</v>
      </c>
      <c r="K3425" s="359">
        <v>2013</v>
      </c>
      <c r="L3425" t="s">
        <v>17</v>
      </c>
      <c r="M3425" t="s">
        <v>18</v>
      </c>
      <c r="N3425">
        <v>25</v>
      </c>
      <c r="O3425">
        <v>2</v>
      </c>
      <c r="P3425">
        <v>0</v>
      </c>
      <c r="Q3425">
        <v>0</v>
      </c>
      <c r="T3425" s="358" t="str">
        <f t="shared" si="153"/>
        <v>2012MaleAllEth22Firearms and explosives</v>
      </c>
      <c r="U3425" s="360">
        <v>2012</v>
      </c>
      <c r="V3425" s="360" t="s">
        <v>20</v>
      </c>
      <c r="W3425" s="360" t="s">
        <v>27</v>
      </c>
      <c r="X3425" s="360">
        <v>22</v>
      </c>
      <c r="Y3425" s="360" t="s">
        <v>42</v>
      </c>
      <c r="Z3425" s="360">
        <v>9</v>
      </c>
      <c r="AA3425" s="360">
        <v>107</v>
      </c>
      <c r="AB3425" s="360">
        <v>8.4</v>
      </c>
    </row>
    <row r="3426" spans="10:28" x14ac:dyDescent="0.2">
      <c r="J3426" s="358" t="str">
        <f t="shared" si="152"/>
        <v>2013AllSexMaori253</v>
      </c>
      <c r="K3426" s="359">
        <v>2013</v>
      </c>
      <c r="L3426" t="s">
        <v>17</v>
      </c>
      <c r="M3426" t="s">
        <v>18</v>
      </c>
      <c r="N3426">
        <v>25</v>
      </c>
      <c r="O3426">
        <v>3</v>
      </c>
      <c r="P3426">
        <v>0</v>
      </c>
      <c r="Q3426">
        <v>0</v>
      </c>
      <c r="T3426" s="358" t="str">
        <f t="shared" si="153"/>
        <v>2012MaleAllEth23Firearms and explosives</v>
      </c>
      <c r="U3426" s="360">
        <v>2012</v>
      </c>
      <c r="V3426" s="360" t="s">
        <v>20</v>
      </c>
      <c r="W3426" s="360" t="s">
        <v>27</v>
      </c>
      <c r="X3426" s="360">
        <v>23</v>
      </c>
      <c r="Y3426" s="360" t="s">
        <v>42</v>
      </c>
      <c r="Z3426" s="360">
        <v>10</v>
      </c>
      <c r="AA3426" s="360">
        <v>143</v>
      </c>
      <c r="AB3426" s="360">
        <v>7</v>
      </c>
    </row>
    <row r="3427" spans="10:28" x14ac:dyDescent="0.2">
      <c r="J3427" s="358" t="str">
        <f t="shared" si="152"/>
        <v>2013AllSexMaori254</v>
      </c>
      <c r="K3427" s="359">
        <v>2013</v>
      </c>
      <c r="L3427" t="s">
        <v>17</v>
      </c>
      <c r="M3427" t="s">
        <v>18</v>
      </c>
      <c r="N3427">
        <v>25</v>
      </c>
      <c r="O3427">
        <v>4</v>
      </c>
      <c r="P3427">
        <v>0</v>
      </c>
      <c r="Q3427">
        <v>0</v>
      </c>
      <c r="T3427" s="358" t="str">
        <f t="shared" si="153"/>
        <v>2012MaleAllEth24Firearms and explosives</v>
      </c>
      <c r="U3427" s="360">
        <v>2012</v>
      </c>
      <c r="V3427" s="360" t="s">
        <v>20</v>
      </c>
      <c r="W3427" s="360" t="s">
        <v>27</v>
      </c>
      <c r="X3427" s="360">
        <v>24</v>
      </c>
      <c r="Y3427" s="360" t="s">
        <v>42</v>
      </c>
      <c r="Z3427" s="360">
        <v>16</v>
      </c>
      <c r="AA3427" s="360">
        <v>105</v>
      </c>
      <c r="AB3427" s="360">
        <v>15.2</v>
      </c>
    </row>
    <row r="3428" spans="10:28" x14ac:dyDescent="0.2">
      <c r="J3428" s="358" t="str">
        <f t="shared" si="152"/>
        <v>2013AllSexMaori255</v>
      </c>
      <c r="K3428" s="359">
        <v>2013</v>
      </c>
      <c r="L3428" t="s">
        <v>17</v>
      </c>
      <c r="M3428" t="s">
        <v>18</v>
      </c>
      <c r="N3428">
        <v>25</v>
      </c>
      <c r="O3428">
        <v>5</v>
      </c>
      <c r="P3428">
        <v>0</v>
      </c>
      <c r="Q3428">
        <v>0</v>
      </c>
      <c r="T3428" s="358" t="str">
        <f t="shared" si="153"/>
        <v>2012MaleAllEth25Firearms and explosives</v>
      </c>
      <c r="U3428" s="360">
        <v>2012</v>
      </c>
      <c r="V3428" s="360" t="s">
        <v>20</v>
      </c>
      <c r="W3428" s="360" t="s">
        <v>27</v>
      </c>
      <c r="X3428" s="360">
        <v>25</v>
      </c>
      <c r="Y3428" s="360" t="s">
        <v>42</v>
      </c>
      <c r="Z3428" s="360">
        <v>8</v>
      </c>
      <c r="AA3428" s="360">
        <v>43</v>
      </c>
      <c r="AB3428" s="360">
        <v>18.600000000000001</v>
      </c>
    </row>
    <row r="3429" spans="10:28" x14ac:dyDescent="0.2">
      <c r="J3429" s="358" t="str">
        <f t="shared" si="152"/>
        <v>2013AllSexNon-Maori211</v>
      </c>
      <c r="K3429" s="359">
        <v>2013</v>
      </c>
      <c r="L3429" t="s">
        <v>17</v>
      </c>
      <c r="M3429" t="s">
        <v>19</v>
      </c>
      <c r="N3429">
        <v>21</v>
      </c>
      <c r="O3429">
        <v>1</v>
      </c>
      <c r="P3429">
        <v>0</v>
      </c>
      <c r="T3429" s="358" t="str">
        <f t="shared" si="153"/>
        <v>2012MaleAllEth21Hanging, strangulation and suffocation</v>
      </c>
      <c r="U3429" s="360">
        <v>2012</v>
      </c>
      <c r="V3429" s="360" t="s">
        <v>20</v>
      </c>
      <c r="W3429" s="360" t="s">
        <v>27</v>
      </c>
      <c r="X3429" s="360">
        <v>21</v>
      </c>
      <c r="Y3429" s="360" t="s">
        <v>43</v>
      </c>
      <c r="Z3429" s="360">
        <v>4</v>
      </c>
      <c r="AA3429" s="360">
        <v>7</v>
      </c>
      <c r="AB3429" s="360">
        <v>57.1</v>
      </c>
    </row>
    <row r="3430" spans="10:28" x14ac:dyDescent="0.2">
      <c r="J3430" s="358" t="str">
        <f t="shared" si="152"/>
        <v>2013AllSexNon-Maori212</v>
      </c>
      <c r="K3430" s="359">
        <v>2013</v>
      </c>
      <c r="L3430" t="s">
        <v>17</v>
      </c>
      <c r="M3430" t="s">
        <v>19</v>
      </c>
      <c r="N3430">
        <v>21</v>
      </c>
      <c r="O3430">
        <v>2</v>
      </c>
      <c r="P3430">
        <v>0</v>
      </c>
      <c r="T3430" s="358" t="str">
        <f t="shared" si="153"/>
        <v>2012MaleAllEth22Hanging, strangulation and suffocation</v>
      </c>
      <c r="U3430" s="360">
        <v>2012</v>
      </c>
      <c r="V3430" s="360" t="s">
        <v>20</v>
      </c>
      <c r="W3430" s="360" t="s">
        <v>27</v>
      </c>
      <c r="X3430" s="360">
        <v>22</v>
      </c>
      <c r="Y3430" s="360" t="s">
        <v>43</v>
      </c>
      <c r="Z3430" s="360">
        <v>89</v>
      </c>
      <c r="AA3430" s="360">
        <v>107</v>
      </c>
      <c r="AB3430" s="360">
        <v>83.2</v>
      </c>
    </row>
    <row r="3431" spans="10:28" x14ac:dyDescent="0.2">
      <c r="J3431" s="358" t="str">
        <f t="shared" si="152"/>
        <v>2013AllSexNon-Maori213</v>
      </c>
      <c r="K3431" s="359">
        <v>2013</v>
      </c>
      <c r="L3431" t="s">
        <v>17</v>
      </c>
      <c r="M3431" t="s">
        <v>19</v>
      </c>
      <c r="N3431">
        <v>21</v>
      </c>
      <c r="O3431">
        <v>3</v>
      </c>
      <c r="P3431">
        <v>0</v>
      </c>
      <c r="T3431" s="358" t="str">
        <f t="shared" si="153"/>
        <v>2012MaleAllEth23Hanging, strangulation and suffocation</v>
      </c>
      <c r="U3431" s="360">
        <v>2012</v>
      </c>
      <c r="V3431" s="360" t="s">
        <v>20</v>
      </c>
      <c r="W3431" s="360" t="s">
        <v>27</v>
      </c>
      <c r="X3431" s="360">
        <v>23</v>
      </c>
      <c r="Y3431" s="360" t="s">
        <v>43</v>
      </c>
      <c r="Z3431" s="360">
        <v>90</v>
      </c>
      <c r="AA3431" s="360">
        <v>143</v>
      </c>
      <c r="AB3431" s="360">
        <v>62.9</v>
      </c>
    </row>
    <row r="3432" spans="10:28" x14ac:dyDescent="0.2">
      <c r="J3432" s="358" t="str">
        <f t="shared" si="152"/>
        <v>2013AllSexNon-Maori214</v>
      </c>
      <c r="K3432" s="359">
        <v>2013</v>
      </c>
      <c r="L3432" t="s">
        <v>17</v>
      </c>
      <c r="M3432" t="s">
        <v>19</v>
      </c>
      <c r="N3432">
        <v>21</v>
      </c>
      <c r="O3432">
        <v>4</v>
      </c>
      <c r="P3432">
        <v>0</v>
      </c>
      <c r="T3432" s="358" t="str">
        <f t="shared" si="153"/>
        <v>2012MaleAllEth24Hanging, strangulation and suffocation</v>
      </c>
      <c r="U3432" s="360">
        <v>2012</v>
      </c>
      <c r="V3432" s="360" t="s">
        <v>20</v>
      </c>
      <c r="W3432" s="360" t="s">
        <v>27</v>
      </c>
      <c r="X3432" s="360">
        <v>24</v>
      </c>
      <c r="Y3432" s="360" t="s">
        <v>43</v>
      </c>
      <c r="Z3432" s="360">
        <v>55</v>
      </c>
      <c r="AA3432" s="360">
        <v>105</v>
      </c>
      <c r="AB3432" s="360">
        <v>52.4</v>
      </c>
    </row>
    <row r="3433" spans="10:28" x14ac:dyDescent="0.2">
      <c r="J3433" s="358" t="str">
        <f t="shared" si="152"/>
        <v>2013AllSexNon-Maori215</v>
      </c>
      <c r="K3433" s="359">
        <v>2013</v>
      </c>
      <c r="L3433" t="s">
        <v>17</v>
      </c>
      <c r="M3433" t="s">
        <v>19</v>
      </c>
      <c r="N3433">
        <v>21</v>
      </c>
      <c r="O3433">
        <v>5</v>
      </c>
      <c r="P3433">
        <v>1</v>
      </c>
      <c r="T3433" s="358" t="str">
        <f t="shared" si="153"/>
        <v>2012MaleAllEth25Hanging, strangulation and suffocation</v>
      </c>
      <c r="U3433" s="360">
        <v>2012</v>
      </c>
      <c r="V3433" s="360" t="s">
        <v>20</v>
      </c>
      <c r="W3433" s="360" t="s">
        <v>27</v>
      </c>
      <c r="X3433" s="360">
        <v>25</v>
      </c>
      <c r="Y3433" s="360" t="s">
        <v>43</v>
      </c>
      <c r="Z3433" s="360">
        <v>17</v>
      </c>
      <c r="AA3433" s="360">
        <v>43</v>
      </c>
      <c r="AB3433" s="360">
        <v>39.5</v>
      </c>
    </row>
    <row r="3434" spans="10:28" x14ac:dyDescent="0.2">
      <c r="J3434" s="358" t="str">
        <f t="shared" si="152"/>
        <v>2013AllSexNon-Maori221</v>
      </c>
      <c r="K3434" s="359">
        <v>2013</v>
      </c>
      <c r="L3434" t="s">
        <v>17</v>
      </c>
      <c r="M3434" t="s">
        <v>19</v>
      </c>
      <c r="N3434">
        <v>22</v>
      </c>
      <c r="O3434">
        <v>1</v>
      </c>
      <c r="P3434">
        <v>7</v>
      </c>
      <c r="Q3434">
        <v>6.9992802905108098</v>
      </c>
      <c r="R3434">
        <v>5.2</v>
      </c>
      <c r="T3434" s="358" t="str">
        <f t="shared" si="153"/>
        <v>2012MaleAllEth22Jumping from a high place</v>
      </c>
      <c r="U3434" s="360">
        <v>2012</v>
      </c>
      <c r="V3434" s="360" t="s">
        <v>20</v>
      </c>
      <c r="W3434" s="360" t="s">
        <v>27</v>
      </c>
      <c r="X3434" s="360">
        <v>22</v>
      </c>
      <c r="Y3434" s="360" t="s">
        <v>44</v>
      </c>
      <c r="Z3434" s="360">
        <v>4</v>
      </c>
      <c r="AA3434" s="360">
        <v>107</v>
      </c>
      <c r="AB3434" s="360">
        <v>3.7</v>
      </c>
    </row>
    <row r="3435" spans="10:28" x14ac:dyDescent="0.2">
      <c r="J3435" s="358" t="str">
        <f t="shared" si="152"/>
        <v>2013AllSexNon-Maori222</v>
      </c>
      <c r="K3435" s="359">
        <v>2013</v>
      </c>
      <c r="L3435" t="s">
        <v>17</v>
      </c>
      <c r="M3435" t="s">
        <v>19</v>
      </c>
      <c r="N3435">
        <v>22</v>
      </c>
      <c r="O3435">
        <v>2</v>
      </c>
      <c r="P3435">
        <v>9</v>
      </c>
      <c r="Q3435">
        <v>9.2034307738674492</v>
      </c>
      <c r="R3435">
        <v>6</v>
      </c>
      <c r="T3435" s="358" t="str">
        <f t="shared" si="153"/>
        <v>2012MaleAllEth23Jumping from a high place</v>
      </c>
      <c r="U3435" s="360">
        <v>2012</v>
      </c>
      <c r="V3435" s="360" t="s">
        <v>20</v>
      </c>
      <c r="W3435" s="360" t="s">
        <v>27</v>
      </c>
      <c r="X3435" s="360">
        <v>23</v>
      </c>
      <c r="Y3435" s="360" t="s">
        <v>44</v>
      </c>
      <c r="Z3435" s="360">
        <v>2</v>
      </c>
      <c r="AA3435" s="360">
        <v>143</v>
      </c>
      <c r="AB3435" s="360">
        <v>1.4</v>
      </c>
    </row>
    <row r="3436" spans="10:28" x14ac:dyDescent="0.2">
      <c r="J3436" s="358" t="str">
        <f t="shared" si="152"/>
        <v>2013AllSexNon-Maori223</v>
      </c>
      <c r="K3436" s="359">
        <v>2013</v>
      </c>
      <c r="L3436" t="s">
        <v>17</v>
      </c>
      <c r="M3436" t="s">
        <v>19</v>
      </c>
      <c r="N3436">
        <v>22</v>
      </c>
      <c r="O3436">
        <v>3</v>
      </c>
      <c r="P3436">
        <v>12</v>
      </c>
      <c r="Q3436">
        <v>12.2436639003531</v>
      </c>
      <c r="R3436">
        <v>6.9</v>
      </c>
      <c r="T3436" s="358" t="str">
        <f t="shared" si="153"/>
        <v>2012MaleAllEth24Jumping from a high place</v>
      </c>
      <c r="U3436" s="360">
        <v>2012</v>
      </c>
      <c r="V3436" s="360" t="s">
        <v>20</v>
      </c>
      <c r="W3436" s="360" t="s">
        <v>27</v>
      </c>
      <c r="X3436" s="360">
        <v>24</v>
      </c>
      <c r="Y3436" s="360" t="s">
        <v>44</v>
      </c>
      <c r="Z3436" s="360">
        <v>2</v>
      </c>
      <c r="AA3436" s="360">
        <v>105</v>
      </c>
      <c r="AB3436" s="360">
        <v>1.9</v>
      </c>
    </row>
    <row r="3437" spans="10:28" x14ac:dyDescent="0.2">
      <c r="J3437" s="358" t="str">
        <f t="shared" si="152"/>
        <v>2013AllSexNon-Maori224</v>
      </c>
      <c r="K3437" s="359">
        <v>2013</v>
      </c>
      <c r="L3437" t="s">
        <v>17</v>
      </c>
      <c r="M3437" t="s">
        <v>19</v>
      </c>
      <c r="N3437">
        <v>22</v>
      </c>
      <c r="O3437">
        <v>4</v>
      </c>
      <c r="P3437">
        <v>10</v>
      </c>
      <c r="Q3437">
        <v>9.6541318906508504</v>
      </c>
      <c r="R3437">
        <v>6</v>
      </c>
      <c r="T3437" s="358" t="str">
        <f t="shared" si="153"/>
        <v>2012MaleAllEth25Jumping from a high place</v>
      </c>
      <c r="U3437" s="360">
        <v>2012</v>
      </c>
      <c r="V3437" s="360" t="s">
        <v>20</v>
      </c>
      <c r="W3437" s="360" t="s">
        <v>27</v>
      </c>
      <c r="X3437" s="360">
        <v>25</v>
      </c>
      <c r="Y3437" s="360" t="s">
        <v>44</v>
      </c>
      <c r="Z3437" s="360">
        <v>1</v>
      </c>
      <c r="AA3437" s="360">
        <v>43</v>
      </c>
      <c r="AB3437" s="360">
        <v>2.2999999999999998</v>
      </c>
    </row>
    <row r="3438" spans="10:28" x14ac:dyDescent="0.2">
      <c r="J3438" s="358" t="str">
        <f t="shared" si="152"/>
        <v>2013AllSexNon-Maori225</v>
      </c>
      <c r="K3438" s="359">
        <v>2013</v>
      </c>
      <c r="L3438" t="s">
        <v>17</v>
      </c>
      <c r="M3438" t="s">
        <v>19</v>
      </c>
      <c r="N3438">
        <v>22</v>
      </c>
      <c r="O3438">
        <v>5</v>
      </c>
      <c r="P3438">
        <v>21</v>
      </c>
      <c r="Q3438">
        <v>20.957539326414398</v>
      </c>
      <c r="R3438">
        <v>9</v>
      </c>
      <c r="T3438" s="358" t="str">
        <f t="shared" si="153"/>
        <v>2012MaleAllEth23Other</v>
      </c>
      <c r="U3438" s="360">
        <v>2012</v>
      </c>
      <c r="V3438" s="360" t="s">
        <v>20</v>
      </c>
      <c r="W3438" s="360" t="s">
        <v>27</v>
      </c>
      <c r="X3438" s="360">
        <v>23</v>
      </c>
      <c r="Y3438" s="360" t="s">
        <v>45</v>
      </c>
      <c r="Z3438" s="360">
        <v>9</v>
      </c>
      <c r="AA3438" s="360">
        <v>143</v>
      </c>
      <c r="AB3438" s="360">
        <v>6.3</v>
      </c>
    </row>
    <row r="3439" spans="10:28" x14ac:dyDescent="0.2">
      <c r="J3439" s="358" t="str">
        <f t="shared" si="152"/>
        <v>2013AllSexNon-Maori231</v>
      </c>
      <c r="K3439" s="359">
        <v>2013</v>
      </c>
      <c r="L3439" t="s">
        <v>17</v>
      </c>
      <c r="M3439" t="s">
        <v>19</v>
      </c>
      <c r="N3439">
        <v>23</v>
      </c>
      <c r="O3439">
        <v>1</v>
      </c>
      <c r="P3439">
        <v>16</v>
      </c>
      <c r="Q3439">
        <v>7.92482212342117</v>
      </c>
      <c r="R3439">
        <v>3.9</v>
      </c>
      <c r="T3439" s="358" t="str">
        <f t="shared" si="153"/>
        <v>2012MaleAllEth24Other</v>
      </c>
      <c r="U3439" s="360">
        <v>2012</v>
      </c>
      <c r="V3439" s="360" t="s">
        <v>20</v>
      </c>
      <c r="W3439" s="360" t="s">
        <v>27</v>
      </c>
      <c r="X3439" s="360">
        <v>24</v>
      </c>
      <c r="Y3439" s="360" t="s">
        <v>45</v>
      </c>
      <c r="Z3439" s="360">
        <v>3</v>
      </c>
      <c r="AA3439" s="360">
        <v>105</v>
      </c>
      <c r="AB3439" s="360">
        <v>2.9</v>
      </c>
    </row>
    <row r="3440" spans="10:28" x14ac:dyDescent="0.2">
      <c r="J3440" s="358" t="str">
        <f t="shared" si="152"/>
        <v>2013AllSexNon-Maori232</v>
      </c>
      <c r="K3440" s="359">
        <v>2013</v>
      </c>
      <c r="L3440" t="s">
        <v>17</v>
      </c>
      <c r="M3440" t="s">
        <v>19</v>
      </c>
      <c r="N3440">
        <v>23</v>
      </c>
      <c r="O3440">
        <v>2</v>
      </c>
      <c r="P3440">
        <v>19</v>
      </c>
      <c r="Q3440">
        <v>8.9167043340166892</v>
      </c>
      <c r="R3440">
        <v>4</v>
      </c>
      <c r="T3440" s="358" t="str">
        <f t="shared" si="153"/>
        <v>2012MaleAllEth25Other</v>
      </c>
      <c r="U3440" s="360">
        <v>2012</v>
      </c>
      <c r="V3440" s="360" t="s">
        <v>20</v>
      </c>
      <c r="W3440" s="360" t="s">
        <v>27</v>
      </c>
      <c r="X3440" s="360">
        <v>25</v>
      </c>
      <c r="Y3440" s="360" t="s">
        <v>45</v>
      </c>
      <c r="Z3440" s="360">
        <v>2</v>
      </c>
      <c r="AA3440" s="360">
        <v>43</v>
      </c>
      <c r="AB3440" s="360">
        <v>4.7</v>
      </c>
    </row>
    <row r="3441" spans="10:28" x14ac:dyDescent="0.2">
      <c r="J3441" s="358" t="str">
        <f t="shared" si="152"/>
        <v>2013AllSexNon-Maori233</v>
      </c>
      <c r="K3441" s="359">
        <v>2013</v>
      </c>
      <c r="L3441" t="s">
        <v>17</v>
      </c>
      <c r="M3441" t="s">
        <v>19</v>
      </c>
      <c r="N3441">
        <v>23</v>
      </c>
      <c r="O3441">
        <v>3</v>
      </c>
      <c r="P3441">
        <v>26</v>
      </c>
      <c r="Q3441">
        <v>12.4211070517624</v>
      </c>
      <c r="R3441">
        <v>4.8</v>
      </c>
      <c r="T3441" s="358" t="str">
        <f t="shared" si="153"/>
        <v>2012MaleAllEth22Poisoning by gases and vapours</v>
      </c>
      <c r="U3441" s="360">
        <v>2012</v>
      </c>
      <c r="V3441" s="360" t="s">
        <v>20</v>
      </c>
      <c r="W3441" s="360" t="s">
        <v>27</v>
      </c>
      <c r="X3441" s="360">
        <v>22</v>
      </c>
      <c r="Y3441" s="360" t="s">
        <v>46</v>
      </c>
      <c r="Z3441" s="360">
        <v>2</v>
      </c>
      <c r="AA3441" s="360">
        <v>107</v>
      </c>
      <c r="AB3441" s="360">
        <v>1.9</v>
      </c>
    </row>
    <row r="3442" spans="10:28" x14ac:dyDescent="0.2">
      <c r="J3442" s="358" t="str">
        <f t="shared" si="152"/>
        <v>2013AllSexNon-Maori234</v>
      </c>
      <c r="K3442" s="359">
        <v>2013</v>
      </c>
      <c r="L3442" t="s">
        <v>17</v>
      </c>
      <c r="M3442" t="s">
        <v>19</v>
      </c>
      <c r="N3442">
        <v>23</v>
      </c>
      <c r="O3442">
        <v>4</v>
      </c>
      <c r="P3442">
        <v>21</v>
      </c>
      <c r="Q3442">
        <v>10.846440553566801</v>
      </c>
      <c r="R3442">
        <v>4.5999999999999996</v>
      </c>
      <c r="T3442" s="358" t="str">
        <f t="shared" si="153"/>
        <v>2012MaleAllEth23Poisoning by gases and vapours</v>
      </c>
      <c r="U3442" s="360">
        <v>2012</v>
      </c>
      <c r="V3442" s="360" t="s">
        <v>20</v>
      </c>
      <c r="W3442" s="360" t="s">
        <v>27</v>
      </c>
      <c r="X3442" s="360">
        <v>23</v>
      </c>
      <c r="Y3442" s="360" t="s">
        <v>46</v>
      </c>
      <c r="Z3442" s="360">
        <v>16</v>
      </c>
      <c r="AA3442" s="360">
        <v>143</v>
      </c>
      <c r="AB3442" s="360">
        <v>11.2</v>
      </c>
    </row>
    <row r="3443" spans="10:28" x14ac:dyDescent="0.2">
      <c r="J3443" s="358" t="str">
        <f t="shared" si="152"/>
        <v>2013AllSexNon-Maori235</v>
      </c>
      <c r="K3443" s="359">
        <v>2013</v>
      </c>
      <c r="L3443" t="s">
        <v>17</v>
      </c>
      <c r="M3443" t="s">
        <v>19</v>
      </c>
      <c r="N3443">
        <v>23</v>
      </c>
      <c r="O3443">
        <v>5</v>
      </c>
      <c r="P3443">
        <v>26</v>
      </c>
      <c r="Q3443">
        <v>16.6670415811314</v>
      </c>
      <c r="R3443">
        <v>6.4</v>
      </c>
      <c r="T3443" s="358" t="str">
        <f t="shared" si="153"/>
        <v>2012MaleAllEth24Poisoning by gases and vapours</v>
      </c>
      <c r="U3443" s="360">
        <v>2012</v>
      </c>
      <c r="V3443" s="360" t="s">
        <v>20</v>
      </c>
      <c r="W3443" s="360" t="s">
        <v>27</v>
      </c>
      <c r="X3443" s="360">
        <v>24</v>
      </c>
      <c r="Y3443" s="360" t="s">
        <v>46</v>
      </c>
      <c r="Z3443" s="360">
        <v>14</v>
      </c>
      <c r="AA3443" s="360">
        <v>105</v>
      </c>
      <c r="AB3443" s="360">
        <v>13.3</v>
      </c>
    </row>
    <row r="3444" spans="10:28" x14ac:dyDescent="0.2">
      <c r="J3444" s="358" t="str">
        <f t="shared" si="152"/>
        <v>2013AllSexNon-Maori241</v>
      </c>
      <c r="K3444" s="359">
        <v>2013</v>
      </c>
      <c r="L3444" t="s">
        <v>17</v>
      </c>
      <c r="M3444" t="s">
        <v>19</v>
      </c>
      <c r="N3444">
        <v>24</v>
      </c>
      <c r="O3444">
        <v>1</v>
      </c>
      <c r="P3444">
        <v>38</v>
      </c>
      <c r="Q3444">
        <v>14.370873980095</v>
      </c>
      <c r="R3444">
        <v>4.5999999999999996</v>
      </c>
      <c r="T3444" s="358" t="str">
        <f t="shared" si="153"/>
        <v>2012MaleAllEth25Poisoning by gases and vapours</v>
      </c>
      <c r="U3444" s="360">
        <v>2012</v>
      </c>
      <c r="V3444" s="360" t="s">
        <v>20</v>
      </c>
      <c r="W3444" s="360" t="s">
        <v>27</v>
      </c>
      <c r="X3444" s="360">
        <v>25</v>
      </c>
      <c r="Y3444" s="360" t="s">
        <v>46</v>
      </c>
      <c r="Z3444" s="360">
        <v>5</v>
      </c>
      <c r="AA3444" s="360">
        <v>43</v>
      </c>
      <c r="AB3444" s="360">
        <v>11.6</v>
      </c>
    </row>
    <row r="3445" spans="10:28" x14ac:dyDescent="0.2">
      <c r="J3445" s="358" t="str">
        <f t="shared" si="152"/>
        <v>2013AllSexNon-Maori242</v>
      </c>
      <c r="K3445" s="359">
        <v>2013</v>
      </c>
      <c r="L3445" t="s">
        <v>17</v>
      </c>
      <c r="M3445" t="s">
        <v>19</v>
      </c>
      <c r="N3445">
        <v>24</v>
      </c>
      <c r="O3445">
        <v>2</v>
      </c>
      <c r="P3445">
        <v>35</v>
      </c>
      <c r="Q3445">
        <v>15.1083463503675</v>
      </c>
      <c r="R3445">
        <v>5</v>
      </c>
      <c r="T3445" s="358" t="str">
        <f t="shared" si="153"/>
        <v>2012MaleAllEth21Poisoning by solids and liquids</v>
      </c>
      <c r="U3445" s="360">
        <v>2012</v>
      </c>
      <c r="V3445" s="360" t="s">
        <v>20</v>
      </c>
      <c r="W3445" s="360" t="s">
        <v>27</v>
      </c>
      <c r="X3445" s="360">
        <v>21</v>
      </c>
      <c r="Y3445" s="360" t="s">
        <v>47</v>
      </c>
      <c r="Z3445" s="360">
        <v>1</v>
      </c>
      <c r="AA3445" s="360">
        <v>7</v>
      </c>
      <c r="AB3445" s="360">
        <v>14.3</v>
      </c>
    </row>
    <row r="3446" spans="10:28" x14ac:dyDescent="0.2">
      <c r="J3446" s="358" t="str">
        <f t="shared" si="152"/>
        <v>2013AllSexNon-Maori243</v>
      </c>
      <c r="K3446" s="359">
        <v>2013</v>
      </c>
      <c r="L3446" t="s">
        <v>17</v>
      </c>
      <c r="M3446" t="s">
        <v>19</v>
      </c>
      <c r="N3446">
        <v>24</v>
      </c>
      <c r="O3446">
        <v>3</v>
      </c>
      <c r="P3446">
        <v>25</v>
      </c>
      <c r="Q3446">
        <v>12.2981627288944</v>
      </c>
      <c r="R3446">
        <v>4.8</v>
      </c>
      <c r="T3446" s="358" t="str">
        <f t="shared" si="153"/>
        <v>2012MaleAllEth22Poisoning by solids and liquids</v>
      </c>
      <c r="U3446" s="360">
        <v>2012</v>
      </c>
      <c r="V3446" s="360" t="s">
        <v>20</v>
      </c>
      <c r="W3446" s="360" t="s">
        <v>27</v>
      </c>
      <c r="X3446" s="360">
        <v>22</v>
      </c>
      <c r="Y3446" s="360" t="s">
        <v>47</v>
      </c>
      <c r="Z3446" s="360">
        <v>3</v>
      </c>
      <c r="AA3446" s="360">
        <v>107</v>
      </c>
      <c r="AB3446" s="360">
        <v>2.8</v>
      </c>
    </row>
    <row r="3447" spans="10:28" x14ac:dyDescent="0.2">
      <c r="J3447" s="358" t="str">
        <f t="shared" si="152"/>
        <v>2013AllSexNon-Maori244</v>
      </c>
      <c r="K3447" s="359">
        <v>2013</v>
      </c>
      <c r="L3447" t="s">
        <v>17</v>
      </c>
      <c r="M3447" t="s">
        <v>19</v>
      </c>
      <c r="N3447">
        <v>24</v>
      </c>
      <c r="O3447">
        <v>4</v>
      </c>
      <c r="P3447">
        <v>34</v>
      </c>
      <c r="Q3447">
        <v>19.460496294607399</v>
      </c>
      <c r="R3447">
        <v>6.5</v>
      </c>
      <c r="T3447" s="358" t="str">
        <f t="shared" si="153"/>
        <v>2012MaleAllEth23Poisoning by solids and liquids</v>
      </c>
      <c r="U3447" s="360">
        <v>2012</v>
      </c>
      <c r="V3447" s="360" t="s">
        <v>20</v>
      </c>
      <c r="W3447" s="360" t="s">
        <v>27</v>
      </c>
      <c r="X3447" s="360">
        <v>23</v>
      </c>
      <c r="Y3447" s="360" t="s">
        <v>47</v>
      </c>
      <c r="Z3447" s="360">
        <v>9</v>
      </c>
      <c r="AA3447" s="360">
        <v>143</v>
      </c>
      <c r="AB3447" s="360">
        <v>6.3</v>
      </c>
    </row>
    <row r="3448" spans="10:28" x14ac:dyDescent="0.2">
      <c r="J3448" s="358" t="str">
        <f t="shared" si="152"/>
        <v>2013AllSexNon-Maori245</v>
      </c>
      <c r="K3448" s="359">
        <v>2013</v>
      </c>
      <c r="L3448" t="s">
        <v>17</v>
      </c>
      <c r="M3448" t="s">
        <v>19</v>
      </c>
      <c r="N3448">
        <v>24</v>
      </c>
      <c r="O3448">
        <v>5</v>
      </c>
      <c r="P3448">
        <v>29</v>
      </c>
      <c r="Q3448">
        <v>21.1886205739807</v>
      </c>
      <c r="R3448">
        <v>7.7</v>
      </c>
      <c r="T3448" s="358" t="str">
        <f t="shared" si="153"/>
        <v>2012MaleAllEth24Poisoning by solids and liquids</v>
      </c>
      <c r="U3448" s="360">
        <v>2012</v>
      </c>
      <c r="V3448" s="360" t="s">
        <v>20</v>
      </c>
      <c r="W3448" s="360" t="s">
        <v>27</v>
      </c>
      <c r="X3448" s="360">
        <v>24</v>
      </c>
      <c r="Y3448" s="360" t="s">
        <v>47</v>
      </c>
      <c r="Z3448" s="360">
        <v>10</v>
      </c>
      <c r="AA3448" s="360">
        <v>105</v>
      </c>
      <c r="AB3448" s="360">
        <v>9.5</v>
      </c>
    </row>
    <row r="3449" spans="10:28" x14ac:dyDescent="0.2">
      <c r="J3449" s="358" t="str">
        <f t="shared" si="152"/>
        <v>2013AllSexNon-Maori251</v>
      </c>
      <c r="K3449" s="359">
        <v>2013</v>
      </c>
      <c r="L3449" t="s">
        <v>17</v>
      </c>
      <c r="M3449" t="s">
        <v>19</v>
      </c>
      <c r="N3449">
        <v>25</v>
      </c>
      <c r="O3449">
        <v>1</v>
      </c>
      <c r="P3449">
        <v>9</v>
      </c>
      <c r="Q3449">
        <v>7.0852106014893197</v>
      </c>
      <c r="R3449">
        <v>4.5999999999999996</v>
      </c>
      <c r="T3449" s="358" t="str">
        <f t="shared" si="153"/>
        <v>2012MaleAllEth25Poisoning by solids and liquids</v>
      </c>
      <c r="U3449" s="360">
        <v>2012</v>
      </c>
      <c r="V3449" s="360" t="s">
        <v>20</v>
      </c>
      <c r="W3449" s="360" t="s">
        <v>27</v>
      </c>
      <c r="X3449" s="360">
        <v>25</v>
      </c>
      <c r="Y3449" s="360" t="s">
        <v>47</v>
      </c>
      <c r="Z3449" s="360">
        <v>6</v>
      </c>
      <c r="AA3449" s="360">
        <v>43</v>
      </c>
      <c r="AB3449" s="360">
        <v>14</v>
      </c>
    </row>
    <row r="3450" spans="10:28" x14ac:dyDescent="0.2">
      <c r="J3450" s="358" t="str">
        <f t="shared" si="152"/>
        <v>2013AllSexNon-Maori252</v>
      </c>
      <c r="K3450" s="359">
        <v>2013</v>
      </c>
      <c r="L3450" t="s">
        <v>17</v>
      </c>
      <c r="M3450" t="s">
        <v>19</v>
      </c>
      <c r="N3450">
        <v>25</v>
      </c>
      <c r="O3450">
        <v>2</v>
      </c>
      <c r="P3450">
        <v>11</v>
      </c>
      <c r="Q3450">
        <v>8.6637380503798802</v>
      </c>
      <c r="R3450">
        <v>5.0999999999999996</v>
      </c>
      <c r="T3450" s="358" t="str">
        <f t="shared" si="153"/>
        <v>2012MaleAllEth23Sharp object</v>
      </c>
      <c r="U3450" s="360">
        <v>2012</v>
      </c>
      <c r="V3450" s="360" t="s">
        <v>20</v>
      </c>
      <c r="W3450" s="360" t="s">
        <v>27</v>
      </c>
      <c r="X3450" s="360">
        <v>23</v>
      </c>
      <c r="Y3450" s="360" t="s">
        <v>48</v>
      </c>
      <c r="Z3450" s="360">
        <v>6</v>
      </c>
      <c r="AA3450" s="360">
        <v>143</v>
      </c>
      <c r="AB3450" s="360">
        <v>4.2</v>
      </c>
    </row>
    <row r="3451" spans="10:28" x14ac:dyDescent="0.2">
      <c r="J3451" s="358" t="str">
        <f t="shared" si="152"/>
        <v>2013AllSexNon-Maori253</v>
      </c>
      <c r="K3451" s="359">
        <v>2013</v>
      </c>
      <c r="L3451" t="s">
        <v>17</v>
      </c>
      <c r="M3451" t="s">
        <v>19</v>
      </c>
      <c r="N3451">
        <v>25</v>
      </c>
      <c r="O3451">
        <v>3</v>
      </c>
      <c r="P3451">
        <v>24</v>
      </c>
      <c r="Q3451">
        <v>19.422309257811701</v>
      </c>
      <c r="R3451">
        <v>7.8</v>
      </c>
      <c r="T3451" s="358" t="str">
        <f t="shared" si="153"/>
        <v>2012MaleAllEth24Sharp object</v>
      </c>
      <c r="U3451" s="360">
        <v>2012</v>
      </c>
      <c r="V3451" s="360" t="s">
        <v>20</v>
      </c>
      <c r="W3451" s="360" t="s">
        <v>27</v>
      </c>
      <c r="X3451" s="360">
        <v>24</v>
      </c>
      <c r="Y3451" s="360" t="s">
        <v>48</v>
      </c>
      <c r="Z3451" s="360">
        <v>4</v>
      </c>
      <c r="AA3451" s="360">
        <v>105</v>
      </c>
      <c r="AB3451" s="360">
        <v>3.8</v>
      </c>
    </row>
    <row r="3452" spans="10:28" x14ac:dyDescent="0.2">
      <c r="J3452" s="358" t="str">
        <f t="shared" si="152"/>
        <v>2013AllSexNon-Maori254</v>
      </c>
      <c r="K3452" s="359">
        <v>2013</v>
      </c>
      <c r="L3452" t="s">
        <v>17</v>
      </c>
      <c r="M3452" t="s">
        <v>19</v>
      </c>
      <c r="N3452">
        <v>25</v>
      </c>
      <c r="O3452">
        <v>4</v>
      </c>
      <c r="P3452">
        <v>6</v>
      </c>
      <c r="Q3452">
        <v>4.9230776207092903</v>
      </c>
      <c r="R3452">
        <v>3.9</v>
      </c>
      <c r="T3452" s="358" t="str">
        <f t="shared" si="153"/>
        <v>2012MaleAllEth25Sharp object</v>
      </c>
      <c r="U3452" s="360">
        <v>2012</v>
      </c>
      <c r="V3452" s="360" t="s">
        <v>20</v>
      </c>
      <c r="W3452" s="360" t="s">
        <v>27</v>
      </c>
      <c r="X3452" s="360">
        <v>25</v>
      </c>
      <c r="Y3452" s="360" t="s">
        <v>48</v>
      </c>
      <c r="Z3452" s="360">
        <v>3</v>
      </c>
      <c r="AA3452" s="360">
        <v>43</v>
      </c>
      <c r="AB3452" s="360">
        <v>7</v>
      </c>
    </row>
    <row r="3453" spans="10:28" x14ac:dyDescent="0.2">
      <c r="J3453" s="358" t="str">
        <f t="shared" si="152"/>
        <v>2013AllSexNon-Maori255</v>
      </c>
      <c r="K3453" s="359">
        <v>2013</v>
      </c>
      <c r="L3453" t="s">
        <v>17</v>
      </c>
      <c r="M3453" t="s">
        <v>19</v>
      </c>
      <c r="N3453">
        <v>25</v>
      </c>
      <c r="O3453">
        <v>5</v>
      </c>
      <c r="P3453">
        <v>3</v>
      </c>
      <c r="Q3453">
        <v>3.3298260945235598</v>
      </c>
      <c r="R3453">
        <v>3.8</v>
      </c>
      <c r="T3453" s="358" t="str">
        <f t="shared" si="153"/>
        <v>2012MaleAllEth23Submersion (drowning)</v>
      </c>
      <c r="U3453" s="360">
        <v>2012</v>
      </c>
      <c r="V3453" s="360" t="s">
        <v>20</v>
      </c>
      <c r="W3453" s="360" t="s">
        <v>27</v>
      </c>
      <c r="X3453" s="360">
        <v>23</v>
      </c>
      <c r="Y3453" s="360" t="s">
        <v>49</v>
      </c>
      <c r="Z3453" s="360">
        <v>1</v>
      </c>
      <c r="AA3453" s="360">
        <v>143</v>
      </c>
      <c r="AB3453" s="360">
        <v>0.7</v>
      </c>
    </row>
    <row r="3454" spans="10:28" x14ac:dyDescent="0.2">
      <c r="J3454" s="358" t="str">
        <f t="shared" si="152"/>
        <v>2013FemaleAllEth211</v>
      </c>
      <c r="K3454" s="359">
        <v>2013</v>
      </c>
      <c r="L3454" t="s">
        <v>8</v>
      </c>
      <c r="M3454" t="s">
        <v>27</v>
      </c>
      <c r="N3454">
        <v>21</v>
      </c>
      <c r="O3454">
        <v>1</v>
      </c>
      <c r="P3454">
        <v>0</v>
      </c>
      <c r="T3454" s="358" t="str">
        <f t="shared" si="153"/>
        <v>2012MaleAllEth24Submersion (drowning)</v>
      </c>
      <c r="U3454" s="360">
        <v>2012</v>
      </c>
      <c r="V3454" s="360" t="s">
        <v>20</v>
      </c>
      <c r="W3454" s="360" t="s">
        <v>27</v>
      </c>
      <c r="X3454" s="360">
        <v>24</v>
      </c>
      <c r="Y3454" s="360" t="s">
        <v>49</v>
      </c>
      <c r="Z3454" s="360">
        <v>1</v>
      </c>
      <c r="AA3454" s="360">
        <v>105</v>
      </c>
      <c r="AB3454" s="360">
        <v>1</v>
      </c>
    </row>
    <row r="3455" spans="10:28" x14ac:dyDescent="0.2">
      <c r="J3455" s="358" t="str">
        <f t="shared" si="152"/>
        <v>2013FemaleAllEth212</v>
      </c>
      <c r="K3455" s="359">
        <v>2013</v>
      </c>
      <c r="L3455" t="s">
        <v>8</v>
      </c>
      <c r="M3455" t="s">
        <v>27</v>
      </c>
      <c r="N3455">
        <v>21</v>
      </c>
      <c r="O3455">
        <v>2</v>
      </c>
      <c r="P3455">
        <v>0</v>
      </c>
      <c r="T3455" s="358" t="str">
        <f t="shared" si="153"/>
        <v>2012MaleAllEth25Submersion (drowning)</v>
      </c>
      <c r="U3455" s="360">
        <v>2012</v>
      </c>
      <c r="V3455" s="360" t="s">
        <v>20</v>
      </c>
      <c r="W3455" s="360" t="s">
        <v>27</v>
      </c>
      <c r="X3455" s="360">
        <v>25</v>
      </c>
      <c r="Y3455" s="360" t="s">
        <v>49</v>
      </c>
      <c r="Z3455" s="360">
        <v>1</v>
      </c>
      <c r="AA3455" s="360">
        <v>43</v>
      </c>
      <c r="AB3455" s="360">
        <v>2.2999999999999998</v>
      </c>
    </row>
    <row r="3456" spans="10:28" x14ac:dyDescent="0.2">
      <c r="J3456" s="358" t="str">
        <f t="shared" si="152"/>
        <v>2013FemaleAllEth213</v>
      </c>
      <c r="K3456" s="359">
        <v>2013</v>
      </c>
      <c r="L3456" t="s">
        <v>8</v>
      </c>
      <c r="M3456" t="s">
        <v>27</v>
      </c>
      <c r="N3456">
        <v>21</v>
      </c>
      <c r="O3456">
        <v>3</v>
      </c>
      <c r="P3456">
        <v>0</v>
      </c>
      <c r="T3456" s="358" t="str">
        <f t="shared" si="153"/>
        <v>2012MaleMaori21Firearms and explosives</v>
      </c>
      <c r="U3456" s="360">
        <v>2012</v>
      </c>
      <c r="V3456" s="360" t="s">
        <v>20</v>
      </c>
      <c r="W3456" s="360" t="s">
        <v>18</v>
      </c>
      <c r="X3456" s="360">
        <v>21</v>
      </c>
      <c r="Y3456" s="360" t="s">
        <v>42</v>
      </c>
      <c r="Z3456" s="360">
        <v>2</v>
      </c>
      <c r="AA3456" s="360">
        <v>5</v>
      </c>
      <c r="AB3456" s="360">
        <v>40</v>
      </c>
    </row>
    <row r="3457" spans="10:28" x14ac:dyDescent="0.2">
      <c r="J3457" s="358" t="str">
        <f t="shared" si="152"/>
        <v>2013FemaleAllEth214</v>
      </c>
      <c r="K3457" s="359">
        <v>2013</v>
      </c>
      <c r="L3457" t="s">
        <v>8</v>
      </c>
      <c r="M3457" t="s">
        <v>27</v>
      </c>
      <c r="N3457">
        <v>21</v>
      </c>
      <c r="O3457">
        <v>4</v>
      </c>
      <c r="P3457">
        <v>0</v>
      </c>
      <c r="T3457" s="358" t="str">
        <f t="shared" si="153"/>
        <v>2012MaleMaori22Firearms and explosives</v>
      </c>
      <c r="U3457" s="360">
        <v>2012</v>
      </c>
      <c r="V3457" s="360" t="s">
        <v>20</v>
      </c>
      <c r="W3457" s="360" t="s">
        <v>18</v>
      </c>
      <c r="X3457" s="360">
        <v>22</v>
      </c>
      <c r="Y3457" s="360" t="s">
        <v>42</v>
      </c>
      <c r="Z3457" s="360">
        <v>2</v>
      </c>
      <c r="AA3457" s="360">
        <v>37</v>
      </c>
      <c r="AB3457" s="360">
        <v>5.4</v>
      </c>
    </row>
    <row r="3458" spans="10:28" x14ac:dyDescent="0.2">
      <c r="J3458" s="358" t="str">
        <f t="shared" si="152"/>
        <v>2013FemaleAllEth215</v>
      </c>
      <c r="K3458" s="359">
        <v>2013</v>
      </c>
      <c r="L3458" t="s">
        <v>8</v>
      </c>
      <c r="M3458" t="s">
        <v>27</v>
      </c>
      <c r="N3458">
        <v>21</v>
      </c>
      <c r="O3458">
        <v>5</v>
      </c>
      <c r="P3458">
        <v>2</v>
      </c>
      <c r="T3458" s="358" t="str">
        <f t="shared" si="153"/>
        <v>2012MaleMaori24Firearms and explosives</v>
      </c>
      <c r="U3458" s="360">
        <v>2012</v>
      </c>
      <c r="V3458" s="360" t="s">
        <v>20</v>
      </c>
      <c r="W3458" s="360" t="s">
        <v>18</v>
      </c>
      <c r="X3458" s="360">
        <v>24</v>
      </c>
      <c r="Y3458" s="360" t="s">
        <v>42</v>
      </c>
      <c r="Z3458" s="360">
        <v>1</v>
      </c>
      <c r="AA3458" s="360">
        <v>9</v>
      </c>
      <c r="AB3458" s="360">
        <v>11.1</v>
      </c>
    </row>
    <row r="3459" spans="10:28" x14ac:dyDescent="0.2">
      <c r="J3459" s="358" t="str">
        <f t="shared" si="152"/>
        <v>2013FemaleAllEth221</v>
      </c>
      <c r="K3459" s="359">
        <v>2013</v>
      </c>
      <c r="L3459" t="s">
        <v>8</v>
      </c>
      <c r="M3459" t="s">
        <v>27</v>
      </c>
      <c r="N3459">
        <v>22</v>
      </c>
      <c r="O3459">
        <v>1</v>
      </c>
      <c r="P3459">
        <v>0</v>
      </c>
      <c r="Q3459">
        <v>0</v>
      </c>
      <c r="T3459" s="358" t="str">
        <f t="shared" si="153"/>
        <v>2012MaleMaori21Hanging, strangulation and suffocation</v>
      </c>
      <c r="U3459" s="360">
        <v>2012</v>
      </c>
      <c r="V3459" s="360" t="s">
        <v>20</v>
      </c>
      <c r="W3459" s="360" t="s">
        <v>18</v>
      </c>
      <c r="X3459" s="360">
        <v>21</v>
      </c>
      <c r="Y3459" s="360" t="s">
        <v>43</v>
      </c>
      <c r="Z3459" s="360">
        <v>3</v>
      </c>
      <c r="AA3459" s="360">
        <v>5</v>
      </c>
      <c r="AB3459" s="360">
        <v>60</v>
      </c>
    </row>
    <row r="3460" spans="10:28" x14ac:dyDescent="0.2">
      <c r="J3460" s="358" t="str">
        <f t="shared" ref="J3460:J3523" si="154">K3460&amp;L3460&amp;M3460&amp;N3460&amp;O3460</f>
        <v>2013FemaleAllEth222</v>
      </c>
      <c r="K3460" s="359">
        <v>2013</v>
      </c>
      <c r="L3460" t="s">
        <v>8</v>
      </c>
      <c r="M3460" t="s">
        <v>27</v>
      </c>
      <c r="N3460">
        <v>22</v>
      </c>
      <c r="O3460">
        <v>2</v>
      </c>
      <c r="P3460">
        <v>4</v>
      </c>
      <c r="Q3460">
        <v>7.40017972588333</v>
      </c>
      <c r="R3460">
        <v>7.3</v>
      </c>
      <c r="T3460" s="358" t="str">
        <f t="shared" si="153"/>
        <v>2012MaleMaori22Hanging, strangulation and suffocation</v>
      </c>
      <c r="U3460" s="360">
        <v>2012</v>
      </c>
      <c r="V3460" s="360" t="s">
        <v>20</v>
      </c>
      <c r="W3460" s="360" t="s">
        <v>18</v>
      </c>
      <c r="X3460" s="360">
        <v>22</v>
      </c>
      <c r="Y3460" s="360" t="s">
        <v>43</v>
      </c>
      <c r="Z3460" s="360">
        <v>35</v>
      </c>
      <c r="AA3460" s="360">
        <v>37</v>
      </c>
      <c r="AB3460" s="360">
        <v>94.6</v>
      </c>
    </row>
    <row r="3461" spans="10:28" x14ac:dyDescent="0.2">
      <c r="J3461" s="358" t="str">
        <f t="shared" si="154"/>
        <v>2013FemaleAllEth223</v>
      </c>
      <c r="K3461" s="359">
        <v>2013</v>
      </c>
      <c r="L3461" t="s">
        <v>8</v>
      </c>
      <c r="M3461" t="s">
        <v>27</v>
      </c>
      <c r="N3461">
        <v>22</v>
      </c>
      <c r="O3461">
        <v>3</v>
      </c>
      <c r="P3461">
        <v>5</v>
      </c>
      <c r="Q3461">
        <v>8.6738693524011392</v>
      </c>
      <c r="R3461">
        <v>7.6</v>
      </c>
      <c r="T3461" s="358" t="str">
        <f t="shared" ref="T3461:T3524" si="155">U3461&amp;V3461&amp;W3461&amp;X3461&amp;Y3461</f>
        <v>2012MaleMaori23Hanging, strangulation and suffocation</v>
      </c>
      <c r="U3461" s="360">
        <v>2012</v>
      </c>
      <c r="V3461" s="360" t="s">
        <v>20</v>
      </c>
      <c r="W3461" s="360" t="s">
        <v>18</v>
      </c>
      <c r="X3461" s="360">
        <v>23</v>
      </c>
      <c r="Y3461" s="360" t="s">
        <v>43</v>
      </c>
      <c r="Z3461" s="360">
        <v>26</v>
      </c>
      <c r="AA3461" s="360">
        <v>30</v>
      </c>
      <c r="AB3461" s="360">
        <v>86.7</v>
      </c>
    </row>
    <row r="3462" spans="10:28" x14ac:dyDescent="0.2">
      <c r="J3462" s="358" t="str">
        <f t="shared" si="154"/>
        <v>2013FemaleAllEth224</v>
      </c>
      <c r="K3462" s="359">
        <v>2013</v>
      </c>
      <c r="L3462" t="s">
        <v>8</v>
      </c>
      <c r="M3462" t="s">
        <v>27</v>
      </c>
      <c r="N3462">
        <v>22</v>
      </c>
      <c r="O3462">
        <v>4</v>
      </c>
      <c r="P3462">
        <v>13</v>
      </c>
      <c r="Q3462">
        <v>19.6143250639293</v>
      </c>
      <c r="R3462">
        <v>10.7</v>
      </c>
      <c r="T3462" s="358" t="str">
        <f t="shared" si="155"/>
        <v>2012MaleMaori24Hanging, strangulation and suffocation</v>
      </c>
      <c r="U3462" s="360">
        <v>2012</v>
      </c>
      <c r="V3462" s="360" t="s">
        <v>20</v>
      </c>
      <c r="W3462" s="360" t="s">
        <v>18</v>
      </c>
      <c r="X3462" s="360">
        <v>24</v>
      </c>
      <c r="Y3462" s="360" t="s">
        <v>43</v>
      </c>
      <c r="Z3462" s="360">
        <v>6</v>
      </c>
      <c r="AA3462" s="360">
        <v>9</v>
      </c>
      <c r="AB3462" s="360">
        <v>66.7</v>
      </c>
    </row>
    <row r="3463" spans="10:28" x14ac:dyDescent="0.2">
      <c r="J3463" s="358" t="str">
        <f t="shared" si="154"/>
        <v>2013FemaleAllEth225</v>
      </c>
      <c r="K3463" s="359">
        <v>2013</v>
      </c>
      <c r="L3463" t="s">
        <v>8</v>
      </c>
      <c r="M3463" t="s">
        <v>27</v>
      </c>
      <c r="N3463">
        <v>22</v>
      </c>
      <c r="O3463">
        <v>5</v>
      </c>
      <c r="P3463">
        <v>16</v>
      </c>
      <c r="Q3463">
        <v>20.8489526463065</v>
      </c>
      <c r="R3463">
        <v>10.199999999999999</v>
      </c>
      <c r="T3463" s="358" t="str">
        <f t="shared" si="155"/>
        <v>2012MaleMaori25Hanging, strangulation and suffocation</v>
      </c>
      <c r="U3463" s="360">
        <v>2012</v>
      </c>
      <c r="V3463" s="360" t="s">
        <v>20</v>
      </c>
      <c r="W3463" s="360" t="s">
        <v>18</v>
      </c>
      <c r="X3463" s="360">
        <v>25</v>
      </c>
      <c r="Y3463" s="360" t="s">
        <v>43</v>
      </c>
      <c r="Z3463" s="360">
        <v>1</v>
      </c>
      <c r="AA3463" s="360">
        <v>1</v>
      </c>
      <c r="AB3463" s="360">
        <v>100</v>
      </c>
    </row>
    <row r="3464" spans="10:28" x14ac:dyDescent="0.2">
      <c r="J3464" s="358" t="str">
        <f t="shared" si="154"/>
        <v>2013FemaleAllEth231</v>
      </c>
      <c r="K3464" s="359">
        <v>2013</v>
      </c>
      <c r="L3464" t="s">
        <v>8</v>
      </c>
      <c r="M3464" t="s">
        <v>27</v>
      </c>
      <c r="N3464">
        <v>23</v>
      </c>
      <c r="O3464">
        <v>1</v>
      </c>
      <c r="P3464">
        <v>6</v>
      </c>
      <c r="Q3464">
        <v>5.2453345098366304</v>
      </c>
      <c r="R3464">
        <v>4.2</v>
      </c>
      <c r="T3464" s="358" t="str">
        <f t="shared" si="155"/>
        <v>2012MaleMaori23Other</v>
      </c>
      <c r="U3464" s="360">
        <v>2012</v>
      </c>
      <c r="V3464" s="360" t="s">
        <v>20</v>
      </c>
      <c r="W3464" s="360" t="s">
        <v>18</v>
      </c>
      <c r="X3464" s="360">
        <v>23</v>
      </c>
      <c r="Y3464" s="360" t="s">
        <v>45</v>
      </c>
      <c r="Z3464" s="360">
        <v>2</v>
      </c>
      <c r="AA3464" s="360">
        <v>30</v>
      </c>
      <c r="AB3464" s="360">
        <v>6.7</v>
      </c>
    </row>
    <row r="3465" spans="10:28" x14ac:dyDescent="0.2">
      <c r="J3465" s="358" t="str">
        <f t="shared" si="154"/>
        <v>2013FemaleAllEth232</v>
      </c>
      <c r="K3465" s="359">
        <v>2013</v>
      </c>
      <c r="L3465" t="s">
        <v>8</v>
      </c>
      <c r="M3465" t="s">
        <v>27</v>
      </c>
      <c r="N3465">
        <v>23</v>
      </c>
      <c r="O3465">
        <v>2</v>
      </c>
      <c r="P3465">
        <v>7</v>
      </c>
      <c r="Q3465">
        <v>5.7414229284004703</v>
      </c>
      <c r="R3465">
        <v>4.3</v>
      </c>
      <c r="T3465" s="358" t="str">
        <f t="shared" si="155"/>
        <v>2012MaleMaori24Poisoning by gases and vapours</v>
      </c>
      <c r="U3465" s="360">
        <v>2012</v>
      </c>
      <c r="V3465" s="360" t="s">
        <v>20</v>
      </c>
      <c r="W3465" s="360" t="s">
        <v>18</v>
      </c>
      <c r="X3465" s="360">
        <v>24</v>
      </c>
      <c r="Y3465" s="360" t="s">
        <v>46</v>
      </c>
      <c r="Z3465" s="360">
        <v>2</v>
      </c>
      <c r="AA3465" s="360">
        <v>9</v>
      </c>
      <c r="AB3465" s="360">
        <v>22.2</v>
      </c>
    </row>
    <row r="3466" spans="10:28" x14ac:dyDescent="0.2">
      <c r="J3466" s="358" t="str">
        <f t="shared" si="154"/>
        <v>2013FemaleAllEth233</v>
      </c>
      <c r="K3466" s="359">
        <v>2013</v>
      </c>
      <c r="L3466" t="s">
        <v>8</v>
      </c>
      <c r="M3466" t="s">
        <v>27</v>
      </c>
      <c r="N3466">
        <v>23</v>
      </c>
      <c r="O3466">
        <v>3</v>
      </c>
      <c r="P3466">
        <v>12</v>
      </c>
      <c r="Q3466">
        <v>9.7766300081995006</v>
      </c>
      <c r="R3466">
        <v>5.5</v>
      </c>
      <c r="T3466" s="358" t="str">
        <f t="shared" si="155"/>
        <v>2012MaleMaori23Poisoning by solids and liquids</v>
      </c>
      <c r="U3466" s="360">
        <v>2012</v>
      </c>
      <c r="V3466" s="360" t="s">
        <v>20</v>
      </c>
      <c r="W3466" s="360" t="s">
        <v>18</v>
      </c>
      <c r="X3466" s="360">
        <v>23</v>
      </c>
      <c r="Y3466" s="360" t="s">
        <v>47</v>
      </c>
      <c r="Z3466" s="360">
        <v>1</v>
      </c>
      <c r="AA3466" s="360">
        <v>30</v>
      </c>
      <c r="AB3466" s="360">
        <v>3.3</v>
      </c>
    </row>
    <row r="3467" spans="10:28" x14ac:dyDescent="0.2">
      <c r="J3467" s="358" t="str">
        <f t="shared" si="154"/>
        <v>2013FemaleAllEth234</v>
      </c>
      <c r="K3467" s="359">
        <v>2013</v>
      </c>
      <c r="L3467" t="s">
        <v>8</v>
      </c>
      <c r="M3467" t="s">
        <v>27</v>
      </c>
      <c r="N3467">
        <v>23</v>
      </c>
      <c r="O3467">
        <v>4</v>
      </c>
      <c r="P3467">
        <v>4</v>
      </c>
      <c r="Q3467">
        <v>3.33637157936161</v>
      </c>
      <c r="R3467">
        <v>3.3</v>
      </c>
      <c r="T3467" s="358" t="str">
        <f t="shared" si="155"/>
        <v>2012MaleMaori23Sharp object</v>
      </c>
      <c r="U3467" s="360">
        <v>2012</v>
      </c>
      <c r="V3467" s="360" t="s">
        <v>20</v>
      </c>
      <c r="W3467" s="360" t="s">
        <v>18</v>
      </c>
      <c r="X3467" s="360">
        <v>23</v>
      </c>
      <c r="Y3467" s="360" t="s">
        <v>48</v>
      </c>
      <c r="Z3467" s="360">
        <v>1</v>
      </c>
      <c r="AA3467" s="360">
        <v>30</v>
      </c>
      <c r="AB3467" s="360">
        <v>3.3</v>
      </c>
    </row>
    <row r="3468" spans="10:28" x14ac:dyDescent="0.2">
      <c r="J3468" s="358" t="str">
        <f t="shared" si="154"/>
        <v>2013FemaleAllEth235</v>
      </c>
      <c r="K3468" s="359">
        <v>2013</v>
      </c>
      <c r="L3468" t="s">
        <v>8</v>
      </c>
      <c r="M3468" t="s">
        <v>27</v>
      </c>
      <c r="N3468">
        <v>23</v>
      </c>
      <c r="O3468">
        <v>5</v>
      </c>
      <c r="P3468">
        <v>14</v>
      </c>
      <c r="Q3468">
        <v>12.061766549540801</v>
      </c>
      <c r="R3468">
        <v>6.3</v>
      </c>
      <c r="T3468" s="358" t="str">
        <f t="shared" si="155"/>
        <v>2012MaleNon-Maori22Firearms and explosives</v>
      </c>
      <c r="U3468" s="360">
        <v>2012</v>
      </c>
      <c r="V3468" s="360" t="s">
        <v>20</v>
      </c>
      <c r="W3468" s="360" t="s">
        <v>19</v>
      </c>
      <c r="X3468" s="360">
        <v>22</v>
      </c>
      <c r="Y3468" s="360" t="s">
        <v>42</v>
      </c>
      <c r="Z3468" s="360">
        <v>7</v>
      </c>
      <c r="AA3468" s="360">
        <v>70</v>
      </c>
      <c r="AB3468" s="360">
        <v>10</v>
      </c>
    </row>
    <row r="3469" spans="10:28" x14ac:dyDescent="0.2">
      <c r="J3469" s="358" t="str">
        <f t="shared" si="154"/>
        <v>2013FemaleAllEth241</v>
      </c>
      <c r="K3469" s="359">
        <v>2013</v>
      </c>
      <c r="L3469" t="s">
        <v>8</v>
      </c>
      <c r="M3469" t="s">
        <v>27</v>
      </c>
      <c r="N3469">
        <v>24</v>
      </c>
      <c r="O3469">
        <v>1</v>
      </c>
      <c r="P3469">
        <v>11</v>
      </c>
      <c r="Q3469">
        <v>7.7765038116533596</v>
      </c>
      <c r="R3469">
        <v>4.5999999999999996</v>
      </c>
      <c r="T3469" s="358" t="str">
        <f t="shared" si="155"/>
        <v>2012MaleNon-Maori23Firearms and explosives</v>
      </c>
      <c r="U3469" s="360">
        <v>2012</v>
      </c>
      <c r="V3469" s="360" t="s">
        <v>20</v>
      </c>
      <c r="W3469" s="360" t="s">
        <v>19</v>
      </c>
      <c r="X3469" s="360">
        <v>23</v>
      </c>
      <c r="Y3469" s="360" t="s">
        <v>42</v>
      </c>
      <c r="Z3469" s="360">
        <v>10</v>
      </c>
      <c r="AA3469" s="360">
        <v>113</v>
      </c>
      <c r="AB3469" s="360">
        <v>8.8000000000000007</v>
      </c>
    </row>
    <row r="3470" spans="10:28" x14ac:dyDescent="0.2">
      <c r="J3470" s="358" t="str">
        <f t="shared" si="154"/>
        <v>2013FemaleAllEth242</v>
      </c>
      <c r="K3470" s="359">
        <v>2013</v>
      </c>
      <c r="L3470" t="s">
        <v>8</v>
      </c>
      <c r="M3470" t="s">
        <v>27</v>
      </c>
      <c r="N3470">
        <v>24</v>
      </c>
      <c r="O3470">
        <v>2</v>
      </c>
      <c r="P3470">
        <v>15</v>
      </c>
      <c r="Q3470">
        <v>11.798920839515899</v>
      </c>
      <c r="R3470">
        <v>6</v>
      </c>
      <c r="T3470" s="358" t="str">
        <f t="shared" si="155"/>
        <v>2012MaleNon-Maori24Firearms and explosives</v>
      </c>
      <c r="U3470" s="360">
        <v>2012</v>
      </c>
      <c r="V3470" s="360" t="s">
        <v>20</v>
      </c>
      <c r="W3470" s="360" t="s">
        <v>19</v>
      </c>
      <c r="X3470" s="360">
        <v>24</v>
      </c>
      <c r="Y3470" s="360" t="s">
        <v>42</v>
      </c>
      <c r="Z3470" s="360">
        <v>15</v>
      </c>
      <c r="AA3470" s="360">
        <v>96</v>
      </c>
      <c r="AB3470" s="360">
        <v>15.6</v>
      </c>
    </row>
    <row r="3471" spans="10:28" x14ac:dyDescent="0.2">
      <c r="J3471" s="358" t="str">
        <f t="shared" si="154"/>
        <v>2013FemaleAllEth243</v>
      </c>
      <c r="K3471" s="359">
        <v>2013</v>
      </c>
      <c r="L3471" t="s">
        <v>8</v>
      </c>
      <c r="M3471" t="s">
        <v>27</v>
      </c>
      <c r="N3471">
        <v>24</v>
      </c>
      <c r="O3471">
        <v>3</v>
      </c>
      <c r="P3471">
        <v>4</v>
      </c>
      <c r="Q3471">
        <v>3.4583736384918198</v>
      </c>
      <c r="R3471">
        <v>3.4</v>
      </c>
      <c r="T3471" s="358" t="str">
        <f t="shared" si="155"/>
        <v>2012MaleNon-Maori25Firearms and explosives</v>
      </c>
      <c r="U3471" s="360">
        <v>2012</v>
      </c>
      <c r="V3471" s="360" t="s">
        <v>20</v>
      </c>
      <c r="W3471" s="360" t="s">
        <v>19</v>
      </c>
      <c r="X3471" s="360">
        <v>25</v>
      </c>
      <c r="Y3471" s="360" t="s">
        <v>42</v>
      </c>
      <c r="Z3471" s="360">
        <v>8</v>
      </c>
      <c r="AA3471" s="360">
        <v>42</v>
      </c>
      <c r="AB3471" s="360">
        <v>19</v>
      </c>
    </row>
    <row r="3472" spans="10:28" x14ac:dyDescent="0.2">
      <c r="J3472" s="358" t="str">
        <f t="shared" si="154"/>
        <v>2013FemaleAllEth244</v>
      </c>
      <c r="K3472" s="359">
        <v>2013</v>
      </c>
      <c r="L3472" t="s">
        <v>8</v>
      </c>
      <c r="M3472" t="s">
        <v>27</v>
      </c>
      <c r="N3472">
        <v>24</v>
      </c>
      <c r="O3472">
        <v>4</v>
      </c>
      <c r="P3472">
        <v>6</v>
      </c>
      <c r="Q3472">
        <v>5.7070886511796202</v>
      </c>
      <c r="R3472">
        <v>4.5999999999999996</v>
      </c>
      <c r="T3472" s="358" t="str">
        <f t="shared" si="155"/>
        <v>2012MaleNon-Maori21Hanging, strangulation and suffocation</v>
      </c>
      <c r="U3472" s="360">
        <v>2012</v>
      </c>
      <c r="V3472" s="360" t="s">
        <v>20</v>
      </c>
      <c r="W3472" s="360" t="s">
        <v>19</v>
      </c>
      <c r="X3472" s="360">
        <v>21</v>
      </c>
      <c r="Y3472" s="360" t="s">
        <v>43</v>
      </c>
      <c r="Z3472" s="360">
        <v>1</v>
      </c>
      <c r="AA3472" s="360">
        <v>2</v>
      </c>
      <c r="AB3472" s="360">
        <v>50</v>
      </c>
    </row>
    <row r="3473" spans="10:28" x14ac:dyDescent="0.2">
      <c r="J3473" s="358" t="str">
        <f t="shared" si="154"/>
        <v>2013FemaleAllEth245</v>
      </c>
      <c r="K3473" s="359">
        <v>2013</v>
      </c>
      <c r="L3473" t="s">
        <v>8</v>
      </c>
      <c r="M3473" t="s">
        <v>27</v>
      </c>
      <c r="N3473">
        <v>24</v>
      </c>
      <c r="O3473">
        <v>5</v>
      </c>
      <c r="P3473">
        <v>13</v>
      </c>
      <c r="Q3473">
        <v>13.372522640885901</v>
      </c>
      <c r="R3473">
        <v>7.3</v>
      </c>
      <c r="T3473" s="358" t="str">
        <f t="shared" si="155"/>
        <v>2012MaleNon-Maori22Hanging, strangulation and suffocation</v>
      </c>
      <c r="U3473" s="360">
        <v>2012</v>
      </c>
      <c r="V3473" s="360" t="s">
        <v>20</v>
      </c>
      <c r="W3473" s="360" t="s">
        <v>19</v>
      </c>
      <c r="X3473" s="360">
        <v>22</v>
      </c>
      <c r="Y3473" s="360" t="s">
        <v>43</v>
      </c>
      <c r="Z3473" s="360">
        <v>54</v>
      </c>
      <c r="AA3473" s="360">
        <v>70</v>
      </c>
      <c r="AB3473" s="360">
        <v>77.099999999999994</v>
      </c>
    </row>
    <row r="3474" spans="10:28" x14ac:dyDescent="0.2">
      <c r="J3474" s="358" t="str">
        <f t="shared" si="154"/>
        <v>2013FemaleAllEth251</v>
      </c>
      <c r="K3474" s="359">
        <v>2013</v>
      </c>
      <c r="L3474" t="s">
        <v>8</v>
      </c>
      <c r="M3474" t="s">
        <v>27</v>
      </c>
      <c r="N3474">
        <v>25</v>
      </c>
      <c r="O3474">
        <v>1</v>
      </c>
      <c r="P3474">
        <v>2</v>
      </c>
      <c r="Q3474">
        <v>2.9767843579902999</v>
      </c>
      <c r="R3474">
        <v>4.0999999999999996</v>
      </c>
      <c r="T3474" s="358" t="str">
        <f t="shared" si="155"/>
        <v>2012MaleNon-Maori23Hanging, strangulation and suffocation</v>
      </c>
      <c r="U3474" s="360">
        <v>2012</v>
      </c>
      <c r="V3474" s="360" t="s">
        <v>20</v>
      </c>
      <c r="W3474" s="360" t="s">
        <v>19</v>
      </c>
      <c r="X3474" s="360">
        <v>23</v>
      </c>
      <c r="Y3474" s="360" t="s">
        <v>43</v>
      </c>
      <c r="Z3474" s="360">
        <v>64</v>
      </c>
      <c r="AA3474" s="360">
        <v>113</v>
      </c>
      <c r="AB3474" s="360">
        <v>56.6</v>
      </c>
    </row>
    <row r="3475" spans="10:28" x14ac:dyDescent="0.2">
      <c r="J3475" s="358" t="str">
        <f t="shared" si="154"/>
        <v>2013FemaleAllEth252</v>
      </c>
      <c r="K3475" s="359">
        <v>2013</v>
      </c>
      <c r="L3475" t="s">
        <v>8</v>
      </c>
      <c r="M3475" t="s">
        <v>27</v>
      </c>
      <c r="N3475">
        <v>25</v>
      </c>
      <c r="O3475">
        <v>2</v>
      </c>
      <c r="P3475">
        <v>2</v>
      </c>
      <c r="Q3475">
        <v>2.89311280723261</v>
      </c>
      <c r="R3475">
        <v>4</v>
      </c>
      <c r="T3475" s="358" t="str">
        <f t="shared" si="155"/>
        <v>2012MaleNon-Maori24Hanging, strangulation and suffocation</v>
      </c>
      <c r="U3475" s="360">
        <v>2012</v>
      </c>
      <c r="V3475" s="360" t="s">
        <v>20</v>
      </c>
      <c r="W3475" s="360" t="s">
        <v>19</v>
      </c>
      <c r="X3475" s="360">
        <v>24</v>
      </c>
      <c r="Y3475" s="360" t="s">
        <v>43</v>
      </c>
      <c r="Z3475" s="360">
        <v>49</v>
      </c>
      <c r="AA3475" s="360">
        <v>96</v>
      </c>
      <c r="AB3475" s="360">
        <v>51</v>
      </c>
    </row>
    <row r="3476" spans="10:28" x14ac:dyDescent="0.2">
      <c r="J3476" s="358" t="str">
        <f t="shared" si="154"/>
        <v>2013FemaleAllEth253</v>
      </c>
      <c r="K3476" s="359">
        <v>2013</v>
      </c>
      <c r="L3476" t="s">
        <v>8</v>
      </c>
      <c r="M3476" t="s">
        <v>27</v>
      </c>
      <c r="N3476">
        <v>25</v>
      </c>
      <c r="O3476">
        <v>3</v>
      </c>
      <c r="P3476">
        <v>4</v>
      </c>
      <c r="Q3476">
        <v>5.72765779976696</v>
      </c>
      <c r="R3476">
        <v>5.6</v>
      </c>
      <c r="T3476" s="358" t="str">
        <f t="shared" si="155"/>
        <v>2012MaleNon-Maori25Hanging, strangulation and suffocation</v>
      </c>
      <c r="U3476" s="360">
        <v>2012</v>
      </c>
      <c r="V3476" s="360" t="s">
        <v>20</v>
      </c>
      <c r="W3476" s="360" t="s">
        <v>19</v>
      </c>
      <c r="X3476" s="360">
        <v>25</v>
      </c>
      <c r="Y3476" s="360" t="s">
        <v>43</v>
      </c>
      <c r="Z3476" s="360">
        <v>16</v>
      </c>
      <c r="AA3476" s="360">
        <v>42</v>
      </c>
      <c r="AB3476" s="360">
        <v>38.1</v>
      </c>
    </row>
    <row r="3477" spans="10:28" x14ac:dyDescent="0.2">
      <c r="J3477" s="358" t="str">
        <f t="shared" si="154"/>
        <v>2013FemaleAllEth254</v>
      </c>
      <c r="K3477" s="359">
        <v>2013</v>
      </c>
      <c r="L3477" t="s">
        <v>8</v>
      </c>
      <c r="M3477" t="s">
        <v>27</v>
      </c>
      <c r="N3477">
        <v>25</v>
      </c>
      <c r="O3477">
        <v>4</v>
      </c>
      <c r="P3477">
        <v>0</v>
      </c>
      <c r="Q3477">
        <v>0</v>
      </c>
      <c r="T3477" s="358" t="str">
        <f t="shared" si="155"/>
        <v>2012MaleNon-Maori22Jumping from a high place</v>
      </c>
      <c r="U3477" s="360">
        <v>2012</v>
      </c>
      <c r="V3477" s="360" t="s">
        <v>20</v>
      </c>
      <c r="W3477" s="360" t="s">
        <v>19</v>
      </c>
      <c r="X3477" s="360">
        <v>22</v>
      </c>
      <c r="Y3477" s="360" t="s">
        <v>44</v>
      </c>
      <c r="Z3477" s="360">
        <v>4</v>
      </c>
      <c r="AA3477" s="360">
        <v>70</v>
      </c>
      <c r="AB3477" s="360">
        <v>5.7</v>
      </c>
    </row>
    <row r="3478" spans="10:28" x14ac:dyDescent="0.2">
      <c r="J3478" s="358" t="str">
        <f t="shared" si="154"/>
        <v>2013FemaleAllEth255</v>
      </c>
      <c r="K3478" s="359">
        <v>2013</v>
      </c>
      <c r="L3478" t="s">
        <v>8</v>
      </c>
      <c r="M3478" t="s">
        <v>27</v>
      </c>
      <c r="N3478">
        <v>25</v>
      </c>
      <c r="O3478">
        <v>5</v>
      </c>
      <c r="P3478">
        <v>0</v>
      </c>
      <c r="Q3478">
        <v>0</v>
      </c>
      <c r="T3478" s="358" t="str">
        <f t="shared" si="155"/>
        <v>2012MaleNon-Maori23Jumping from a high place</v>
      </c>
      <c r="U3478" s="360">
        <v>2012</v>
      </c>
      <c r="V3478" s="360" t="s">
        <v>20</v>
      </c>
      <c r="W3478" s="360" t="s">
        <v>19</v>
      </c>
      <c r="X3478" s="360">
        <v>23</v>
      </c>
      <c r="Y3478" s="360" t="s">
        <v>44</v>
      </c>
      <c r="Z3478" s="360">
        <v>2</v>
      </c>
      <c r="AA3478" s="360">
        <v>113</v>
      </c>
      <c r="AB3478" s="360">
        <v>1.8</v>
      </c>
    </row>
    <row r="3479" spans="10:28" x14ac:dyDescent="0.2">
      <c r="J3479" s="358" t="str">
        <f t="shared" si="154"/>
        <v>2013FemaleMaori211</v>
      </c>
      <c r="K3479" s="359">
        <v>2013</v>
      </c>
      <c r="L3479" t="s">
        <v>8</v>
      </c>
      <c r="M3479" t="s">
        <v>18</v>
      </c>
      <c r="N3479">
        <v>21</v>
      </c>
      <c r="O3479">
        <v>1</v>
      </c>
      <c r="P3479">
        <v>0</v>
      </c>
      <c r="T3479" s="358" t="str">
        <f t="shared" si="155"/>
        <v>2012MaleNon-Maori24Jumping from a high place</v>
      </c>
      <c r="U3479" s="360">
        <v>2012</v>
      </c>
      <c r="V3479" s="360" t="s">
        <v>20</v>
      </c>
      <c r="W3479" s="360" t="s">
        <v>19</v>
      </c>
      <c r="X3479" s="360">
        <v>24</v>
      </c>
      <c r="Y3479" s="360" t="s">
        <v>44</v>
      </c>
      <c r="Z3479" s="360">
        <v>2</v>
      </c>
      <c r="AA3479" s="360">
        <v>96</v>
      </c>
      <c r="AB3479" s="360">
        <v>2.1</v>
      </c>
    </row>
    <row r="3480" spans="10:28" x14ac:dyDescent="0.2">
      <c r="J3480" s="358" t="str">
        <f t="shared" si="154"/>
        <v>2013FemaleMaori212</v>
      </c>
      <c r="K3480" s="359">
        <v>2013</v>
      </c>
      <c r="L3480" t="s">
        <v>8</v>
      </c>
      <c r="M3480" t="s">
        <v>18</v>
      </c>
      <c r="N3480">
        <v>21</v>
      </c>
      <c r="O3480">
        <v>2</v>
      </c>
      <c r="P3480">
        <v>0</v>
      </c>
      <c r="T3480" s="358" t="str">
        <f t="shared" si="155"/>
        <v>2012MaleNon-Maori25Jumping from a high place</v>
      </c>
      <c r="U3480" s="360">
        <v>2012</v>
      </c>
      <c r="V3480" s="360" t="s">
        <v>20</v>
      </c>
      <c r="W3480" s="360" t="s">
        <v>19</v>
      </c>
      <c r="X3480" s="360">
        <v>25</v>
      </c>
      <c r="Y3480" s="360" t="s">
        <v>44</v>
      </c>
      <c r="Z3480" s="360">
        <v>1</v>
      </c>
      <c r="AA3480" s="360">
        <v>42</v>
      </c>
      <c r="AB3480" s="360">
        <v>2.4</v>
      </c>
    </row>
    <row r="3481" spans="10:28" x14ac:dyDescent="0.2">
      <c r="J3481" s="358" t="str">
        <f t="shared" si="154"/>
        <v>2013FemaleMaori213</v>
      </c>
      <c r="K3481" s="359">
        <v>2013</v>
      </c>
      <c r="L3481" t="s">
        <v>8</v>
      </c>
      <c r="M3481" t="s">
        <v>18</v>
      </c>
      <c r="N3481">
        <v>21</v>
      </c>
      <c r="O3481">
        <v>3</v>
      </c>
      <c r="P3481">
        <v>0</v>
      </c>
      <c r="T3481" s="358" t="str">
        <f t="shared" si="155"/>
        <v>2012MaleNon-Maori23Other</v>
      </c>
      <c r="U3481" s="360">
        <v>2012</v>
      </c>
      <c r="V3481" s="360" t="s">
        <v>20</v>
      </c>
      <c r="W3481" s="360" t="s">
        <v>19</v>
      </c>
      <c r="X3481" s="360">
        <v>23</v>
      </c>
      <c r="Y3481" s="360" t="s">
        <v>45</v>
      </c>
      <c r="Z3481" s="360">
        <v>7</v>
      </c>
      <c r="AA3481" s="360">
        <v>113</v>
      </c>
      <c r="AB3481" s="360">
        <v>6.2</v>
      </c>
    </row>
    <row r="3482" spans="10:28" x14ac:dyDescent="0.2">
      <c r="J3482" s="358" t="str">
        <f t="shared" si="154"/>
        <v>2013FemaleMaori214</v>
      </c>
      <c r="K3482" s="359">
        <v>2013</v>
      </c>
      <c r="L3482" t="s">
        <v>8</v>
      </c>
      <c r="M3482" t="s">
        <v>18</v>
      </c>
      <c r="N3482">
        <v>21</v>
      </c>
      <c r="O3482">
        <v>4</v>
      </c>
      <c r="P3482">
        <v>0</v>
      </c>
      <c r="T3482" s="358" t="str">
        <f t="shared" si="155"/>
        <v>2012MaleNon-Maori24Other</v>
      </c>
      <c r="U3482" s="360">
        <v>2012</v>
      </c>
      <c r="V3482" s="360" t="s">
        <v>20</v>
      </c>
      <c r="W3482" s="360" t="s">
        <v>19</v>
      </c>
      <c r="X3482" s="360">
        <v>24</v>
      </c>
      <c r="Y3482" s="360" t="s">
        <v>45</v>
      </c>
      <c r="Z3482" s="360">
        <v>3</v>
      </c>
      <c r="AA3482" s="360">
        <v>96</v>
      </c>
      <c r="AB3482" s="360">
        <v>3.1</v>
      </c>
    </row>
    <row r="3483" spans="10:28" x14ac:dyDescent="0.2">
      <c r="J3483" s="358" t="str">
        <f t="shared" si="154"/>
        <v>2013FemaleMaori215</v>
      </c>
      <c r="K3483" s="359">
        <v>2013</v>
      </c>
      <c r="L3483" t="s">
        <v>8</v>
      </c>
      <c r="M3483" t="s">
        <v>18</v>
      </c>
      <c r="N3483">
        <v>21</v>
      </c>
      <c r="O3483">
        <v>5</v>
      </c>
      <c r="P3483">
        <v>1</v>
      </c>
      <c r="T3483" s="358" t="str">
        <f t="shared" si="155"/>
        <v>2012MaleNon-Maori25Other</v>
      </c>
      <c r="U3483" s="360">
        <v>2012</v>
      </c>
      <c r="V3483" s="360" t="s">
        <v>20</v>
      </c>
      <c r="W3483" s="360" t="s">
        <v>19</v>
      </c>
      <c r="X3483" s="360">
        <v>25</v>
      </c>
      <c r="Y3483" s="360" t="s">
        <v>45</v>
      </c>
      <c r="Z3483" s="360">
        <v>2</v>
      </c>
      <c r="AA3483" s="360">
        <v>42</v>
      </c>
      <c r="AB3483" s="360">
        <v>4.8</v>
      </c>
    </row>
    <row r="3484" spans="10:28" x14ac:dyDescent="0.2">
      <c r="J3484" s="358" t="str">
        <f t="shared" si="154"/>
        <v>2013FemaleMaori221</v>
      </c>
      <c r="K3484" s="359">
        <v>2013</v>
      </c>
      <c r="L3484" t="s">
        <v>8</v>
      </c>
      <c r="M3484" t="s">
        <v>18</v>
      </c>
      <c r="N3484">
        <v>22</v>
      </c>
      <c r="O3484">
        <v>1</v>
      </c>
      <c r="P3484">
        <v>0</v>
      </c>
      <c r="Q3484">
        <v>0</v>
      </c>
      <c r="T3484" s="358" t="str">
        <f t="shared" si="155"/>
        <v>2012MaleNon-Maori22Poisoning by gases and vapours</v>
      </c>
      <c r="U3484" s="360">
        <v>2012</v>
      </c>
      <c r="V3484" s="360" t="s">
        <v>20</v>
      </c>
      <c r="W3484" s="360" t="s">
        <v>19</v>
      </c>
      <c r="X3484" s="360">
        <v>22</v>
      </c>
      <c r="Y3484" s="360" t="s">
        <v>46</v>
      </c>
      <c r="Z3484" s="360">
        <v>2</v>
      </c>
      <c r="AA3484" s="360">
        <v>70</v>
      </c>
      <c r="AB3484" s="360">
        <v>2.9</v>
      </c>
    </row>
    <row r="3485" spans="10:28" x14ac:dyDescent="0.2">
      <c r="J3485" s="358" t="str">
        <f t="shared" si="154"/>
        <v>2013FemaleMaori222</v>
      </c>
      <c r="K3485" s="359">
        <v>2013</v>
      </c>
      <c r="L3485" t="s">
        <v>8</v>
      </c>
      <c r="M3485" t="s">
        <v>18</v>
      </c>
      <c r="N3485">
        <v>22</v>
      </c>
      <c r="O3485">
        <v>2</v>
      </c>
      <c r="P3485">
        <v>1</v>
      </c>
      <c r="Q3485">
        <v>14.442966166659099</v>
      </c>
      <c r="R3485">
        <v>28.3</v>
      </c>
      <c r="T3485" s="358" t="str">
        <f t="shared" si="155"/>
        <v>2012MaleNon-Maori23Poisoning by gases and vapours</v>
      </c>
      <c r="U3485" s="360">
        <v>2012</v>
      </c>
      <c r="V3485" s="360" t="s">
        <v>20</v>
      </c>
      <c r="W3485" s="360" t="s">
        <v>19</v>
      </c>
      <c r="X3485" s="360">
        <v>23</v>
      </c>
      <c r="Y3485" s="360" t="s">
        <v>46</v>
      </c>
      <c r="Z3485" s="360">
        <v>16</v>
      </c>
      <c r="AA3485" s="360">
        <v>113</v>
      </c>
      <c r="AB3485" s="360">
        <v>14.2</v>
      </c>
    </row>
    <row r="3486" spans="10:28" x14ac:dyDescent="0.2">
      <c r="J3486" s="358" t="str">
        <f t="shared" si="154"/>
        <v>2013FemaleMaori223</v>
      </c>
      <c r="K3486" s="359">
        <v>2013</v>
      </c>
      <c r="L3486" t="s">
        <v>8</v>
      </c>
      <c r="M3486" t="s">
        <v>18</v>
      </c>
      <c r="N3486">
        <v>22</v>
      </c>
      <c r="O3486">
        <v>3</v>
      </c>
      <c r="P3486">
        <v>1</v>
      </c>
      <c r="Q3486">
        <v>9.8081977385925807</v>
      </c>
      <c r="R3486">
        <v>19.2</v>
      </c>
      <c r="T3486" s="358" t="str">
        <f t="shared" si="155"/>
        <v>2012MaleNon-Maori24Poisoning by gases and vapours</v>
      </c>
      <c r="U3486" s="360">
        <v>2012</v>
      </c>
      <c r="V3486" s="360" t="s">
        <v>20</v>
      </c>
      <c r="W3486" s="360" t="s">
        <v>19</v>
      </c>
      <c r="X3486" s="360">
        <v>24</v>
      </c>
      <c r="Y3486" s="360" t="s">
        <v>46</v>
      </c>
      <c r="Z3486" s="360">
        <v>12</v>
      </c>
      <c r="AA3486" s="360">
        <v>96</v>
      </c>
      <c r="AB3486" s="360">
        <v>12.5</v>
      </c>
    </row>
    <row r="3487" spans="10:28" x14ac:dyDescent="0.2">
      <c r="J3487" s="358" t="str">
        <f t="shared" si="154"/>
        <v>2013FemaleMaori224</v>
      </c>
      <c r="K3487" s="359">
        <v>2013</v>
      </c>
      <c r="L3487" t="s">
        <v>8</v>
      </c>
      <c r="M3487" t="s">
        <v>18</v>
      </c>
      <c r="N3487">
        <v>22</v>
      </c>
      <c r="O3487">
        <v>4</v>
      </c>
      <c r="P3487">
        <v>8</v>
      </c>
      <c r="Q3487">
        <v>53.0215245193301</v>
      </c>
      <c r="R3487">
        <v>36.700000000000003</v>
      </c>
      <c r="T3487" s="358" t="str">
        <f t="shared" si="155"/>
        <v>2012MaleNon-Maori25Poisoning by gases and vapours</v>
      </c>
      <c r="U3487" s="360">
        <v>2012</v>
      </c>
      <c r="V3487" s="360" t="s">
        <v>20</v>
      </c>
      <c r="W3487" s="360" t="s">
        <v>19</v>
      </c>
      <c r="X3487" s="360">
        <v>25</v>
      </c>
      <c r="Y3487" s="360" t="s">
        <v>46</v>
      </c>
      <c r="Z3487" s="360">
        <v>5</v>
      </c>
      <c r="AA3487" s="360">
        <v>42</v>
      </c>
      <c r="AB3487" s="360">
        <v>11.9</v>
      </c>
    </row>
    <row r="3488" spans="10:28" x14ac:dyDescent="0.2">
      <c r="J3488" s="358" t="str">
        <f t="shared" si="154"/>
        <v>2013FemaleMaori225</v>
      </c>
      <c r="K3488" s="359">
        <v>2013</v>
      </c>
      <c r="L3488" t="s">
        <v>8</v>
      </c>
      <c r="M3488" t="s">
        <v>18</v>
      </c>
      <c r="N3488">
        <v>22</v>
      </c>
      <c r="O3488">
        <v>5</v>
      </c>
      <c r="P3488">
        <v>10</v>
      </c>
      <c r="Q3488">
        <v>37.320972034967298</v>
      </c>
      <c r="R3488">
        <v>23.1</v>
      </c>
      <c r="T3488" s="358" t="str">
        <f t="shared" si="155"/>
        <v>2012MaleNon-Maori21Poisoning by solids and liquids</v>
      </c>
      <c r="U3488" s="360">
        <v>2012</v>
      </c>
      <c r="V3488" s="360" t="s">
        <v>20</v>
      </c>
      <c r="W3488" s="360" t="s">
        <v>19</v>
      </c>
      <c r="X3488" s="360">
        <v>21</v>
      </c>
      <c r="Y3488" s="360" t="s">
        <v>47</v>
      </c>
      <c r="Z3488" s="360">
        <v>1</v>
      </c>
      <c r="AA3488" s="360">
        <v>2</v>
      </c>
      <c r="AB3488" s="360">
        <v>50</v>
      </c>
    </row>
    <row r="3489" spans="10:28" x14ac:dyDescent="0.2">
      <c r="J3489" s="358" t="str">
        <f t="shared" si="154"/>
        <v>2013FemaleMaori231</v>
      </c>
      <c r="K3489" s="359">
        <v>2013</v>
      </c>
      <c r="L3489" t="s">
        <v>8</v>
      </c>
      <c r="M3489" t="s">
        <v>18</v>
      </c>
      <c r="N3489">
        <v>23</v>
      </c>
      <c r="O3489">
        <v>1</v>
      </c>
      <c r="P3489">
        <v>0</v>
      </c>
      <c r="Q3489">
        <v>0</v>
      </c>
      <c r="T3489" s="358" t="str">
        <f t="shared" si="155"/>
        <v>2012MaleNon-Maori22Poisoning by solids and liquids</v>
      </c>
      <c r="U3489" s="360">
        <v>2012</v>
      </c>
      <c r="V3489" s="360" t="s">
        <v>20</v>
      </c>
      <c r="W3489" s="360" t="s">
        <v>19</v>
      </c>
      <c r="X3489" s="360">
        <v>22</v>
      </c>
      <c r="Y3489" s="360" t="s">
        <v>47</v>
      </c>
      <c r="Z3489" s="360">
        <v>3</v>
      </c>
      <c r="AA3489" s="360">
        <v>70</v>
      </c>
      <c r="AB3489" s="360">
        <v>4.3</v>
      </c>
    </row>
    <row r="3490" spans="10:28" x14ac:dyDescent="0.2">
      <c r="J3490" s="358" t="str">
        <f t="shared" si="154"/>
        <v>2013FemaleMaori232</v>
      </c>
      <c r="K3490" s="359">
        <v>2013</v>
      </c>
      <c r="L3490" t="s">
        <v>8</v>
      </c>
      <c r="M3490" t="s">
        <v>18</v>
      </c>
      <c r="N3490">
        <v>23</v>
      </c>
      <c r="O3490">
        <v>2</v>
      </c>
      <c r="P3490">
        <v>2</v>
      </c>
      <c r="Q3490">
        <v>18.667957009336401</v>
      </c>
      <c r="R3490">
        <v>25.9</v>
      </c>
      <c r="T3490" s="358" t="str">
        <f t="shared" si="155"/>
        <v>2012MaleNon-Maori23Poisoning by solids and liquids</v>
      </c>
      <c r="U3490" s="360">
        <v>2012</v>
      </c>
      <c r="V3490" s="360" t="s">
        <v>20</v>
      </c>
      <c r="W3490" s="360" t="s">
        <v>19</v>
      </c>
      <c r="X3490" s="360">
        <v>23</v>
      </c>
      <c r="Y3490" s="360" t="s">
        <v>47</v>
      </c>
      <c r="Z3490" s="360">
        <v>8</v>
      </c>
      <c r="AA3490" s="360">
        <v>113</v>
      </c>
      <c r="AB3490" s="360">
        <v>7.1</v>
      </c>
    </row>
    <row r="3491" spans="10:28" x14ac:dyDescent="0.2">
      <c r="J3491" s="358" t="str">
        <f t="shared" si="154"/>
        <v>2013FemaleMaori233</v>
      </c>
      <c r="K3491" s="359">
        <v>2013</v>
      </c>
      <c r="L3491" t="s">
        <v>8</v>
      </c>
      <c r="M3491" t="s">
        <v>18</v>
      </c>
      <c r="N3491">
        <v>23</v>
      </c>
      <c r="O3491">
        <v>3</v>
      </c>
      <c r="P3491">
        <v>2</v>
      </c>
      <c r="Q3491">
        <v>13.3734966989902</v>
      </c>
      <c r="R3491">
        <v>18.5</v>
      </c>
      <c r="T3491" s="358" t="str">
        <f t="shared" si="155"/>
        <v>2012MaleNon-Maori24Poisoning by solids and liquids</v>
      </c>
      <c r="U3491" s="360">
        <v>2012</v>
      </c>
      <c r="V3491" s="360" t="s">
        <v>20</v>
      </c>
      <c r="W3491" s="360" t="s">
        <v>19</v>
      </c>
      <c r="X3491" s="360">
        <v>24</v>
      </c>
      <c r="Y3491" s="360" t="s">
        <v>47</v>
      </c>
      <c r="Z3491" s="360">
        <v>10</v>
      </c>
      <c r="AA3491" s="360">
        <v>96</v>
      </c>
      <c r="AB3491" s="360">
        <v>10.4</v>
      </c>
    </row>
    <row r="3492" spans="10:28" x14ac:dyDescent="0.2">
      <c r="J3492" s="358" t="str">
        <f t="shared" si="154"/>
        <v>2013FemaleMaori234</v>
      </c>
      <c r="K3492" s="359">
        <v>2013</v>
      </c>
      <c r="L3492" t="s">
        <v>8</v>
      </c>
      <c r="M3492" t="s">
        <v>18</v>
      </c>
      <c r="N3492">
        <v>23</v>
      </c>
      <c r="O3492">
        <v>4</v>
      </c>
      <c r="P3492">
        <v>3</v>
      </c>
      <c r="Q3492">
        <v>14.321907129587901</v>
      </c>
      <c r="R3492">
        <v>16.2</v>
      </c>
      <c r="T3492" s="358" t="str">
        <f t="shared" si="155"/>
        <v>2012MaleNon-Maori25Poisoning by solids and liquids</v>
      </c>
      <c r="U3492" s="360">
        <v>2012</v>
      </c>
      <c r="V3492" s="360" t="s">
        <v>20</v>
      </c>
      <c r="W3492" s="360" t="s">
        <v>19</v>
      </c>
      <c r="X3492" s="360">
        <v>25</v>
      </c>
      <c r="Y3492" s="360" t="s">
        <v>47</v>
      </c>
      <c r="Z3492" s="360">
        <v>6</v>
      </c>
      <c r="AA3492" s="360">
        <v>42</v>
      </c>
      <c r="AB3492" s="360">
        <v>14.3</v>
      </c>
    </row>
    <row r="3493" spans="10:28" x14ac:dyDescent="0.2">
      <c r="J3493" s="358" t="str">
        <f t="shared" si="154"/>
        <v>2013FemaleMaori235</v>
      </c>
      <c r="K3493" s="359">
        <v>2013</v>
      </c>
      <c r="L3493" t="s">
        <v>8</v>
      </c>
      <c r="M3493" t="s">
        <v>18</v>
      </c>
      <c r="N3493">
        <v>23</v>
      </c>
      <c r="O3493">
        <v>5</v>
      </c>
      <c r="P3493">
        <v>6</v>
      </c>
      <c r="Q3493">
        <v>16.555349476076799</v>
      </c>
      <c r="R3493">
        <v>13.2</v>
      </c>
      <c r="T3493" s="358" t="str">
        <f t="shared" si="155"/>
        <v>2012MaleNon-Maori23Sharp object</v>
      </c>
      <c r="U3493" s="360">
        <v>2012</v>
      </c>
      <c r="V3493" s="360" t="s">
        <v>20</v>
      </c>
      <c r="W3493" s="360" t="s">
        <v>19</v>
      </c>
      <c r="X3493" s="360">
        <v>23</v>
      </c>
      <c r="Y3493" s="360" t="s">
        <v>48</v>
      </c>
      <c r="Z3493" s="360">
        <v>5</v>
      </c>
      <c r="AA3493" s="360">
        <v>113</v>
      </c>
      <c r="AB3493" s="360">
        <v>4.4000000000000004</v>
      </c>
    </row>
    <row r="3494" spans="10:28" x14ac:dyDescent="0.2">
      <c r="J3494" s="358" t="str">
        <f t="shared" si="154"/>
        <v>2013FemaleMaori241</v>
      </c>
      <c r="K3494" s="359">
        <v>2013</v>
      </c>
      <c r="L3494" t="s">
        <v>8</v>
      </c>
      <c r="M3494" t="s">
        <v>18</v>
      </c>
      <c r="N3494">
        <v>24</v>
      </c>
      <c r="O3494">
        <v>1</v>
      </c>
      <c r="P3494">
        <v>0</v>
      </c>
      <c r="Q3494">
        <v>0</v>
      </c>
      <c r="T3494" s="358" t="str">
        <f t="shared" si="155"/>
        <v>2012MaleNon-Maori24Sharp object</v>
      </c>
      <c r="U3494" s="360">
        <v>2012</v>
      </c>
      <c r="V3494" s="360" t="s">
        <v>20</v>
      </c>
      <c r="W3494" s="360" t="s">
        <v>19</v>
      </c>
      <c r="X3494" s="360">
        <v>24</v>
      </c>
      <c r="Y3494" s="360" t="s">
        <v>48</v>
      </c>
      <c r="Z3494" s="360">
        <v>4</v>
      </c>
      <c r="AA3494" s="360">
        <v>96</v>
      </c>
      <c r="AB3494" s="360">
        <v>4.2</v>
      </c>
    </row>
    <row r="3495" spans="10:28" x14ac:dyDescent="0.2">
      <c r="J3495" s="358" t="str">
        <f t="shared" si="154"/>
        <v>2013FemaleMaori242</v>
      </c>
      <c r="K3495" s="359">
        <v>2013</v>
      </c>
      <c r="L3495" t="s">
        <v>8</v>
      </c>
      <c r="M3495" t="s">
        <v>18</v>
      </c>
      <c r="N3495">
        <v>24</v>
      </c>
      <c r="O3495">
        <v>2</v>
      </c>
      <c r="P3495">
        <v>0</v>
      </c>
      <c r="Q3495">
        <v>0</v>
      </c>
      <c r="T3495" s="358" t="str">
        <f t="shared" si="155"/>
        <v>2012MaleNon-Maori25Sharp object</v>
      </c>
      <c r="U3495" s="360">
        <v>2012</v>
      </c>
      <c r="V3495" s="360" t="s">
        <v>20</v>
      </c>
      <c r="W3495" s="360" t="s">
        <v>19</v>
      </c>
      <c r="X3495" s="360">
        <v>25</v>
      </c>
      <c r="Y3495" s="360" t="s">
        <v>48</v>
      </c>
      <c r="Z3495" s="360">
        <v>3</v>
      </c>
      <c r="AA3495" s="360">
        <v>42</v>
      </c>
      <c r="AB3495" s="360">
        <v>7.1</v>
      </c>
    </row>
    <row r="3496" spans="10:28" x14ac:dyDescent="0.2">
      <c r="J3496" s="358" t="str">
        <f t="shared" si="154"/>
        <v>2013FemaleMaori243</v>
      </c>
      <c r="K3496" s="359">
        <v>2013</v>
      </c>
      <c r="L3496" t="s">
        <v>8</v>
      </c>
      <c r="M3496" t="s">
        <v>18</v>
      </c>
      <c r="N3496">
        <v>24</v>
      </c>
      <c r="O3496">
        <v>3</v>
      </c>
      <c r="P3496">
        <v>1</v>
      </c>
      <c r="Q3496">
        <v>9.4085047243188598</v>
      </c>
      <c r="R3496">
        <v>18.399999999999999</v>
      </c>
      <c r="T3496" s="358" t="str">
        <f t="shared" si="155"/>
        <v>2012MaleNon-Maori23Submersion (drowning)</v>
      </c>
      <c r="U3496" s="360">
        <v>2012</v>
      </c>
      <c r="V3496" s="360" t="s">
        <v>20</v>
      </c>
      <c r="W3496" s="360" t="s">
        <v>19</v>
      </c>
      <c r="X3496" s="360">
        <v>23</v>
      </c>
      <c r="Y3496" s="360" t="s">
        <v>49</v>
      </c>
      <c r="Z3496" s="360">
        <v>1</v>
      </c>
      <c r="AA3496" s="360">
        <v>113</v>
      </c>
      <c r="AB3496" s="360">
        <v>0.9</v>
      </c>
    </row>
    <row r="3497" spans="10:28" x14ac:dyDescent="0.2">
      <c r="J3497" s="358" t="str">
        <f t="shared" si="154"/>
        <v>2013FemaleMaori244</v>
      </c>
      <c r="K3497" s="359">
        <v>2013</v>
      </c>
      <c r="L3497" t="s">
        <v>8</v>
      </c>
      <c r="M3497" t="s">
        <v>18</v>
      </c>
      <c r="N3497">
        <v>24</v>
      </c>
      <c r="O3497">
        <v>4</v>
      </c>
      <c r="P3497">
        <v>0</v>
      </c>
      <c r="Q3497">
        <v>0</v>
      </c>
      <c r="T3497" s="358" t="str">
        <f t="shared" si="155"/>
        <v>2012MaleNon-Maori24Submersion (drowning)</v>
      </c>
      <c r="U3497" s="360">
        <v>2012</v>
      </c>
      <c r="V3497" s="360" t="s">
        <v>20</v>
      </c>
      <c r="W3497" s="360" t="s">
        <v>19</v>
      </c>
      <c r="X3497" s="360">
        <v>24</v>
      </c>
      <c r="Y3497" s="360" t="s">
        <v>49</v>
      </c>
      <c r="Z3497" s="360">
        <v>1</v>
      </c>
      <c r="AA3497" s="360">
        <v>96</v>
      </c>
      <c r="AB3497" s="360">
        <v>1</v>
      </c>
    </row>
    <row r="3498" spans="10:28" x14ac:dyDescent="0.2">
      <c r="J3498" s="358" t="str">
        <f t="shared" si="154"/>
        <v>2013FemaleMaori245</v>
      </c>
      <c r="K3498" s="359">
        <v>2013</v>
      </c>
      <c r="L3498" t="s">
        <v>8</v>
      </c>
      <c r="M3498" t="s">
        <v>18</v>
      </c>
      <c r="N3498">
        <v>24</v>
      </c>
      <c r="O3498">
        <v>5</v>
      </c>
      <c r="P3498">
        <v>4</v>
      </c>
      <c r="Q3498">
        <v>14.507170059245</v>
      </c>
      <c r="R3498">
        <v>14.2</v>
      </c>
      <c r="T3498" s="358" t="str">
        <f t="shared" si="155"/>
        <v>2012MaleNon-Maori25Submersion (drowning)</v>
      </c>
      <c r="U3498" s="360">
        <v>2012</v>
      </c>
      <c r="V3498" s="360" t="s">
        <v>20</v>
      </c>
      <c r="W3498" s="360" t="s">
        <v>19</v>
      </c>
      <c r="X3498" s="360">
        <v>25</v>
      </c>
      <c r="Y3498" s="360" t="s">
        <v>49</v>
      </c>
      <c r="Z3498" s="360">
        <v>1</v>
      </c>
      <c r="AA3498" s="360">
        <v>42</v>
      </c>
      <c r="AB3498" s="360">
        <v>2.4</v>
      </c>
    </row>
    <row r="3499" spans="10:28" x14ac:dyDescent="0.2">
      <c r="J3499" s="358" t="str">
        <f t="shared" si="154"/>
        <v>2013FemaleMaori251</v>
      </c>
      <c r="K3499" s="359">
        <v>2013</v>
      </c>
      <c r="L3499" t="s">
        <v>8</v>
      </c>
      <c r="M3499" t="s">
        <v>18</v>
      </c>
      <c r="N3499">
        <v>25</v>
      </c>
      <c r="O3499">
        <v>1</v>
      </c>
      <c r="P3499">
        <v>0</v>
      </c>
      <c r="Q3499">
        <v>0</v>
      </c>
      <c r="T3499" s="358" t="str">
        <f t="shared" si="155"/>
        <v>2013AllSexAllEth22Firearms and explosives</v>
      </c>
      <c r="U3499" s="360">
        <v>2013</v>
      </c>
      <c r="V3499" s="360" t="s">
        <v>17</v>
      </c>
      <c r="W3499" s="360" t="s">
        <v>27</v>
      </c>
      <c r="X3499" s="360">
        <v>22</v>
      </c>
      <c r="Y3499" s="360" t="s">
        <v>42</v>
      </c>
      <c r="Z3499" s="360">
        <v>6</v>
      </c>
      <c r="AA3499" s="360">
        <v>112</v>
      </c>
      <c r="AB3499" s="360">
        <v>5.4</v>
      </c>
    </row>
    <row r="3500" spans="10:28" x14ac:dyDescent="0.2">
      <c r="J3500" s="358" t="str">
        <f t="shared" si="154"/>
        <v>2013FemaleMaori252</v>
      </c>
      <c r="K3500" s="359">
        <v>2013</v>
      </c>
      <c r="L3500" t="s">
        <v>8</v>
      </c>
      <c r="M3500" t="s">
        <v>18</v>
      </c>
      <c r="N3500">
        <v>25</v>
      </c>
      <c r="O3500">
        <v>2</v>
      </c>
      <c r="P3500">
        <v>0</v>
      </c>
      <c r="Q3500">
        <v>0</v>
      </c>
      <c r="T3500" s="358" t="str">
        <f t="shared" si="155"/>
        <v>2013AllSexAllEth23Firearms and explosives</v>
      </c>
      <c r="U3500" s="360">
        <v>2013</v>
      </c>
      <c r="V3500" s="360" t="s">
        <v>17</v>
      </c>
      <c r="W3500" s="360" t="s">
        <v>27</v>
      </c>
      <c r="X3500" s="360">
        <v>23</v>
      </c>
      <c r="Y3500" s="360" t="s">
        <v>42</v>
      </c>
      <c r="Z3500" s="360">
        <v>6</v>
      </c>
      <c r="AA3500" s="360">
        <v>161</v>
      </c>
      <c r="AB3500" s="360">
        <v>3.7</v>
      </c>
    </row>
    <row r="3501" spans="10:28" x14ac:dyDescent="0.2">
      <c r="J3501" s="358" t="str">
        <f t="shared" si="154"/>
        <v>2013FemaleMaori253</v>
      </c>
      <c r="K3501" s="359">
        <v>2013</v>
      </c>
      <c r="L3501" t="s">
        <v>8</v>
      </c>
      <c r="M3501" t="s">
        <v>18</v>
      </c>
      <c r="N3501">
        <v>25</v>
      </c>
      <c r="O3501">
        <v>3</v>
      </c>
      <c r="P3501">
        <v>0</v>
      </c>
      <c r="Q3501">
        <v>0</v>
      </c>
      <c r="T3501" s="358" t="str">
        <f t="shared" si="155"/>
        <v>2013AllSexAllEth24Firearms and explosives</v>
      </c>
      <c r="U3501" s="360">
        <v>2013</v>
      </c>
      <c r="V3501" s="360" t="s">
        <v>17</v>
      </c>
      <c r="W3501" s="360" t="s">
        <v>27</v>
      </c>
      <c r="X3501" s="360">
        <v>24</v>
      </c>
      <c r="Y3501" s="360" t="s">
        <v>42</v>
      </c>
      <c r="Z3501" s="360">
        <v>21</v>
      </c>
      <c r="AA3501" s="360">
        <v>183</v>
      </c>
      <c r="AB3501" s="360">
        <v>11.5</v>
      </c>
    </row>
    <row r="3502" spans="10:28" x14ac:dyDescent="0.2">
      <c r="J3502" s="358" t="str">
        <f t="shared" si="154"/>
        <v>2013FemaleMaori254</v>
      </c>
      <c r="K3502" s="359">
        <v>2013</v>
      </c>
      <c r="L3502" t="s">
        <v>8</v>
      </c>
      <c r="M3502" t="s">
        <v>18</v>
      </c>
      <c r="N3502">
        <v>25</v>
      </c>
      <c r="O3502">
        <v>4</v>
      </c>
      <c r="P3502">
        <v>0</v>
      </c>
      <c r="Q3502">
        <v>0</v>
      </c>
      <c r="T3502" s="358" t="str">
        <f t="shared" si="155"/>
        <v>2013AllSexAllEth25Firearms and explosives</v>
      </c>
      <c r="U3502" s="360">
        <v>2013</v>
      </c>
      <c r="V3502" s="360" t="s">
        <v>17</v>
      </c>
      <c r="W3502" s="360" t="s">
        <v>27</v>
      </c>
      <c r="X3502" s="360">
        <v>25</v>
      </c>
      <c r="Y3502" s="360" t="s">
        <v>42</v>
      </c>
      <c r="Z3502" s="360">
        <v>15</v>
      </c>
      <c r="AA3502" s="360">
        <v>56</v>
      </c>
      <c r="AB3502" s="360">
        <v>26.8</v>
      </c>
    </row>
    <row r="3503" spans="10:28" x14ac:dyDescent="0.2">
      <c r="J3503" s="358" t="str">
        <f t="shared" si="154"/>
        <v>2013FemaleMaori255</v>
      </c>
      <c r="K3503" s="359">
        <v>2013</v>
      </c>
      <c r="L3503" t="s">
        <v>8</v>
      </c>
      <c r="M3503" t="s">
        <v>18</v>
      </c>
      <c r="N3503">
        <v>25</v>
      </c>
      <c r="O3503">
        <v>5</v>
      </c>
      <c r="P3503">
        <v>0</v>
      </c>
      <c r="Q3503">
        <v>0</v>
      </c>
      <c r="T3503" s="358" t="str">
        <f t="shared" si="155"/>
        <v>2013AllSexAllEth21Hanging, strangulation and suffocation</v>
      </c>
      <c r="U3503" s="360">
        <v>2013</v>
      </c>
      <c r="V3503" s="360" t="s">
        <v>17</v>
      </c>
      <c r="W3503" s="360" t="s">
        <v>27</v>
      </c>
      <c r="X3503" s="360">
        <v>21</v>
      </c>
      <c r="Y3503" s="360" t="s">
        <v>43</v>
      </c>
      <c r="Z3503" s="360">
        <v>1</v>
      </c>
      <c r="AA3503" s="360">
        <v>2</v>
      </c>
      <c r="AB3503" s="360">
        <v>50</v>
      </c>
    </row>
    <row r="3504" spans="10:28" x14ac:dyDescent="0.2">
      <c r="J3504" s="358" t="str">
        <f t="shared" si="154"/>
        <v>2013FemaleNon-Maori211</v>
      </c>
      <c r="K3504" s="359">
        <v>2013</v>
      </c>
      <c r="L3504" t="s">
        <v>8</v>
      </c>
      <c r="M3504" t="s">
        <v>19</v>
      </c>
      <c r="N3504">
        <v>21</v>
      </c>
      <c r="O3504">
        <v>1</v>
      </c>
      <c r="P3504">
        <v>0</v>
      </c>
      <c r="T3504" s="358" t="str">
        <f t="shared" si="155"/>
        <v>2013AllSexAllEth22Hanging, strangulation and suffocation</v>
      </c>
      <c r="U3504" s="360">
        <v>2013</v>
      </c>
      <c r="V3504" s="360" t="s">
        <v>17</v>
      </c>
      <c r="W3504" s="360" t="s">
        <v>27</v>
      </c>
      <c r="X3504" s="360">
        <v>22</v>
      </c>
      <c r="Y3504" s="360" t="s">
        <v>43</v>
      </c>
      <c r="Z3504" s="360">
        <v>92</v>
      </c>
      <c r="AA3504" s="360">
        <v>112</v>
      </c>
      <c r="AB3504" s="360">
        <v>82.1</v>
      </c>
    </row>
    <row r="3505" spans="10:28" x14ac:dyDescent="0.2">
      <c r="J3505" s="358" t="str">
        <f t="shared" si="154"/>
        <v>2013FemaleNon-Maori212</v>
      </c>
      <c r="K3505" s="359">
        <v>2013</v>
      </c>
      <c r="L3505" t="s">
        <v>8</v>
      </c>
      <c r="M3505" t="s">
        <v>19</v>
      </c>
      <c r="N3505">
        <v>21</v>
      </c>
      <c r="O3505">
        <v>2</v>
      </c>
      <c r="P3505">
        <v>0</v>
      </c>
      <c r="T3505" s="358" t="str">
        <f t="shared" si="155"/>
        <v>2013AllSexAllEth23Hanging, strangulation and suffocation</v>
      </c>
      <c r="U3505" s="360">
        <v>2013</v>
      </c>
      <c r="V3505" s="360" t="s">
        <v>17</v>
      </c>
      <c r="W3505" s="360" t="s">
        <v>27</v>
      </c>
      <c r="X3505" s="360">
        <v>23</v>
      </c>
      <c r="Y3505" s="360" t="s">
        <v>43</v>
      </c>
      <c r="Z3505" s="360">
        <v>109</v>
      </c>
      <c r="AA3505" s="360">
        <v>161</v>
      </c>
      <c r="AB3505" s="360">
        <v>67.7</v>
      </c>
    </row>
    <row r="3506" spans="10:28" x14ac:dyDescent="0.2">
      <c r="J3506" s="358" t="str">
        <f t="shared" si="154"/>
        <v>2013FemaleNon-Maori213</v>
      </c>
      <c r="K3506" s="359">
        <v>2013</v>
      </c>
      <c r="L3506" t="s">
        <v>8</v>
      </c>
      <c r="M3506" t="s">
        <v>19</v>
      </c>
      <c r="N3506">
        <v>21</v>
      </c>
      <c r="O3506">
        <v>3</v>
      </c>
      <c r="P3506">
        <v>0</v>
      </c>
      <c r="T3506" s="358" t="str">
        <f t="shared" si="155"/>
        <v>2013AllSexAllEth24Hanging, strangulation and suffocation</v>
      </c>
      <c r="U3506" s="360">
        <v>2013</v>
      </c>
      <c r="V3506" s="360" t="s">
        <v>17</v>
      </c>
      <c r="W3506" s="360" t="s">
        <v>27</v>
      </c>
      <c r="X3506" s="360">
        <v>24</v>
      </c>
      <c r="Y3506" s="360" t="s">
        <v>43</v>
      </c>
      <c r="Z3506" s="360">
        <v>71</v>
      </c>
      <c r="AA3506" s="360">
        <v>183</v>
      </c>
      <c r="AB3506" s="360">
        <v>38.799999999999997</v>
      </c>
    </row>
    <row r="3507" spans="10:28" x14ac:dyDescent="0.2">
      <c r="J3507" s="358" t="str">
        <f t="shared" si="154"/>
        <v>2013FemaleNon-Maori214</v>
      </c>
      <c r="K3507" s="359">
        <v>2013</v>
      </c>
      <c r="L3507" t="s">
        <v>8</v>
      </c>
      <c r="M3507" t="s">
        <v>19</v>
      </c>
      <c r="N3507">
        <v>21</v>
      </c>
      <c r="O3507">
        <v>4</v>
      </c>
      <c r="P3507">
        <v>0</v>
      </c>
      <c r="T3507" s="358" t="str">
        <f t="shared" si="155"/>
        <v>2013AllSexAllEth25Hanging, strangulation and suffocation</v>
      </c>
      <c r="U3507" s="360">
        <v>2013</v>
      </c>
      <c r="V3507" s="360" t="s">
        <v>17</v>
      </c>
      <c r="W3507" s="360" t="s">
        <v>27</v>
      </c>
      <c r="X3507" s="360">
        <v>25</v>
      </c>
      <c r="Y3507" s="360" t="s">
        <v>43</v>
      </c>
      <c r="Z3507" s="360">
        <v>21</v>
      </c>
      <c r="AA3507" s="360">
        <v>56</v>
      </c>
      <c r="AB3507" s="360">
        <v>37.5</v>
      </c>
    </row>
    <row r="3508" spans="10:28" x14ac:dyDescent="0.2">
      <c r="J3508" s="358" t="str">
        <f t="shared" si="154"/>
        <v>2013FemaleNon-Maori215</v>
      </c>
      <c r="K3508" s="359">
        <v>2013</v>
      </c>
      <c r="L3508" t="s">
        <v>8</v>
      </c>
      <c r="M3508" t="s">
        <v>19</v>
      </c>
      <c r="N3508">
        <v>21</v>
      </c>
      <c r="O3508">
        <v>5</v>
      </c>
      <c r="P3508">
        <v>1</v>
      </c>
      <c r="T3508" s="358" t="str">
        <f t="shared" si="155"/>
        <v>2013AllSexAllEth22Jumping from a high place</v>
      </c>
      <c r="U3508" s="360">
        <v>2013</v>
      </c>
      <c r="V3508" s="360" t="s">
        <v>17</v>
      </c>
      <c r="W3508" s="360" t="s">
        <v>27</v>
      </c>
      <c r="X3508" s="360">
        <v>22</v>
      </c>
      <c r="Y3508" s="360" t="s">
        <v>44</v>
      </c>
      <c r="Z3508" s="360">
        <v>2</v>
      </c>
      <c r="AA3508" s="360">
        <v>112</v>
      </c>
      <c r="AB3508" s="360">
        <v>1.8</v>
      </c>
    </row>
    <row r="3509" spans="10:28" x14ac:dyDescent="0.2">
      <c r="J3509" s="358" t="str">
        <f t="shared" si="154"/>
        <v>2013FemaleNon-Maori221</v>
      </c>
      <c r="K3509" s="359">
        <v>2013</v>
      </c>
      <c r="L3509" t="s">
        <v>8</v>
      </c>
      <c r="M3509" t="s">
        <v>19</v>
      </c>
      <c r="N3509">
        <v>22</v>
      </c>
      <c r="O3509">
        <v>1</v>
      </c>
      <c r="P3509">
        <v>0</v>
      </c>
      <c r="Q3509">
        <v>0</v>
      </c>
      <c r="T3509" s="358" t="str">
        <f t="shared" si="155"/>
        <v>2013AllSexAllEth23Jumping from a high place</v>
      </c>
      <c r="U3509" s="360">
        <v>2013</v>
      </c>
      <c r="V3509" s="360" t="s">
        <v>17</v>
      </c>
      <c r="W3509" s="360" t="s">
        <v>27</v>
      </c>
      <c r="X3509" s="360">
        <v>23</v>
      </c>
      <c r="Y3509" s="360" t="s">
        <v>44</v>
      </c>
      <c r="Z3509" s="360">
        <v>3</v>
      </c>
      <c r="AA3509" s="360">
        <v>161</v>
      </c>
      <c r="AB3509" s="360">
        <v>1.9</v>
      </c>
    </row>
    <row r="3510" spans="10:28" x14ac:dyDescent="0.2">
      <c r="J3510" s="358" t="str">
        <f t="shared" si="154"/>
        <v>2013FemaleNon-Maori222</v>
      </c>
      <c r="K3510" s="359">
        <v>2013</v>
      </c>
      <c r="L3510" t="s">
        <v>8</v>
      </c>
      <c r="M3510" t="s">
        <v>19</v>
      </c>
      <c r="N3510">
        <v>22</v>
      </c>
      <c r="O3510">
        <v>2</v>
      </c>
      <c r="P3510">
        <v>3</v>
      </c>
      <c r="Q3510">
        <v>6.3627739913974999</v>
      </c>
      <c r="R3510">
        <v>7.2</v>
      </c>
      <c r="T3510" s="358" t="str">
        <f t="shared" si="155"/>
        <v>2013AllSexAllEth24Jumping from a high place</v>
      </c>
      <c r="U3510" s="360">
        <v>2013</v>
      </c>
      <c r="V3510" s="360" t="s">
        <v>17</v>
      </c>
      <c r="W3510" s="360" t="s">
        <v>27</v>
      </c>
      <c r="X3510" s="360">
        <v>24</v>
      </c>
      <c r="Y3510" s="360" t="s">
        <v>44</v>
      </c>
      <c r="Z3510" s="360">
        <v>9</v>
      </c>
      <c r="AA3510" s="360">
        <v>183</v>
      </c>
      <c r="AB3510" s="360">
        <v>4.9000000000000004</v>
      </c>
    </row>
    <row r="3511" spans="10:28" x14ac:dyDescent="0.2">
      <c r="J3511" s="358" t="str">
        <f t="shared" si="154"/>
        <v>2013FemaleNon-Maori223</v>
      </c>
      <c r="K3511" s="359">
        <v>2013</v>
      </c>
      <c r="L3511" t="s">
        <v>8</v>
      </c>
      <c r="M3511" t="s">
        <v>19</v>
      </c>
      <c r="N3511">
        <v>22</v>
      </c>
      <c r="O3511">
        <v>3</v>
      </c>
      <c r="P3511">
        <v>4</v>
      </c>
      <c r="Q3511">
        <v>8.4317619122777199</v>
      </c>
      <c r="R3511">
        <v>8.3000000000000007</v>
      </c>
      <c r="T3511" s="358" t="str">
        <f t="shared" si="155"/>
        <v>2013AllSexAllEth21Other</v>
      </c>
      <c r="U3511" s="360">
        <v>2013</v>
      </c>
      <c r="V3511" s="360" t="s">
        <v>17</v>
      </c>
      <c r="W3511" s="360" t="s">
        <v>27</v>
      </c>
      <c r="X3511" s="360">
        <v>21</v>
      </c>
      <c r="Y3511" s="360" t="s">
        <v>45</v>
      </c>
      <c r="Z3511" s="360">
        <v>1</v>
      </c>
      <c r="AA3511" s="360">
        <v>2</v>
      </c>
      <c r="AB3511" s="360">
        <v>50</v>
      </c>
    </row>
    <row r="3512" spans="10:28" x14ac:dyDescent="0.2">
      <c r="J3512" s="358" t="str">
        <f t="shared" si="154"/>
        <v>2013FemaleNon-Maori224</v>
      </c>
      <c r="K3512" s="359">
        <v>2013</v>
      </c>
      <c r="L3512" t="s">
        <v>8</v>
      </c>
      <c r="M3512" t="s">
        <v>19</v>
      </c>
      <c r="N3512">
        <v>22</v>
      </c>
      <c r="O3512">
        <v>4</v>
      </c>
      <c r="P3512">
        <v>5</v>
      </c>
      <c r="Q3512">
        <v>9.7653737253342907</v>
      </c>
      <c r="R3512">
        <v>8.6</v>
      </c>
      <c r="T3512" s="358" t="str">
        <f t="shared" si="155"/>
        <v>2013AllSexAllEth22Other</v>
      </c>
      <c r="U3512" s="360">
        <v>2013</v>
      </c>
      <c r="V3512" s="360" t="s">
        <v>17</v>
      </c>
      <c r="W3512" s="360" t="s">
        <v>27</v>
      </c>
      <c r="X3512" s="360">
        <v>22</v>
      </c>
      <c r="Y3512" s="360" t="s">
        <v>45</v>
      </c>
      <c r="Z3512" s="360">
        <v>1</v>
      </c>
      <c r="AA3512" s="360">
        <v>112</v>
      </c>
      <c r="AB3512" s="360">
        <v>0.9</v>
      </c>
    </row>
    <row r="3513" spans="10:28" x14ac:dyDescent="0.2">
      <c r="J3513" s="358" t="str">
        <f t="shared" si="154"/>
        <v>2013FemaleNon-Maori225</v>
      </c>
      <c r="K3513" s="359">
        <v>2013</v>
      </c>
      <c r="L3513" t="s">
        <v>8</v>
      </c>
      <c r="M3513" t="s">
        <v>19</v>
      </c>
      <c r="N3513">
        <v>22</v>
      </c>
      <c r="O3513">
        <v>5</v>
      </c>
      <c r="P3513">
        <v>6</v>
      </c>
      <c r="Q3513">
        <v>12.007089513155901</v>
      </c>
      <c r="R3513">
        <v>9.6</v>
      </c>
      <c r="T3513" s="358" t="str">
        <f t="shared" si="155"/>
        <v>2013AllSexAllEth23Other</v>
      </c>
      <c r="U3513" s="360">
        <v>2013</v>
      </c>
      <c r="V3513" s="360" t="s">
        <v>17</v>
      </c>
      <c r="W3513" s="360" t="s">
        <v>27</v>
      </c>
      <c r="X3513" s="360">
        <v>23</v>
      </c>
      <c r="Y3513" s="360" t="s">
        <v>45</v>
      </c>
      <c r="Z3513" s="360">
        <v>5</v>
      </c>
      <c r="AA3513" s="360">
        <v>161</v>
      </c>
      <c r="AB3513" s="360">
        <v>3.1</v>
      </c>
    </row>
    <row r="3514" spans="10:28" x14ac:dyDescent="0.2">
      <c r="J3514" s="358" t="str">
        <f t="shared" si="154"/>
        <v>2013FemaleNon-Maori231</v>
      </c>
      <c r="K3514" s="359">
        <v>2013</v>
      </c>
      <c r="L3514" t="s">
        <v>8</v>
      </c>
      <c r="M3514" t="s">
        <v>19</v>
      </c>
      <c r="N3514">
        <v>23</v>
      </c>
      <c r="O3514">
        <v>1</v>
      </c>
      <c r="P3514">
        <v>6</v>
      </c>
      <c r="Q3514">
        <v>5.6166488795329501</v>
      </c>
      <c r="R3514">
        <v>4.5</v>
      </c>
      <c r="T3514" s="358" t="str">
        <f t="shared" si="155"/>
        <v>2013AllSexAllEth24Other</v>
      </c>
      <c r="U3514" s="360">
        <v>2013</v>
      </c>
      <c r="V3514" s="360" t="s">
        <v>17</v>
      </c>
      <c r="W3514" s="360" t="s">
        <v>27</v>
      </c>
      <c r="X3514" s="360">
        <v>24</v>
      </c>
      <c r="Y3514" s="360" t="s">
        <v>45</v>
      </c>
      <c r="Z3514" s="360">
        <v>11</v>
      </c>
      <c r="AA3514" s="360">
        <v>183</v>
      </c>
      <c r="AB3514" s="360">
        <v>6</v>
      </c>
    </row>
    <row r="3515" spans="10:28" x14ac:dyDescent="0.2">
      <c r="J3515" s="358" t="str">
        <f t="shared" si="154"/>
        <v>2013FemaleNon-Maori232</v>
      </c>
      <c r="K3515" s="359">
        <v>2013</v>
      </c>
      <c r="L3515" t="s">
        <v>8</v>
      </c>
      <c r="M3515" t="s">
        <v>19</v>
      </c>
      <c r="N3515">
        <v>23</v>
      </c>
      <c r="O3515">
        <v>2</v>
      </c>
      <c r="P3515">
        <v>5</v>
      </c>
      <c r="Q3515">
        <v>4.49609389162186</v>
      </c>
      <c r="R3515">
        <v>3.9</v>
      </c>
      <c r="T3515" s="358" t="str">
        <f t="shared" si="155"/>
        <v>2013AllSexAllEth25Other</v>
      </c>
      <c r="U3515" s="360">
        <v>2013</v>
      </c>
      <c r="V3515" s="360" t="s">
        <v>17</v>
      </c>
      <c r="W3515" s="360" t="s">
        <v>27</v>
      </c>
      <c r="X3515" s="360">
        <v>25</v>
      </c>
      <c r="Y3515" s="360" t="s">
        <v>45</v>
      </c>
      <c r="Z3515" s="360">
        <v>1</v>
      </c>
      <c r="AA3515" s="360">
        <v>56</v>
      </c>
      <c r="AB3515" s="360">
        <v>1.8</v>
      </c>
    </row>
    <row r="3516" spans="10:28" x14ac:dyDescent="0.2">
      <c r="J3516" s="358" t="str">
        <f t="shared" si="154"/>
        <v>2013FemaleNon-Maori233</v>
      </c>
      <c r="K3516" s="359">
        <v>2013</v>
      </c>
      <c r="L3516" t="s">
        <v>8</v>
      </c>
      <c r="M3516" t="s">
        <v>19</v>
      </c>
      <c r="N3516">
        <v>23</v>
      </c>
      <c r="O3516">
        <v>3</v>
      </c>
      <c r="P3516">
        <v>10</v>
      </c>
      <c r="Q3516">
        <v>9.2775836347375602</v>
      </c>
      <c r="R3516">
        <v>5.8</v>
      </c>
      <c r="T3516" s="358" t="str">
        <f t="shared" si="155"/>
        <v>2013AllSexAllEth22Poisoning by gases and vapours</v>
      </c>
      <c r="U3516" s="360">
        <v>2013</v>
      </c>
      <c r="V3516" s="360" t="s">
        <v>17</v>
      </c>
      <c r="W3516" s="360" t="s">
        <v>27</v>
      </c>
      <c r="X3516" s="360">
        <v>22</v>
      </c>
      <c r="Y3516" s="360" t="s">
        <v>46</v>
      </c>
      <c r="Z3516" s="360">
        <v>3</v>
      </c>
      <c r="AA3516" s="360">
        <v>112</v>
      </c>
      <c r="AB3516" s="360">
        <v>2.7</v>
      </c>
    </row>
    <row r="3517" spans="10:28" x14ac:dyDescent="0.2">
      <c r="J3517" s="358" t="str">
        <f t="shared" si="154"/>
        <v>2013FemaleNon-Maori234</v>
      </c>
      <c r="K3517" s="359">
        <v>2013</v>
      </c>
      <c r="L3517" t="s">
        <v>8</v>
      </c>
      <c r="M3517" t="s">
        <v>19</v>
      </c>
      <c r="N3517">
        <v>23</v>
      </c>
      <c r="O3517">
        <v>4</v>
      </c>
      <c r="P3517">
        <v>1</v>
      </c>
      <c r="Q3517">
        <v>1.0104795215325</v>
      </c>
      <c r="R3517">
        <v>2</v>
      </c>
      <c r="T3517" s="358" t="str">
        <f t="shared" si="155"/>
        <v>2013AllSexAllEth23Poisoning by gases and vapours</v>
      </c>
      <c r="U3517" s="360">
        <v>2013</v>
      </c>
      <c r="V3517" s="360" t="s">
        <v>17</v>
      </c>
      <c r="W3517" s="360" t="s">
        <v>27</v>
      </c>
      <c r="X3517" s="360">
        <v>23</v>
      </c>
      <c r="Y3517" s="360" t="s">
        <v>46</v>
      </c>
      <c r="Z3517" s="360">
        <v>16</v>
      </c>
      <c r="AA3517" s="360">
        <v>161</v>
      </c>
      <c r="AB3517" s="360">
        <v>9.9</v>
      </c>
    </row>
    <row r="3518" spans="10:28" x14ac:dyDescent="0.2">
      <c r="J3518" s="358" t="str">
        <f t="shared" si="154"/>
        <v>2013FemaleNon-Maori235</v>
      </c>
      <c r="K3518" s="359">
        <v>2013</v>
      </c>
      <c r="L3518" t="s">
        <v>8</v>
      </c>
      <c r="M3518" t="s">
        <v>19</v>
      </c>
      <c r="N3518">
        <v>23</v>
      </c>
      <c r="O3518">
        <v>5</v>
      </c>
      <c r="P3518">
        <v>8</v>
      </c>
      <c r="Q3518">
        <v>10.0184687652304</v>
      </c>
      <c r="R3518">
        <v>6.9</v>
      </c>
      <c r="T3518" s="358" t="str">
        <f t="shared" si="155"/>
        <v>2013AllSexAllEth24Poisoning by gases and vapours</v>
      </c>
      <c r="U3518" s="360">
        <v>2013</v>
      </c>
      <c r="V3518" s="360" t="s">
        <v>17</v>
      </c>
      <c r="W3518" s="360" t="s">
        <v>27</v>
      </c>
      <c r="X3518" s="360">
        <v>24</v>
      </c>
      <c r="Y3518" s="360" t="s">
        <v>46</v>
      </c>
      <c r="Z3518" s="360">
        <v>23</v>
      </c>
      <c r="AA3518" s="360">
        <v>183</v>
      </c>
      <c r="AB3518" s="360">
        <v>12.6</v>
      </c>
    </row>
    <row r="3519" spans="10:28" x14ac:dyDescent="0.2">
      <c r="J3519" s="358" t="str">
        <f t="shared" si="154"/>
        <v>2013FemaleNon-Maori241</v>
      </c>
      <c r="K3519" s="359">
        <v>2013</v>
      </c>
      <c r="L3519" t="s">
        <v>8</v>
      </c>
      <c r="M3519" t="s">
        <v>19</v>
      </c>
      <c r="N3519">
        <v>24</v>
      </c>
      <c r="O3519">
        <v>1</v>
      </c>
      <c r="P3519">
        <v>11</v>
      </c>
      <c r="Q3519">
        <v>8.1371811787656192</v>
      </c>
      <c r="R3519">
        <v>4.8</v>
      </c>
      <c r="T3519" s="358" t="str">
        <f t="shared" si="155"/>
        <v>2013AllSexAllEth25Poisoning by gases and vapours</v>
      </c>
      <c r="U3519" s="360">
        <v>2013</v>
      </c>
      <c r="V3519" s="360" t="s">
        <v>17</v>
      </c>
      <c r="W3519" s="360" t="s">
        <v>27</v>
      </c>
      <c r="X3519" s="360">
        <v>25</v>
      </c>
      <c r="Y3519" s="360" t="s">
        <v>46</v>
      </c>
      <c r="Z3519" s="360">
        <v>3</v>
      </c>
      <c r="AA3519" s="360">
        <v>56</v>
      </c>
      <c r="AB3519" s="360">
        <v>5.4</v>
      </c>
    </row>
    <row r="3520" spans="10:28" x14ac:dyDescent="0.2">
      <c r="J3520" s="358" t="str">
        <f t="shared" si="154"/>
        <v>2013FemaleNon-Maori242</v>
      </c>
      <c r="K3520" s="359">
        <v>2013</v>
      </c>
      <c r="L3520" t="s">
        <v>8</v>
      </c>
      <c r="M3520" t="s">
        <v>19</v>
      </c>
      <c r="N3520">
        <v>24</v>
      </c>
      <c r="O3520">
        <v>2</v>
      </c>
      <c r="P3520">
        <v>15</v>
      </c>
      <c r="Q3520">
        <v>12.5841701866718</v>
      </c>
      <c r="R3520">
        <v>6.4</v>
      </c>
      <c r="T3520" s="358" t="str">
        <f t="shared" si="155"/>
        <v>2013AllSexAllEth22Poisoning by solids and liquids</v>
      </c>
      <c r="U3520" s="360">
        <v>2013</v>
      </c>
      <c r="V3520" s="360" t="s">
        <v>17</v>
      </c>
      <c r="W3520" s="360" t="s">
        <v>27</v>
      </c>
      <c r="X3520" s="360">
        <v>22</v>
      </c>
      <c r="Y3520" s="360" t="s">
        <v>47</v>
      </c>
      <c r="Z3520" s="360">
        <v>5</v>
      </c>
      <c r="AA3520" s="360">
        <v>112</v>
      </c>
      <c r="AB3520" s="360">
        <v>4.5</v>
      </c>
    </row>
    <row r="3521" spans="10:28" x14ac:dyDescent="0.2">
      <c r="J3521" s="358" t="str">
        <f t="shared" si="154"/>
        <v>2013FemaleNon-Maori243</v>
      </c>
      <c r="K3521" s="359">
        <v>2013</v>
      </c>
      <c r="L3521" t="s">
        <v>8</v>
      </c>
      <c r="M3521" t="s">
        <v>19</v>
      </c>
      <c r="N3521">
        <v>24</v>
      </c>
      <c r="O3521">
        <v>3</v>
      </c>
      <c r="P3521">
        <v>3</v>
      </c>
      <c r="Q3521">
        <v>2.8567315772138402</v>
      </c>
      <c r="R3521">
        <v>3.2</v>
      </c>
      <c r="T3521" s="358" t="str">
        <f t="shared" si="155"/>
        <v>2013AllSexAllEth23Poisoning by solids and liquids</v>
      </c>
      <c r="U3521" s="360">
        <v>2013</v>
      </c>
      <c r="V3521" s="360" t="s">
        <v>17</v>
      </c>
      <c r="W3521" s="360" t="s">
        <v>27</v>
      </c>
      <c r="X3521" s="360">
        <v>23</v>
      </c>
      <c r="Y3521" s="360" t="s">
        <v>47</v>
      </c>
      <c r="Z3521" s="360">
        <v>17</v>
      </c>
      <c r="AA3521" s="360">
        <v>161</v>
      </c>
      <c r="AB3521" s="360">
        <v>10.6</v>
      </c>
    </row>
    <row r="3522" spans="10:28" x14ac:dyDescent="0.2">
      <c r="J3522" s="358" t="str">
        <f t="shared" si="154"/>
        <v>2013FemaleNon-Maori244</v>
      </c>
      <c r="K3522" s="359">
        <v>2013</v>
      </c>
      <c r="L3522" t="s">
        <v>8</v>
      </c>
      <c r="M3522" t="s">
        <v>19</v>
      </c>
      <c r="N3522">
        <v>24</v>
      </c>
      <c r="O3522">
        <v>4</v>
      </c>
      <c r="P3522">
        <v>6</v>
      </c>
      <c r="Q3522">
        <v>6.6665795236234002</v>
      </c>
      <c r="R3522">
        <v>5.3</v>
      </c>
      <c r="T3522" s="358" t="str">
        <f t="shared" si="155"/>
        <v>2013AllSexAllEth24Poisoning by solids and liquids</v>
      </c>
      <c r="U3522" s="360">
        <v>2013</v>
      </c>
      <c r="V3522" s="360" t="s">
        <v>17</v>
      </c>
      <c r="W3522" s="360" t="s">
        <v>27</v>
      </c>
      <c r="X3522" s="360">
        <v>24</v>
      </c>
      <c r="Y3522" s="360" t="s">
        <v>47</v>
      </c>
      <c r="Z3522" s="360">
        <v>35</v>
      </c>
      <c r="AA3522" s="360">
        <v>183</v>
      </c>
      <c r="AB3522" s="360">
        <v>19.100000000000001</v>
      </c>
    </row>
    <row r="3523" spans="10:28" x14ac:dyDescent="0.2">
      <c r="J3523" s="358" t="str">
        <f t="shared" si="154"/>
        <v>2013FemaleNon-Maori245</v>
      </c>
      <c r="K3523" s="359">
        <v>2013</v>
      </c>
      <c r="L3523" t="s">
        <v>8</v>
      </c>
      <c r="M3523" t="s">
        <v>19</v>
      </c>
      <c r="N3523">
        <v>24</v>
      </c>
      <c r="O3523">
        <v>5</v>
      </c>
      <c r="P3523">
        <v>9</v>
      </c>
      <c r="Q3523">
        <v>12.9237157020072</v>
      </c>
      <c r="R3523">
        <v>8.4</v>
      </c>
      <c r="T3523" s="358" t="str">
        <f t="shared" si="155"/>
        <v>2013AllSexAllEth25Poisoning by solids and liquids</v>
      </c>
      <c r="U3523" s="360">
        <v>2013</v>
      </c>
      <c r="V3523" s="360" t="s">
        <v>17</v>
      </c>
      <c r="W3523" s="360" t="s">
        <v>27</v>
      </c>
      <c r="X3523" s="360">
        <v>25</v>
      </c>
      <c r="Y3523" s="360" t="s">
        <v>47</v>
      </c>
      <c r="Z3523" s="360">
        <v>12</v>
      </c>
      <c r="AA3523" s="360">
        <v>56</v>
      </c>
      <c r="AB3523" s="360">
        <v>21.4</v>
      </c>
    </row>
    <row r="3524" spans="10:28" x14ac:dyDescent="0.2">
      <c r="J3524" s="358" t="str">
        <f t="shared" ref="J3524:J3587" si="156">K3524&amp;L3524&amp;M3524&amp;N3524&amp;O3524</f>
        <v>2013FemaleNon-Maori251</v>
      </c>
      <c r="K3524" s="359">
        <v>2013</v>
      </c>
      <c r="L3524" t="s">
        <v>8</v>
      </c>
      <c r="M3524" t="s">
        <v>19</v>
      </c>
      <c r="N3524">
        <v>25</v>
      </c>
      <c r="O3524">
        <v>1</v>
      </c>
      <c r="P3524">
        <v>2</v>
      </c>
      <c r="Q3524">
        <v>3.0400053058929601</v>
      </c>
      <c r="R3524">
        <v>4.2</v>
      </c>
      <c r="T3524" s="358" t="str">
        <f t="shared" si="155"/>
        <v>2013AllSexAllEth23Sharp object</v>
      </c>
      <c r="U3524" s="360">
        <v>2013</v>
      </c>
      <c r="V3524" s="360" t="s">
        <v>17</v>
      </c>
      <c r="W3524" s="360" t="s">
        <v>27</v>
      </c>
      <c r="X3524" s="360">
        <v>23</v>
      </c>
      <c r="Y3524" s="360" t="s">
        <v>48</v>
      </c>
      <c r="Z3524" s="360">
        <v>3</v>
      </c>
      <c r="AA3524" s="360">
        <v>161</v>
      </c>
      <c r="AB3524" s="360">
        <v>1.9</v>
      </c>
    </row>
    <row r="3525" spans="10:28" x14ac:dyDescent="0.2">
      <c r="J3525" s="358" t="str">
        <f t="shared" si="156"/>
        <v>2013FemaleNon-Maori252</v>
      </c>
      <c r="K3525" s="359">
        <v>2013</v>
      </c>
      <c r="L3525" t="s">
        <v>8</v>
      </c>
      <c r="M3525" t="s">
        <v>19</v>
      </c>
      <c r="N3525">
        <v>25</v>
      </c>
      <c r="O3525">
        <v>2</v>
      </c>
      <c r="P3525">
        <v>2</v>
      </c>
      <c r="Q3525">
        <v>2.9753794928377899</v>
      </c>
      <c r="R3525">
        <v>4.0999999999999996</v>
      </c>
      <c r="T3525" s="358" t="str">
        <f t="shared" ref="T3525:T3588" si="157">U3525&amp;V3525&amp;W3525&amp;X3525&amp;Y3525</f>
        <v>2013AllSexAllEth24Sharp object</v>
      </c>
      <c r="U3525" s="360">
        <v>2013</v>
      </c>
      <c r="V3525" s="360" t="s">
        <v>17</v>
      </c>
      <c r="W3525" s="360" t="s">
        <v>27</v>
      </c>
      <c r="X3525" s="360">
        <v>24</v>
      </c>
      <c r="Y3525" s="360" t="s">
        <v>48</v>
      </c>
      <c r="Z3525" s="360">
        <v>6</v>
      </c>
      <c r="AA3525" s="360">
        <v>183</v>
      </c>
      <c r="AB3525" s="360">
        <v>3.3</v>
      </c>
    </row>
    <row r="3526" spans="10:28" x14ac:dyDescent="0.2">
      <c r="J3526" s="358" t="str">
        <f t="shared" si="156"/>
        <v>2013FemaleNon-Maori253</v>
      </c>
      <c r="K3526" s="359">
        <v>2013</v>
      </c>
      <c r="L3526" t="s">
        <v>8</v>
      </c>
      <c r="M3526" t="s">
        <v>19</v>
      </c>
      <c r="N3526">
        <v>25</v>
      </c>
      <c r="O3526">
        <v>3</v>
      </c>
      <c r="P3526">
        <v>4</v>
      </c>
      <c r="Q3526">
        <v>5.98212909471067</v>
      </c>
      <c r="R3526">
        <v>5.9</v>
      </c>
      <c r="T3526" s="358" t="str">
        <f t="shared" si="157"/>
        <v>2013AllSexAllEth25Sharp object</v>
      </c>
      <c r="U3526" s="360">
        <v>2013</v>
      </c>
      <c r="V3526" s="360" t="s">
        <v>17</v>
      </c>
      <c r="W3526" s="360" t="s">
        <v>27</v>
      </c>
      <c r="X3526" s="360">
        <v>25</v>
      </c>
      <c r="Y3526" s="360" t="s">
        <v>48</v>
      </c>
      <c r="Z3526" s="360">
        <v>1</v>
      </c>
      <c r="AA3526" s="360">
        <v>56</v>
      </c>
      <c r="AB3526" s="360">
        <v>1.8</v>
      </c>
    </row>
    <row r="3527" spans="10:28" x14ac:dyDescent="0.2">
      <c r="J3527" s="358" t="str">
        <f t="shared" si="156"/>
        <v>2013FemaleNon-Maori254</v>
      </c>
      <c r="K3527" s="359">
        <v>2013</v>
      </c>
      <c r="L3527" t="s">
        <v>8</v>
      </c>
      <c r="M3527" t="s">
        <v>19</v>
      </c>
      <c r="N3527">
        <v>25</v>
      </c>
      <c r="O3527">
        <v>4</v>
      </c>
      <c r="P3527">
        <v>0</v>
      </c>
      <c r="Q3527">
        <v>0</v>
      </c>
      <c r="T3527" s="358" t="str">
        <f t="shared" si="157"/>
        <v>2013AllSexAllEth22Submersion (drowning)</v>
      </c>
      <c r="U3527" s="360">
        <v>2013</v>
      </c>
      <c r="V3527" s="360" t="s">
        <v>17</v>
      </c>
      <c r="W3527" s="360" t="s">
        <v>27</v>
      </c>
      <c r="X3527" s="360">
        <v>22</v>
      </c>
      <c r="Y3527" s="360" t="s">
        <v>49</v>
      </c>
      <c r="Z3527" s="360">
        <v>3</v>
      </c>
      <c r="AA3527" s="360">
        <v>112</v>
      </c>
      <c r="AB3527" s="360">
        <v>2.7</v>
      </c>
    </row>
    <row r="3528" spans="10:28" x14ac:dyDescent="0.2">
      <c r="J3528" s="358" t="str">
        <f t="shared" si="156"/>
        <v>2013FemaleNon-Maori255</v>
      </c>
      <c r="K3528" s="359">
        <v>2013</v>
      </c>
      <c r="L3528" t="s">
        <v>8</v>
      </c>
      <c r="M3528" t="s">
        <v>19</v>
      </c>
      <c r="N3528">
        <v>25</v>
      </c>
      <c r="O3528">
        <v>5</v>
      </c>
      <c r="P3528">
        <v>0</v>
      </c>
      <c r="Q3528">
        <v>0</v>
      </c>
      <c r="T3528" s="358" t="str">
        <f t="shared" si="157"/>
        <v>2013AllSexAllEth23Submersion (drowning)</v>
      </c>
      <c r="U3528" s="360">
        <v>2013</v>
      </c>
      <c r="V3528" s="360" t="s">
        <v>17</v>
      </c>
      <c r="W3528" s="360" t="s">
        <v>27</v>
      </c>
      <c r="X3528" s="360">
        <v>23</v>
      </c>
      <c r="Y3528" s="360" t="s">
        <v>49</v>
      </c>
      <c r="Z3528" s="360">
        <v>2</v>
      </c>
      <c r="AA3528" s="360">
        <v>161</v>
      </c>
      <c r="AB3528" s="360">
        <v>1.2</v>
      </c>
    </row>
    <row r="3529" spans="10:28" x14ac:dyDescent="0.2">
      <c r="J3529" s="358" t="str">
        <f t="shared" si="156"/>
        <v>2013MaleAllEth211</v>
      </c>
      <c r="K3529" s="359">
        <v>2013</v>
      </c>
      <c r="L3529" t="s">
        <v>20</v>
      </c>
      <c r="M3529" t="s">
        <v>27</v>
      </c>
      <c r="N3529">
        <v>21</v>
      </c>
      <c r="O3529">
        <v>1</v>
      </c>
      <c r="P3529">
        <v>0</v>
      </c>
      <c r="T3529" s="358" t="str">
        <f t="shared" si="157"/>
        <v>2013AllSexAllEth24Submersion (drowning)</v>
      </c>
      <c r="U3529" s="360">
        <v>2013</v>
      </c>
      <c r="V3529" s="360" t="s">
        <v>17</v>
      </c>
      <c r="W3529" s="360" t="s">
        <v>27</v>
      </c>
      <c r="X3529" s="360">
        <v>24</v>
      </c>
      <c r="Y3529" s="360" t="s">
        <v>49</v>
      </c>
      <c r="Z3529" s="360">
        <v>7</v>
      </c>
      <c r="AA3529" s="360">
        <v>183</v>
      </c>
      <c r="AB3529" s="360">
        <v>3.8</v>
      </c>
    </row>
    <row r="3530" spans="10:28" x14ac:dyDescent="0.2">
      <c r="J3530" s="358" t="str">
        <f t="shared" si="156"/>
        <v>2013MaleAllEth212</v>
      </c>
      <c r="K3530" s="359">
        <v>2013</v>
      </c>
      <c r="L3530" t="s">
        <v>20</v>
      </c>
      <c r="M3530" t="s">
        <v>27</v>
      </c>
      <c r="N3530">
        <v>21</v>
      </c>
      <c r="O3530">
        <v>2</v>
      </c>
      <c r="P3530">
        <v>0</v>
      </c>
      <c r="T3530" s="358" t="str">
        <f t="shared" si="157"/>
        <v>2013AllSexAllEth25Submersion (drowning)</v>
      </c>
      <c r="U3530" s="360">
        <v>2013</v>
      </c>
      <c r="V3530" s="360" t="s">
        <v>17</v>
      </c>
      <c r="W3530" s="360" t="s">
        <v>27</v>
      </c>
      <c r="X3530" s="360">
        <v>25</v>
      </c>
      <c r="Y3530" s="360" t="s">
        <v>49</v>
      </c>
      <c r="Z3530" s="360">
        <v>3</v>
      </c>
      <c r="AA3530" s="360">
        <v>56</v>
      </c>
      <c r="AB3530" s="360">
        <v>5.4</v>
      </c>
    </row>
    <row r="3531" spans="10:28" x14ac:dyDescent="0.2">
      <c r="J3531" s="358" t="str">
        <f t="shared" si="156"/>
        <v>2013MaleAllEth213</v>
      </c>
      <c r="K3531" s="359">
        <v>2013</v>
      </c>
      <c r="L3531" t="s">
        <v>20</v>
      </c>
      <c r="M3531" t="s">
        <v>27</v>
      </c>
      <c r="N3531">
        <v>21</v>
      </c>
      <c r="O3531">
        <v>3</v>
      </c>
      <c r="P3531">
        <v>0</v>
      </c>
      <c r="T3531" s="358" t="str">
        <f t="shared" si="157"/>
        <v>2013AllSexMaori22Firearms and explosives</v>
      </c>
      <c r="U3531" s="360">
        <v>2013</v>
      </c>
      <c r="V3531" s="360" t="s">
        <v>17</v>
      </c>
      <c r="W3531" s="360" t="s">
        <v>18</v>
      </c>
      <c r="X3531" s="360">
        <v>22</v>
      </c>
      <c r="Y3531" s="360" t="s">
        <v>42</v>
      </c>
      <c r="Z3531" s="360">
        <v>2</v>
      </c>
      <c r="AA3531" s="360">
        <v>50</v>
      </c>
      <c r="AB3531" s="360">
        <v>4</v>
      </c>
    </row>
    <row r="3532" spans="10:28" x14ac:dyDescent="0.2">
      <c r="J3532" s="358" t="str">
        <f t="shared" si="156"/>
        <v>2013MaleAllEth214</v>
      </c>
      <c r="K3532" s="359">
        <v>2013</v>
      </c>
      <c r="L3532" t="s">
        <v>20</v>
      </c>
      <c r="M3532" t="s">
        <v>27</v>
      </c>
      <c r="N3532">
        <v>21</v>
      </c>
      <c r="O3532">
        <v>4</v>
      </c>
      <c r="P3532">
        <v>0</v>
      </c>
      <c r="T3532" s="358" t="str">
        <f t="shared" si="157"/>
        <v>2013AllSexMaori21Hanging, strangulation and suffocation</v>
      </c>
      <c r="U3532" s="360">
        <v>2013</v>
      </c>
      <c r="V3532" s="360" t="s">
        <v>17</v>
      </c>
      <c r="W3532" s="360" t="s">
        <v>18</v>
      </c>
      <c r="X3532" s="360">
        <v>21</v>
      </c>
      <c r="Y3532" s="360" t="s">
        <v>43</v>
      </c>
      <c r="Z3532" s="360">
        <v>1</v>
      </c>
      <c r="AA3532" s="360">
        <v>1</v>
      </c>
      <c r="AB3532" s="360">
        <v>100</v>
      </c>
    </row>
    <row r="3533" spans="10:28" x14ac:dyDescent="0.2">
      <c r="J3533" s="358" t="str">
        <f t="shared" si="156"/>
        <v>2013MaleAllEth215</v>
      </c>
      <c r="K3533" s="359">
        <v>2013</v>
      </c>
      <c r="L3533" t="s">
        <v>20</v>
      </c>
      <c r="M3533" t="s">
        <v>27</v>
      </c>
      <c r="N3533">
        <v>21</v>
      </c>
      <c r="O3533">
        <v>5</v>
      </c>
      <c r="P3533">
        <v>0</v>
      </c>
      <c r="T3533" s="358" t="str">
        <f t="shared" si="157"/>
        <v>2013AllSexMaori22Hanging, strangulation and suffocation</v>
      </c>
      <c r="U3533" s="360">
        <v>2013</v>
      </c>
      <c r="V3533" s="360" t="s">
        <v>17</v>
      </c>
      <c r="W3533" s="360" t="s">
        <v>18</v>
      </c>
      <c r="X3533" s="360">
        <v>22</v>
      </c>
      <c r="Y3533" s="360" t="s">
        <v>43</v>
      </c>
      <c r="Z3533" s="360">
        <v>43</v>
      </c>
      <c r="AA3533" s="360">
        <v>50</v>
      </c>
      <c r="AB3533" s="360">
        <v>86</v>
      </c>
    </row>
    <row r="3534" spans="10:28" x14ac:dyDescent="0.2">
      <c r="J3534" s="358" t="str">
        <f t="shared" si="156"/>
        <v>2013MaleAllEth221</v>
      </c>
      <c r="K3534" s="359">
        <v>2013</v>
      </c>
      <c r="L3534" t="s">
        <v>20</v>
      </c>
      <c r="M3534" t="s">
        <v>27</v>
      </c>
      <c r="N3534">
        <v>22</v>
      </c>
      <c r="O3534">
        <v>1</v>
      </c>
      <c r="P3534">
        <v>8</v>
      </c>
      <c r="Q3534">
        <v>13.9291293872063</v>
      </c>
      <c r="R3534">
        <v>9.6999999999999993</v>
      </c>
      <c r="T3534" s="358" t="str">
        <f t="shared" si="157"/>
        <v>2013AllSexMaori23Hanging, strangulation and suffocation</v>
      </c>
      <c r="U3534" s="360">
        <v>2013</v>
      </c>
      <c r="V3534" s="360" t="s">
        <v>17</v>
      </c>
      <c r="W3534" s="360" t="s">
        <v>18</v>
      </c>
      <c r="X3534" s="360">
        <v>23</v>
      </c>
      <c r="Y3534" s="360" t="s">
        <v>43</v>
      </c>
      <c r="Z3534" s="360">
        <v>34</v>
      </c>
      <c r="AA3534" s="360">
        <v>44</v>
      </c>
      <c r="AB3534" s="360">
        <v>77.3</v>
      </c>
    </row>
    <row r="3535" spans="10:28" x14ac:dyDescent="0.2">
      <c r="J3535" s="358" t="str">
        <f t="shared" si="156"/>
        <v>2013MaleAllEth222</v>
      </c>
      <c r="K3535" s="359">
        <v>2013</v>
      </c>
      <c r="L3535" t="s">
        <v>20</v>
      </c>
      <c r="M3535" t="s">
        <v>27</v>
      </c>
      <c r="N3535">
        <v>22</v>
      </c>
      <c r="O3535">
        <v>2</v>
      </c>
      <c r="P3535">
        <v>7</v>
      </c>
      <c r="Q3535">
        <v>12.0515742788661</v>
      </c>
      <c r="R3535">
        <v>8.9</v>
      </c>
      <c r="T3535" s="358" t="str">
        <f t="shared" si="157"/>
        <v>2013AllSexMaori24Hanging, strangulation and suffocation</v>
      </c>
      <c r="U3535" s="360">
        <v>2013</v>
      </c>
      <c r="V3535" s="360" t="s">
        <v>17</v>
      </c>
      <c r="W3535" s="360" t="s">
        <v>18</v>
      </c>
      <c r="X3535" s="360">
        <v>24</v>
      </c>
      <c r="Y3535" s="360" t="s">
        <v>43</v>
      </c>
      <c r="Z3535" s="360">
        <v>7</v>
      </c>
      <c r="AA3535" s="360">
        <v>10</v>
      </c>
      <c r="AB3535" s="360">
        <v>70</v>
      </c>
    </row>
    <row r="3536" spans="10:28" x14ac:dyDescent="0.2">
      <c r="J3536" s="358" t="str">
        <f t="shared" si="156"/>
        <v>2013MaleAllEth223</v>
      </c>
      <c r="K3536" s="359">
        <v>2013</v>
      </c>
      <c r="L3536" t="s">
        <v>20</v>
      </c>
      <c r="M3536" t="s">
        <v>27</v>
      </c>
      <c r="N3536">
        <v>22</v>
      </c>
      <c r="O3536">
        <v>3</v>
      </c>
      <c r="P3536">
        <v>13</v>
      </c>
      <c r="Q3536">
        <v>21.243621847442299</v>
      </c>
      <c r="R3536">
        <v>11.5</v>
      </c>
      <c r="T3536" s="358" t="str">
        <f t="shared" si="157"/>
        <v>2013AllSexMaori22Jumping from a high place</v>
      </c>
      <c r="U3536" s="360">
        <v>2013</v>
      </c>
      <c r="V3536" s="360" t="s">
        <v>17</v>
      </c>
      <c r="W3536" s="360" t="s">
        <v>18</v>
      </c>
      <c r="X3536" s="360">
        <v>22</v>
      </c>
      <c r="Y3536" s="360" t="s">
        <v>44</v>
      </c>
      <c r="Z3536" s="360">
        <v>2</v>
      </c>
      <c r="AA3536" s="360">
        <v>50</v>
      </c>
      <c r="AB3536" s="360">
        <v>4</v>
      </c>
    </row>
    <row r="3537" spans="10:28" x14ac:dyDescent="0.2">
      <c r="J3537" s="358" t="str">
        <f t="shared" si="156"/>
        <v>2013MaleAllEth224</v>
      </c>
      <c r="K3537" s="359">
        <v>2013</v>
      </c>
      <c r="L3537" t="s">
        <v>20</v>
      </c>
      <c r="M3537" t="s">
        <v>27</v>
      </c>
      <c r="N3537">
        <v>22</v>
      </c>
      <c r="O3537">
        <v>4</v>
      </c>
      <c r="P3537">
        <v>13</v>
      </c>
      <c r="Q3537">
        <v>19.288605826541001</v>
      </c>
      <c r="R3537">
        <v>10.5</v>
      </c>
      <c r="T3537" s="358" t="str">
        <f t="shared" si="157"/>
        <v>2013AllSexMaori22Other</v>
      </c>
      <c r="U3537" s="360">
        <v>2013</v>
      </c>
      <c r="V3537" s="360" t="s">
        <v>17</v>
      </c>
      <c r="W3537" s="360" t="s">
        <v>18</v>
      </c>
      <c r="X3537" s="360">
        <v>22</v>
      </c>
      <c r="Y3537" s="360" t="s">
        <v>45</v>
      </c>
      <c r="Z3537" s="360">
        <v>1</v>
      </c>
      <c r="AA3537" s="360">
        <v>50</v>
      </c>
      <c r="AB3537" s="360">
        <v>2</v>
      </c>
    </row>
    <row r="3538" spans="10:28" x14ac:dyDescent="0.2">
      <c r="J3538" s="358" t="str">
        <f t="shared" si="156"/>
        <v>2013MaleAllEth225</v>
      </c>
      <c r="K3538" s="359">
        <v>2013</v>
      </c>
      <c r="L3538" t="s">
        <v>20</v>
      </c>
      <c r="M3538" t="s">
        <v>27</v>
      </c>
      <c r="N3538">
        <v>22</v>
      </c>
      <c r="O3538">
        <v>5</v>
      </c>
      <c r="P3538">
        <v>30</v>
      </c>
      <c r="Q3538">
        <v>39.888015173789903</v>
      </c>
      <c r="R3538">
        <v>14.3</v>
      </c>
      <c r="T3538" s="358" t="str">
        <f t="shared" si="157"/>
        <v>2013AllSexMaori23Other</v>
      </c>
      <c r="U3538" s="360">
        <v>2013</v>
      </c>
      <c r="V3538" s="360" t="s">
        <v>17</v>
      </c>
      <c r="W3538" s="360" t="s">
        <v>18</v>
      </c>
      <c r="X3538" s="360">
        <v>23</v>
      </c>
      <c r="Y3538" s="360" t="s">
        <v>45</v>
      </c>
      <c r="Z3538" s="360">
        <v>2</v>
      </c>
      <c r="AA3538" s="360">
        <v>44</v>
      </c>
      <c r="AB3538" s="360">
        <v>4.5</v>
      </c>
    </row>
    <row r="3539" spans="10:28" x14ac:dyDescent="0.2">
      <c r="J3539" s="358" t="str">
        <f t="shared" si="156"/>
        <v>2013MaleAllEth231</v>
      </c>
      <c r="K3539" s="359">
        <v>2013</v>
      </c>
      <c r="L3539" t="s">
        <v>20</v>
      </c>
      <c r="M3539" t="s">
        <v>27</v>
      </c>
      <c r="N3539">
        <v>23</v>
      </c>
      <c r="O3539">
        <v>1</v>
      </c>
      <c r="P3539">
        <v>11</v>
      </c>
      <c r="Q3539">
        <v>10.7451370417633</v>
      </c>
      <c r="R3539">
        <v>6.3</v>
      </c>
      <c r="T3539" s="358" t="str">
        <f t="shared" si="157"/>
        <v>2013AllSexMaori23Poisoning by gases and vapours</v>
      </c>
      <c r="U3539" s="360">
        <v>2013</v>
      </c>
      <c r="V3539" s="360" t="s">
        <v>17</v>
      </c>
      <c r="W3539" s="360" t="s">
        <v>18</v>
      </c>
      <c r="X3539" s="360">
        <v>23</v>
      </c>
      <c r="Y3539" s="360" t="s">
        <v>46</v>
      </c>
      <c r="Z3539" s="360">
        <v>5</v>
      </c>
      <c r="AA3539" s="360">
        <v>44</v>
      </c>
      <c r="AB3539" s="360">
        <v>11.4</v>
      </c>
    </row>
    <row r="3540" spans="10:28" x14ac:dyDescent="0.2">
      <c r="J3540" s="358" t="str">
        <f t="shared" si="156"/>
        <v>2013MaleAllEth232</v>
      </c>
      <c r="K3540" s="359">
        <v>2013</v>
      </c>
      <c r="L3540" t="s">
        <v>20</v>
      </c>
      <c r="M3540" t="s">
        <v>27</v>
      </c>
      <c r="N3540">
        <v>23</v>
      </c>
      <c r="O3540">
        <v>2</v>
      </c>
      <c r="P3540">
        <v>19</v>
      </c>
      <c r="Q3540">
        <v>17.0042051521018</v>
      </c>
      <c r="R3540">
        <v>7.6</v>
      </c>
      <c r="T3540" s="358" t="str">
        <f t="shared" si="157"/>
        <v>2013AllSexMaori22Poisoning by solids and liquids</v>
      </c>
      <c r="U3540" s="360">
        <v>2013</v>
      </c>
      <c r="V3540" s="360" t="s">
        <v>17</v>
      </c>
      <c r="W3540" s="360" t="s">
        <v>18</v>
      </c>
      <c r="X3540" s="360">
        <v>22</v>
      </c>
      <c r="Y3540" s="360" t="s">
        <v>47</v>
      </c>
      <c r="Z3540" s="360">
        <v>2</v>
      </c>
      <c r="AA3540" s="360">
        <v>50</v>
      </c>
      <c r="AB3540" s="360">
        <v>4</v>
      </c>
    </row>
    <row r="3541" spans="10:28" x14ac:dyDescent="0.2">
      <c r="J3541" s="358" t="str">
        <f t="shared" si="156"/>
        <v>2013MaleAllEth233</v>
      </c>
      <c r="K3541" s="359">
        <v>2013</v>
      </c>
      <c r="L3541" t="s">
        <v>20</v>
      </c>
      <c r="M3541" t="s">
        <v>27</v>
      </c>
      <c r="N3541">
        <v>23</v>
      </c>
      <c r="O3541">
        <v>3</v>
      </c>
      <c r="P3541">
        <v>18</v>
      </c>
      <c r="Q3541">
        <v>15.6183435323741</v>
      </c>
      <c r="R3541">
        <v>7.2</v>
      </c>
      <c r="T3541" s="358" t="str">
        <f t="shared" si="157"/>
        <v>2013AllSexMaori23Poisoning by solids and liquids</v>
      </c>
      <c r="U3541" s="360">
        <v>2013</v>
      </c>
      <c r="V3541" s="360" t="s">
        <v>17</v>
      </c>
      <c r="W3541" s="360" t="s">
        <v>18</v>
      </c>
      <c r="X3541" s="360">
        <v>23</v>
      </c>
      <c r="Y3541" s="360" t="s">
        <v>47</v>
      </c>
      <c r="Z3541" s="360">
        <v>2</v>
      </c>
      <c r="AA3541" s="360">
        <v>44</v>
      </c>
      <c r="AB3541" s="360">
        <v>4.5</v>
      </c>
    </row>
    <row r="3542" spans="10:28" x14ac:dyDescent="0.2">
      <c r="J3542" s="358" t="str">
        <f t="shared" si="156"/>
        <v>2013MaleAllEth234</v>
      </c>
      <c r="K3542" s="359">
        <v>2013</v>
      </c>
      <c r="L3542" t="s">
        <v>20</v>
      </c>
      <c r="M3542" t="s">
        <v>27</v>
      </c>
      <c r="N3542">
        <v>23</v>
      </c>
      <c r="O3542">
        <v>4</v>
      </c>
      <c r="P3542">
        <v>28</v>
      </c>
      <c r="Q3542">
        <v>24.7200544809462</v>
      </c>
      <c r="R3542">
        <v>9.1999999999999993</v>
      </c>
      <c r="T3542" s="358" t="str">
        <f t="shared" si="157"/>
        <v>2013AllSexMaori24Poisoning by solids and liquids</v>
      </c>
      <c r="U3542" s="360">
        <v>2013</v>
      </c>
      <c r="V3542" s="360" t="s">
        <v>17</v>
      </c>
      <c r="W3542" s="360" t="s">
        <v>18</v>
      </c>
      <c r="X3542" s="360">
        <v>24</v>
      </c>
      <c r="Y3542" s="360" t="s">
        <v>47</v>
      </c>
      <c r="Z3542" s="360">
        <v>2</v>
      </c>
      <c r="AA3542" s="360">
        <v>10</v>
      </c>
      <c r="AB3542" s="360">
        <v>20</v>
      </c>
    </row>
    <row r="3543" spans="10:28" x14ac:dyDescent="0.2">
      <c r="J3543" s="358" t="str">
        <f t="shared" si="156"/>
        <v>2013MaleAllEth235</v>
      </c>
      <c r="K3543" s="359">
        <v>2013</v>
      </c>
      <c r="L3543" t="s">
        <v>20</v>
      </c>
      <c r="M3543" t="s">
        <v>27</v>
      </c>
      <c r="N3543">
        <v>23</v>
      </c>
      <c r="O3543">
        <v>5</v>
      </c>
      <c r="P3543">
        <v>32</v>
      </c>
      <c r="Q3543">
        <v>30.800744694105902</v>
      </c>
      <c r="R3543">
        <v>10.7</v>
      </c>
      <c r="T3543" s="358" t="str">
        <f t="shared" si="157"/>
        <v>2013AllSexMaori23Sharp object</v>
      </c>
      <c r="U3543" s="360">
        <v>2013</v>
      </c>
      <c r="V3543" s="360" t="s">
        <v>17</v>
      </c>
      <c r="W3543" s="360" t="s">
        <v>18</v>
      </c>
      <c r="X3543" s="360">
        <v>23</v>
      </c>
      <c r="Y3543" s="360" t="s">
        <v>48</v>
      </c>
      <c r="Z3543" s="360">
        <v>1</v>
      </c>
      <c r="AA3543" s="360">
        <v>44</v>
      </c>
      <c r="AB3543" s="360">
        <v>2.2999999999999998</v>
      </c>
    </row>
    <row r="3544" spans="10:28" x14ac:dyDescent="0.2">
      <c r="J3544" s="358" t="str">
        <f t="shared" si="156"/>
        <v>2013MaleAllEth241</v>
      </c>
      <c r="K3544" s="359">
        <v>2013</v>
      </c>
      <c r="L3544" t="s">
        <v>20</v>
      </c>
      <c r="M3544" t="s">
        <v>27</v>
      </c>
      <c r="N3544">
        <v>24</v>
      </c>
      <c r="O3544">
        <v>1</v>
      </c>
      <c r="P3544">
        <v>27</v>
      </c>
      <c r="Q3544">
        <v>19.932097896688902</v>
      </c>
      <c r="R3544">
        <v>7.5</v>
      </c>
      <c r="T3544" s="358" t="str">
        <f t="shared" si="157"/>
        <v>2013AllSexMaori24Sharp object</v>
      </c>
      <c r="U3544" s="360">
        <v>2013</v>
      </c>
      <c r="V3544" s="360" t="s">
        <v>17</v>
      </c>
      <c r="W3544" s="360" t="s">
        <v>18</v>
      </c>
      <c r="X3544" s="360">
        <v>24</v>
      </c>
      <c r="Y3544" s="360" t="s">
        <v>48</v>
      </c>
      <c r="Z3544" s="360">
        <v>1</v>
      </c>
      <c r="AA3544" s="360">
        <v>10</v>
      </c>
      <c r="AB3544" s="360">
        <v>10</v>
      </c>
    </row>
    <row r="3545" spans="10:28" x14ac:dyDescent="0.2">
      <c r="J3545" s="358" t="str">
        <f t="shared" si="156"/>
        <v>2013MaleAllEth242</v>
      </c>
      <c r="K3545" s="359">
        <v>2013</v>
      </c>
      <c r="L3545" t="s">
        <v>20</v>
      </c>
      <c r="M3545" t="s">
        <v>27</v>
      </c>
      <c r="N3545">
        <v>24</v>
      </c>
      <c r="O3545">
        <v>2</v>
      </c>
      <c r="P3545">
        <v>20</v>
      </c>
      <c r="Q3545">
        <v>16.642324349295802</v>
      </c>
      <c r="R3545">
        <v>7.3</v>
      </c>
      <c r="T3545" s="358" t="str">
        <f t="shared" si="157"/>
        <v>2013AllSexNon-Maori22Firearms and explosives</v>
      </c>
      <c r="U3545" s="360">
        <v>2013</v>
      </c>
      <c r="V3545" s="360" t="s">
        <v>17</v>
      </c>
      <c r="W3545" s="360" t="s">
        <v>19</v>
      </c>
      <c r="X3545" s="360">
        <v>22</v>
      </c>
      <c r="Y3545" s="360" t="s">
        <v>42</v>
      </c>
      <c r="Z3545" s="360">
        <v>4</v>
      </c>
      <c r="AA3545" s="360">
        <v>62</v>
      </c>
      <c r="AB3545" s="360">
        <v>6.5</v>
      </c>
    </row>
    <row r="3546" spans="10:28" x14ac:dyDescent="0.2">
      <c r="J3546" s="358" t="str">
        <f t="shared" si="156"/>
        <v>2013MaleAllEth243</v>
      </c>
      <c r="K3546" s="359">
        <v>2013</v>
      </c>
      <c r="L3546" t="s">
        <v>20</v>
      </c>
      <c r="M3546" t="s">
        <v>27</v>
      </c>
      <c r="N3546">
        <v>24</v>
      </c>
      <c r="O3546">
        <v>3</v>
      </c>
      <c r="P3546">
        <v>22</v>
      </c>
      <c r="Q3546">
        <v>20.326317589671302</v>
      </c>
      <c r="R3546">
        <v>8.5</v>
      </c>
      <c r="T3546" s="358" t="str">
        <f t="shared" si="157"/>
        <v>2013AllSexNon-Maori23Firearms and explosives</v>
      </c>
      <c r="U3546" s="360">
        <v>2013</v>
      </c>
      <c r="V3546" s="360" t="s">
        <v>17</v>
      </c>
      <c r="W3546" s="360" t="s">
        <v>19</v>
      </c>
      <c r="X3546" s="360">
        <v>23</v>
      </c>
      <c r="Y3546" s="360" t="s">
        <v>42</v>
      </c>
      <c r="Z3546" s="360">
        <v>6</v>
      </c>
      <c r="AA3546" s="360">
        <v>117</v>
      </c>
      <c r="AB3546" s="360">
        <v>5.0999999999999996</v>
      </c>
    </row>
    <row r="3547" spans="10:28" x14ac:dyDescent="0.2">
      <c r="J3547" s="358" t="str">
        <f t="shared" si="156"/>
        <v>2013MaleAllEth244</v>
      </c>
      <c r="K3547" s="359">
        <v>2013</v>
      </c>
      <c r="L3547" t="s">
        <v>20</v>
      </c>
      <c r="M3547" t="s">
        <v>27</v>
      </c>
      <c r="N3547">
        <v>24</v>
      </c>
      <c r="O3547">
        <v>4</v>
      </c>
      <c r="P3547">
        <v>29</v>
      </c>
      <c r="Q3547">
        <v>29.509131321192001</v>
      </c>
      <c r="R3547">
        <v>10.7</v>
      </c>
      <c r="T3547" s="358" t="str">
        <f t="shared" si="157"/>
        <v>2013AllSexNon-Maori24Firearms and explosives</v>
      </c>
      <c r="U3547" s="360">
        <v>2013</v>
      </c>
      <c r="V3547" s="360" t="s">
        <v>17</v>
      </c>
      <c r="W3547" s="360" t="s">
        <v>19</v>
      </c>
      <c r="X3547" s="360">
        <v>24</v>
      </c>
      <c r="Y3547" s="360" t="s">
        <v>42</v>
      </c>
      <c r="Z3547" s="360">
        <v>21</v>
      </c>
      <c r="AA3547" s="360">
        <v>173</v>
      </c>
      <c r="AB3547" s="360">
        <v>12.1</v>
      </c>
    </row>
    <row r="3548" spans="10:28" x14ac:dyDescent="0.2">
      <c r="J3548" s="358" t="str">
        <f t="shared" si="156"/>
        <v>2013MaleAllEth245</v>
      </c>
      <c r="K3548" s="359">
        <v>2013</v>
      </c>
      <c r="L3548" t="s">
        <v>20</v>
      </c>
      <c r="M3548" t="s">
        <v>27</v>
      </c>
      <c r="N3548">
        <v>24</v>
      </c>
      <c r="O3548">
        <v>5</v>
      </c>
      <c r="P3548">
        <v>24</v>
      </c>
      <c r="Q3548">
        <v>26.7511219797798</v>
      </c>
      <c r="R3548">
        <v>10.7</v>
      </c>
      <c r="T3548" s="358" t="str">
        <f t="shared" si="157"/>
        <v>2013AllSexNon-Maori25Firearms and explosives</v>
      </c>
      <c r="U3548" s="360">
        <v>2013</v>
      </c>
      <c r="V3548" s="360" t="s">
        <v>17</v>
      </c>
      <c r="W3548" s="360" t="s">
        <v>19</v>
      </c>
      <c r="X3548" s="360">
        <v>25</v>
      </c>
      <c r="Y3548" s="360" t="s">
        <v>42</v>
      </c>
      <c r="Z3548" s="360">
        <v>15</v>
      </c>
      <c r="AA3548" s="360">
        <v>56</v>
      </c>
      <c r="AB3548" s="360">
        <v>26.8</v>
      </c>
    </row>
    <row r="3549" spans="10:28" x14ac:dyDescent="0.2">
      <c r="J3549" s="358" t="str">
        <f t="shared" si="156"/>
        <v>2013MaleAllEth251</v>
      </c>
      <c r="K3549" s="359">
        <v>2013</v>
      </c>
      <c r="L3549" t="s">
        <v>20</v>
      </c>
      <c r="M3549" t="s">
        <v>27</v>
      </c>
      <c r="N3549">
        <v>25</v>
      </c>
      <c r="O3549">
        <v>1</v>
      </c>
      <c r="P3549">
        <v>7</v>
      </c>
      <c r="Q3549">
        <v>11.186105910895201</v>
      </c>
      <c r="R3549">
        <v>8.3000000000000007</v>
      </c>
      <c r="T3549" s="358" t="str">
        <f t="shared" si="157"/>
        <v>2013AllSexNon-Maori22Hanging, strangulation and suffocation</v>
      </c>
      <c r="U3549" s="360">
        <v>2013</v>
      </c>
      <c r="V3549" s="360" t="s">
        <v>17</v>
      </c>
      <c r="W3549" s="360" t="s">
        <v>19</v>
      </c>
      <c r="X3549" s="360">
        <v>22</v>
      </c>
      <c r="Y3549" s="360" t="s">
        <v>43</v>
      </c>
      <c r="Z3549" s="360">
        <v>49</v>
      </c>
      <c r="AA3549" s="360">
        <v>62</v>
      </c>
      <c r="AB3549" s="360">
        <v>79</v>
      </c>
    </row>
    <row r="3550" spans="10:28" x14ac:dyDescent="0.2">
      <c r="J3550" s="358" t="str">
        <f t="shared" si="156"/>
        <v>2013MaleAllEth252</v>
      </c>
      <c r="K3550" s="359">
        <v>2013</v>
      </c>
      <c r="L3550" t="s">
        <v>20</v>
      </c>
      <c r="M3550" t="s">
        <v>27</v>
      </c>
      <c r="N3550">
        <v>25</v>
      </c>
      <c r="O3550">
        <v>2</v>
      </c>
      <c r="P3550">
        <v>9</v>
      </c>
      <c r="Q3550">
        <v>14.6023335934954</v>
      </c>
      <c r="R3550">
        <v>9.5</v>
      </c>
      <c r="T3550" s="358" t="str">
        <f t="shared" si="157"/>
        <v>2013AllSexNon-Maori23Hanging, strangulation and suffocation</v>
      </c>
      <c r="U3550" s="360">
        <v>2013</v>
      </c>
      <c r="V3550" s="360" t="s">
        <v>17</v>
      </c>
      <c r="W3550" s="360" t="s">
        <v>19</v>
      </c>
      <c r="X3550" s="360">
        <v>23</v>
      </c>
      <c r="Y3550" s="360" t="s">
        <v>43</v>
      </c>
      <c r="Z3550" s="360">
        <v>75</v>
      </c>
      <c r="AA3550" s="360">
        <v>117</v>
      </c>
      <c r="AB3550" s="360">
        <v>64.099999999999994</v>
      </c>
    </row>
    <row r="3551" spans="10:28" x14ac:dyDescent="0.2">
      <c r="J3551" s="358" t="str">
        <f t="shared" si="156"/>
        <v>2013MaleAllEth253</v>
      </c>
      <c r="K3551" s="359">
        <v>2013</v>
      </c>
      <c r="L3551" t="s">
        <v>20</v>
      </c>
      <c r="M3551" t="s">
        <v>27</v>
      </c>
      <c r="N3551">
        <v>25</v>
      </c>
      <c r="O3551">
        <v>3</v>
      </c>
      <c r="P3551">
        <v>20</v>
      </c>
      <c r="Q3551">
        <v>33.718650599658197</v>
      </c>
      <c r="R3551">
        <v>14.8</v>
      </c>
      <c r="T3551" s="358" t="str">
        <f t="shared" si="157"/>
        <v>2013AllSexNon-Maori24Hanging, strangulation and suffocation</v>
      </c>
      <c r="U3551" s="360">
        <v>2013</v>
      </c>
      <c r="V3551" s="360" t="s">
        <v>17</v>
      </c>
      <c r="W3551" s="360" t="s">
        <v>19</v>
      </c>
      <c r="X3551" s="360">
        <v>24</v>
      </c>
      <c r="Y3551" s="360" t="s">
        <v>43</v>
      </c>
      <c r="Z3551" s="360">
        <v>64</v>
      </c>
      <c r="AA3551" s="360">
        <v>173</v>
      </c>
      <c r="AB3551" s="360">
        <v>37</v>
      </c>
    </row>
    <row r="3552" spans="10:28" x14ac:dyDescent="0.2">
      <c r="J3552" s="358" t="str">
        <f t="shared" si="156"/>
        <v>2013MaleAllEth254</v>
      </c>
      <c r="K3552" s="359">
        <v>2013</v>
      </c>
      <c r="L3552" t="s">
        <v>20</v>
      </c>
      <c r="M3552" t="s">
        <v>27</v>
      </c>
      <c r="N3552">
        <v>25</v>
      </c>
      <c r="O3552">
        <v>4</v>
      </c>
      <c r="P3552">
        <v>6</v>
      </c>
      <c r="Q3552">
        <v>10.431627155211199</v>
      </c>
      <c r="R3552">
        <v>8.3000000000000007</v>
      </c>
      <c r="T3552" s="358" t="str">
        <f t="shared" si="157"/>
        <v>2013AllSexNon-Maori25Hanging, strangulation and suffocation</v>
      </c>
      <c r="U3552" s="360">
        <v>2013</v>
      </c>
      <c r="V3552" s="360" t="s">
        <v>17</v>
      </c>
      <c r="W3552" s="360" t="s">
        <v>19</v>
      </c>
      <c r="X3552" s="360">
        <v>25</v>
      </c>
      <c r="Y3552" s="360" t="s">
        <v>43</v>
      </c>
      <c r="Z3552" s="360">
        <v>21</v>
      </c>
      <c r="AA3552" s="360">
        <v>56</v>
      </c>
      <c r="AB3552" s="360">
        <v>37.5</v>
      </c>
    </row>
    <row r="3553" spans="10:28" x14ac:dyDescent="0.2">
      <c r="J3553" s="358" t="str">
        <f t="shared" si="156"/>
        <v>2013MaleAllEth255</v>
      </c>
      <c r="K3553" s="359">
        <v>2013</v>
      </c>
      <c r="L3553" t="s">
        <v>20</v>
      </c>
      <c r="M3553" t="s">
        <v>27</v>
      </c>
      <c r="N3553">
        <v>25</v>
      </c>
      <c r="O3553">
        <v>5</v>
      </c>
      <c r="P3553">
        <v>3</v>
      </c>
      <c r="Q3553">
        <v>6.3108025796209102</v>
      </c>
      <c r="R3553">
        <v>7.1</v>
      </c>
      <c r="T3553" s="358" t="str">
        <f t="shared" si="157"/>
        <v>2013AllSexNon-Maori23Jumping from a high place</v>
      </c>
      <c r="U3553" s="360">
        <v>2013</v>
      </c>
      <c r="V3553" s="360" t="s">
        <v>17</v>
      </c>
      <c r="W3553" s="360" t="s">
        <v>19</v>
      </c>
      <c r="X3553" s="360">
        <v>23</v>
      </c>
      <c r="Y3553" s="360" t="s">
        <v>44</v>
      </c>
      <c r="Z3553" s="360">
        <v>3</v>
      </c>
      <c r="AA3553" s="360">
        <v>117</v>
      </c>
      <c r="AB3553" s="360">
        <v>2.6</v>
      </c>
    </row>
    <row r="3554" spans="10:28" x14ac:dyDescent="0.2">
      <c r="J3554" s="358" t="str">
        <f t="shared" si="156"/>
        <v>2013MaleMaori211</v>
      </c>
      <c r="K3554" s="359">
        <v>2013</v>
      </c>
      <c r="L3554" t="s">
        <v>20</v>
      </c>
      <c r="M3554" t="s">
        <v>18</v>
      </c>
      <c r="N3554">
        <v>21</v>
      </c>
      <c r="O3554">
        <v>1</v>
      </c>
      <c r="P3554">
        <v>0</v>
      </c>
      <c r="T3554" s="358" t="str">
        <f t="shared" si="157"/>
        <v>2013AllSexNon-Maori24Jumping from a high place</v>
      </c>
      <c r="U3554" s="360">
        <v>2013</v>
      </c>
      <c r="V3554" s="360" t="s">
        <v>17</v>
      </c>
      <c r="W3554" s="360" t="s">
        <v>19</v>
      </c>
      <c r="X3554" s="360">
        <v>24</v>
      </c>
      <c r="Y3554" s="360" t="s">
        <v>44</v>
      </c>
      <c r="Z3554" s="360">
        <v>9</v>
      </c>
      <c r="AA3554" s="360">
        <v>173</v>
      </c>
      <c r="AB3554" s="360">
        <v>5.2</v>
      </c>
    </row>
    <row r="3555" spans="10:28" x14ac:dyDescent="0.2">
      <c r="J3555" s="358" t="str">
        <f t="shared" si="156"/>
        <v>2013MaleMaori212</v>
      </c>
      <c r="K3555" s="359">
        <v>2013</v>
      </c>
      <c r="L3555" t="s">
        <v>20</v>
      </c>
      <c r="M3555" t="s">
        <v>18</v>
      </c>
      <c r="N3555">
        <v>21</v>
      </c>
      <c r="O3555">
        <v>2</v>
      </c>
      <c r="P3555">
        <v>0</v>
      </c>
      <c r="T3555" s="358" t="str">
        <f t="shared" si="157"/>
        <v>2013AllSexNon-Maori21Other</v>
      </c>
      <c r="U3555" s="360">
        <v>2013</v>
      </c>
      <c r="V3555" s="360" t="s">
        <v>17</v>
      </c>
      <c r="W3555" s="360" t="s">
        <v>19</v>
      </c>
      <c r="X3555" s="360">
        <v>21</v>
      </c>
      <c r="Y3555" s="360" t="s">
        <v>45</v>
      </c>
      <c r="Z3555" s="360">
        <v>1</v>
      </c>
      <c r="AA3555" s="360">
        <v>1</v>
      </c>
      <c r="AB3555" s="360">
        <v>100</v>
      </c>
    </row>
    <row r="3556" spans="10:28" x14ac:dyDescent="0.2">
      <c r="J3556" s="358" t="str">
        <f t="shared" si="156"/>
        <v>2013MaleMaori213</v>
      </c>
      <c r="K3556" s="359">
        <v>2013</v>
      </c>
      <c r="L3556" t="s">
        <v>20</v>
      </c>
      <c r="M3556" t="s">
        <v>18</v>
      </c>
      <c r="N3556">
        <v>21</v>
      </c>
      <c r="O3556">
        <v>3</v>
      </c>
      <c r="P3556">
        <v>0</v>
      </c>
      <c r="T3556" s="358" t="str">
        <f t="shared" si="157"/>
        <v>2013AllSexNon-Maori23Other</v>
      </c>
      <c r="U3556" s="360">
        <v>2013</v>
      </c>
      <c r="V3556" s="360" t="s">
        <v>17</v>
      </c>
      <c r="W3556" s="360" t="s">
        <v>19</v>
      </c>
      <c r="X3556" s="360">
        <v>23</v>
      </c>
      <c r="Y3556" s="360" t="s">
        <v>45</v>
      </c>
      <c r="Z3556" s="360">
        <v>3</v>
      </c>
      <c r="AA3556" s="360">
        <v>117</v>
      </c>
      <c r="AB3556" s="360">
        <v>2.6</v>
      </c>
    </row>
    <row r="3557" spans="10:28" x14ac:dyDescent="0.2">
      <c r="J3557" s="358" t="str">
        <f t="shared" si="156"/>
        <v>2013MaleMaori214</v>
      </c>
      <c r="K3557" s="359">
        <v>2013</v>
      </c>
      <c r="L3557" t="s">
        <v>20</v>
      </c>
      <c r="M3557" t="s">
        <v>18</v>
      </c>
      <c r="N3557">
        <v>21</v>
      </c>
      <c r="O3557">
        <v>4</v>
      </c>
      <c r="P3557">
        <v>0</v>
      </c>
      <c r="T3557" s="358" t="str">
        <f t="shared" si="157"/>
        <v>2013AllSexNon-Maori24Other</v>
      </c>
      <c r="U3557" s="360">
        <v>2013</v>
      </c>
      <c r="V3557" s="360" t="s">
        <v>17</v>
      </c>
      <c r="W3557" s="360" t="s">
        <v>19</v>
      </c>
      <c r="X3557" s="360">
        <v>24</v>
      </c>
      <c r="Y3557" s="360" t="s">
        <v>45</v>
      </c>
      <c r="Z3557" s="360">
        <v>11</v>
      </c>
      <c r="AA3557" s="360">
        <v>173</v>
      </c>
      <c r="AB3557" s="360">
        <v>6.4</v>
      </c>
    </row>
    <row r="3558" spans="10:28" x14ac:dyDescent="0.2">
      <c r="J3558" s="358" t="str">
        <f t="shared" si="156"/>
        <v>2013MaleMaori215</v>
      </c>
      <c r="K3558" s="359">
        <v>2013</v>
      </c>
      <c r="L3558" t="s">
        <v>20</v>
      </c>
      <c r="M3558" t="s">
        <v>18</v>
      </c>
      <c r="N3558">
        <v>21</v>
      </c>
      <c r="O3558">
        <v>5</v>
      </c>
      <c r="P3558">
        <v>0</v>
      </c>
      <c r="T3558" s="358" t="str">
        <f t="shared" si="157"/>
        <v>2013AllSexNon-Maori25Other</v>
      </c>
      <c r="U3558" s="360">
        <v>2013</v>
      </c>
      <c r="V3558" s="360" t="s">
        <v>17</v>
      </c>
      <c r="W3558" s="360" t="s">
        <v>19</v>
      </c>
      <c r="X3558" s="360">
        <v>25</v>
      </c>
      <c r="Y3558" s="360" t="s">
        <v>45</v>
      </c>
      <c r="Z3558" s="360">
        <v>1</v>
      </c>
      <c r="AA3558" s="360">
        <v>56</v>
      </c>
      <c r="AB3558" s="360">
        <v>1.8</v>
      </c>
    </row>
    <row r="3559" spans="10:28" x14ac:dyDescent="0.2">
      <c r="J3559" s="358" t="str">
        <f t="shared" si="156"/>
        <v>2013MaleMaori221</v>
      </c>
      <c r="K3559" s="359">
        <v>2013</v>
      </c>
      <c r="L3559" t="s">
        <v>20</v>
      </c>
      <c r="M3559" t="s">
        <v>18</v>
      </c>
      <c r="N3559">
        <v>22</v>
      </c>
      <c r="O3559">
        <v>1</v>
      </c>
      <c r="P3559">
        <v>1</v>
      </c>
      <c r="Q3559">
        <v>18.0109937357951</v>
      </c>
      <c r="R3559">
        <v>35.299999999999997</v>
      </c>
      <c r="T3559" s="358" t="str">
        <f t="shared" si="157"/>
        <v>2013AllSexNon-Maori22Poisoning by gases and vapours</v>
      </c>
      <c r="U3559" s="360">
        <v>2013</v>
      </c>
      <c r="V3559" s="360" t="s">
        <v>17</v>
      </c>
      <c r="W3559" s="360" t="s">
        <v>19</v>
      </c>
      <c r="X3559" s="360">
        <v>22</v>
      </c>
      <c r="Y3559" s="360" t="s">
        <v>46</v>
      </c>
      <c r="Z3559" s="360">
        <v>3</v>
      </c>
      <c r="AA3559" s="360">
        <v>62</v>
      </c>
      <c r="AB3559" s="360">
        <v>4.8</v>
      </c>
    </row>
    <row r="3560" spans="10:28" x14ac:dyDescent="0.2">
      <c r="J3560" s="358" t="str">
        <f t="shared" si="156"/>
        <v>2013MaleMaori222</v>
      </c>
      <c r="K3560" s="359">
        <v>2013</v>
      </c>
      <c r="L3560" t="s">
        <v>20</v>
      </c>
      <c r="M3560" t="s">
        <v>18</v>
      </c>
      <c r="N3560">
        <v>22</v>
      </c>
      <c r="O3560">
        <v>2</v>
      </c>
      <c r="P3560">
        <v>1</v>
      </c>
      <c r="Q3560">
        <v>13.4717945490506</v>
      </c>
      <c r="R3560">
        <v>26.4</v>
      </c>
      <c r="T3560" s="358" t="str">
        <f t="shared" si="157"/>
        <v>2013AllSexNon-Maori23Poisoning by gases and vapours</v>
      </c>
      <c r="U3560" s="360">
        <v>2013</v>
      </c>
      <c r="V3560" s="360" t="s">
        <v>17</v>
      </c>
      <c r="W3560" s="360" t="s">
        <v>19</v>
      </c>
      <c r="X3560" s="360">
        <v>23</v>
      </c>
      <c r="Y3560" s="360" t="s">
        <v>46</v>
      </c>
      <c r="Z3560" s="360">
        <v>11</v>
      </c>
      <c r="AA3560" s="360">
        <v>117</v>
      </c>
      <c r="AB3560" s="360">
        <v>9.4</v>
      </c>
    </row>
    <row r="3561" spans="10:28" x14ac:dyDescent="0.2">
      <c r="J3561" s="358" t="str">
        <f t="shared" si="156"/>
        <v>2013MaleMaori223</v>
      </c>
      <c r="K3561" s="359">
        <v>2013</v>
      </c>
      <c r="L3561" t="s">
        <v>20</v>
      </c>
      <c r="M3561" t="s">
        <v>18</v>
      </c>
      <c r="N3561">
        <v>22</v>
      </c>
      <c r="O3561">
        <v>3</v>
      </c>
      <c r="P3561">
        <v>5</v>
      </c>
      <c r="Q3561">
        <v>47.062249811520701</v>
      </c>
      <c r="R3561">
        <v>41.3</v>
      </c>
      <c r="T3561" s="358" t="str">
        <f t="shared" si="157"/>
        <v>2013AllSexNon-Maori24Poisoning by gases and vapours</v>
      </c>
      <c r="U3561" s="360">
        <v>2013</v>
      </c>
      <c r="V3561" s="360" t="s">
        <v>17</v>
      </c>
      <c r="W3561" s="360" t="s">
        <v>19</v>
      </c>
      <c r="X3561" s="360">
        <v>24</v>
      </c>
      <c r="Y3561" s="360" t="s">
        <v>46</v>
      </c>
      <c r="Z3561" s="360">
        <v>23</v>
      </c>
      <c r="AA3561" s="360">
        <v>173</v>
      </c>
      <c r="AB3561" s="360">
        <v>13.3</v>
      </c>
    </row>
    <row r="3562" spans="10:28" x14ac:dyDescent="0.2">
      <c r="J3562" s="358" t="str">
        <f t="shared" si="156"/>
        <v>2013MaleMaori224</v>
      </c>
      <c r="K3562" s="359">
        <v>2013</v>
      </c>
      <c r="L3562" t="s">
        <v>20</v>
      </c>
      <c r="M3562" t="s">
        <v>18</v>
      </c>
      <c r="N3562">
        <v>22</v>
      </c>
      <c r="O3562">
        <v>4</v>
      </c>
      <c r="P3562">
        <v>8</v>
      </c>
      <c r="Q3562">
        <v>53.3121835743286</v>
      </c>
      <c r="R3562">
        <v>36.9</v>
      </c>
      <c r="T3562" s="358" t="str">
        <f t="shared" si="157"/>
        <v>2013AllSexNon-Maori25Poisoning by gases and vapours</v>
      </c>
      <c r="U3562" s="360">
        <v>2013</v>
      </c>
      <c r="V3562" s="360" t="s">
        <v>17</v>
      </c>
      <c r="W3562" s="360" t="s">
        <v>19</v>
      </c>
      <c r="X3562" s="360">
        <v>25</v>
      </c>
      <c r="Y3562" s="360" t="s">
        <v>46</v>
      </c>
      <c r="Z3562" s="360">
        <v>3</v>
      </c>
      <c r="AA3562" s="360">
        <v>56</v>
      </c>
      <c r="AB3562" s="360">
        <v>5.4</v>
      </c>
    </row>
    <row r="3563" spans="10:28" x14ac:dyDescent="0.2">
      <c r="J3563" s="358" t="str">
        <f t="shared" si="156"/>
        <v>2013MaleMaori225</v>
      </c>
      <c r="K3563" s="359">
        <v>2013</v>
      </c>
      <c r="L3563" t="s">
        <v>20</v>
      </c>
      <c r="M3563" t="s">
        <v>18</v>
      </c>
      <c r="N3563">
        <v>22</v>
      </c>
      <c r="O3563">
        <v>5</v>
      </c>
      <c r="P3563">
        <v>15</v>
      </c>
      <c r="Q3563">
        <v>60.120855193427303</v>
      </c>
      <c r="R3563">
        <v>30.4</v>
      </c>
      <c r="T3563" s="358" t="str">
        <f t="shared" si="157"/>
        <v>2013AllSexNon-Maori22Poisoning by solids and liquids</v>
      </c>
      <c r="U3563" s="360">
        <v>2013</v>
      </c>
      <c r="V3563" s="360" t="s">
        <v>17</v>
      </c>
      <c r="W3563" s="360" t="s">
        <v>19</v>
      </c>
      <c r="X3563" s="360">
        <v>22</v>
      </c>
      <c r="Y3563" s="360" t="s">
        <v>47</v>
      </c>
      <c r="Z3563" s="360">
        <v>3</v>
      </c>
      <c r="AA3563" s="360">
        <v>62</v>
      </c>
      <c r="AB3563" s="360">
        <v>4.8</v>
      </c>
    </row>
    <row r="3564" spans="10:28" x14ac:dyDescent="0.2">
      <c r="J3564" s="358" t="str">
        <f t="shared" si="156"/>
        <v>2013MaleMaori231</v>
      </c>
      <c r="K3564" s="359">
        <v>2013</v>
      </c>
      <c r="L3564" t="s">
        <v>20</v>
      </c>
      <c r="M3564" t="s">
        <v>18</v>
      </c>
      <c r="N3564">
        <v>23</v>
      </c>
      <c r="O3564">
        <v>1</v>
      </c>
      <c r="P3564">
        <v>1</v>
      </c>
      <c r="Q3564">
        <v>13.7283242857358</v>
      </c>
      <c r="R3564">
        <v>26.9</v>
      </c>
      <c r="T3564" s="358" t="str">
        <f t="shared" si="157"/>
        <v>2013AllSexNon-Maori23Poisoning by solids and liquids</v>
      </c>
      <c r="U3564" s="360">
        <v>2013</v>
      </c>
      <c r="V3564" s="360" t="s">
        <v>17</v>
      </c>
      <c r="W3564" s="360" t="s">
        <v>19</v>
      </c>
      <c r="X3564" s="360">
        <v>23</v>
      </c>
      <c r="Y3564" s="360" t="s">
        <v>47</v>
      </c>
      <c r="Z3564" s="360">
        <v>15</v>
      </c>
      <c r="AA3564" s="360">
        <v>117</v>
      </c>
      <c r="AB3564" s="360">
        <v>12.8</v>
      </c>
    </row>
    <row r="3565" spans="10:28" x14ac:dyDescent="0.2">
      <c r="J3565" s="358" t="str">
        <f t="shared" si="156"/>
        <v>2013MaleMaori232</v>
      </c>
      <c r="K3565" s="359">
        <v>2013</v>
      </c>
      <c r="L3565" t="s">
        <v>20</v>
      </c>
      <c r="M3565" t="s">
        <v>18</v>
      </c>
      <c r="N3565">
        <v>23</v>
      </c>
      <c r="O3565">
        <v>2</v>
      </c>
      <c r="P3565">
        <v>5</v>
      </c>
      <c r="Q3565">
        <v>50.680530048785101</v>
      </c>
      <c r="R3565">
        <v>44.4</v>
      </c>
      <c r="T3565" s="358" t="str">
        <f t="shared" si="157"/>
        <v>2013AllSexNon-Maori24Poisoning by solids and liquids</v>
      </c>
      <c r="U3565" s="360">
        <v>2013</v>
      </c>
      <c r="V3565" s="360" t="s">
        <v>17</v>
      </c>
      <c r="W3565" s="360" t="s">
        <v>19</v>
      </c>
      <c r="X3565" s="360">
        <v>24</v>
      </c>
      <c r="Y3565" s="360" t="s">
        <v>47</v>
      </c>
      <c r="Z3565" s="360">
        <v>33</v>
      </c>
      <c r="AA3565" s="360">
        <v>173</v>
      </c>
      <c r="AB3565" s="360">
        <v>19.100000000000001</v>
      </c>
    </row>
    <row r="3566" spans="10:28" x14ac:dyDescent="0.2">
      <c r="J3566" s="358" t="str">
        <f t="shared" si="156"/>
        <v>2013MaleMaori233</v>
      </c>
      <c r="K3566" s="359">
        <v>2013</v>
      </c>
      <c r="L3566" t="s">
        <v>20</v>
      </c>
      <c r="M3566" t="s">
        <v>18</v>
      </c>
      <c r="N3566">
        <v>23</v>
      </c>
      <c r="O3566">
        <v>3</v>
      </c>
      <c r="P3566">
        <v>2</v>
      </c>
      <c r="Q3566">
        <v>14.5900316490421</v>
      </c>
      <c r="R3566">
        <v>20.2</v>
      </c>
      <c r="T3566" s="358" t="str">
        <f t="shared" si="157"/>
        <v>2013AllSexNon-Maori25Poisoning by solids and liquids</v>
      </c>
      <c r="U3566" s="360">
        <v>2013</v>
      </c>
      <c r="V3566" s="360" t="s">
        <v>17</v>
      </c>
      <c r="W3566" s="360" t="s">
        <v>19</v>
      </c>
      <c r="X3566" s="360">
        <v>25</v>
      </c>
      <c r="Y3566" s="360" t="s">
        <v>47</v>
      </c>
      <c r="Z3566" s="360">
        <v>12</v>
      </c>
      <c r="AA3566" s="360">
        <v>56</v>
      </c>
      <c r="AB3566" s="360">
        <v>21.4</v>
      </c>
    </row>
    <row r="3567" spans="10:28" x14ac:dyDescent="0.2">
      <c r="J3567" s="358" t="str">
        <f t="shared" si="156"/>
        <v>2013MaleMaori234</v>
      </c>
      <c r="K3567" s="359">
        <v>2013</v>
      </c>
      <c r="L3567" t="s">
        <v>20</v>
      </c>
      <c r="M3567" t="s">
        <v>18</v>
      </c>
      <c r="N3567">
        <v>23</v>
      </c>
      <c r="O3567">
        <v>4</v>
      </c>
      <c r="P3567">
        <v>8</v>
      </c>
      <c r="Q3567">
        <v>43.078279459536297</v>
      </c>
      <c r="R3567">
        <v>29.9</v>
      </c>
      <c r="T3567" s="358" t="str">
        <f t="shared" si="157"/>
        <v>2013AllSexNon-Maori23Sharp object</v>
      </c>
      <c r="U3567" s="360">
        <v>2013</v>
      </c>
      <c r="V3567" s="360" t="s">
        <v>17</v>
      </c>
      <c r="W3567" s="360" t="s">
        <v>19</v>
      </c>
      <c r="X3567" s="360">
        <v>23</v>
      </c>
      <c r="Y3567" s="360" t="s">
        <v>48</v>
      </c>
      <c r="Z3567" s="360">
        <v>2</v>
      </c>
      <c r="AA3567" s="360">
        <v>117</v>
      </c>
      <c r="AB3567" s="360">
        <v>1.7</v>
      </c>
    </row>
    <row r="3568" spans="10:28" x14ac:dyDescent="0.2">
      <c r="J3568" s="358" t="str">
        <f t="shared" si="156"/>
        <v>2013MaleMaori235</v>
      </c>
      <c r="K3568" s="359">
        <v>2013</v>
      </c>
      <c r="L3568" t="s">
        <v>20</v>
      </c>
      <c r="M3568" t="s">
        <v>18</v>
      </c>
      <c r="N3568">
        <v>23</v>
      </c>
      <c r="O3568">
        <v>5</v>
      </c>
      <c r="P3568">
        <v>14</v>
      </c>
      <c r="Q3568">
        <v>50.475486607407497</v>
      </c>
      <c r="R3568">
        <v>26.4</v>
      </c>
      <c r="T3568" s="358" t="str">
        <f t="shared" si="157"/>
        <v>2013AllSexNon-Maori24Sharp object</v>
      </c>
      <c r="U3568" s="360">
        <v>2013</v>
      </c>
      <c r="V3568" s="360" t="s">
        <v>17</v>
      </c>
      <c r="W3568" s="360" t="s">
        <v>19</v>
      </c>
      <c r="X3568" s="360">
        <v>24</v>
      </c>
      <c r="Y3568" s="360" t="s">
        <v>48</v>
      </c>
      <c r="Z3568" s="360">
        <v>5</v>
      </c>
      <c r="AA3568" s="360">
        <v>173</v>
      </c>
      <c r="AB3568" s="360">
        <v>2.9</v>
      </c>
    </row>
    <row r="3569" spans="10:28" x14ac:dyDescent="0.2">
      <c r="J3569" s="358" t="str">
        <f t="shared" si="156"/>
        <v>2013MaleMaori241</v>
      </c>
      <c r="K3569" s="359">
        <v>2013</v>
      </c>
      <c r="L3569" t="s">
        <v>20</v>
      </c>
      <c r="M3569" t="s">
        <v>18</v>
      </c>
      <c r="N3569">
        <v>24</v>
      </c>
      <c r="O3569">
        <v>1</v>
      </c>
      <c r="P3569">
        <v>0</v>
      </c>
      <c r="Q3569">
        <v>0</v>
      </c>
      <c r="T3569" s="358" t="str">
        <f t="shared" si="157"/>
        <v>2013AllSexNon-Maori25Sharp object</v>
      </c>
      <c r="U3569" s="360">
        <v>2013</v>
      </c>
      <c r="V3569" s="360" t="s">
        <v>17</v>
      </c>
      <c r="W3569" s="360" t="s">
        <v>19</v>
      </c>
      <c r="X3569" s="360">
        <v>25</v>
      </c>
      <c r="Y3569" s="360" t="s">
        <v>48</v>
      </c>
      <c r="Z3569" s="360">
        <v>1</v>
      </c>
      <c r="AA3569" s="360">
        <v>56</v>
      </c>
      <c r="AB3569" s="360">
        <v>1.8</v>
      </c>
    </row>
    <row r="3570" spans="10:28" x14ac:dyDescent="0.2">
      <c r="J3570" s="358" t="str">
        <f t="shared" si="156"/>
        <v>2013MaleMaori242</v>
      </c>
      <c r="K3570" s="359">
        <v>2013</v>
      </c>
      <c r="L3570" t="s">
        <v>20</v>
      </c>
      <c r="M3570" t="s">
        <v>18</v>
      </c>
      <c r="N3570">
        <v>24</v>
      </c>
      <c r="O3570">
        <v>2</v>
      </c>
      <c r="P3570">
        <v>0</v>
      </c>
      <c r="Q3570">
        <v>0</v>
      </c>
      <c r="T3570" s="358" t="str">
        <f t="shared" si="157"/>
        <v>2013AllSexNon-Maori22Submersion (drowning)</v>
      </c>
      <c r="U3570" s="360">
        <v>2013</v>
      </c>
      <c r="V3570" s="360" t="s">
        <v>17</v>
      </c>
      <c r="W3570" s="360" t="s">
        <v>19</v>
      </c>
      <c r="X3570" s="360">
        <v>22</v>
      </c>
      <c r="Y3570" s="360" t="s">
        <v>49</v>
      </c>
      <c r="Z3570" s="360">
        <v>3</v>
      </c>
      <c r="AA3570" s="360">
        <v>62</v>
      </c>
      <c r="AB3570" s="360">
        <v>4.8</v>
      </c>
    </row>
    <row r="3571" spans="10:28" x14ac:dyDescent="0.2">
      <c r="J3571" s="358" t="str">
        <f t="shared" si="156"/>
        <v>2013MaleMaori243</v>
      </c>
      <c r="K3571" s="359">
        <v>2013</v>
      </c>
      <c r="L3571" t="s">
        <v>20</v>
      </c>
      <c r="M3571" t="s">
        <v>18</v>
      </c>
      <c r="N3571">
        <v>24</v>
      </c>
      <c r="O3571">
        <v>3</v>
      </c>
      <c r="P3571">
        <v>0</v>
      </c>
      <c r="Q3571">
        <v>0</v>
      </c>
      <c r="T3571" s="358" t="str">
        <f t="shared" si="157"/>
        <v>2013AllSexNon-Maori23Submersion (drowning)</v>
      </c>
      <c r="U3571" s="360">
        <v>2013</v>
      </c>
      <c r="V3571" s="360" t="s">
        <v>17</v>
      </c>
      <c r="W3571" s="360" t="s">
        <v>19</v>
      </c>
      <c r="X3571" s="360">
        <v>23</v>
      </c>
      <c r="Y3571" s="360" t="s">
        <v>49</v>
      </c>
      <c r="Z3571" s="360">
        <v>2</v>
      </c>
      <c r="AA3571" s="360">
        <v>117</v>
      </c>
      <c r="AB3571" s="360">
        <v>1.7</v>
      </c>
    </row>
    <row r="3572" spans="10:28" x14ac:dyDescent="0.2">
      <c r="J3572" s="358" t="str">
        <f t="shared" si="156"/>
        <v>2013MaleMaori244</v>
      </c>
      <c r="K3572" s="359">
        <v>2013</v>
      </c>
      <c r="L3572" t="s">
        <v>20</v>
      </c>
      <c r="M3572" t="s">
        <v>18</v>
      </c>
      <c r="N3572">
        <v>24</v>
      </c>
      <c r="O3572">
        <v>4</v>
      </c>
      <c r="P3572">
        <v>1</v>
      </c>
      <c r="Q3572">
        <v>7.3902582107697397</v>
      </c>
      <c r="R3572">
        <v>14.5</v>
      </c>
      <c r="T3572" s="358" t="str">
        <f t="shared" si="157"/>
        <v>2013AllSexNon-Maori24Submersion (drowning)</v>
      </c>
      <c r="U3572" s="360">
        <v>2013</v>
      </c>
      <c r="V3572" s="360" t="s">
        <v>17</v>
      </c>
      <c r="W3572" s="360" t="s">
        <v>19</v>
      </c>
      <c r="X3572" s="360">
        <v>24</v>
      </c>
      <c r="Y3572" s="360" t="s">
        <v>49</v>
      </c>
      <c r="Z3572" s="360">
        <v>7</v>
      </c>
      <c r="AA3572" s="360">
        <v>173</v>
      </c>
      <c r="AB3572" s="360">
        <v>4</v>
      </c>
    </row>
    <row r="3573" spans="10:28" x14ac:dyDescent="0.2">
      <c r="J3573" s="358" t="str">
        <f t="shared" si="156"/>
        <v>2013MaleMaori245</v>
      </c>
      <c r="K3573" s="359">
        <v>2013</v>
      </c>
      <c r="L3573" t="s">
        <v>20</v>
      </c>
      <c r="M3573" t="s">
        <v>18</v>
      </c>
      <c r="N3573">
        <v>24</v>
      </c>
      <c r="O3573">
        <v>5</v>
      </c>
      <c r="P3573">
        <v>4</v>
      </c>
      <c r="Q3573">
        <v>17.802365557669599</v>
      </c>
      <c r="R3573">
        <v>17.399999999999999</v>
      </c>
      <c r="T3573" s="358" t="str">
        <f t="shared" si="157"/>
        <v>2013AllSexNon-Maori25Submersion (drowning)</v>
      </c>
      <c r="U3573" s="360">
        <v>2013</v>
      </c>
      <c r="V3573" s="360" t="s">
        <v>17</v>
      </c>
      <c r="W3573" s="360" t="s">
        <v>19</v>
      </c>
      <c r="X3573" s="360">
        <v>25</v>
      </c>
      <c r="Y3573" s="360" t="s">
        <v>49</v>
      </c>
      <c r="Z3573" s="360">
        <v>3</v>
      </c>
      <c r="AA3573" s="360">
        <v>56</v>
      </c>
      <c r="AB3573" s="360">
        <v>5.4</v>
      </c>
    </row>
    <row r="3574" spans="10:28" x14ac:dyDescent="0.2">
      <c r="J3574" s="358" t="str">
        <f t="shared" si="156"/>
        <v>2013MaleMaori251</v>
      </c>
      <c r="K3574" s="359">
        <v>2013</v>
      </c>
      <c r="L3574" t="s">
        <v>20</v>
      </c>
      <c r="M3574" t="s">
        <v>18</v>
      </c>
      <c r="N3574">
        <v>25</v>
      </c>
      <c r="O3574">
        <v>1</v>
      </c>
      <c r="P3574">
        <v>0</v>
      </c>
      <c r="Q3574">
        <v>0</v>
      </c>
      <c r="T3574" s="358" t="str">
        <f t="shared" si="157"/>
        <v>2013FemaleAllEth22Firearms and explosives</v>
      </c>
      <c r="U3574" s="360">
        <v>2013</v>
      </c>
      <c r="V3574" s="360" t="s">
        <v>8</v>
      </c>
      <c r="W3574" s="360" t="s">
        <v>27</v>
      </c>
      <c r="X3574" s="360">
        <v>22</v>
      </c>
      <c r="Y3574" s="360" t="s">
        <v>42</v>
      </c>
      <c r="Z3574" s="360">
        <v>1</v>
      </c>
      <c r="AA3574" s="360">
        <v>38</v>
      </c>
      <c r="AB3574" s="360">
        <v>2.6</v>
      </c>
    </row>
    <row r="3575" spans="10:28" x14ac:dyDescent="0.2">
      <c r="J3575" s="358" t="str">
        <f t="shared" si="156"/>
        <v>2013MaleMaori252</v>
      </c>
      <c r="K3575" s="359">
        <v>2013</v>
      </c>
      <c r="L3575" t="s">
        <v>20</v>
      </c>
      <c r="M3575" t="s">
        <v>18</v>
      </c>
      <c r="N3575">
        <v>25</v>
      </c>
      <c r="O3575">
        <v>2</v>
      </c>
      <c r="P3575">
        <v>0</v>
      </c>
      <c r="Q3575">
        <v>0</v>
      </c>
      <c r="T3575" s="358" t="str">
        <f t="shared" si="157"/>
        <v>2013FemaleAllEth24Firearms and explosives</v>
      </c>
      <c r="U3575" s="360">
        <v>2013</v>
      </c>
      <c r="V3575" s="360" t="s">
        <v>8</v>
      </c>
      <c r="W3575" s="360" t="s">
        <v>27</v>
      </c>
      <c r="X3575" s="360">
        <v>24</v>
      </c>
      <c r="Y3575" s="360" t="s">
        <v>42</v>
      </c>
      <c r="Z3575" s="360">
        <v>1</v>
      </c>
      <c r="AA3575" s="360">
        <v>53</v>
      </c>
      <c r="AB3575" s="360">
        <v>1.9</v>
      </c>
    </row>
    <row r="3576" spans="10:28" x14ac:dyDescent="0.2">
      <c r="J3576" s="358" t="str">
        <f t="shared" si="156"/>
        <v>2013MaleMaori253</v>
      </c>
      <c r="K3576" s="359">
        <v>2013</v>
      </c>
      <c r="L3576" t="s">
        <v>20</v>
      </c>
      <c r="M3576" t="s">
        <v>18</v>
      </c>
      <c r="N3576">
        <v>25</v>
      </c>
      <c r="O3576">
        <v>3</v>
      </c>
      <c r="P3576">
        <v>0</v>
      </c>
      <c r="Q3576">
        <v>0</v>
      </c>
      <c r="T3576" s="358" t="str">
        <f t="shared" si="157"/>
        <v>2013FemaleAllEth21Hanging, strangulation and suffocation</v>
      </c>
      <c r="U3576" s="360">
        <v>2013</v>
      </c>
      <c r="V3576" s="360" t="s">
        <v>8</v>
      </c>
      <c r="W3576" s="360" t="s">
        <v>27</v>
      </c>
      <c r="X3576" s="360">
        <v>21</v>
      </c>
      <c r="Y3576" s="360" t="s">
        <v>43</v>
      </c>
      <c r="Z3576" s="360">
        <v>1</v>
      </c>
      <c r="AA3576" s="360">
        <v>2</v>
      </c>
      <c r="AB3576" s="360">
        <v>50</v>
      </c>
    </row>
    <row r="3577" spans="10:28" x14ac:dyDescent="0.2">
      <c r="J3577" s="358" t="str">
        <f t="shared" si="156"/>
        <v>2013MaleMaori254</v>
      </c>
      <c r="K3577" s="359">
        <v>2013</v>
      </c>
      <c r="L3577" t="s">
        <v>20</v>
      </c>
      <c r="M3577" t="s">
        <v>18</v>
      </c>
      <c r="N3577">
        <v>25</v>
      </c>
      <c r="O3577">
        <v>4</v>
      </c>
      <c r="P3577">
        <v>0</v>
      </c>
      <c r="Q3577">
        <v>0</v>
      </c>
      <c r="T3577" s="358" t="str">
        <f t="shared" si="157"/>
        <v>2013FemaleAllEth22Hanging, strangulation and suffocation</v>
      </c>
      <c r="U3577" s="360">
        <v>2013</v>
      </c>
      <c r="V3577" s="360" t="s">
        <v>8</v>
      </c>
      <c r="W3577" s="360" t="s">
        <v>27</v>
      </c>
      <c r="X3577" s="360">
        <v>22</v>
      </c>
      <c r="Y3577" s="360" t="s">
        <v>43</v>
      </c>
      <c r="Z3577" s="360">
        <v>30</v>
      </c>
      <c r="AA3577" s="360">
        <v>38</v>
      </c>
      <c r="AB3577" s="360">
        <v>78.900000000000006</v>
      </c>
    </row>
    <row r="3578" spans="10:28" x14ac:dyDescent="0.2">
      <c r="J3578" s="358" t="str">
        <f t="shared" si="156"/>
        <v>2013MaleMaori255</v>
      </c>
      <c r="K3578" s="359">
        <v>2013</v>
      </c>
      <c r="L3578" t="s">
        <v>20</v>
      </c>
      <c r="M3578" t="s">
        <v>18</v>
      </c>
      <c r="N3578">
        <v>25</v>
      </c>
      <c r="O3578">
        <v>5</v>
      </c>
      <c r="P3578">
        <v>0</v>
      </c>
      <c r="Q3578">
        <v>0</v>
      </c>
      <c r="T3578" s="358" t="str">
        <f t="shared" si="157"/>
        <v>2013FemaleAllEth23Hanging, strangulation and suffocation</v>
      </c>
      <c r="U3578" s="360">
        <v>2013</v>
      </c>
      <c r="V3578" s="360" t="s">
        <v>8</v>
      </c>
      <c r="W3578" s="360" t="s">
        <v>27</v>
      </c>
      <c r="X3578" s="360">
        <v>23</v>
      </c>
      <c r="Y3578" s="360" t="s">
        <v>43</v>
      </c>
      <c r="Z3578" s="360">
        <v>30</v>
      </c>
      <c r="AA3578" s="360">
        <v>47</v>
      </c>
      <c r="AB3578" s="360">
        <v>63.8</v>
      </c>
    </row>
    <row r="3579" spans="10:28" x14ac:dyDescent="0.2">
      <c r="J3579" s="358" t="str">
        <f t="shared" si="156"/>
        <v>2013MaleNon-Maori211</v>
      </c>
      <c r="K3579" s="359">
        <v>2013</v>
      </c>
      <c r="L3579" t="s">
        <v>20</v>
      </c>
      <c r="M3579" t="s">
        <v>19</v>
      </c>
      <c r="N3579">
        <v>21</v>
      </c>
      <c r="O3579">
        <v>1</v>
      </c>
      <c r="P3579">
        <v>0</v>
      </c>
      <c r="T3579" s="358" t="str">
        <f t="shared" si="157"/>
        <v>2013FemaleAllEth24Hanging, strangulation and suffocation</v>
      </c>
      <c r="U3579" s="360">
        <v>2013</v>
      </c>
      <c r="V3579" s="360" t="s">
        <v>8</v>
      </c>
      <c r="W3579" s="360" t="s">
        <v>27</v>
      </c>
      <c r="X3579" s="360">
        <v>24</v>
      </c>
      <c r="Y3579" s="360" t="s">
        <v>43</v>
      </c>
      <c r="Z3579" s="360">
        <v>19</v>
      </c>
      <c r="AA3579" s="360">
        <v>53</v>
      </c>
      <c r="AB3579" s="360">
        <v>35.799999999999997</v>
      </c>
    </row>
    <row r="3580" spans="10:28" x14ac:dyDescent="0.2">
      <c r="J3580" s="358" t="str">
        <f t="shared" si="156"/>
        <v>2013MaleNon-Maori212</v>
      </c>
      <c r="K3580" s="359">
        <v>2013</v>
      </c>
      <c r="L3580" t="s">
        <v>20</v>
      </c>
      <c r="M3580" t="s">
        <v>19</v>
      </c>
      <c r="N3580">
        <v>21</v>
      </c>
      <c r="O3580">
        <v>2</v>
      </c>
      <c r="P3580">
        <v>0</v>
      </c>
      <c r="T3580" s="358" t="str">
        <f t="shared" si="157"/>
        <v>2013FemaleAllEth25Hanging, strangulation and suffocation</v>
      </c>
      <c r="U3580" s="360">
        <v>2013</v>
      </c>
      <c r="V3580" s="360" t="s">
        <v>8</v>
      </c>
      <c r="W3580" s="360" t="s">
        <v>27</v>
      </c>
      <c r="X3580" s="360">
        <v>25</v>
      </c>
      <c r="Y3580" s="360" t="s">
        <v>43</v>
      </c>
      <c r="Z3580" s="360">
        <v>2</v>
      </c>
      <c r="AA3580" s="360">
        <v>8</v>
      </c>
      <c r="AB3580" s="360">
        <v>25</v>
      </c>
    </row>
    <row r="3581" spans="10:28" x14ac:dyDescent="0.2">
      <c r="J3581" s="358" t="str">
        <f t="shared" si="156"/>
        <v>2013MaleNon-Maori213</v>
      </c>
      <c r="K3581" s="359">
        <v>2013</v>
      </c>
      <c r="L3581" t="s">
        <v>20</v>
      </c>
      <c r="M3581" t="s">
        <v>19</v>
      </c>
      <c r="N3581">
        <v>21</v>
      </c>
      <c r="O3581">
        <v>3</v>
      </c>
      <c r="P3581">
        <v>0</v>
      </c>
      <c r="T3581" s="358" t="str">
        <f t="shared" si="157"/>
        <v>2013FemaleAllEth23Jumping from a high place</v>
      </c>
      <c r="U3581" s="360">
        <v>2013</v>
      </c>
      <c r="V3581" s="360" t="s">
        <v>8</v>
      </c>
      <c r="W3581" s="360" t="s">
        <v>27</v>
      </c>
      <c r="X3581" s="360">
        <v>23</v>
      </c>
      <c r="Y3581" s="360" t="s">
        <v>44</v>
      </c>
      <c r="Z3581" s="360">
        <v>1</v>
      </c>
      <c r="AA3581" s="360">
        <v>47</v>
      </c>
      <c r="AB3581" s="360">
        <v>2.1</v>
      </c>
    </row>
    <row r="3582" spans="10:28" x14ac:dyDescent="0.2">
      <c r="J3582" s="358" t="str">
        <f t="shared" si="156"/>
        <v>2013MaleNon-Maori214</v>
      </c>
      <c r="K3582" s="359">
        <v>2013</v>
      </c>
      <c r="L3582" t="s">
        <v>20</v>
      </c>
      <c r="M3582" t="s">
        <v>19</v>
      </c>
      <c r="N3582">
        <v>21</v>
      </c>
      <c r="O3582">
        <v>4</v>
      </c>
      <c r="P3582">
        <v>0</v>
      </c>
      <c r="T3582" s="358" t="str">
        <f t="shared" si="157"/>
        <v>2013FemaleAllEth24Jumping from a high place</v>
      </c>
      <c r="U3582" s="360">
        <v>2013</v>
      </c>
      <c r="V3582" s="360" t="s">
        <v>8</v>
      </c>
      <c r="W3582" s="360" t="s">
        <v>27</v>
      </c>
      <c r="X3582" s="360">
        <v>24</v>
      </c>
      <c r="Y3582" s="360" t="s">
        <v>44</v>
      </c>
      <c r="Z3582" s="360">
        <v>4</v>
      </c>
      <c r="AA3582" s="360">
        <v>53</v>
      </c>
      <c r="AB3582" s="360">
        <v>7.5</v>
      </c>
    </row>
    <row r="3583" spans="10:28" x14ac:dyDescent="0.2">
      <c r="J3583" s="358" t="str">
        <f t="shared" si="156"/>
        <v>2013MaleNon-Maori215</v>
      </c>
      <c r="K3583" s="359">
        <v>2013</v>
      </c>
      <c r="L3583" t="s">
        <v>20</v>
      </c>
      <c r="M3583" t="s">
        <v>19</v>
      </c>
      <c r="N3583">
        <v>21</v>
      </c>
      <c r="O3583">
        <v>5</v>
      </c>
      <c r="P3583">
        <v>0</v>
      </c>
      <c r="T3583" s="358" t="str">
        <f t="shared" si="157"/>
        <v>2013FemaleAllEth21Other</v>
      </c>
      <c r="U3583" s="360">
        <v>2013</v>
      </c>
      <c r="V3583" s="360" t="s">
        <v>8</v>
      </c>
      <c r="W3583" s="360" t="s">
        <v>27</v>
      </c>
      <c r="X3583" s="360">
        <v>21</v>
      </c>
      <c r="Y3583" s="360" t="s">
        <v>45</v>
      </c>
      <c r="Z3583" s="360">
        <v>1</v>
      </c>
      <c r="AA3583" s="360">
        <v>2</v>
      </c>
      <c r="AB3583" s="360">
        <v>50</v>
      </c>
    </row>
    <row r="3584" spans="10:28" x14ac:dyDescent="0.2">
      <c r="J3584" s="358" t="str">
        <f t="shared" si="156"/>
        <v>2013MaleNon-Maori221</v>
      </c>
      <c r="K3584" s="359">
        <v>2013</v>
      </c>
      <c r="L3584" t="s">
        <v>20</v>
      </c>
      <c r="M3584" t="s">
        <v>19</v>
      </c>
      <c r="N3584">
        <v>22</v>
      </c>
      <c r="O3584">
        <v>1</v>
      </c>
      <c r="P3584">
        <v>7</v>
      </c>
      <c r="Q3584">
        <v>13.487222049393701</v>
      </c>
      <c r="R3584">
        <v>10</v>
      </c>
      <c r="T3584" s="358" t="str">
        <f t="shared" si="157"/>
        <v>2013FemaleAllEth23Other</v>
      </c>
      <c r="U3584" s="360">
        <v>2013</v>
      </c>
      <c r="V3584" s="360" t="s">
        <v>8</v>
      </c>
      <c r="W3584" s="360" t="s">
        <v>27</v>
      </c>
      <c r="X3584" s="360">
        <v>23</v>
      </c>
      <c r="Y3584" s="360" t="s">
        <v>45</v>
      </c>
      <c r="Z3584" s="360">
        <v>3</v>
      </c>
      <c r="AA3584" s="360">
        <v>47</v>
      </c>
      <c r="AB3584" s="360">
        <v>6.4</v>
      </c>
    </row>
    <row r="3585" spans="10:28" x14ac:dyDescent="0.2">
      <c r="J3585" s="358" t="str">
        <f t="shared" si="156"/>
        <v>2013MaleNon-Maori222</v>
      </c>
      <c r="K3585" s="359">
        <v>2013</v>
      </c>
      <c r="L3585" t="s">
        <v>20</v>
      </c>
      <c r="M3585" t="s">
        <v>19</v>
      </c>
      <c r="N3585">
        <v>22</v>
      </c>
      <c r="O3585">
        <v>2</v>
      </c>
      <c r="P3585">
        <v>6</v>
      </c>
      <c r="Q3585">
        <v>11.8459158802389</v>
      </c>
      <c r="R3585">
        <v>9.5</v>
      </c>
      <c r="T3585" s="358" t="str">
        <f t="shared" si="157"/>
        <v>2013FemaleAllEth24Other</v>
      </c>
      <c r="U3585" s="360">
        <v>2013</v>
      </c>
      <c r="V3585" s="360" t="s">
        <v>8</v>
      </c>
      <c r="W3585" s="360" t="s">
        <v>27</v>
      </c>
      <c r="X3585" s="360">
        <v>24</v>
      </c>
      <c r="Y3585" s="360" t="s">
        <v>45</v>
      </c>
      <c r="Z3585" s="360">
        <v>2</v>
      </c>
      <c r="AA3585" s="360">
        <v>53</v>
      </c>
      <c r="AB3585" s="360">
        <v>3.8</v>
      </c>
    </row>
    <row r="3586" spans="10:28" x14ac:dyDescent="0.2">
      <c r="J3586" s="358" t="str">
        <f t="shared" si="156"/>
        <v>2013MaleNon-Maori223</v>
      </c>
      <c r="K3586" s="359">
        <v>2013</v>
      </c>
      <c r="L3586" t="s">
        <v>20</v>
      </c>
      <c r="M3586" t="s">
        <v>19</v>
      </c>
      <c r="N3586">
        <v>22</v>
      </c>
      <c r="O3586">
        <v>3</v>
      </c>
      <c r="P3586">
        <v>8</v>
      </c>
      <c r="Q3586">
        <v>15.8195720507707</v>
      </c>
      <c r="R3586">
        <v>11</v>
      </c>
      <c r="T3586" s="358" t="str">
        <f t="shared" si="157"/>
        <v>2013FemaleAllEth23Poisoning by gases and vapours</v>
      </c>
      <c r="U3586" s="360">
        <v>2013</v>
      </c>
      <c r="V3586" s="360" t="s">
        <v>8</v>
      </c>
      <c r="W3586" s="360" t="s">
        <v>27</v>
      </c>
      <c r="X3586" s="360">
        <v>23</v>
      </c>
      <c r="Y3586" s="360" t="s">
        <v>46</v>
      </c>
      <c r="Z3586" s="360">
        <v>3</v>
      </c>
      <c r="AA3586" s="360">
        <v>47</v>
      </c>
      <c r="AB3586" s="360">
        <v>6.4</v>
      </c>
    </row>
    <row r="3587" spans="10:28" x14ac:dyDescent="0.2">
      <c r="J3587" s="358" t="str">
        <f t="shared" si="156"/>
        <v>2013MaleNon-Maori224</v>
      </c>
      <c r="K3587" s="359">
        <v>2013</v>
      </c>
      <c r="L3587" t="s">
        <v>20</v>
      </c>
      <c r="M3587" t="s">
        <v>19</v>
      </c>
      <c r="N3587">
        <v>22</v>
      </c>
      <c r="O3587">
        <v>4</v>
      </c>
      <c r="P3587">
        <v>5</v>
      </c>
      <c r="Q3587">
        <v>9.5453922111148692</v>
      </c>
      <c r="R3587">
        <v>8.4</v>
      </c>
      <c r="T3587" s="358" t="str">
        <f t="shared" si="157"/>
        <v>2013FemaleAllEth24Poisoning by gases and vapours</v>
      </c>
      <c r="U3587" s="360">
        <v>2013</v>
      </c>
      <c r="V3587" s="360" t="s">
        <v>8</v>
      </c>
      <c r="W3587" s="360" t="s">
        <v>27</v>
      </c>
      <c r="X3587" s="360">
        <v>24</v>
      </c>
      <c r="Y3587" s="360" t="s">
        <v>46</v>
      </c>
      <c r="Z3587" s="360">
        <v>3</v>
      </c>
      <c r="AA3587" s="360">
        <v>53</v>
      </c>
      <c r="AB3587" s="360">
        <v>5.7</v>
      </c>
    </row>
    <row r="3588" spans="10:28" x14ac:dyDescent="0.2">
      <c r="J3588" s="358" t="str">
        <f t="shared" ref="J3588:J3651" si="158">K3588&amp;L3588&amp;M3588&amp;N3588&amp;O3588</f>
        <v>2013MaleNon-Maori225</v>
      </c>
      <c r="K3588" s="359">
        <v>2013</v>
      </c>
      <c r="L3588" t="s">
        <v>20</v>
      </c>
      <c r="M3588" t="s">
        <v>19</v>
      </c>
      <c r="N3588">
        <v>22</v>
      </c>
      <c r="O3588">
        <v>5</v>
      </c>
      <c r="P3588">
        <v>15</v>
      </c>
      <c r="Q3588">
        <v>29.849513098207101</v>
      </c>
      <c r="R3588">
        <v>15.1</v>
      </c>
      <c r="T3588" s="358" t="str">
        <f t="shared" si="157"/>
        <v>2013FemaleAllEth22Poisoning by solids and liquids</v>
      </c>
      <c r="U3588" s="360">
        <v>2013</v>
      </c>
      <c r="V3588" s="360" t="s">
        <v>8</v>
      </c>
      <c r="W3588" s="360" t="s">
        <v>27</v>
      </c>
      <c r="X3588" s="360">
        <v>22</v>
      </c>
      <c r="Y3588" s="360" t="s">
        <v>47</v>
      </c>
      <c r="Z3588" s="360">
        <v>4</v>
      </c>
      <c r="AA3588" s="360">
        <v>38</v>
      </c>
      <c r="AB3588" s="360">
        <v>10.5</v>
      </c>
    </row>
    <row r="3589" spans="10:28" x14ac:dyDescent="0.2">
      <c r="J3589" s="358" t="str">
        <f t="shared" si="158"/>
        <v>2013MaleNon-Maori231</v>
      </c>
      <c r="K3589" s="359">
        <v>2013</v>
      </c>
      <c r="L3589" t="s">
        <v>20</v>
      </c>
      <c r="M3589" t="s">
        <v>19</v>
      </c>
      <c r="N3589">
        <v>23</v>
      </c>
      <c r="O3589">
        <v>1</v>
      </c>
      <c r="P3589">
        <v>10</v>
      </c>
      <c r="Q3589">
        <v>10.515596339837399</v>
      </c>
      <c r="R3589">
        <v>6.5</v>
      </c>
      <c r="T3589" s="358" t="str">
        <f t="shared" ref="T3589:T3652" si="159">U3589&amp;V3589&amp;W3589&amp;X3589&amp;Y3589</f>
        <v>2013FemaleAllEth23Poisoning by solids and liquids</v>
      </c>
      <c r="U3589" s="360">
        <v>2013</v>
      </c>
      <c r="V3589" s="360" t="s">
        <v>8</v>
      </c>
      <c r="W3589" s="360" t="s">
        <v>27</v>
      </c>
      <c r="X3589" s="360">
        <v>23</v>
      </c>
      <c r="Y3589" s="360" t="s">
        <v>47</v>
      </c>
      <c r="Z3589" s="360">
        <v>9</v>
      </c>
      <c r="AA3589" s="360">
        <v>47</v>
      </c>
      <c r="AB3589" s="360">
        <v>19.100000000000001</v>
      </c>
    </row>
    <row r="3590" spans="10:28" x14ac:dyDescent="0.2">
      <c r="J3590" s="358" t="str">
        <f t="shared" si="158"/>
        <v>2013MaleNon-Maori232</v>
      </c>
      <c r="K3590" s="359">
        <v>2013</v>
      </c>
      <c r="L3590" t="s">
        <v>20</v>
      </c>
      <c r="M3590" t="s">
        <v>19</v>
      </c>
      <c r="N3590">
        <v>23</v>
      </c>
      <c r="O3590">
        <v>2</v>
      </c>
      <c r="P3590">
        <v>14</v>
      </c>
      <c r="Q3590">
        <v>13.744339590194</v>
      </c>
      <c r="R3590">
        <v>7.2</v>
      </c>
      <c r="T3590" s="358" t="str">
        <f t="shared" si="159"/>
        <v>2013FemaleAllEth24Poisoning by solids and liquids</v>
      </c>
      <c r="U3590" s="360">
        <v>2013</v>
      </c>
      <c r="V3590" s="360" t="s">
        <v>8</v>
      </c>
      <c r="W3590" s="360" t="s">
        <v>27</v>
      </c>
      <c r="X3590" s="360">
        <v>24</v>
      </c>
      <c r="Y3590" s="360" t="s">
        <v>47</v>
      </c>
      <c r="Z3590" s="360">
        <v>19</v>
      </c>
      <c r="AA3590" s="360">
        <v>53</v>
      </c>
      <c r="AB3590" s="360">
        <v>35.799999999999997</v>
      </c>
    </row>
    <row r="3591" spans="10:28" x14ac:dyDescent="0.2">
      <c r="J3591" s="358" t="str">
        <f t="shared" si="158"/>
        <v>2013MaleNon-Maori233</v>
      </c>
      <c r="K3591" s="359">
        <v>2013</v>
      </c>
      <c r="L3591" t="s">
        <v>20</v>
      </c>
      <c r="M3591" t="s">
        <v>19</v>
      </c>
      <c r="N3591">
        <v>23</v>
      </c>
      <c r="O3591">
        <v>3</v>
      </c>
      <c r="P3591">
        <v>16</v>
      </c>
      <c r="Q3591">
        <v>15.7589670466995</v>
      </c>
      <c r="R3591">
        <v>7.7</v>
      </c>
      <c r="T3591" s="358" t="str">
        <f t="shared" si="159"/>
        <v>2013FemaleAllEth25Poisoning by solids and liquids</v>
      </c>
      <c r="U3591" s="360">
        <v>2013</v>
      </c>
      <c r="V3591" s="360" t="s">
        <v>8</v>
      </c>
      <c r="W3591" s="360" t="s">
        <v>27</v>
      </c>
      <c r="X3591" s="360">
        <v>25</v>
      </c>
      <c r="Y3591" s="360" t="s">
        <v>47</v>
      </c>
      <c r="Z3591" s="360">
        <v>6</v>
      </c>
      <c r="AA3591" s="360">
        <v>8</v>
      </c>
      <c r="AB3591" s="360">
        <v>75</v>
      </c>
    </row>
    <row r="3592" spans="10:28" x14ac:dyDescent="0.2">
      <c r="J3592" s="358" t="str">
        <f t="shared" si="158"/>
        <v>2013MaleNon-Maori234</v>
      </c>
      <c r="K3592" s="359">
        <v>2013</v>
      </c>
      <c r="L3592" t="s">
        <v>20</v>
      </c>
      <c r="M3592" t="s">
        <v>19</v>
      </c>
      <c r="N3592">
        <v>23</v>
      </c>
      <c r="O3592">
        <v>4</v>
      </c>
      <c r="P3592">
        <v>20</v>
      </c>
      <c r="Q3592">
        <v>21.127113290492399</v>
      </c>
      <c r="R3592">
        <v>9.3000000000000007</v>
      </c>
      <c r="T3592" s="358" t="str">
        <f t="shared" si="159"/>
        <v>2013FemaleAllEth24Sharp object</v>
      </c>
      <c r="U3592" s="360">
        <v>2013</v>
      </c>
      <c r="V3592" s="360" t="s">
        <v>8</v>
      </c>
      <c r="W3592" s="360" t="s">
        <v>27</v>
      </c>
      <c r="X3592" s="360">
        <v>24</v>
      </c>
      <c r="Y3592" s="360" t="s">
        <v>48</v>
      </c>
      <c r="Z3592" s="360">
        <v>1</v>
      </c>
      <c r="AA3592" s="360">
        <v>53</v>
      </c>
      <c r="AB3592" s="360">
        <v>1.9</v>
      </c>
    </row>
    <row r="3593" spans="10:28" x14ac:dyDescent="0.2">
      <c r="J3593" s="358" t="str">
        <f t="shared" si="158"/>
        <v>2013MaleNon-Maori235</v>
      </c>
      <c r="K3593" s="359">
        <v>2013</v>
      </c>
      <c r="L3593" t="s">
        <v>20</v>
      </c>
      <c r="M3593" t="s">
        <v>19</v>
      </c>
      <c r="N3593">
        <v>23</v>
      </c>
      <c r="O3593">
        <v>5</v>
      </c>
      <c r="P3593">
        <v>18</v>
      </c>
      <c r="Q3593">
        <v>23.639591698213199</v>
      </c>
      <c r="R3593">
        <v>10.9</v>
      </c>
      <c r="T3593" s="358" t="str">
        <f t="shared" si="159"/>
        <v>2013FemaleAllEth22Submersion (drowning)</v>
      </c>
      <c r="U3593" s="360">
        <v>2013</v>
      </c>
      <c r="V3593" s="360" t="s">
        <v>8</v>
      </c>
      <c r="W3593" s="360" t="s">
        <v>27</v>
      </c>
      <c r="X3593" s="360">
        <v>22</v>
      </c>
      <c r="Y3593" s="360" t="s">
        <v>49</v>
      </c>
      <c r="Z3593" s="360">
        <v>3</v>
      </c>
      <c r="AA3593" s="360">
        <v>38</v>
      </c>
      <c r="AB3593" s="360">
        <v>7.9</v>
      </c>
    </row>
    <row r="3594" spans="10:28" x14ac:dyDescent="0.2">
      <c r="J3594" s="358" t="str">
        <f t="shared" si="158"/>
        <v>2013MaleNon-Maori241</v>
      </c>
      <c r="K3594" s="359">
        <v>2013</v>
      </c>
      <c r="L3594" t="s">
        <v>20</v>
      </c>
      <c r="M3594" t="s">
        <v>19</v>
      </c>
      <c r="N3594">
        <v>24</v>
      </c>
      <c r="O3594">
        <v>1</v>
      </c>
      <c r="P3594">
        <v>27</v>
      </c>
      <c r="Q3594">
        <v>20.8877348412536</v>
      </c>
      <c r="R3594">
        <v>7.9</v>
      </c>
      <c r="T3594" s="358" t="str">
        <f t="shared" si="159"/>
        <v>2013FemaleAllEth23Submersion (drowning)</v>
      </c>
      <c r="U3594" s="360">
        <v>2013</v>
      </c>
      <c r="V3594" s="360" t="s">
        <v>8</v>
      </c>
      <c r="W3594" s="360" t="s">
        <v>27</v>
      </c>
      <c r="X3594" s="360">
        <v>23</v>
      </c>
      <c r="Y3594" s="360" t="s">
        <v>49</v>
      </c>
      <c r="Z3594" s="360">
        <v>1</v>
      </c>
      <c r="AA3594" s="360">
        <v>47</v>
      </c>
      <c r="AB3594" s="360">
        <v>2.1</v>
      </c>
    </row>
    <row r="3595" spans="10:28" x14ac:dyDescent="0.2">
      <c r="J3595" s="358" t="str">
        <f t="shared" si="158"/>
        <v>2013MaleNon-Maori242</v>
      </c>
      <c r="K3595" s="359">
        <v>2013</v>
      </c>
      <c r="L3595" t="s">
        <v>20</v>
      </c>
      <c r="M3595" t="s">
        <v>19</v>
      </c>
      <c r="N3595">
        <v>24</v>
      </c>
      <c r="O3595">
        <v>2</v>
      </c>
      <c r="P3595">
        <v>20</v>
      </c>
      <c r="Q3595">
        <v>17.788332452989302</v>
      </c>
      <c r="R3595">
        <v>7.8</v>
      </c>
      <c r="T3595" s="358" t="str">
        <f t="shared" si="159"/>
        <v>2013FemaleAllEth24Submersion (drowning)</v>
      </c>
      <c r="U3595" s="360">
        <v>2013</v>
      </c>
      <c r="V3595" s="360" t="s">
        <v>8</v>
      </c>
      <c r="W3595" s="360" t="s">
        <v>27</v>
      </c>
      <c r="X3595" s="360">
        <v>24</v>
      </c>
      <c r="Y3595" s="360" t="s">
        <v>49</v>
      </c>
      <c r="Z3595" s="360">
        <v>4</v>
      </c>
      <c r="AA3595" s="360">
        <v>53</v>
      </c>
      <c r="AB3595" s="360">
        <v>7.5</v>
      </c>
    </row>
    <row r="3596" spans="10:28" x14ac:dyDescent="0.2">
      <c r="J3596" s="358" t="str">
        <f t="shared" si="158"/>
        <v>2013MaleNon-Maori243</v>
      </c>
      <c r="K3596" s="359">
        <v>2013</v>
      </c>
      <c r="L3596" t="s">
        <v>20</v>
      </c>
      <c r="M3596" t="s">
        <v>19</v>
      </c>
      <c r="N3596">
        <v>24</v>
      </c>
      <c r="O3596">
        <v>3</v>
      </c>
      <c r="P3596">
        <v>22</v>
      </c>
      <c r="Q3596">
        <v>22.383256596286699</v>
      </c>
      <c r="R3596">
        <v>9.4</v>
      </c>
      <c r="T3596" s="358" t="str">
        <f t="shared" si="159"/>
        <v>2013FemaleMaori22Firearms and explosives</v>
      </c>
      <c r="U3596" s="360">
        <v>2013</v>
      </c>
      <c r="V3596" s="360" t="s">
        <v>8</v>
      </c>
      <c r="W3596" s="360" t="s">
        <v>18</v>
      </c>
      <c r="X3596" s="360">
        <v>22</v>
      </c>
      <c r="Y3596" s="360" t="s">
        <v>42</v>
      </c>
      <c r="Z3596" s="360">
        <v>1</v>
      </c>
      <c r="AA3596" s="360">
        <v>20</v>
      </c>
      <c r="AB3596" s="360">
        <v>5</v>
      </c>
    </row>
    <row r="3597" spans="10:28" x14ac:dyDescent="0.2">
      <c r="J3597" s="358" t="str">
        <f t="shared" si="158"/>
        <v>2013MaleNon-Maori244</v>
      </c>
      <c r="K3597" s="359">
        <v>2013</v>
      </c>
      <c r="L3597" t="s">
        <v>20</v>
      </c>
      <c r="M3597" t="s">
        <v>19</v>
      </c>
      <c r="N3597">
        <v>24</v>
      </c>
      <c r="O3597">
        <v>4</v>
      </c>
      <c r="P3597">
        <v>28</v>
      </c>
      <c r="Q3597">
        <v>33.041606474934902</v>
      </c>
      <c r="R3597">
        <v>12.2</v>
      </c>
      <c r="T3597" s="358" t="str">
        <f t="shared" si="159"/>
        <v>2013FemaleMaori21Hanging, strangulation and suffocation</v>
      </c>
      <c r="U3597" s="360">
        <v>2013</v>
      </c>
      <c r="V3597" s="360" t="s">
        <v>8</v>
      </c>
      <c r="W3597" s="360" t="s">
        <v>18</v>
      </c>
      <c r="X3597" s="360">
        <v>21</v>
      </c>
      <c r="Y3597" s="360" t="s">
        <v>43</v>
      </c>
      <c r="Z3597" s="360">
        <v>1</v>
      </c>
      <c r="AA3597" s="360">
        <v>1</v>
      </c>
      <c r="AB3597" s="360">
        <v>100</v>
      </c>
    </row>
    <row r="3598" spans="10:28" x14ac:dyDescent="0.2">
      <c r="J3598" s="358" t="str">
        <f t="shared" si="158"/>
        <v>2013MaleNon-Maori245</v>
      </c>
      <c r="K3598" s="359">
        <v>2013</v>
      </c>
      <c r="L3598" t="s">
        <v>20</v>
      </c>
      <c r="M3598" t="s">
        <v>19</v>
      </c>
      <c r="N3598">
        <v>24</v>
      </c>
      <c r="O3598">
        <v>5</v>
      </c>
      <c r="P3598">
        <v>20</v>
      </c>
      <c r="Q3598">
        <v>29.737611256885</v>
      </c>
      <c r="R3598">
        <v>13</v>
      </c>
      <c r="T3598" s="358" t="str">
        <f t="shared" si="159"/>
        <v>2013FemaleMaori22Hanging, strangulation and suffocation</v>
      </c>
      <c r="U3598" s="360">
        <v>2013</v>
      </c>
      <c r="V3598" s="360" t="s">
        <v>8</v>
      </c>
      <c r="W3598" s="360" t="s">
        <v>18</v>
      </c>
      <c r="X3598" s="360">
        <v>22</v>
      </c>
      <c r="Y3598" s="360" t="s">
        <v>43</v>
      </c>
      <c r="Z3598" s="360">
        <v>17</v>
      </c>
      <c r="AA3598" s="360">
        <v>20</v>
      </c>
      <c r="AB3598" s="360">
        <v>85</v>
      </c>
    </row>
    <row r="3599" spans="10:28" x14ac:dyDescent="0.2">
      <c r="J3599" s="358" t="str">
        <f t="shared" si="158"/>
        <v>2013MaleNon-Maori251</v>
      </c>
      <c r="K3599" s="359">
        <v>2013</v>
      </c>
      <c r="L3599" t="s">
        <v>20</v>
      </c>
      <c r="M3599" t="s">
        <v>19</v>
      </c>
      <c r="N3599">
        <v>25</v>
      </c>
      <c r="O3599">
        <v>1</v>
      </c>
      <c r="P3599">
        <v>7</v>
      </c>
      <c r="Q3599">
        <v>11.435952544127399</v>
      </c>
      <c r="R3599">
        <v>8.5</v>
      </c>
      <c r="T3599" s="358" t="str">
        <f t="shared" si="159"/>
        <v>2013FemaleMaori23Hanging, strangulation and suffocation</v>
      </c>
      <c r="U3599" s="360">
        <v>2013</v>
      </c>
      <c r="V3599" s="360" t="s">
        <v>8</v>
      </c>
      <c r="W3599" s="360" t="s">
        <v>18</v>
      </c>
      <c r="X3599" s="360">
        <v>23</v>
      </c>
      <c r="Y3599" s="360" t="s">
        <v>43</v>
      </c>
      <c r="Z3599" s="360">
        <v>11</v>
      </c>
      <c r="AA3599" s="360">
        <v>13</v>
      </c>
      <c r="AB3599" s="360">
        <v>84.6</v>
      </c>
    </row>
    <row r="3600" spans="10:28" x14ac:dyDescent="0.2">
      <c r="J3600" s="358" t="str">
        <f t="shared" si="158"/>
        <v>2013MaleNon-Maori252</v>
      </c>
      <c r="K3600" s="359">
        <v>2013</v>
      </c>
      <c r="L3600" t="s">
        <v>20</v>
      </c>
      <c r="M3600" t="s">
        <v>19</v>
      </c>
      <c r="N3600">
        <v>25</v>
      </c>
      <c r="O3600">
        <v>2</v>
      </c>
      <c r="P3600">
        <v>9</v>
      </c>
      <c r="Q3600">
        <v>15.057589668138</v>
      </c>
      <c r="R3600">
        <v>9.8000000000000007</v>
      </c>
      <c r="T3600" s="358" t="str">
        <f t="shared" si="159"/>
        <v>2013FemaleMaori24Hanging, strangulation and suffocation</v>
      </c>
      <c r="U3600" s="360">
        <v>2013</v>
      </c>
      <c r="V3600" s="360" t="s">
        <v>8</v>
      </c>
      <c r="W3600" s="360" t="s">
        <v>18</v>
      </c>
      <c r="X3600" s="360">
        <v>24</v>
      </c>
      <c r="Y3600" s="360" t="s">
        <v>43</v>
      </c>
      <c r="Z3600" s="360">
        <v>3</v>
      </c>
      <c r="AA3600" s="360">
        <v>5</v>
      </c>
      <c r="AB3600" s="360">
        <v>60</v>
      </c>
    </row>
    <row r="3601" spans="10:28" x14ac:dyDescent="0.2">
      <c r="J3601" s="358" t="str">
        <f t="shared" si="158"/>
        <v>2013MaleNon-Maori253</v>
      </c>
      <c r="K3601" s="359">
        <v>2013</v>
      </c>
      <c r="L3601" t="s">
        <v>20</v>
      </c>
      <c r="M3601" t="s">
        <v>19</v>
      </c>
      <c r="N3601">
        <v>25</v>
      </c>
      <c r="O3601">
        <v>3</v>
      </c>
      <c r="P3601">
        <v>20</v>
      </c>
      <c r="Q3601">
        <v>35.260293552159602</v>
      </c>
      <c r="R3601">
        <v>15.5</v>
      </c>
      <c r="T3601" s="358" t="str">
        <f t="shared" si="159"/>
        <v>2013FemaleMaori23Poisoning by gases and vapours</v>
      </c>
      <c r="U3601" s="360">
        <v>2013</v>
      </c>
      <c r="V3601" s="360" t="s">
        <v>8</v>
      </c>
      <c r="W3601" s="360" t="s">
        <v>18</v>
      </c>
      <c r="X3601" s="360">
        <v>23</v>
      </c>
      <c r="Y3601" s="360" t="s">
        <v>46</v>
      </c>
      <c r="Z3601" s="360">
        <v>1</v>
      </c>
      <c r="AA3601" s="360">
        <v>13</v>
      </c>
      <c r="AB3601" s="360">
        <v>7.7</v>
      </c>
    </row>
    <row r="3602" spans="10:28" x14ac:dyDescent="0.2">
      <c r="J3602" s="358" t="str">
        <f t="shared" si="158"/>
        <v>2013MaleNon-Maori254</v>
      </c>
      <c r="K3602" s="359">
        <v>2013</v>
      </c>
      <c r="L3602" t="s">
        <v>20</v>
      </c>
      <c r="M3602" t="s">
        <v>19</v>
      </c>
      <c r="N3602">
        <v>25</v>
      </c>
      <c r="O3602">
        <v>4</v>
      </c>
      <c r="P3602">
        <v>6</v>
      </c>
      <c r="Q3602">
        <v>11.173558575892701</v>
      </c>
      <c r="R3602">
        <v>8.9</v>
      </c>
      <c r="T3602" s="358" t="str">
        <f t="shared" si="159"/>
        <v>2013FemaleMaori22Poisoning by solids and liquids</v>
      </c>
      <c r="U3602" s="360">
        <v>2013</v>
      </c>
      <c r="V3602" s="360" t="s">
        <v>8</v>
      </c>
      <c r="W3602" s="360" t="s">
        <v>18</v>
      </c>
      <c r="X3602" s="360">
        <v>22</v>
      </c>
      <c r="Y3602" s="360" t="s">
        <v>47</v>
      </c>
      <c r="Z3602" s="360">
        <v>2</v>
      </c>
      <c r="AA3602" s="360">
        <v>20</v>
      </c>
      <c r="AB3602" s="360">
        <v>10</v>
      </c>
    </row>
    <row r="3603" spans="10:28" x14ac:dyDescent="0.2">
      <c r="J3603" s="358" t="str">
        <f t="shared" si="158"/>
        <v>2013MaleNon-Maori255</v>
      </c>
      <c r="K3603" s="359">
        <v>2013</v>
      </c>
      <c r="L3603" t="s">
        <v>20</v>
      </c>
      <c r="M3603" t="s">
        <v>19</v>
      </c>
      <c r="N3603">
        <v>25</v>
      </c>
      <c r="O3603">
        <v>5</v>
      </c>
      <c r="P3603">
        <v>3</v>
      </c>
      <c r="Q3603">
        <v>7.3936926164930501</v>
      </c>
      <c r="R3603">
        <v>8.4</v>
      </c>
      <c r="T3603" s="358" t="str">
        <f t="shared" si="159"/>
        <v>2013FemaleMaori23Poisoning by solids and liquids</v>
      </c>
      <c r="U3603" s="360">
        <v>2013</v>
      </c>
      <c r="V3603" s="360" t="s">
        <v>8</v>
      </c>
      <c r="W3603" s="360" t="s">
        <v>18</v>
      </c>
      <c r="X3603" s="360">
        <v>23</v>
      </c>
      <c r="Y3603" s="360" t="s">
        <v>47</v>
      </c>
      <c r="Z3603" s="360">
        <v>1</v>
      </c>
      <c r="AA3603" s="360">
        <v>13</v>
      </c>
      <c r="AB3603" s="360">
        <v>7.7</v>
      </c>
    </row>
    <row r="3604" spans="10:28" x14ac:dyDescent="0.2">
      <c r="J3604" s="358" t="str">
        <f t="shared" si="158"/>
        <v>2014AllSexAllEth211</v>
      </c>
      <c r="K3604" s="359">
        <v>2014</v>
      </c>
      <c r="L3604" t="s">
        <v>17</v>
      </c>
      <c r="M3604" t="s">
        <v>27</v>
      </c>
      <c r="N3604">
        <v>21</v>
      </c>
      <c r="O3604">
        <v>1</v>
      </c>
      <c r="P3604">
        <v>1</v>
      </c>
      <c r="T3604" s="358" t="str">
        <f t="shared" si="159"/>
        <v>2013FemaleMaori24Poisoning by solids and liquids</v>
      </c>
      <c r="U3604" s="360">
        <v>2013</v>
      </c>
      <c r="V3604" s="360" t="s">
        <v>8</v>
      </c>
      <c r="W3604" s="360" t="s">
        <v>18</v>
      </c>
      <c r="X3604" s="360">
        <v>24</v>
      </c>
      <c r="Y3604" s="360" t="s">
        <v>47</v>
      </c>
      <c r="Z3604" s="360">
        <v>2</v>
      </c>
      <c r="AA3604" s="360">
        <v>5</v>
      </c>
      <c r="AB3604" s="360">
        <v>40</v>
      </c>
    </row>
    <row r="3605" spans="10:28" x14ac:dyDescent="0.2">
      <c r="J3605" s="358" t="str">
        <f t="shared" si="158"/>
        <v>2014AllSexAllEth212</v>
      </c>
      <c r="K3605" s="359">
        <v>2014</v>
      </c>
      <c r="L3605" t="s">
        <v>17</v>
      </c>
      <c r="M3605" t="s">
        <v>27</v>
      </c>
      <c r="N3605">
        <v>21</v>
      </c>
      <c r="O3605">
        <v>2</v>
      </c>
      <c r="P3605">
        <v>0</v>
      </c>
      <c r="T3605" s="358" t="str">
        <f t="shared" si="159"/>
        <v>2013FemaleNon-Maori24Firearms and explosives</v>
      </c>
      <c r="U3605" s="360">
        <v>2013</v>
      </c>
      <c r="V3605" s="360" t="s">
        <v>8</v>
      </c>
      <c r="W3605" s="360" t="s">
        <v>19</v>
      </c>
      <c r="X3605" s="360">
        <v>24</v>
      </c>
      <c r="Y3605" s="360" t="s">
        <v>42</v>
      </c>
      <c r="Z3605" s="360">
        <v>1</v>
      </c>
      <c r="AA3605" s="360">
        <v>48</v>
      </c>
      <c r="AB3605" s="360">
        <v>2.1</v>
      </c>
    </row>
    <row r="3606" spans="10:28" x14ac:dyDescent="0.2">
      <c r="J3606" s="358" t="str">
        <f t="shared" si="158"/>
        <v>2014AllSexAllEth213</v>
      </c>
      <c r="K3606" s="359">
        <v>2014</v>
      </c>
      <c r="L3606" t="s">
        <v>17</v>
      </c>
      <c r="M3606" t="s">
        <v>27</v>
      </c>
      <c r="N3606">
        <v>21</v>
      </c>
      <c r="O3606">
        <v>3</v>
      </c>
      <c r="P3606">
        <v>1</v>
      </c>
      <c r="T3606" s="358" t="str">
        <f t="shared" si="159"/>
        <v>2013FemaleNon-Maori22Hanging, strangulation and suffocation</v>
      </c>
      <c r="U3606" s="360">
        <v>2013</v>
      </c>
      <c r="V3606" s="360" t="s">
        <v>8</v>
      </c>
      <c r="W3606" s="360" t="s">
        <v>19</v>
      </c>
      <c r="X3606" s="360">
        <v>22</v>
      </c>
      <c r="Y3606" s="360" t="s">
        <v>43</v>
      </c>
      <c r="Z3606" s="360">
        <v>13</v>
      </c>
      <c r="AA3606" s="360">
        <v>18</v>
      </c>
      <c r="AB3606" s="360">
        <v>72.2</v>
      </c>
    </row>
    <row r="3607" spans="10:28" x14ac:dyDescent="0.2">
      <c r="J3607" s="358" t="str">
        <f t="shared" si="158"/>
        <v>2014AllSexAllEth214</v>
      </c>
      <c r="K3607" s="359">
        <v>2014</v>
      </c>
      <c r="L3607" t="s">
        <v>17</v>
      </c>
      <c r="M3607" t="s">
        <v>27</v>
      </c>
      <c r="N3607">
        <v>21</v>
      </c>
      <c r="O3607">
        <v>4</v>
      </c>
      <c r="P3607">
        <v>1</v>
      </c>
      <c r="T3607" s="358" t="str">
        <f t="shared" si="159"/>
        <v>2013FemaleNon-Maori23Hanging, strangulation and suffocation</v>
      </c>
      <c r="U3607" s="360">
        <v>2013</v>
      </c>
      <c r="V3607" s="360" t="s">
        <v>8</v>
      </c>
      <c r="W3607" s="360" t="s">
        <v>19</v>
      </c>
      <c r="X3607" s="360">
        <v>23</v>
      </c>
      <c r="Y3607" s="360" t="s">
        <v>43</v>
      </c>
      <c r="Z3607" s="360">
        <v>19</v>
      </c>
      <c r="AA3607" s="360">
        <v>34</v>
      </c>
      <c r="AB3607" s="360">
        <v>55.9</v>
      </c>
    </row>
    <row r="3608" spans="10:28" x14ac:dyDescent="0.2">
      <c r="J3608" s="358" t="str">
        <f t="shared" si="158"/>
        <v>2014AllSexAllEth215</v>
      </c>
      <c r="K3608" s="359">
        <v>2014</v>
      </c>
      <c r="L3608" t="s">
        <v>17</v>
      </c>
      <c r="M3608" t="s">
        <v>27</v>
      </c>
      <c r="N3608">
        <v>21</v>
      </c>
      <c r="O3608">
        <v>5</v>
      </c>
      <c r="P3608">
        <v>1</v>
      </c>
      <c r="T3608" s="358" t="str">
        <f t="shared" si="159"/>
        <v>2013FemaleNon-Maori24Hanging, strangulation and suffocation</v>
      </c>
      <c r="U3608" s="360">
        <v>2013</v>
      </c>
      <c r="V3608" s="360" t="s">
        <v>8</v>
      </c>
      <c r="W3608" s="360" t="s">
        <v>19</v>
      </c>
      <c r="X3608" s="360">
        <v>24</v>
      </c>
      <c r="Y3608" s="360" t="s">
        <v>43</v>
      </c>
      <c r="Z3608" s="360">
        <v>16</v>
      </c>
      <c r="AA3608" s="360">
        <v>48</v>
      </c>
      <c r="AB3608" s="360">
        <v>33.299999999999997</v>
      </c>
    </row>
    <row r="3609" spans="10:28" x14ac:dyDescent="0.2">
      <c r="J3609" s="358" t="str">
        <f t="shared" si="158"/>
        <v>2014AllSexAllEth221</v>
      </c>
      <c r="K3609" s="359">
        <v>2014</v>
      </c>
      <c r="L3609" t="s">
        <v>17</v>
      </c>
      <c r="M3609" t="s">
        <v>27</v>
      </c>
      <c r="N3609">
        <v>22</v>
      </c>
      <c r="O3609">
        <v>1</v>
      </c>
      <c r="P3609">
        <v>11</v>
      </c>
      <c r="Q3609">
        <v>9.7656237803958401</v>
      </c>
      <c r="R3609">
        <v>5.8</v>
      </c>
      <c r="T3609" s="358" t="str">
        <f t="shared" si="159"/>
        <v>2013FemaleNon-Maori25Hanging, strangulation and suffocation</v>
      </c>
      <c r="U3609" s="360">
        <v>2013</v>
      </c>
      <c r="V3609" s="360" t="s">
        <v>8</v>
      </c>
      <c r="W3609" s="360" t="s">
        <v>19</v>
      </c>
      <c r="X3609" s="360">
        <v>25</v>
      </c>
      <c r="Y3609" s="360" t="s">
        <v>43</v>
      </c>
      <c r="Z3609" s="360">
        <v>2</v>
      </c>
      <c r="AA3609" s="360">
        <v>8</v>
      </c>
      <c r="AB3609" s="360">
        <v>25</v>
      </c>
    </row>
    <row r="3610" spans="10:28" x14ac:dyDescent="0.2">
      <c r="J3610" s="358" t="str">
        <f t="shared" si="158"/>
        <v>2014AllSexAllEth222</v>
      </c>
      <c r="K3610" s="359">
        <v>2014</v>
      </c>
      <c r="L3610" t="s">
        <v>17</v>
      </c>
      <c r="M3610" t="s">
        <v>27</v>
      </c>
      <c r="N3610">
        <v>22</v>
      </c>
      <c r="O3610">
        <v>2</v>
      </c>
      <c r="P3610">
        <v>12</v>
      </c>
      <c r="Q3610">
        <v>10.508134071104299</v>
      </c>
      <c r="R3610">
        <v>5.9</v>
      </c>
      <c r="T3610" s="358" t="str">
        <f t="shared" si="159"/>
        <v>2013FemaleNon-Maori23Jumping from a high place</v>
      </c>
      <c r="U3610" s="360">
        <v>2013</v>
      </c>
      <c r="V3610" s="360" t="s">
        <v>8</v>
      </c>
      <c r="W3610" s="360" t="s">
        <v>19</v>
      </c>
      <c r="X3610" s="360">
        <v>23</v>
      </c>
      <c r="Y3610" s="360" t="s">
        <v>44</v>
      </c>
      <c r="Z3610" s="360">
        <v>1</v>
      </c>
      <c r="AA3610" s="360">
        <v>34</v>
      </c>
      <c r="AB3610" s="360">
        <v>2.9</v>
      </c>
    </row>
    <row r="3611" spans="10:28" x14ac:dyDescent="0.2">
      <c r="J3611" s="358" t="str">
        <f t="shared" si="158"/>
        <v>2014AllSexAllEth223</v>
      </c>
      <c r="K3611" s="359">
        <v>2014</v>
      </c>
      <c r="L3611" t="s">
        <v>17</v>
      </c>
      <c r="M3611" t="s">
        <v>27</v>
      </c>
      <c r="N3611">
        <v>22</v>
      </c>
      <c r="O3611">
        <v>3</v>
      </c>
      <c r="P3611">
        <v>18</v>
      </c>
      <c r="Q3611">
        <v>14.856473338669799</v>
      </c>
      <c r="R3611">
        <v>6.9</v>
      </c>
      <c r="T3611" s="358" t="str">
        <f t="shared" si="159"/>
        <v>2013FemaleNon-Maori24Jumping from a high place</v>
      </c>
      <c r="U3611" s="360">
        <v>2013</v>
      </c>
      <c r="V3611" s="360" t="s">
        <v>8</v>
      </c>
      <c r="W3611" s="360" t="s">
        <v>19</v>
      </c>
      <c r="X3611" s="360">
        <v>24</v>
      </c>
      <c r="Y3611" s="360" t="s">
        <v>44</v>
      </c>
      <c r="Z3611" s="360">
        <v>4</v>
      </c>
      <c r="AA3611" s="360">
        <v>48</v>
      </c>
      <c r="AB3611" s="360">
        <v>8.3000000000000007</v>
      </c>
    </row>
    <row r="3612" spans="10:28" x14ac:dyDescent="0.2">
      <c r="J3612" s="358" t="str">
        <f t="shared" si="158"/>
        <v>2014AllSexAllEth224</v>
      </c>
      <c r="K3612" s="359">
        <v>2014</v>
      </c>
      <c r="L3612" t="s">
        <v>17</v>
      </c>
      <c r="M3612" t="s">
        <v>27</v>
      </c>
      <c r="N3612">
        <v>22</v>
      </c>
      <c r="O3612">
        <v>4</v>
      </c>
      <c r="P3612">
        <v>16</v>
      </c>
      <c r="Q3612">
        <v>11.7351983797668</v>
      </c>
      <c r="R3612">
        <v>5.8</v>
      </c>
      <c r="T3612" s="358" t="str">
        <f t="shared" si="159"/>
        <v>2013FemaleNon-Maori21Other</v>
      </c>
      <c r="U3612" s="360">
        <v>2013</v>
      </c>
      <c r="V3612" s="360" t="s">
        <v>8</v>
      </c>
      <c r="W3612" s="360" t="s">
        <v>19</v>
      </c>
      <c r="X3612" s="360">
        <v>21</v>
      </c>
      <c r="Y3612" s="360" t="s">
        <v>45</v>
      </c>
      <c r="Z3612" s="360">
        <v>1</v>
      </c>
      <c r="AA3612" s="360">
        <v>1</v>
      </c>
      <c r="AB3612" s="360">
        <v>100</v>
      </c>
    </row>
    <row r="3613" spans="10:28" x14ac:dyDescent="0.2">
      <c r="J3613" s="358" t="str">
        <f t="shared" si="158"/>
        <v>2014AllSexAllEth225</v>
      </c>
      <c r="K3613" s="359">
        <v>2014</v>
      </c>
      <c r="L3613" t="s">
        <v>17</v>
      </c>
      <c r="M3613" t="s">
        <v>27</v>
      </c>
      <c r="N3613">
        <v>22</v>
      </c>
      <c r="O3613">
        <v>5</v>
      </c>
      <c r="P3613">
        <v>31</v>
      </c>
      <c r="Q3613">
        <v>20.013974613699801</v>
      </c>
      <c r="R3613">
        <v>7</v>
      </c>
      <c r="T3613" s="358" t="str">
        <f t="shared" si="159"/>
        <v>2013FemaleNon-Maori23Other</v>
      </c>
      <c r="U3613" s="360">
        <v>2013</v>
      </c>
      <c r="V3613" s="360" t="s">
        <v>8</v>
      </c>
      <c r="W3613" s="360" t="s">
        <v>19</v>
      </c>
      <c r="X3613" s="360">
        <v>23</v>
      </c>
      <c r="Y3613" s="360" t="s">
        <v>45</v>
      </c>
      <c r="Z3613" s="360">
        <v>3</v>
      </c>
      <c r="AA3613" s="360">
        <v>34</v>
      </c>
      <c r="AB3613" s="360">
        <v>8.8000000000000007</v>
      </c>
    </row>
    <row r="3614" spans="10:28" x14ac:dyDescent="0.2">
      <c r="J3614" s="358" t="str">
        <f t="shared" si="158"/>
        <v>2014AllSexAllEth231</v>
      </c>
      <c r="K3614" s="359">
        <v>2014</v>
      </c>
      <c r="L3614" t="s">
        <v>17</v>
      </c>
      <c r="M3614" t="s">
        <v>27</v>
      </c>
      <c r="N3614">
        <v>23</v>
      </c>
      <c r="O3614">
        <v>1</v>
      </c>
      <c r="P3614">
        <v>20</v>
      </c>
      <c r="Q3614">
        <v>9.1534807636980595</v>
      </c>
      <c r="R3614">
        <v>4</v>
      </c>
      <c r="T3614" s="358" t="str">
        <f t="shared" si="159"/>
        <v>2013FemaleNon-Maori24Other</v>
      </c>
      <c r="U3614" s="360">
        <v>2013</v>
      </c>
      <c r="V3614" s="360" t="s">
        <v>8</v>
      </c>
      <c r="W3614" s="360" t="s">
        <v>19</v>
      </c>
      <c r="X3614" s="360">
        <v>24</v>
      </c>
      <c r="Y3614" s="360" t="s">
        <v>45</v>
      </c>
      <c r="Z3614" s="360">
        <v>2</v>
      </c>
      <c r="AA3614" s="360">
        <v>48</v>
      </c>
      <c r="AB3614" s="360">
        <v>4.2</v>
      </c>
    </row>
    <row r="3615" spans="10:28" x14ac:dyDescent="0.2">
      <c r="J3615" s="358" t="str">
        <f t="shared" si="158"/>
        <v>2014AllSexAllEth232</v>
      </c>
      <c r="K3615" s="359">
        <v>2014</v>
      </c>
      <c r="L3615" t="s">
        <v>17</v>
      </c>
      <c r="M3615" t="s">
        <v>27</v>
      </c>
      <c r="N3615">
        <v>23</v>
      </c>
      <c r="O3615">
        <v>2</v>
      </c>
      <c r="P3615">
        <v>25</v>
      </c>
      <c r="Q3615">
        <v>10.580746570703401</v>
      </c>
      <c r="R3615">
        <v>4.0999999999999996</v>
      </c>
      <c r="T3615" s="358" t="str">
        <f t="shared" si="159"/>
        <v>2013FemaleNon-Maori23Poisoning by gases and vapours</v>
      </c>
      <c r="U3615" s="360">
        <v>2013</v>
      </c>
      <c r="V3615" s="360" t="s">
        <v>8</v>
      </c>
      <c r="W3615" s="360" t="s">
        <v>19</v>
      </c>
      <c r="X3615" s="360">
        <v>23</v>
      </c>
      <c r="Y3615" s="360" t="s">
        <v>46</v>
      </c>
      <c r="Z3615" s="360">
        <v>2</v>
      </c>
      <c r="AA3615" s="360">
        <v>34</v>
      </c>
      <c r="AB3615" s="360">
        <v>5.9</v>
      </c>
    </row>
    <row r="3616" spans="10:28" x14ac:dyDescent="0.2">
      <c r="J3616" s="358" t="str">
        <f t="shared" si="158"/>
        <v>2014AllSexAllEth233</v>
      </c>
      <c r="K3616" s="359">
        <v>2014</v>
      </c>
      <c r="L3616" t="s">
        <v>17</v>
      </c>
      <c r="M3616" t="s">
        <v>27</v>
      </c>
      <c r="N3616">
        <v>23</v>
      </c>
      <c r="O3616">
        <v>3</v>
      </c>
      <c r="P3616">
        <v>34</v>
      </c>
      <c r="Q3616">
        <v>14.1023989403629</v>
      </c>
      <c r="R3616">
        <v>4.7</v>
      </c>
      <c r="T3616" s="358" t="str">
        <f t="shared" si="159"/>
        <v>2013FemaleNon-Maori24Poisoning by gases and vapours</v>
      </c>
      <c r="U3616" s="360">
        <v>2013</v>
      </c>
      <c r="V3616" s="360" t="s">
        <v>8</v>
      </c>
      <c r="W3616" s="360" t="s">
        <v>19</v>
      </c>
      <c r="X3616" s="360">
        <v>24</v>
      </c>
      <c r="Y3616" s="360" t="s">
        <v>46</v>
      </c>
      <c r="Z3616" s="360">
        <v>3</v>
      </c>
      <c r="AA3616" s="360">
        <v>48</v>
      </c>
      <c r="AB3616" s="360">
        <v>6.2</v>
      </c>
    </row>
    <row r="3617" spans="10:28" x14ac:dyDescent="0.2">
      <c r="J3617" s="358" t="str">
        <f t="shared" si="158"/>
        <v>2014AllSexAllEth234</v>
      </c>
      <c r="K3617" s="359">
        <v>2014</v>
      </c>
      <c r="L3617" t="s">
        <v>17</v>
      </c>
      <c r="M3617" t="s">
        <v>27</v>
      </c>
      <c r="N3617">
        <v>23</v>
      </c>
      <c r="O3617">
        <v>4</v>
      </c>
      <c r="P3617">
        <v>46</v>
      </c>
      <c r="Q3617">
        <v>19.454182215812999</v>
      </c>
      <c r="R3617">
        <v>5.6</v>
      </c>
      <c r="T3617" s="358" t="str">
        <f t="shared" si="159"/>
        <v>2013FemaleNon-Maori22Poisoning by solids and liquids</v>
      </c>
      <c r="U3617" s="360">
        <v>2013</v>
      </c>
      <c r="V3617" s="360" t="s">
        <v>8</v>
      </c>
      <c r="W3617" s="360" t="s">
        <v>19</v>
      </c>
      <c r="X3617" s="360">
        <v>22</v>
      </c>
      <c r="Y3617" s="360" t="s">
        <v>47</v>
      </c>
      <c r="Z3617" s="360">
        <v>2</v>
      </c>
      <c r="AA3617" s="360">
        <v>18</v>
      </c>
      <c r="AB3617" s="360">
        <v>11.1</v>
      </c>
    </row>
    <row r="3618" spans="10:28" x14ac:dyDescent="0.2">
      <c r="J3618" s="358" t="str">
        <f t="shared" si="158"/>
        <v>2014AllSexAllEth235</v>
      </c>
      <c r="K3618" s="359">
        <v>2014</v>
      </c>
      <c r="L3618" t="s">
        <v>17</v>
      </c>
      <c r="M3618" t="s">
        <v>27</v>
      </c>
      <c r="N3618">
        <v>23</v>
      </c>
      <c r="O3618">
        <v>5</v>
      </c>
      <c r="P3618">
        <v>59</v>
      </c>
      <c r="Q3618">
        <v>26.431412295100898</v>
      </c>
      <c r="R3618">
        <v>6.7</v>
      </c>
      <c r="T3618" s="358" t="str">
        <f t="shared" si="159"/>
        <v>2013FemaleNon-Maori23Poisoning by solids and liquids</v>
      </c>
      <c r="U3618" s="360">
        <v>2013</v>
      </c>
      <c r="V3618" s="360" t="s">
        <v>8</v>
      </c>
      <c r="W3618" s="360" t="s">
        <v>19</v>
      </c>
      <c r="X3618" s="360">
        <v>23</v>
      </c>
      <c r="Y3618" s="360" t="s">
        <v>47</v>
      </c>
      <c r="Z3618" s="360">
        <v>8</v>
      </c>
      <c r="AA3618" s="360">
        <v>34</v>
      </c>
      <c r="AB3618" s="360">
        <v>23.5</v>
      </c>
    </row>
    <row r="3619" spans="10:28" x14ac:dyDescent="0.2">
      <c r="J3619" s="358" t="str">
        <f t="shared" si="158"/>
        <v>2014AllSexAllEth241</v>
      </c>
      <c r="K3619" s="359">
        <v>2014</v>
      </c>
      <c r="L3619" t="s">
        <v>17</v>
      </c>
      <c r="M3619" t="s">
        <v>27</v>
      </c>
      <c r="N3619">
        <v>24</v>
      </c>
      <c r="O3619">
        <v>1</v>
      </c>
      <c r="P3619">
        <v>21</v>
      </c>
      <c r="Q3619">
        <v>7.4853703338470501</v>
      </c>
      <c r="R3619">
        <v>3.2</v>
      </c>
      <c r="T3619" s="358" t="str">
        <f t="shared" si="159"/>
        <v>2013FemaleNon-Maori24Poisoning by solids and liquids</v>
      </c>
      <c r="U3619" s="360">
        <v>2013</v>
      </c>
      <c r="V3619" s="360" t="s">
        <v>8</v>
      </c>
      <c r="W3619" s="360" t="s">
        <v>19</v>
      </c>
      <c r="X3619" s="360">
        <v>24</v>
      </c>
      <c r="Y3619" s="360" t="s">
        <v>47</v>
      </c>
      <c r="Z3619" s="360">
        <v>17</v>
      </c>
      <c r="AA3619" s="360">
        <v>48</v>
      </c>
      <c r="AB3619" s="360">
        <v>35.4</v>
      </c>
    </row>
    <row r="3620" spans="10:28" x14ac:dyDescent="0.2">
      <c r="J3620" s="358" t="str">
        <f t="shared" si="158"/>
        <v>2014AllSexAllEth242</v>
      </c>
      <c r="K3620" s="359">
        <v>2014</v>
      </c>
      <c r="L3620" t="s">
        <v>17</v>
      </c>
      <c r="M3620" t="s">
        <v>27</v>
      </c>
      <c r="N3620">
        <v>24</v>
      </c>
      <c r="O3620">
        <v>2</v>
      </c>
      <c r="P3620">
        <v>28</v>
      </c>
      <c r="Q3620">
        <v>11.174325986053599</v>
      </c>
      <c r="R3620">
        <v>4.0999999999999996</v>
      </c>
      <c r="T3620" s="358" t="str">
        <f t="shared" si="159"/>
        <v>2013FemaleNon-Maori25Poisoning by solids and liquids</v>
      </c>
      <c r="U3620" s="360">
        <v>2013</v>
      </c>
      <c r="V3620" s="360" t="s">
        <v>8</v>
      </c>
      <c r="W3620" s="360" t="s">
        <v>19</v>
      </c>
      <c r="X3620" s="360">
        <v>25</v>
      </c>
      <c r="Y3620" s="360" t="s">
        <v>47</v>
      </c>
      <c r="Z3620" s="360">
        <v>6</v>
      </c>
      <c r="AA3620" s="360">
        <v>8</v>
      </c>
      <c r="AB3620" s="360">
        <v>75</v>
      </c>
    </row>
    <row r="3621" spans="10:28" x14ac:dyDescent="0.2">
      <c r="J3621" s="358" t="str">
        <f t="shared" si="158"/>
        <v>2014AllSexAllEth243</v>
      </c>
      <c r="K3621" s="359">
        <v>2014</v>
      </c>
      <c r="L3621" t="s">
        <v>17</v>
      </c>
      <c r="M3621" t="s">
        <v>27</v>
      </c>
      <c r="N3621">
        <v>24</v>
      </c>
      <c r="O3621">
        <v>3</v>
      </c>
      <c r="P3621">
        <v>29</v>
      </c>
      <c r="Q3621">
        <v>12.7827877561602</v>
      </c>
      <c r="R3621">
        <v>4.7</v>
      </c>
      <c r="T3621" s="358" t="str">
        <f t="shared" si="159"/>
        <v>2013FemaleNon-Maori24Sharp object</v>
      </c>
      <c r="U3621" s="360">
        <v>2013</v>
      </c>
      <c r="V3621" s="360" t="s">
        <v>8</v>
      </c>
      <c r="W3621" s="360" t="s">
        <v>19</v>
      </c>
      <c r="X3621" s="360">
        <v>24</v>
      </c>
      <c r="Y3621" s="360" t="s">
        <v>48</v>
      </c>
      <c r="Z3621" s="360">
        <v>1</v>
      </c>
      <c r="AA3621" s="360">
        <v>48</v>
      </c>
      <c r="AB3621" s="360">
        <v>2.1</v>
      </c>
    </row>
    <row r="3622" spans="10:28" x14ac:dyDescent="0.2">
      <c r="J3622" s="358" t="str">
        <f t="shared" si="158"/>
        <v>2014AllSexAllEth244</v>
      </c>
      <c r="K3622" s="359">
        <v>2014</v>
      </c>
      <c r="L3622" t="s">
        <v>17</v>
      </c>
      <c r="M3622" t="s">
        <v>27</v>
      </c>
      <c r="N3622">
        <v>24</v>
      </c>
      <c r="O3622">
        <v>4</v>
      </c>
      <c r="P3622">
        <v>40</v>
      </c>
      <c r="Q3622">
        <v>19.406573028414101</v>
      </c>
      <c r="R3622">
        <v>6</v>
      </c>
      <c r="T3622" s="358" t="str">
        <f t="shared" si="159"/>
        <v>2013FemaleNon-Maori22Submersion (drowning)</v>
      </c>
      <c r="U3622" s="360">
        <v>2013</v>
      </c>
      <c r="V3622" s="360" t="s">
        <v>8</v>
      </c>
      <c r="W3622" s="360" t="s">
        <v>19</v>
      </c>
      <c r="X3622" s="360">
        <v>22</v>
      </c>
      <c r="Y3622" s="360" t="s">
        <v>49</v>
      </c>
      <c r="Z3622" s="360">
        <v>3</v>
      </c>
      <c r="AA3622" s="360">
        <v>18</v>
      </c>
      <c r="AB3622" s="360">
        <v>16.7</v>
      </c>
    </row>
    <row r="3623" spans="10:28" x14ac:dyDescent="0.2">
      <c r="J3623" s="358" t="str">
        <f t="shared" si="158"/>
        <v>2014AllSexAllEth245</v>
      </c>
      <c r="K3623" s="359">
        <v>2014</v>
      </c>
      <c r="L3623" t="s">
        <v>17</v>
      </c>
      <c r="M3623" t="s">
        <v>27</v>
      </c>
      <c r="N3623">
        <v>24</v>
      </c>
      <c r="O3623">
        <v>5</v>
      </c>
      <c r="P3623">
        <v>37</v>
      </c>
      <c r="Q3623">
        <v>19.536887234843299</v>
      </c>
      <c r="R3623">
        <v>6.3</v>
      </c>
      <c r="T3623" s="358" t="str">
        <f t="shared" si="159"/>
        <v>2013FemaleNon-Maori23Submersion (drowning)</v>
      </c>
      <c r="U3623" s="360">
        <v>2013</v>
      </c>
      <c r="V3623" s="360" t="s">
        <v>8</v>
      </c>
      <c r="W3623" s="360" t="s">
        <v>19</v>
      </c>
      <c r="X3623" s="360">
        <v>23</v>
      </c>
      <c r="Y3623" s="360" t="s">
        <v>49</v>
      </c>
      <c r="Z3623" s="360">
        <v>1</v>
      </c>
      <c r="AA3623" s="360">
        <v>34</v>
      </c>
      <c r="AB3623" s="360">
        <v>2.9</v>
      </c>
    </row>
    <row r="3624" spans="10:28" x14ac:dyDescent="0.2">
      <c r="J3624" s="358" t="str">
        <f t="shared" si="158"/>
        <v>2014AllSexAllEth251</v>
      </c>
      <c r="K3624" s="359">
        <v>2014</v>
      </c>
      <c r="L3624" t="s">
        <v>17</v>
      </c>
      <c r="M3624" t="s">
        <v>27</v>
      </c>
      <c r="N3624">
        <v>25</v>
      </c>
      <c r="O3624">
        <v>1</v>
      </c>
      <c r="P3624">
        <v>10</v>
      </c>
      <c r="Q3624">
        <v>7.4094708277048502</v>
      </c>
      <c r="R3624">
        <v>4.5999999999999996</v>
      </c>
      <c r="T3624" s="358" t="str">
        <f t="shared" si="159"/>
        <v>2013FemaleNon-Maori24Submersion (drowning)</v>
      </c>
      <c r="U3624" s="360">
        <v>2013</v>
      </c>
      <c r="V3624" s="360" t="s">
        <v>8</v>
      </c>
      <c r="W3624" s="360" t="s">
        <v>19</v>
      </c>
      <c r="X3624" s="360">
        <v>24</v>
      </c>
      <c r="Y3624" s="360" t="s">
        <v>49</v>
      </c>
      <c r="Z3624" s="360">
        <v>4</v>
      </c>
      <c r="AA3624" s="360">
        <v>48</v>
      </c>
      <c r="AB3624" s="360">
        <v>8.3000000000000007</v>
      </c>
    </row>
    <row r="3625" spans="10:28" x14ac:dyDescent="0.2">
      <c r="J3625" s="358" t="str">
        <f t="shared" si="158"/>
        <v>2014AllSexAllEth252</v>
      </c>
      <c r="K3625" s="359">
        <v>2014</v>
      </c>
      <c r="L3625" t="s">
        <v>17</v>
      </c>
      <c r="M3625" t="s">
        <v>27</v>
      </c>
      <c r="N3625">
        <v>25</v>
      </c>
      <c r="O3625">
        <v>2</v>
      </c>
      <c r="P3625">
        <v>7</v>
      </c>
      <c r="Q3625">
        <v>5.1494834144112698</v>
      </c>
      <c r="R3625">
        <v>3.8</v>
      </c>
      <c r="T3625" s="358" t="str">
        <f t="shared" si="159"/>
        <v>2013MaleAllEth22Firearms and explosives</v>
      </c>
      <c r="U3625" s="360">
        <v>2013</v>
      </c>
      <c r="V3625" s="360" t="s">
        <v>20</v>
      </c>
      <c r="W3625" s="360" t="s">
        <v>27</v>
      </c>
      <c r="X3625" s="360">
        <v>22</v>
      </c>
      <c r="Y3625" s="360" t="s">
        <v>42</v>
      </c>
      <c r="Z3625" s="360">
        <v>5</v>
      </c>
      <c r="AA3625" s="360">
        <v>74</v>
      </c>
      <c r="AB3625" s="360">
        <v>6.8</v>
      </c>
    </row>
    <row r="3626" spans="10:28" x14ac:dyDescent="0.2">
      <c r="J3626" s="358" t="str">
        <f t="shared" si="158"/>
        <v>2014AllSexAllEth253</v>
      </c>
      <c r="K3626" s="359">
        <v>2014</v>
      </c>
      <c r="L3626" t="s">
        <v>17</v>
      </c>
      <c r="M3626" t="s">
        <v>27</v>
      </c>
      <c r="N3626">
        <v>25</v>
      </c>
      <c r="O3626">
        <v>3</v>
      </c>
      <c r="P3626">
        <v>12</v>
      </c>
      <c r="Q3626">
        <v>8.9425133850629308</v>
      </c>
      <c r="R3626">
        <v>5.0999999999999996</v>
      </c>
      <c r="T3626" s="358" t="str">
        <f t="shared" si="159"/>
        <v>2013MaleAllEth23Firearms and explosives</v>
      </c>
      <c r="U3626" s="360">
        <v>2013</v>
      </c>
      <c r="V3626" s="360" t="s">
        <v>20</v>
      </c>
      <c r="W3626" s="360" t="s">
        <v>27</v>
      </c>
      <c r="X3626" s="360">
        <v>23</v>
      </c>
      <c r="Y3626" s="360" t="s">
        <v>42</v>
      </c>
      <c r="Z3626" s="360">
        <v>6</v>
      </c>
      <c r="AA3626" s="360">
        <v>114</v>
      </c>
      <c r="AB3626" s="360">
        <v>5.3</v>
      </c>
    </row>
    <row r="3627" spans="10:28" x14ac:dyDescent="0.2">
      <c r="J3627" s="358" t="str">
        <f t="shared" si="158"/>
        <v>2014AllSexAllEth254</v>
      </c>
      <c r="K3627" s="359">
        <v>2014</v>
      </c>
      <c r="L3627" t="s">
        <v>17</v>
      </c>
      <c r="M3627" t="s">
        <v>27</v>
      </c>
      <c r="N3627">
        <v>25</v>
      </c>
      <c r="O3627">
        <v>4</v>
      </c>
      <c r="P3627">
        <v>17</v>
      </c>
      <c r="Q3627">
        <v>12.5640601634059</v>
      </c>
      <c r="R3627">
        <v>6</v>
      </c>
      <c r="T3627" s="358" t="str">
        <f t="shared" si="159"/>
        <v>2013MaleAllEth24Firearms and explosives</v>
      </c>
      <c r="U3627" s="360">
        <v>2013</v>
      </c>
      <c r="V3627" s="360" t="s">
        <v>20</v>
      </c>
      <c r="W3627" s="360" t="s">
        <v>27</v>
      </c>
      <c r="X3627" s="360">
        <v>24</v>
      </c>
      <c r="Y3627" s="360" t="s">
        <v>42</v>
      </c>
      <c r="Z3627" s="360">
        <v>20</v>
      </c>
      <c r="AA3627" s="360">
        <v>130</v>
      </c>
      <c r="AB3627" s="360">
        <v>15.4</v>
      </c>
    </row>
    <row r="3628" spans="10:28" x14ac:dyDescent="0.2">
      <c r="J3628" s="358" t="str">
        <f t="shared" si="158"/>
        <v>2014AllSexAllEth255</v>
      </c>
      <c r="K3628" s="359">
        <v>2014</v>
      </c>
      <c r="L3628" t="s">
        <v>17</v>
      </c>
      <c r="M3628" t="s">
        <v>27</v>
      </c>
      <c r="N3628">
        <v>25</v>
      </c>
      <c r="O3628">
        <v>5</v>
      </c>
      <c r="P3628">
        <v>13</v>
      </c>
      <c r="Q3628">
        <v>11.811027544716399</v>
      </c>
      <c r="R3628">
        <v>6.4</v>
      </c>
      <c r="T3628" s="358" t="str">
        <f t="shared" si="159"/>
        <v>2013MaleAllEth25Firearms and explosives</v>
      </c>
      <c r="U3628" s="360">
        <v>2013</v>
      </c>
      <c r="V3628" s="360" t="s">
        <v>20</v>
      </c>
      <c r="W3628" s="360" t="s">
        <v>27</v>
      </c>
      <c r="X3628" s="360">
        <v>25</v>
      </c>
      <c r="Y3628" s="360" t="s">
        <v>42</v>
      </c>
      <c r="Z3628" s="360">
        <v>15</v>
      </c>
      <c r="AA3628" s="360">
        <v>48</v>
      </c>
      <c r="AB3628" s="360">
        <v>31.2</v>
      </c>
    </row>
    <row r="3629" spans="10:28" x14ac:dyDescent="0.2">
      <c r="J3629" s="358" t="str">
        <f t="shared" si="158"/>
        <v>2014AllSexMaori211</v>
      </c>
      <c r="K3629" s="359">
        <v>2014</v>
      </c>
      <c r="L3629" t="s">
        <v>17</v>
      </c>
      <c r="M3629" t="s">
        <v>18</v>
      </c>
      <c r="N3629">
        <v>21</v>
      </c>
      <c r="O3629">
        <v>1</v>
      </c>
      <c r="P3629">
        <v>0</v>
      </c>
      <c r="T3629" s="358" t="str">
        <f t="shared" si="159"/>
        <v>2013MaleAllEth22Hanging, strangulation and suffocation</v>
      </c>
      <c r="U3629" s="360">
        <v>2013</v>
      </c>
      <c r="V3629" s="360" t="s">
        <v>20</v>
      </c>
      <c r="W3629" s="360" t="s">
        <v>27</v>
      </c>
      <c r="X3629" s="360">
        <v>22</v>
      </c>
      <c r="Y3629" s="360" t="s">
        <v>43</v>
      </c>
      <c r="Z3629" s="360">
        <v>62</v>
      </c>
      <c r="AA3629" s="360">
        <v>74</v>
      </c>
      <c r="AB3629" s="360">
        <v>83.8</v>
      </c>
    </row>
    <row r="3630" spans="10:28" x14ac:dyDescent="0.2">
      <c r="J3630" s="358" t="str">
        <f t="shared" si="158"/>
        <v>2014AllSexMaori212</v>
      </c>
      <c r="K3630" s="359">
        <v>2014</v>
      </c>
      <c r="L3630" t="s">
        <v>17</v>
      </c>
      <c r="M3630" t="s">
        <v>18</v>
      </c>
      <c r="N3630">
        <v>21</v>
      </c>
      <c r="O3630">
        <v>2</v>
      </c>
      <c r="P3630">
        <v>0</v>
      </c>
      <c r="T3630" s="358" t="str">
        <f t="shared" si="159"/>
        <v>2013MaleAllEth23Hanging, strangulation and suffocation</v>
      </c>
      <c r="U3630" s="360">
        <v>2013</v>
      </c>
      <c r="V3630" s="360" t="s">
        <v>20</v>
      </c>
      <c r="W3630" s="360" t="s">
        <v>27</v>
      </c>
      <c r="X3630" s="360">
        <v>23</v>
      </c>
      <c r="Y3630" s="360" t="s">
        <v>43</v>
      </c>
      <c r="Z3630" s="360">
        <v>79</v>
      </c>
      <c r="AA3630" s="360">
        <v>114</v>
      </c>
      <c r="AB3630" s="360">
        <v>69.3</v>
      </c>
    </row>
    <row r="3631" spans="10:28" x14ac:dyDescent="0.2">
      <c r="J3631" s="358" t="str">
        <f t="shared" si="158"/>
        <v>2014AllSexMaori213</v>
      </c>
      <c r="K3631" s="359">
        <v>2014</v>
      </c>
      <c r="L3631" t="s">
        <v>17</v>
      </c>
      <c r="M3631" t="s">
        <v>18</v>
      </c>
      <c r="N3631">
        <v>21</v>
      </c>
      <c r="O3631">
        <v>3</v>
      </c>
      <c r="P3631">
        <v>0</v>
      </c>
      <c r="T3631" s="358" t="str">
        <f t="shared" si="159"/>
        <v>2013MaleAllEth24Hanging, strangulation and suffocation</v>
      </c>
      <c r="U3631" s="360">
        <v>2013</v>
      </c>
      <c r="V3631" s="360" t="s">
        <v>20</v>
      </c>
      <c r="W3631" s="360" t="s">
        <v>27</v>
      </c>
      <c r="X3631" s="360">
        <v>24</v>
      </c>
      <c r="Y3631" s="360" t="s">
        <v>43</v>
      </c>
      <c r="Z3631" s="360">
        <v>52</v>
      </c>
      <c r="AA3631" s="360">
        <v>130</v>
      </c>
      <c r="AB3631" s="360">
        <v>40</v>
      </c>
    </row>
    <row r="3632" spans="10:28" x14ac:dyDescent="0.2">
      <c r="J3632" s="358" t="str">
        <f t="shared" si="158"/>
        <v>2014AllSexMaori214</v>
      </c>
      <c r="K3632" s="359">
        <v>2014</v>
      </c>
      <c r="L3632" t="s">
        <v>17</v>
      </c>
      <c r="M3632" t="s">
        <v>18</v>
      </c>
      <c r="N3632">
        <v>21</v>
      </c>
      <c r="O3632">
        <v>4</v>
      </c>
      <c r="P3632">
        <v>1</v>
      </c>
      <c r="T3632" s="358" t="str">
        <f t="shared" si="159"/>
        <v>2013MaleAllEth25Hanging, strangulation and suffocation</v>
      </c>
      <c r="U3632" s="360">
        <v>2013</v>
      </c>
      <c r="V3632" s="360" t="s">
        <v>20</v>
      </c>
      <c r="W3632" s="360" t="s">
        <v>27</v>
      </c>
      <c r="X3632" s="360">
        <v>25</v>
      </c>
      <c r="Y3632" s="360" t="s">
        <v>43</v>
      </c>
      <c r="Z3632" s="360">
        <v>19</v>
      </c>
      <c r="AA3632" s="360">
        <v>48</v>
      </c>
      <c r="AB3632" s="360">
        <v>39.6</v>
      </c>
    </row>
    <row r="3633" spans="10:28" x14ac:dyDescent="0.2">
      <c r="J3633" s="358" t="str">
        <f t="shared" si="158"/>
        <v>2014AllSexMaori215</v>
      </c>
      <c r="K3633" s="359">
        <v>2014</v>
      </c>
      <c r="L3633" t="s">
        <v>17</v>
      </c>
      <c r="M3633" t="s">
        <v>18</v>
      </c>
      <c r="N3633">
        <v>21</v>
      </c>
      <c r="O3633">
        <v>5</v>
      </c>
      <c r="P3633">
        <v>0</v>
      </c>
      <c r="T3633" s="358" t="str">
        <f t="shared" si="159"/>
        <v>2013MaleAllEth22Jumping from a high place</v>
      </c>
      <c r="U3633" s="360">
        <v>2013</v>
      </c>
      <c r="V3633" s="360" t="s">
        <v>20</v>
      </c>
      <c r="W3633" s="360" t="s">
        <v>27</v>
      </c>
      <c r="X3633" s="360">
        <v>22</v>
      </c>
      <c r="Y3633" s="360" t="s">
        <v>44</v>
      </c>
      <c r="Z3633" s="360">
        <v>2</v>
      </c>
      <c r="AA3633" s="360">
        <v>74</v>
      </c>
      <c r="AB3633" s="360">
        <v>2.7</v>
      </c>
    </row>
    <row r="3634" spans="10:28" x14ac:dyDescent="0.2">
      <c r="J3634" s="358" t="str">
        <f t="shared" si="158"/>
        <v>2014AllSexMaori221</v>
      </c>
      <c r="K3634" s="359">
        <v>2014</v>
      </c>
      <c r="L3634" t="s">
        <v>17</v>
      </c>
      <c r="M3634" t="s">
        <v>18</v>
      </c>
      <c r="N3634">
        <v>22</v>
      </c>
      <c r="O3634">
        <v>1</v>
      </c>
      <c r="P3634">
        <v>3</v>
      </c>
      <c r="Q3634">
        <v>27.102057435016398</v>
      </c>
      <c r="R3634">
        <v>30.7</v>
      </c>
      <c r="T3634" s="358" t="str">
        <f t="shared" si="159"/>
        <v>2013MaleAllEth23Jumping from a high place</v>
      </c>
      <c r="U3634" s="360">
        <v>2013</v>
      </c>
      <c r="V3634" s="360" t="s">
        <v>20</v>
      </c>
      <c r="W3634" s="360" t="s">
        <v>27</v>
      </c>
      <c r="X3634" s="360">
        <v>23</v>
      </c>
      <c r="Y3634" s="360" t="s">
        <v>44</v>
      </c>
      <c r="Z3634" s="360">
        <v>2</v>
      </c>
      <c r="AA3634" s="360">
        <v>114</v>
      </c>
      <c r="AB3634" s="360">
        <v>1.8</v>
      </c>
    </row>
    <row r="3635" spans="10:28" x14ac:dyDescent="0.2">
      <c r="J3635" s="358" t="str">
        <f t="shared" si="158"/>
        <v>2014AllSexMaori222</v>
      </c>
      <c r="K3635" s="359">
        <v>2014</v>
      </c>
      <c r="L3635" t="s">
        <v>17</v>
      </c>
      <c r="M3635" t="s">
        <v>18</v>
      </c>
      <c r="N3635">
        <v>22</v>
      </c>
      <c r="O3635">
        <v>2</v>
      </c>
      <c r="P3635">
        <v>2</v>
      </c>
      <c r="Q3635">
        <v>13.5621763136509</v>
      </c>
      <c r="R3635">
        <v>18.8</v>
      </c>
      <c r="T3635" s="358" t="str">
        <f t="shared" si="159"/>
        <v>2013MaleAllEth24Jumping from a high place</v>
      </c>
      <c r="U3635" s="360">
        <v>2013</v>
      </c>
      <c r="V3635" s="360" t="s">
        <v>20</v>
      </c>
      <c r="W3635" s="360" t="s">
        <v>27</v>
      </c>
      <c r="X3635" s="360">
        <v>24</v>
      </c>
      <c r="Y3635" s="360" t="s">
        <v>44</v>
      </c>
      <c r="Z3635" s="360">
        <v>5</v>
      </c>
      <c r="AA3635" s="360">
        <v>130</v>
      </c>
      <c r="AB3635" s="360">
        <v>3.8</v>
      </c>
    </row>
    <row r="3636" spans="10:28" x14ac:dyDescent="0.2">
      <c r="J3636" s="358" t="str">
        <f t="shared" si="158"/>
        <v>2014AllSexMaori223</v>
      </c>
      <c r="K3636" s="359">
        <v>2014</v>
      </c>
      <c r="L3636" t="s">
        <v>17</v>
      </c>
      <c r="M3636" t="s">
        <v>18</v>
      </c>
      <c r="N3636">
        <v>22</v>
      </c>
      <c r="O3636">
        <v>3</v>
      </c>
      <c r="P3636">
        <v>3</v>
      </c>
      <c r="Q3636">
        <v>13.997346525037001</v>
      </c>
      <c r="R3636">
        <v>15.8</v>
      </c>
      <c r="T3636" s="358" t="str">
        <f t="shared" si="159"/>
        <v>2013MaleAllEth22Other</v>
      </c>
      <c r="U3636" s="360">
        <v>2013</v>
      </c>
      <c r="V3636" s="360" t="s">
        <v>20</v>
      </c>
      <c r="W3636" s="360" t="s">
        <v>27</v>
      </c>
      <c r="X3636" s="360">
        <v>22</v>
      </c>
      <c r="Y3636" s="360" t="s">
        <v>45</v>
      </c>
      <c r="Z3636" s="360">
        <v>1</v>
      </c>
      <c r="AA3636" s="360">
        <v>74</v>
      </c>
      <c r="AB3636" s="360">
        <v>1.4</v>
      </c>
    </row>
    <row r="3637" spans="10:28" x14ac:dyDescent="0.2">
      <c r="J3637" s="358" t="str">
        <f t="shared" si="158"/>
        <v>2014AllSexMaori224</v>
      </c>
      <c r="K3637" s="359">
        <v>2014</v>
      </c>
      <c r="L3637" t="s">
        <v>17</v>
      </c>
      <c r="M3637" t="s">
        <v>18</v>
      </c>
      <c r="N3637">
        <v>22</v>
      </c>
      <c r="O3637">
        <v>4</v>
      </c>
      <c r="P3637">
        <v>3</v>
      </c>
      <c r="Q3637">
        <v>9.6916113946901206</v>
      </c>
      <c r="R3637">
        <v>11</v>
      </c>
      <c r="T3637" s="358" t="str">
        <f t="shared" si="159"/>
        <v>2013MaleAllEth23Other</v>
      </c>
      <c r="U3637" s="360">
        <v>2013</v>
      </c>
      <c r="V3637" s="360" t="s">
        <v>20</v>
      </c>
      <c r="W3637" s="360" t="s">
        <v>27</v>
      </c>
      <c r="X3637" s="360">
        <v>23</v>
      </c>
      <c r="Y3637" s="360" t="s">
        <v>45</v>
      </c>
      <c r="Z3637" s="360">
        <v>2</v>
      </c>
      <c r="AA3637" s="360">
        <v>114</v>
      </c>
      <c r="AB3637" s="360">
        <v>1.8</v>
      </c>
    </row>
    <row r="3638" spans="10:28" x14ac:dyDescent="0.2">
      <c r="J3638" s="358" t="str">
        <f t="shared" si="158"/>
        <v>2014AllSexMaori225</v>
      </c>
      <c r="K3638" s="359">
        <v>2014</v>
      </c>
      <c r="L3638" t="s">
        <v>17</v>
      </c>
      <c r="M3638" t="s">
        <v>18</v>
      </c>
      <c r="N3638">
        <v>22</v>
      </c>
      <c r="O3638">
        <v>5</v>
      </c>
      <c r="P3638">
        <v>17</v>
      </c>
      <c r="Q3638">
        <v>31.936034844920201</v>
      </c>
      <c r="R3638">
        <v>15.2</v>
      </c>
      <c r="T3638" s="358" t="str">
        <f t="shared" si="159"/>
        <v>2013MaleAllEth24Other</v>
      </c>
      <c r="U3638" s="360">
        <v>2013</v>
      </c>
      <c r="V3638" s="360" t="s">
        <v>20</v>
      </c>
      <c r="W3638" s="360" t="s">
        <v>27</v>
      </c>
      <c r="X3638" s="360">
        <v>24</v>
      </c>
      <c r="Y3638" s="360" t="s">
        <v>45</v>
      </c>
      <c r="Z3638" s="360">
        <v>9</v>
      </c>
      <c r="AA3638" s="360">
        <v>130</v>
      </c>
      <c r="AB3638" s="360">
        <v>6.9</v>
      </c>
    </row>
    <row r="3639" spans="10:28" x14ac:dyDescent="0.2">
      <c r="J3639" s="358" t="str">
        <f t="shared" si="158"/>
        <v>2014AllSexMaori231</v>
      </c>
      <c r="K3639" s="359">
        <v>2014</v>
      </c>
      <c r="L3639" t="s">
        <v>17</v>
      </c>
      <c r="M3639" t="s">
        <v>18</v>
      </c>
      <c r="N3639">
        <v>23</v>
      </c>
      <c r="O3639">
        <v>1</v>
      </c>
      <c r="P3639">
        <v>5</v>
      </c>
      <c r="Q3639">
        <v>33.348653233194703</v>
      </c>
      <c r="R3639">
        <v>29.2</v>
      </c>
      <c r="T3639" s="358" t="str">
        <f t="shared" si="159"/>
        <v>2013MaleAllEth25Other</v>
      </c>
      <c r="U3639" s="360">
        <v>2013</v>
      </c>
      <c r="V3639" s="360" t="s">
        <v>20</v>
      </c>
      <c r="W3639" s="360" t="s">
        <v>27</v>
      </c>
      <c r="X3639" s="360">
        <v>25</v>
      </c>
      <c r="Y3639" s="360" t="s">
        <v>45</v>
      </c>
      <c r="Z3639" s="360">
        <v>1</v>
      </c>
      <c r="AA3639" s="360">
        <v>48</v>
      </c>
      <c r="AB3639" s="360">
        <v>2.1</v>
      </c>
    </row>
    <row r="3640" spans="10:28" x14ac:dyDescent="0.2">
      <c r="J3640" s="358" t="str">
        <f t="shared" si="158"/>
        <v>2014AllSexMaori232</v>
      </c>
      <c r="K3640" s="359">
        <v>2014</v>
      </c>
      <c r="L3640" t="s">
        <v>17</v>
      </c>
      <c r="M3640" t="s">
        <v>18</v>
      </c>
      <c r="N3640">
        <v>23</v>
      </c>
      <c r="O3640">
        <v>2</v>
      </c>
      <c r="P3640">
        <v>2</v>
      </c>
      <c r="Q3640">
        <v>9.6048441702846699</v>
      </c>
      <c r="R3640">
        <v>13.3</v>
      </c>
      <c r="T3640" s="358" t="str">
        <f t="shared" si="159"/>
        <v>2013MaleAllEth22Poisoning by gases and vapours</v>
      </c>
      <c r="U3640" s="360">
        <v>2013</v>
      </c>
      <c r="V3640" s="360" t="s">
        <v>20</v>
      </c>
      <c r="W3640" s="360" t="s">
        <v>27</v>
      </c>
      <c r="X3640" s="360">
        <v>22</v>
      </c>
      <c r="Y3640" s="360" t="s">
        <v>46</v>
      </c>
      <c r="Z3640" s="360">
        <v>3</v>
      </c>
      <c r="AA3640" s="360">
        <v>74</v>
      </c>
      <c r="AB3640" s="360">
        <v>4.0999999999999996</v>
      </c>
    </row>
    <row r="3641" spans="10:28" x14ac:dyDescent="0.2">
      <c r="J3641" s="358" t="str">
        <f t="shared" si="158"/>
        <v>2014AllSexMaori233</v>
      </c>
      <c r="K3641" s="359">
        <v>2014</v>
      </c>
      <c r="L3641" t="s">
        <v>17</v>
      </c>
      <c r="M3641" t="s">
        <v>18</v>
      </c>
      <c r="N3641">
        <v>23</v>
      </c>
      <c r="O3641">
        <v>3</v>
      </c>
      <c r="P3641">
        <v>12</v>
      </c>
      <c r="Q3641">
        <v>41.384718462047601</v>
      </c>
      <c r="R3641">
        <v>23.4</v>
      </c>
      <c r="T3641" s="358" t="str">
        <f t="shared" si="159"/>
        <v>2013MaleAllEth23Poisoning by gases and vapours</v>
      </c>
      <c r="U3641" s="360">
        <v>2013</v>
      </c>
      <c r="V3641" s="360" t="s">
        <v>20</v>
      </c>
      <c r="W3641" s="360" t="s">
        <v>27</v>
      </c>
      <c r="X3641" s="360">
        <v>23</v>
      </c>
      <c r="Y3641" s="360" t="s">
        <v>46</v>
      </c>
      <c r="Z3641" s="360">
        <v>13</v>
      </c>
      <c r="AA3641" s="360">
        <v>114</v>
      </c>
      <c r="AB3641" s="360">
        <v>11.4</v>
      </c>
    </row>
    <row r="3642" spans="10:28" x14ac:dyDescent="0.2">
      <c r="J3642" s="358" t="str">
        <f t="shared" si="158"/>
        <v>2014AllSexMaori234</v>
      </c>
      <c r="K3642" s="359">
        <v>2014</v>
      </c>
      <c r="L3642" t="s">
        <v>17</v>
      </c>
      <c r="M3642" t="s">
        <v>18</v>
      </c>
      <c r="N3642">
        <v>23</v>
      </c>
      <c r="O3642">
        <v>4</v>
      </c>
      <c r="P3642">
        <v>13</v>
      </c>
      <c r="Q3642">
        <v>32.4741475221062</v>
      </c>
      <c r="R3642">
        <v>17.7</v>
      </c>
      <c r="T3642" s="358" t="str">
        <f t="shared" si="159"/>
        <v>2013MaleAllEth24Poisoning by gases and vapours</v>
      </c>
      <c r="U3642" s="360">
        <v>2013</v>
      </c>
      <c r="V3642" s="360" t="s">
        <v>20</v>
      </c>
      <c r="W3642" s="360" t="s">
        <v>27</v>
      </c>
      <c r="X3642" s="360">
        <v>24</v>
      </c>
      <c r="Y3642" s="360" t="s">
        <v>46</v>
      </c>
      <c r="Z3642" s="360">
        <v>20</v>
      </c>
      <c r="AA3642" s="360">
        <v>130</v>
      </c>
      <c r="AB3642" s="360">
        <v>15.4</v>
      </c>
    </row>
    <row r="3643" spans="10:28" x14ac:dyDescent="0.2">
      <c r="J3643" s="358" t="str">
        <f t="shared" si="158"/>
        <v>2014AllSexMaori235</v>
      </c>
      <c r="K3643" s="359">
        <v>2014</v>
      </c>
      <c r="L3643" t="s">
        <v>17</v>
      </c>
      <c r="M3643" t="s">
        <v>18</v>
      </c>
      <c r="N3643">
        <v>23</v>
      </c>
      <c r="O3643">
        <v>5</v>
      </c>
      <c r="P3643">
        <v>18</v>
      </c>
      <c r="Q3643">
        <v>27.772898396752598</v>
      </c>
      <c r="R3643">
        <v>12.8</v>
      </c>
      <c r="T3643" s="358" t="str">
        <f t="shared" si="159"/>
        <v>2013MaleAllEth25Poisoning by gases and vapours</v>
      </c>
      <c r="U3643" s="360">
        <v>2013</v>
      </c>
      <c r="V3643" s="360" t="s">
        <v>20</v>
      </c>
      <c r="W3643" s="360" t="s">
        <v>27</v>
      </c>
      <c r="X3643" s="360">
        <v>25</v>
      </c>
      <c r="Y3643" s="360" t="s">
        <v>46</v>
      </c>
      <c r="Z3643" s="360">
        <v>3</v>
      </c>
      <c r="AA3643" s="360">
        <v>48</v>
      </c>
      <c r="AB3643" s="360">
        <v>6.2</v>
      </c>
    </row>
    <row r="3644" spans="10:28" x14ac:dyDescent="0.2">
      <c r="J3644" s="358" t="str">
        <f t="shared" si="158"/>
        <v>2014AllSexMaori241</v>
      </c>
      <c r="K3644" s="359">
        <v>2014</v>
      </c>
      <c r="L3644" t="s">
        <v>17</v>
      </c>
      <c r="M3644" t="s">
        <v>18</v>
      </c>
      <c r="N3644">
        <v>24</v>
      </c>
      <c r="O3644">
        <v>1</v>
      </c>
      <c r="P3644">
        <v>0</v>
      </c>
      <c r="Q3644">
        <v>0</v>
      </c>
      <c r="T3644" s="358" t="str">
        <f t="shared" si="159"/>
        <v>2013MaleAllEth22Poisoning by solids and liquids</v>
      </c>
      <c r="U3644" s="360">
        <v>2013</v>
      </c>
      <c r="V3644" s="360" t="s">
        <v>20</v>
      </c>
      <c r="W3644" s="360" t="s">
        <v>27</v>
      </c>
      <c r="X3644" s="360">
        <v>22</v>
      </c>
      <c r="Y3644" s="360" t="s">
        <v>47</v>
      </c>
      <c r="Z3644" s="360">
        <v>1</v>
      </c>
      <c r="AA3644" s="360">
        <v>74</v>
      </c>
      <c r="AB3644" s="360">
        <v>1.4</v>
      </c>
    </row>
    <row r="3645" spans="10:28" x14ac:dyDescent="0.2">
      <c r="J3645" s="358" t="str">
        <f t="shared" si="158"/>
        <v>2014AllSexMaori242</v>
      </c>
      <c r="K3645" s="359">
        <v>2014</v>
      </c>
      <c r="L3645" t="s">
        <v>17</v>
      </c>
      <c r="M3645" t="s">
        <v>18</v>
      </c>
      <c r="N3645">
        <v>24</v>
      </c>
      <c r="O3645">
        <v>2</v>
      </c>
      <c r="P3645">
        <v>0</v>
      </c>
      <c r="Q3645">
        <v>0</v>
      </c>
      <c r="T3645" s="358" t="str">
        <f t="shared" si="159"/>
        <v>2013MaleAllEth23Poisoning by solids and liquids</v>
      </c>
      <c r="U3645" s="360">
        <v>2013</v>
      </c>
      <c r="V3645" s="360" t="s">
        <v>20</v>
      </c>
      <c r="W3645" s="360" t="s">
        <v>27</v>
      </c>
      <c r="X3645" s="360">
        <v>23</v>
      </c>
      <c r="Y3645" s="360" t="s">
        <v>47</v>
      </c>
      <c r="Z3645" s="360">
        <v>8</v>
      </c>
      <c r="AA3645" s="360">
        <v>114</v>
      </c>
      <c r="AB3645" s="360">
        <v>7</v>
      </c>
    </row>
    <row r="3646" spans="10:28" x14ac:dyDescent="0.2">
      <c r="J3646" s="358" t="str">
        <f t="shared" si="158"/>
        <v>2014AllSexMaori243</v>
      </c>
      <c r="K3646" s="359">
        <v>2014</v>
      </c>
      <c r="L3646" t="s">
        <v>17</v>
      </c>
      <c r="M3646" t="s">
        <v>18</v>
      </c>
      <c r="N3646">
        <v>24</v>
      </c>
      <c r="O3646">
        <v>3</v>
      </c>
      <c r="P3646">
        <v>3</v>
      </c>
      <c r="Q3646">
        <v>14.1657701315797</v>
      </c>
      <c r="R3646">
        <v>16</v>
      </c>
      <c r="T3646" s="358" t="str">
        <f t="shared" si="159"/>
        <v>2013MaleAllEth24Poisoning by solids and liquids</v>
      </c>
      <c r="U3646" s="360">
        <v>2013</v>
      </c>
      <c r="V3646" s="360" t="s">
        <v>20</v>
      </c>
      <c r="W3646" s="360" t="s">
        <v>27</v>
      </c>
      <c r="X3646" s="360">
        <v>24</v>
      </c>
      <c r="Y3646" s="360" t="s">
        <v>47</v>
      </c>
      <c r="Z3646" s="360">
        <v>16</v>
      </c>
      <c r="AA3646" s="360">
        <v>130</v>
      </c>
      <c r="AB3646" s="360">
        <v>12.3</v>
      </c>
    </row>
    <row r="3647" spans="10:28" x14ac:dyDescent="0.2">
      <c r="J3647" s="358" t="str">
        <f t="shared" si="158"/>
        <v>2014AllSexMaori244</v>
      </c>
      <c r="K3647" s="359">
        <v>2014</v>
      </c>
      <c r="L3647" t="s">
        <v>17</v>
      </c>
      <c r="M3647" t="s">
        <v>18</v>
      </c>
      <c r="N3647">
        <v>24</v>
      </c>
      <c r="O3647">
        <v>4</v>
      </c>
      <c r="P3647">
        <v>2</v>
      </c>
      <c r="Q3647">
        <v>6.7911271347983604</v>
      </c>
      <c r="R3647">
        <v>9.4</v>
      </c>
      <c r="T3647" s="358" t="str">
        <f t="shared" si="159"/>
        <v>2013MaleAllEth25Poisoning by solids and liquids</v>
      </c>
      <c r="U3647" s="360">
        <v>2013</v>
      </c>
      <c r="V3647" s="360" t="s">
        <v>20</v>
      </c>
      <c r="W3647" s="360" t="s">
        <v>27</v>
      </c>
      <c r="X3647" s="360">
        <v>25</v>
      </c>
      <c r="Y3647" s="360" t="s">
        <v>47</v>
      </c>
      <c r="Z3647" s="360">
        <v>6</v>
      </c>
      <c r="AA3647" s="360">
        <v>48</v>
      </c>
      <c r="AB3647" s="360">
        <v>12.5</v>
      </c>
    </row>
    <row r="3648" spans="10:28" x14ac:dyDescent="0.2">
      <c r="J3648" s="358" t="str">
        <f t="shared" si="158"/>
        <v>2014AllSexMaori245</v>
      </c>
      <c r="K3648" s="359">
        <v>2014</v>
      </c>
      <c r="L3648" t="s">
        <v>17</v>
      </c>
      <c r="M3648" t="s">
        <v>18</v>
      </c>
      <c r="N3648">
        <v>24</v>
      </c>
      <c r="O3648">
        <v>5</v>
      </c>
      <c r="P3648">
        <v>5</v>
      </c>
      <c r="Q3648">
        <v>9.7189102816612802</v>
      </c>
      <c r="R3648">
        <v>8.5</v>
      </c>
      <c r="T3648" s="358" t="str">
        <f t="shared" si="159"/>
        <v>2013MaleAllEth23Sharp object</v>
      </c>
      <c r="U3648" s="360">
        <v>2013</v>
      </c>
      <c r="V3648" s="360" t="s">
        <v>20</v>
      </c>
      <c r="W3648" s="360" t="s">
        <v>27</v>
      </c>
      <c r="X3648" s="360">
        <v>23</v>
      </c>
      <c r="Y3648" s="360" t="s">
        <v>48</v>
      </c>
      <c r="Z3648" s="360">
        <v>3</v>
      </c>
      <c r="AA3648" s="360">
        <v>114</v>
      </c>
      <c r="AB3648" s="360">
        <v>2.6</v>
      </c>
    </row>
    <row r="3649" spans="10:28" x14ac:dyDescent="0.2">
      <c r="J3649" s="358" t="str">
        <f t="shared" si="158"/>
        <v>2014AllSexMaori251</v>
      </c>
      <c r="K3649" s="359">
        <v>2014</v>
      </c>
      <c r="L3649" t="s">
        <v>17</v>
      </c>
      <c r="M3649" t="s">
        <v>18</v>
      </c>
      <c r="N3649">
        <v>25</v>
      </c>
      <c r="O3649">
        <v>1</v>
      </c>
      <c r="P3649">
        <v>0</v>
      </c>
      <c r="Q3649">
        <v>0</v>
      </c>
      <c r="T3649" s="358" t="str">
        <f t="shared" si="159"/>
        <v>2013MaleAllEth24Sharp object</v>
      </c>
      <c r="U3649" s="360">
        <v>2013</v>
      </c>
      <c r="V3649" s="360" t="s">
        <v>20</v>
      </c>
      <c r="W3649" s="360" t="s">
        <v>27</v>
      </c>
      <c r="X3649" s="360">
        <v>24</v>
      </c>
      <c r="Y3649" s="360" t="s">
        <v>48</v>
      </c>
      <c r="Z3649" s="360">
        <v>5</v>
      </c>
      <c r="AA3649" s="360">
        <v>130</v>
      </c>
      <c r="AB3649" s="360">
        <v>3.8</v>
      </c>
    </row>
    <row r="3650" spans="10:28" x14ac:dyDescent="0.2">
      <c r="J3650" s="358" t="str">
        <f t="shared" si="158"/>
        <v>2014AllSexMaori252</v>
      </c>
      <c r="K3650" s="359">
        <v>2014</v>
      </c>
      <c r="L3650" t="s">
        <v>17</v>
      </c>
      <c r="M3650" t="s">
        <v>18</v>
      </c>
      <c r="N3650">
        <v>25</v>
      </c>
      <c r="O3650">
        <v>2</v>
      </c>
      <c r="P3650">
        <v>0</v>
      </c>
      <c r="Q3650">
        <v>0</v>
      </c>
      <c r="T3650" s="358" t="str">
        <f t="shared" si="159"/>
        <v>2013MaleAllEth25Sharp object</v>
      </c>
      <c r="U3650" s="360">
        <v>2013</v>
      </c>
      <c r="V3650" s="360" t="s">
        <v>20</v>
      </c>
      <c r="W3650" s="360" t="s">
        <v>27</v>
      </c>
      <c r="X3650" s="360">
        <v>25</v>
      </c>
      <c r="Y3650" s="360" t="s">
        <v>48</v>
      </c>
      <c r="Z3650" s="360">
        <v>1</v>
      </c>
      <c r="AA3650" s="360">
        <v>48</v>
      </c>
      <c r="AB3650" s="360">
        <v>2.1</v>
      </c>
    </row>
    <row r="3651" spans="10:28" x14ac:dyDescent="0.2">
      <c r="J3651" s="358" t="str">
        <f t="shared" si="158"/>
        <v>2014AllSexMaori253</v>
      </c>
      <c r="K3651" s="359">
        <v>2014</v>
      </c>
      <c r="L3651" t="s">
        <v>17</v>
      </c>
      <c r="M3651" t="s">
        <v>18</v>
      </c>
      <c r="N3651">
        <v>25</v>
      </c>
      <c r="O3651">
        <v>3</v>
      </c>
      <c r="P3651">
        <v>0</v>
      </c>
      <c r="Q3651">
        <v>0</v>
      </c>
      <c r="T3651" s="358" t="str">
        <f t="shared" si="159"/>
        <v>2013MaleAllEth23Submersion (drowning)</v>
      </c>
      <c r="U3651" s="360">
        <v>2013</v>
      </c>
      <c r="V3651" s="360" t="s">
        <v>20</v>
      </c>
      <c r="W3651" s="360" t="s">
        <v>27</v>
      </c>
      <c r="X3651" s="360">
        <v>23</v>
      </c>
      <c r="Y3651" s="360" t="s">
        <v>49</v>
      </c>
      <c r="Z3651" s="360">
        <v>1</v>
      </c>
      <c r="AA3651" s="360">
        <v>114</v>
      </c>
      <c r="AB3651" s="360">
        <v>0.9</v>
      </c>
    </row>
    <row r="3652" spans="10:28" x14ac:dyDescent="0.2">
      <c r="J3652" s="358" t="str">
        <f t="shared" ref="J3652:J3715" si="160">K3652&amp;L3652&amp;M3652&amp;N3652&amp;O3652</f>
        <v>2014AllSexMaori254</v>
      </c>
      <c r="K3652" s="359">
        <v>2014</v>
      </c>
      <c r="L3652" t="s">
        <v>17</v>
      </c>
      <c r="M3652" t="s">
        <v>18</v>
      </c>
      <c r="N3652">
        <v>25</v>
      </c>
      <c r="O3652">
        <v>4</v>
      </c>
      <c r="P3652">
        <v>0</v>
      </c>
      <c r="Q3652">
        <v>0</v>
      </c>
      <c r="T3652" s="358" t="str">
        <f t="shared" si="159"/>
        <v>2013MaleAllEth24Submersion (drowning)</v>
      </c>
      <c r="U3652" s="360">
        <v>2013</v>
      </c>
      <c r="V3652" s="360" t="s">
        <v>20</v>
      </c>
      <c r="W3652" s="360" t="s">
        <v>27</v>
      </c>
      <c r="X3652" s="360">
        <v>24</v>
      </c>
      <c r="Y3652" s="360" t="s">
        <v>49</v>
      </c>
      <c r="Z3652" s="360">
        <v>3</v>
      </c>
      <c r="AA3652" s="360">
        <v>130</v>
      </c>
      <c r="AB3652" s="360">
        <v>2.2999999999999998</v>
      </c>
    </row>
    <row r="3653" spans="10:28" x14ac:dyDescent="0.2">
      <c r="J3653" s="358" t="str">
        <f t="shared" si="160"/>
        <v>2014AllSexMaori255</v>
      </c>
      <c r="K3653" s="359">
        <v>2014</v>
      </c>
      <c r="L3653" t="s">
        <v>17</v>
      </c>
      <c r="M3653" t="s">
        <v>18</v>
      </c>
      <c r="N3653">
        <v>25</v>
      </c>
      <c r="O3653">
        <v>5</v>
      </c>
      <c r="P3653">
        <v>0</v>
      </c>
      <c r="Q3653">
        <v>0</v>
      </c>
      <c r="T3653" s="358" t="str">
        <f t="shared" ref="T3653:T3716" si="161">U3653&amp;V3653&amp;W3653&amp;X3653&amp;Y3653</f>
        <v>2013MaleAllEth25Submersion (drowning)</v>
      </c>
      <c r="U3653" s="360">
        <v>2013</v>
      </c>
      <c r="V3653" s="360" t="s">
        <v>20</v>
      </c>
      <c r="W3653" s="360" t="s">
        <v>27</v>
      </c>
      <c r="X3653" s="360">
        <v>25</v>
      </c>
      <c r="Y3653" s="360" t="s">
        <v>49</v>
      </c>
      <c r="Z3653" s="360">
        <v>3</v>
      </c>
      <c r="AA3653" s="360">
        <v>48</v>
      </c>
      <c r="AB3653" s="360">
        <v>6.2</v>
      </c>
    </row>
    <row r="3654" spans="10:28" x14ac:dyDescent="0.2">
      <c r="J3654" s="358" t="str">
        <f t="shared" si="160"/>
        <v>2014AllSexNon-Maori211</v>
      </c>
      <c r="K3654" s="359">
        <v>2014</v>
      </c>
      <c r="L3654" t="s">
        <v>17</v>
      </c>
      <c r="M3654" t="s">
        <v>19</v>
      </c>
      <c r="N3654">
        <v>21</v>
      </c>
      <c r="O3654">
        <v>1</v>
      </c>
      <c r="P3654">
        <v>1</v>
      </c>
      <c r="T3654" s="358" t="str">
        <f t="shared" si="161"/>
        <v>2013MaleMaori22Firearms and explosives</v>
      </c>
      <c r="U3654" s="360">
        <v>2013</v>
      </c>
      <c r="V3654" s="360" t="s">
        <v>20</v>
      </c>
      <c r="W3654" s="360" t="s">
        <v>18</v>
      </c>
      <c r="X3654" s="360">
        <v>22</v>
      </c>
      <c r="Y3654" s="360" t="s">
        <v>42</v>
      </c>
      <c r="Z3654" s="360">
        <v>1</v>
      </c>
      <c r="AA3654" s="360">
        <v>30</v>
      </c>
      <c r="AB3654" s="360">
        <v>3.3</v>
      </c>
    </row>
    <row r="3655" spans="10:28" x14ac:dyDescent="0.2">
      <c r="J3655" s="358" t="str">
        <f t="shared" si="160"/>
        <v>2014AllSexNon-Maori212</v>
      </c>
      <c r="K3655" s="359">
        <v>2014</v>
      </c>
      <c r="L3655" t="s">
        <v>17</v>
      </c>
      <c r="M3655" t="s">
        <v>19</v>
      </c>
      <c r="N3655">
        <v>21</v>
      </c>
      <c r="O3655">
        <v>2</v>
      </c>
      <c r="P3655">
        <v>0</v>
      </c>
      <c r="T3655" s="358" t="str">
        <f t="shared" si="161"/>
        <v>2013MaleMaori22Hanging, strangulation and suffocation</v>
      </c>
      <c r="U3655" s="360">
        <v>2013</v>
      </c>
      <c r="V3655" s="360" t="s">
        <v>20</v>
      </c>
      <c r="W3655" s="360" t="s">
        <v>18</v>
      </c>
      <c r="X3655" s="360">
        <v>22</v>
      </c>
      <c r="Y3655" s="360" t="s">
        <v>43</v>
      </c>
      <c r="Z3655" s="360">
        <v>26</v>
      </c>
      <c r="AA3655" s="360">
        <v>30</v>
      </c>
      <c r="AB3655" s="360">
        <v>86.7</v>
      </c>
    </row>
    <row r="3656" spans="10:28" x14ac:dyDescent="0.2">
      <c r="J3656" s="358" t="str">
        <f t="shared" si="160"/>
        <v>2014AllSexNon-Maori213</v>
      </c>
      <c r="K3656" s="359">
        <v>2014</v>
      </c>
      <c r="L3656" t="s">
        <v>17</v>
      </c>
      <c r="M3656" t="s">
        <v>19</v>
      </c>
      <c r="N3656">
        <v>21</v>
      </c>
      <c r="O3656">
        <v>3</v>
      </c>
      <c r="P3656">
        <v>1</v>
      </c>
      <c r="T3656" s="358" t="str">
        <f t="shared" si="161"/>
        <v>2013MaleMaori23Hanging, strangulation and suffocation</v>
      </c>
      <c r="U3656" s="360">
        <v>2013</v>
      </c>
      <c r="V3656" s="360" t="s">
        <v>20</v>
      </c>
      <c r="W3656" s="360" t="s">
        <v>18</v>
      </c>
      <c r="X3656" s="360">
        <v>23</v>
      </c>
      <c r="Y3656" s="360" t="s">
        <v>43</v>
      </c>
      <c r="Z3656" s="360">
        <v>23</v>
      </c>
      <c r="AA3656" s="360">
        <v>31</v>
      </c>
      <c r="AB3656" s="360">
        <v>74.2</v>
      </c>
    </row>
    <row r="3657" spans="10:28" x14ac:dyDescent="0.2">
      <c r="J3657" s="358" t="str">
        <f t="shared" si="160"/>
        <v>2014AllSexNon-Maori214</v>
      </c>
      <c r="K3657" s="359">
        <v>2014</v>
      </c>
      <c r="L3657" t="s">
        <v>17</v>
      </c>
      <c r="M3657" t="s">
        <v>19</v>
      </c>
      <c r="N3657">
        <v>21</v>
      </c>
      <c r="O3657">
        <v>4</v>
      </c>
      <c r="P3657">
        <v>0</v>
      </c>
      <c r="T3657" s="358" t="str">
        <f t="shared" si="161"/>
        <v>2013MaleMaori24Hanging, strangulation and suffocation</v>
      </c>
      <c r="U3657" s="360">
        <v>2013</v>
      </c>
      <c r="V3657" s="360" t="s">
        <v>20</v>
      </c>
      <c r="W3657" s="360" t="s">
        <v>18</v>
      </c>
      <c r="X3657" s="360">
        <v>24</v>
      </c>
      <c r="Y3657" s="360" t="s">
        <v>43</v>
      </c>
      <c r="Z3657" s="360">
        <v>4</v>
      </c>
      <c r="AA3657" s="360">
        <v>5</v>
      </c>
      <c r="AB3657" s="360">
        <v>80</v>
      </c>
    </row>
    <row r="3658" spans="10:28" x14ac:dyDescent="0.2">
      <c r="J3658" s="358" t="str">
        <f t="shared" si="160"/>
        <v>2014AllSexNon-Maori215</v>
      </c>
      <c r="K3658" s="359">
        <v>2014</v>
      </c>
      <c r="L3658" t="s">
        <v>17</v>
      </c>
      <c r="M3658" t="s">
        <v>19</v>
      </c>
      <c r="N3658">
        <v>21</v>
      </c>
      <c r="O3658">
        <v>5</v>
      </c>
      <c r="P3658">
        <v>1</v>
      </c>
      <c r="T3658" s="358" t="str">
        <f t="shared" si="161"/>
        <v>2013MaleMaori22Jumping from a high place</v>
      </c>
      <c r="U3658" s="360">
        <v>2013</v>
      </c>
      <c r="V3658" s="360" t="s">
        <v>20</v>
      </c>
      <c r="W3658" s="360" t="s">
        <v>18</v>
      </c>
      <c r="X3658" s="360">
        <v>22</v>
      </c>
      <c r="Y3658" s="360" t="s">
        <v>44</v>
      </c>
      <c r="Z3658" s="360">
        <v>2</v>
      </c>
      <c r="AA3658" s="360">
        <v>30</v>
      </c>
      <c r="AB3658" s="360">
        <v>6.7</v>
      </c>
    </row>
    <row r="3659" spans="10:28" x14ac:dyDescent="0.2">
      <c r="J3659" s="358" t="str">
        <f t="shared" si="160"/>
        <v>2014AllSexNon-Maori221</v>
      </c>
      <c r="K3659" s="359">
        <v>2014</v>
      </c>
      <c r="L3659" t="s">
        <v>17</v>
      </c>
      <c r="M3659" t="s">
        <v>19</v>
      </c>
      <c r="N3659">
        <v>22</v>
      </c>
      <c r="O3659">
        <v>1</v>
      </c>
      <c r="P3659">
        <v>8</v>
      </c>
      <c r="Q3659">
        <v>7.8267689501267004</v>
      </c>
      <c r="R3659">
        <v>5.4</v>
      </c>
      <c r="T3659" s="358" t="str">
        <f t="shared" si="161"/>
        <v>2013MaleMaori22Other</v>
      </c>
      <c r="U3659" s="360">
        <v>2013</v>
      </c>
      <c r="V3659" s="360" t="s">
        <v>20</v>
      </c>
      <c r="W3659" s="360" t="s">
        <v>18</v>
      </c>
      <c r="X3659" s="360">
        <v>22</v>
      </c>
      <c r="Y3659" s="360" t="s">
        <v>45</v>
      </c>
      <c r="Z3659" s="360">
        <v>1</v>
      </c>
      <c r="AA3659" s="360">
        <v>30</v>
      </c>
      <c r="AB3659" s="360">
        <v>3.3</v>
      </c>
    </row>
    <row r="3660" spans="10:28" x14ac:dyDescent="0.2">
      <c r="J3660" s="358" t="str">
        <f t="shared" si="160"/>
        <v>2014AllSexNon-Maori222</v>
      </c>
      <c r="K3660" s="359">
        <v>2014</v>
      </c>
      <c r="L3660" t="s">
        <v>17</v>
      </c>
      <c r="M3660" t="s">
        <v>19</v>
      </c>
      <c r="N3660">
        <v>22</v>
      </c>
      <c r="O3660">
        <v>2</v>
      </c>
      <c r="P3660">
        <v>10</v>
      </c>
      <c r="Q3660">
        <v>9.9806280530010891</v>
      </c>
      <c r="R3660">
        <v>6.2</v>
      </c>
      <c r="T3660" s="358" t="str">
        <f t="shared" si="161"/>
        <v>2013MaleMaori23Other</v>
      </c>
      <c r="U3660" s="360">
        <v>2013</v>
      </c>
      <c r="V3660" s="360" t="s">
        <v>20</v>
      </c>
      <c r="W3660" s="360" t="s">
        <v>18</v>
      </c>
      <c r="X3660" s="360">
        <v>23</v>
      </c>
      <c r="Y3660" s="360" t="s">
        <v>45</v>
      </c>
      <c r="Z3660" s="360">
        <v>2</v>
      </c>
      <c r="AA3660" s="360">
        <v>31</v>
      </c>
      <c r="AB3660" s="360">
        <v>6.5</v>
      </c>
    </row>
    <row r="3661" spans="10:28" x14ac:dyDescent="0.2">
      <c r="J3661" s="358" t="str">
        <f t="shared" si="160"/>
        <v>2014AllSexNon-Maori223</v>
      </c>
      <c r="K3661" s="359">
        <v>2014</v>
      </c>
      <c r="L3661" t="s">
        <v>17</v>
      </c>
      <c r="M3661" t="s">
        <v>19</v>
      </c>
      <c r="N3661">
        <v>22</v>
      </c>
      <c r="O3661">
        <v>3</v>
      </c>
      <c r="P3661">
        <v>15</v>
      </c>
      <c r="Q3661">
        <v>14.901037733370799</v>
      </c>
      <c r="R3661">
        <v>7.5</v>
      </c>
      <c r="T3661" s="358" t="str">
        <f t="shared" si="161"/>
        <v>2013MaleMaori23Poisoning by gases and vapours</v>
      </c>
      <c r="U3661" s="360">
        <v>2013</v>
      </c>
      <c r="V3661" s="360" t="s">
        <v>20</v>
      </c>
      <c r="W3661" s="360" t="s">
        <v>18</v>
      </c>
      <c r="X3661" s="360">
        <v>23</v>
      </c>
      <c r="Y3661" s="360" t="s">
        <v>46</v>
      </c>
      <c r="Z3661" s="360">
        <v>4</v>
      </c>
      <c r="AA3661" s="360">
        <v>31</v>
      </c>
      <c r="AB3661" s="360">
        <v>12.9</v>
      </c>
    </row>
    <row r="3662" spans="10:28" x14ac:dyDescent="0.2">
      <c r="J3662" s="358" t="str">
        <f t="shared" si="160"/>
        <v>2014AllSexNon-Maori224</v>
      </c>
      <c r="K3662" s="359">
        <v>2014</v>
      </c>
      <c r="L3662" t="s">
        <v>17</v>
      </c>
      <c r="M3662" t="s">
        <v>19</v>
      </c>
      <c r="N3662">
        <v>22</v>
      </c>
      <c r="O3662">
        <v>4</v>
      </c>
      <c r="P3662">
        <v>13</v>
      </c>
      <c r="Q3662">
        <v>12.2148205748869</v>
      </c>
      <c r="R3662">
        <v>6.6</v>
      </c>
      <c r="T3662" s="358" t="str">
        <f t="shared" si="161"/>
        <v>2013MaleMaori23Poisoning by solids and liquids</v>
      </c>
      <c r="U3662" s="360">
        <v>2013</v>
      </c>
      <c r="V3662" s="360" t="s">
        <v>20</v>
      </c>
      <c r="W3662" s="360" t="s">
        <v>18</v>
      </c>
      <c r="X3662" s="360">
        <v>23</v>
      </c>
      <c r="Y3662" s="360" t="s">
        <v>47</v>
      </c>
      <c r="Z3662" s="360">
        <v>1</v>
      </c>
      <c r="AA3662" s="360">
        <v>31</v>
      </c>
      <c r="AB3662" s="360">
        <v>3.2</v>
      </c>
    </row>
    <row r="3663" spans="10:28" x14ac:dyDescent="0.2">
      <c r="J3663" s="358" t="str">
        <f t="shared" si="160"/>
        <v>2014AllSexNon-Maori225</v>
      </c>
      <c r="K3663" s="359">
        <v>2014</v>
      </c>
      <c r="L3663" t="s">
        <v>17</v>
      </c>
      <c r="M3663" t="s">
        <v>19</v>
      </c>
      <c r="N3663">
        <v>22</v>
      </c>
      <c r="O3663">
        <v>5</v>
      </c>
      <c r="P3663">
        <v>14</v>
      </c>
      <c r="Q3663">
        <v>13.610185990971701</v>
      </c>
      <c r="R3663">
        <v>7.1</v>
      </c>
      <c r="T3663" s="358" t="str">
        <f t="shared" si="161"/>
        <v>2013MaleMaori23Sharp object</v>
      </c>
      <c r="U3663" s="360">
        <v>2013</v>
      </c>
      <c r="V3663" s="360" t="s">
        <v>20</v>
      </c>
      <c r="W3663" s="360" t="s">
        <v>18</v>
      </c>
      <c r="X3663" s="360">
        <v>23</v>
      </c>
      <c r="Y3663" s="360" t="s">
        <v>48</v>
      </c>
      <c r="Z3663" s="360">
        <v>1</v>
      </c>
      <c r="AA3663" s="360">
        <v>31</v>
      </c>
      <c r="AB3663" s="360">
        <v>3.2</v>
      </c>
    </row>
    <row r="3664" spans="10:28" x14ac:dyDescent="0.2">
      <c r="J3664" s="358" t="str">
        <f t="shared" si="160"/>
        <v>2014AllSexNon-Maori231</v>
      </c>
      <c r="K3664" s="359">
        <v>2014</v>
      </c>
      <c r="L3664" t="s">
        <v>17</v>
      </c>
      <c r="M3664" t="s">
        <v>19</v>
      </c>
      <c r="N3664">
        <v>23</v>
      </c>
      <c r="O3664">
        <v>1</v>
      </c>
      <c r="P3664">
        <v>15</v>
      </c>
      <c r="Q3664">
        <v>7.3591140649991296</v>
      </c>
      <c r="R3664">
        <v>3.7</v>
      </c>
      <c r="T3664" s="358" t="str">
        <f t="shared" si="161"/>
        <v>2013MaleMaori24Sharp object</v>
      </c>
      <c r="U3664" s="360">
        <v>2013</v>
      </c>
      <c r="V3664" s="360" t="s">
        <v>20</v>
      </c>
      <c r="W3664" s="360" t="s">
        <v>18</v>
      </c>
      <c r="X3664" s="360">
        <v>24</v>
      </c>
      <c r="Y3664" s="360" t="s">
        <v>48</v>
      </c>
      <c r="Z3664" s="360">
        <v>1</v>
      </c>
      <c r="AA3664" s="360">
        <v>5</v>
      </c>
      <c r="AB3664" s="360">
        <v>20</v>
      </c>
    </row>
    <row r="3665" spans="10:28" x14ac:dyDescent="0.2">
      <c r="J3665" s="358" t="str">
        <f t="shared" si="160"/>
        <v>2014AllSexNon-Maori232</v>
      </c>
      <c r="K3665" s="359">
        <v>2014</v>
      </c>
      <c r="L3665" t="s">
        <v>17</v>
      </c>
      <c r="M3665" t="s">
        <v>19</v>
      </c>
      <c r="N3665">
        <v>23</v>
      </c>
      <c r="O3665">
        <v>2</v>
      </c>
      <c r="P3665">
        <v>23</v>
      </c>
      <c r="Q3665">
        <v>10.6235136413337</v>
      </c>
      <c r="R3665">
        <v>4.3</v>
      </c>
      <c r="T3665" s="358" t="str">
        <f t="shared" si="161"/>
        <v>2013MaleNon-Maori22Firearms and explosives</v>
      </c>
      <c r="U3665" s="360">
        <v>2013</v>
      </c>
      <c r="V3665" s="360" t="s">
        <v>20</v>
      </c>
      <c r="W3665" s="360" t="s">
        <v>19</v>
      </c>
      <c r="X3665" s="360">
        <v>22</v>
      </c>
      <c r="Y3665" s="360" t="s">
        <v>42</v>
      </c>
      <c r="Z3665" s="360">
        <v>4</v>
      </c>
      <c r="AA3665" s="360">
        <v>44</v>
      </c>
      <c r="AB3665" s="360">
        <v>9.1</v>
      </c>
    </row>
    <row r="3666" spans="10:28" x14ac:dyDescent="0.2">
      <c r="J3666" s="358" t="str">
        <f t="shared" si="160"/>
        <v>2014AllSexNon-Maori233</v>
      </c>
      <c r="K3666" s="359">
        <v>2014</v>
      </c>
      <c r="L3666" t="s">
        <v>17</v>
      </c>
      <c r="M3666" t="s">
        <v>19</v>
      </c>
      <c r="N3666">
        <v>23</v>
      </c>
      <c r="O3666">
        <v>3</v>
      </c>
      <c r="P3666">
        <v>22</v>
      </c>
      <c r="Q3666">
        <v>10.302966432585301</v>
      </c>
      <c r="R3666">
        <v>4.3</v>
      </c>
      <c r="T3666" s="358" t="str">
        <f t="shared" si="161"/>
        <v>2013MaleNon-Maori23Firearms and explosives</v>
      </c>
      <c r="U3666" s="360">
        <v>2013</v>
      </c>
      <c r="V3666" s="360" t="s">
        <v>20</v>
      </c>
      <c r="W3666" s="360" t="s">
        <v>19</v>
      </c>
      <c r="X3666" s="360">
        <v>23</v>
      </c>
      <c r="Y3666" s="360" t="s">
        <v>42</v>
      </c>
      <c r="Z3666" s="360">
        <v>6</v>
      </c>
      <c r="AA3666" s="360">
        <v>83</v>
      </c>
      <c r="AB3666" s="360">
        <v>7.2</v>
      </c>
    </row>
    <row r="3667" spans="10:28" x14ac:dyDescent="0.2">
      <c r="J3667" s="358" t="str">
        <f t="shared" si="160"/>
        <v>2014AllSexNon-Maori234</v>
      </c>
      <c r="K3667" s="359">
        <v>2014</v>
      </c>
      <c r="L3667" t="s">
        <v>17</v>
      </c>
      <c r="M3667" t="s">
        <v>19</v>
      </c>
      <c r="N3667">
        <v>23</v>
      </c>
      <c r="O3667">
        <v>4</v>
      </c>
      <c r="P3667">
        <v>33</v>
      </c>
      <c r="Q3667">
        <v>16.654157339907702</v>
      </c>
      <c r="R3667">
        <v>5.7</v>
      </c>
      <c r="T3667" s="358" t="str">
        <f t="shared" si="161"/>
        <v>2013MaleNon-Maori24Firearms and explosives</v>
      </c>
      <c r="U3667" s="360">
        <v>2013</v>
      </c>
      <c r="V3667" s="360" t="s">
        <v>20</v>
      </c>
      <c r="W3667" s="360" t="s">
        <v>19</v>
      </c>
      <c r="X3667" s="360">
        <v>24</v>
      </c>
      <c r="Y3667" s="360" t="s">
        <v>42</v>
      </c>
      <c r="Z3667" s="360">
        <v>20</v>
      </c>
      <c r="AA3667" s="360">
        <v>125</v>
      </c>
      <c r="AB3667" s="360">
        <v>16</v>
      </c>
    </row>
    <row r="3668" spans="10:28" x14ac:dyDescent="0.2">
      <c r="J3668" s="358" t="str">
        <f t="shared" si="160"/>
        <v>2014AllSexNon-Maori235</v>
      </c>
      <c r="K3668" s="359">
        <v>2014</v>
      </c>
      <c r="L3668" t="s">
        <v>17</v>
      </c>
      <c r="M3668" t="s">
        <v>19</v>
      </c>
      <c r="N3668">
        <v>23</v>
      </c>
      <c r="O3668">
        <v>5</v>
      </c>
      <c r="P3668">
        <v>41</v>
      </c>
      <c r="Q3668">
        <v>25.645703599143101</v>
      </c>
      <c r="R3668">
        <v>7.9</v>
      </c>
      <c r="T3668" s="358" t="str">
        <f t="shared" si="161"/>
        <v>2013MaleNon-Maori25Firearms and explosives</v>
      </c>
      <c r="U3668" s="360">
        <v>2013</v>
      </c>
      <c r="V3668" s="360" t="s">
        <v>20</v>
      </c>
      <c r="W3668" s="360" t="s">
        <v>19</v>
      </c>
      <c r="X3668" s="360">
        <v>25</v>
      </c>
      <c r="Y3668" s="360" t="s">
        <v>42</v>
      </c>
      <c r="Z3668" s="360">
        <v>15</v>
      </c>
      <c r="AA3668" s="360">
        <v>48</v>
      </c>
      <c r="AB3668" s="360">
        <v>31.2</v>
      </c>
    </row>
    <row r="3669" spans="10:28" x14ac:dyDescent="0.2">
      <c r="J3669" s="358" t="str">
        <f t="shared" si="160"/>
        <v>2014AllSexNon-Maori241</v>
      </c>
      <c r="K3669" s="359">
        <v>2014</v>
      </c>
      <c r="L3669" t="s">
        <v>17</v>
      </c>
      <c r="M3669" t="s">
        <v>19</v>
      </c>
      <c r="N3669">
        <v>24</v>
      </c>
      <c r="O3669">
        <v>1</v>
      </c>
      <c r="P3669">
        <v>21</v>
      </c>
      <c r="Q3669">
        <v>7.9094952242981202</v>
      </c>
      <c r="R3669">
        <v>3.4</v>
      </c>
      <c r="T3669" s="358" t="str">
        <f t="shared" si="161"/>
        <v>2013MaleNon-Maori22Hanging, strangulation and suffocation</v>
      </c>
      <c r="U3669" s="360">
        <v>2013</v>
      </c>
      <c r="V3669" s="360" t="s">
        <v>20</v>
      </c>
      <c r="W3669" s="360" t="s">
        <v>19</v>
      </c>
      <c r="X3669" s="360">
        <v>22</v>
      </c>
      <c r="Y3669" s="360" t="s">
        <v>43</v>
      </c>
      <c r="Z3669" s="360">
        <v>36</v>
      </c>
      <c r="AA3669" s="360">
        <v>44</v>
      </c>
      <c r="AB3669" s="360">
        <v>81.8</v>
      </c>
    </row>
    <row r="3670" spans="10:28" x14ac:dyDescent="0.2">
      <c r="J3670" s="358" t="str">
        <f t="shared" si="160"/>
        <v>2014AllSexNon-Maori242</v>
      </c>
      <c r="K3670" s="359">
        <v>2014</v>
      </c>
      <c r="L3670" t="s">
        <v>17</v>
      </c>
      <c r="M3670" t="s">
        <v>19</v>
      </c>
      <c r="N3670">
        <v>24</v>
      </c>
      <c r="O3670">
        <v>2</v>
      </c>
      <c r="P3670">
        <v>28</v>
      </c>
      <c r="Q3670">
        <v>12.0141676554684</v>
      </c>
      <c r="R3670">
        <v>4.5</v>
      </c>
      <c r="T3670" s="358" t="str">
        <f t="shared" si="161"/>
        <v>2013MaleNon-Maori23Hanging, strangulation and suffocation</v>
      </c>
      <c r="U3670" s="360">
        <v>2013</v>
      </c>
      <c r="V3670" s="360" t="s">
        <v>20</v>
      </c>
      <c r="W3670" s="360" t="s">
        <v>19</v>
      </c>
      <c r="X3670" s="360">
        <v>23</v>
      </c>
      <c r="Y3670" s="360" t="s">
        <v>43</v>
      </c>
      <c r="Z3670" s="360">
        <v>56</v>
      </c>
      <c r="AA3670" s="360">
        <v>83</v>
      </c>
      <c r="AB3670" s="360">
        <v>67.5</v>
      </c>
    </row>
    <row r="3671" spans="10:28" x14ac:dyDescent="0.2">
      <c r="J3671" s="358" t="str">
        <f t="shared" si="160"/>
        <v>2014AllSexNon-Maori243</v>
      </c>
      <c r="K3671" s="359">
        <v>2014</v>
      </c>
      <c r="L3671" t="s">
        <v>17</v>
      </c>
      <c r="M3671" t="s">
        <v>19</v>
      </c>
      <c r="N3671">
        <v>24</v>
      </c>
      <c r="O3671">
        <v>3</v>
      </c>
      <c r="P3671">
        <v>26</v>
      </c>
      <c r="Q3671">
        <v>12.704568686261201</v>
      </c>
      <c r="R3671">
        <v>4.9000000000000004</v>
      </c>
      <c r="T3671" s="358" t="str">
        <f t="shared" si="161"/>
        <v>2013MaleNon-Maori24Hanging, strangulation and suffocation</v>
      </c>
      <c r="U3671" s="360">
        <v>2013</v>
      </c>
      <c r="V3671" s="360" t="s">
        <v>20</v>
      </c>
      <c r="W3671" s="360" t="s">
        <v>19</v>
      </c>
      <c r="X3671" s="360">
        <v>24</v>
      </c>
      <c r="Y3671" s="360" t="s">
        <v>43</v>
      </c>
      <c r="Z3671" s="360">
        <v>48</v>
      </c>
      <c r="AA3671" s="360">
        <v>125</v>
      </c>
      <c r="AB3671" s="360">
        <v>38.4</v>
      </c>
    </row>
    <row r="3672" spans="10:28" x14ac:dyDescent="0.2">
      <c r="J3672" s="358" t="str">
        <f t="shared" si="160"/>
        <v>2014AllSexNon-Maori244</v>
      </c>
      <c r="K3672" s="359">
        <v>2014</v>
      </c>
      <c r="L3672" t="s">
        <v>17</v>
      </c>
      <c r="M3672" t="s">
        <v>19</v>
      </c>
      <c r="N3672">
        <v>24</v>
      </c>
      <c r="O3672">
        <v>4</v>
      </c>
      <c r="P3672">
        <v>38</v>
      </c>
      <c r="Q3672">
        <v>21.568827227074198</v>
      </c>
      <c r="R3672">
        <v>6.9</v>
      </c>
      <c r="T3672" s="358" t="str">
        <f t="shared" si="161"/>
        <v>2013MaleNon-Maori25Hanging, strangulation and suffocation</v>
      </c>
      <c r="U3672" s="360">
        <v>2013</v>
      </c>
      <c r="V3672" s="360" t="s">
        <v>20</v>
      </c>
      <c r="W3672" s="360" t="s">
        <v>19</v>
      </c>
      <c r="X3672" s="360">
        <v>25</v>
      </c>
      <c r="Y3672" s="360" t="s">
        <v>43</v>
      </c>
      <c r="Z3672" s="360">
        <v>19</v>
      </c>
      <c r="AA3672" s="360">
        <v>48</v>
      </c>
      <c r="AB3672" s="360">
        <v>39.6</v>
      </c>
    </row>
    <row r="3673" spans="10:28" x14ac:dyDescent="0.2">
      <c r="J3673" s="358" t="str">
        <f t="shared" si="160"/>
        <v>2014AllSexNon-Maori245</v>
      </c>
      <c r="K3673" s="359">
        <v>2014</v>
      </c>
      <c r="L3673" t="s">
        <v>17</v>
      </c>
      <c r="M3673" t="s">
        <v>19</v>
      </c>
      <c r="N3673">
        <v>24</v>
      </c>
      <c r="O3673">
        <v>5</v>
      </c>
      <c r="P3673">
        <v>32</v>
      </c>
      <c r="Q3673">
        <v>23.076024702869798</v>
      </c>
      <c r="R3673">
        <v>8</v>
      </c>
      <c r="T3673" s="358" t="str">
        <f t="shared" si="161"/>
        <v>2013MaleNon-Maori23Jumping from a high place</v>
      </c>
      <c r="U3673" s="360">
        <v>2013</v>
      </c>
      <c r="V3673" s="360" t="s">
        <v>20</v>
      </c>
      <c r="W3673" s="360" t="s">
        <v>19</v>
      </c>
      <c r="X3673" s="360">
        <v>23</v>
      </c>
      <c r="Y3673" s="360" t="s">
        <v>44</v>
      </c>
      <c r="Z3673" s="360">
        <v>2</v>
      </c>
      <c r="AA3673" s="360">
        <v>83</v>
      </c>
      <c r="AB3673" s="360">
        <v>2.4</v>
      </c>
    </row>
    <row r="3674" spans="10:28" x14ac:dyDescent="0.2">
      <c r="J3674" s="358" t="str">
        <f t="shared" si="160"/>
        <v>2014AllSexNon-Maori251</v>
      </c>
      <c r="K3674" s="359">
        <v>2014</v>
      </c>
      <c r="L3674" t="s">
        <v>17</v>
      </c>
      <c r="M3674" t="s">
        <v>19</v>
      </c>
      <c r="N3674">
        <v>25</v>
      </c>
      <c r="O3674">
        <v>1</v>
      </c>
      <c r="P3674">
        <v>10</v>
      </c>
      <c r="Q3674">
        <v>7.64042957630347</v>
      </c>
      <c r="R3674">
        <v>4.7</v>
      </c>
      <c r="T3674" s="358" t="str">
        <f t="shared" si="161"/>
        <v>2013MaleNon-Maori24Jumping from a high place</v>
      </c>
      <c r="U3674" s="360">
        <v>2013</v>
      </c>
      <c r="V3674" s="360" t="s">
        <v>20</v>
      </c>
      <c r="W3674" s="360" t="s">
        <v>19</v>
      </c>
      <c r="X3674" s="360">
        <v>24</v>
      </c>
      <c r="Y3674" s="360" t="s">
        <v>44</v>
      </c>
      <c r="Z3674" s="360">
        <v>5</v>
      </c>
      <c r="AA3674" s="360">
        <v>125</v>
      </c>
      <c r="AB3674" s="360">
        <v>4</v>
      </c>
    </row>
    <row r="3675" spans="10:28" x14ac:dyDescent="0.2">
      <c r="J3675" s="358" t="str">
        <f t="shared" si="160"/>
        <v>2014AllSexNon-Maori252</v>
      </c>
      <c r="K3675" s="359">
        <v>2014</v>
      </c>
      <c r="L3675" t="s">
        <v>17</v>
      </c>
      <c r="M3675" t="s">
        <v>19</v>
      </c>
      <c r="N3675">
        <v>25</v>
      </c>
      <c r="O3675">
        <v>2</v>
      </c>
      <c r="P3675">
        <v>7</v>
      </c>
      <c r="Q3675">
        <v>5.3507768924000798</v>
      </c>
      <c r="R3675">
        <v>4</v>
      </c>
      <c r="T3675" s="358" t="str">
        <f t="shared" si="161"/>
        <v>2013MaleNon-Maori24Other</v>
      </c>
      <c r="U3675" s="360">
        <v>2013</v>
      </c>
      <c r="V3675" s="360" t="s">
        <v>20</v>
      </c>
      <c r="W3675" s="360" t="s">
        <v>19</v>
      </c>
      <c r="X3675" s="360">
        <v>24</v>
      </c>
      <c r="Y3675" s="360" t="s">
        <v>45</v>
      </c>
      <c r="Z3675" s="360">
        <v>9</v>
      </c>
      <c r="AA3675" s="360">
        <v>125</v>
      </c>
      <c r="AB3675" s="360">
        <v>7.2</v>
      </c>
    </row>
    <row r="3676" spans="10:28" x14ac:dyDescent="0.2">
      <c r="J3676" s="358" t="str">
        <f t="shared" si="160"/>
        <v>2014AllSexNon-Maori253</v>
      </c>
      <c r="K3676" s="359">
        <v>2014</v>
      </c>
      <c r="L3676" t="s">
        <v>17</v>
      </c>
      <c r="M3676" t="s">
        <v>19</v>
      </c>
      <c r="N3676">
        <v>25</v>
      </c>
      <c r="O3676">
        <v>3</v>
      </c>
      <c r="P3676">
        <v>12</v>
      </c>
      <c r="Q3676">
        <v>9.4331602656274693</v>
      </c>
      <c r="R3676">
        <v>5.3</v>
      </c>
      <c r="T3676" s="358" t="str">
        <f t="shared" si="161"/>
        <v>2013MaleNon-Maori25Other</v>
      </c>
      <c r="U3676" s="360">
        <v>2013</v>
      </c>
      <c r="V3676" s="360" t="s">
        <v>20</v>
      </c>
      <c r="W3676" s="360" t="s">
        <v>19</v>
      </c>
      <c r="X3676" s="360">
        <v>25</v>
      </c>
      <c r="Y3676" s="360" t="s">
        <v>45</v>
      </c>
      <c r="Z3676" s="360">
        <v>1</v>
      </c>
      <c r="AA3676" s="360">
        <v>48</v>
      </c>
      <c r="AB3676" s="360">
        <v>2.1</v>
      </c>
    </row>
    <row r="3677" spans="10:28" x14ac:dyDescent="0.2">
      <c r="J3677" s="358" t="str">
        <f t="shared" si="160"/>
        <v>2014AllSexNon-Maori254</v>
      </c>
      <c r="K3677" s="359">
        <v>2014</v>
      </c>
      <c r="L3677" t="s">
        <v>17</v>
      </c>
      <c r="M3677" t="s">
        <v>19</v>
      </c>
      <c r="N3677">
        <v>25</v>
      </c>
      <c r="O3677">
        <v>4</v>
      </c>
      <c r="P3677">
        <v>17</v>
      </c>
      <c r="Q3677">
        <v>13.5605079892745</v>
      </c>
      <c r="R3677">
        <v>6.4</v>
      </c>
      <c r="T3677" s="358" t="str">
        <f t="shared" si="161"/>
        <v>2013MaleNon-Maori22Poisoning by gases and vapours</v>
      </c>
      <c r="U3677" s="360">
        <v>2013</v>
      </c>
      <c r="V3677" s="360" t="s">
        <v>20</v>
      </c>
      <c r="W3677" s="360" t="s">
        <v>19</v>
      </c>
      <c r="X3677" s="360">
        <v>22</v>
      </c>
      <c r="Y3677" s="360" t="s">
        <v>46</v>
      </c>
      <c r="Z3677" s="360">
        <v>3</v>
      </c>
      <c r="AA3677" s="360">
        <v>44</v>
      </c>
      <c r="AB3677" s="360">
        <v>6.8</v>
      </c>
    </row>
    <row r="3678" spans="10:28" x14ac:dyDescent="0.2">
      <c r="J3678" s="358" t="str">
        <f t="shared" si="160"/>
        <v>2014AllSexNon-Maori255</v>
      </c>
      <c r="K3678" s="359">
        <v>2014</v>
      </c>
      <c r="L3678" t="s">
        <v>17</v>
      </c>
      <c r="M3678" t="s">
        <v>19</v>
      </c>
      <c r="N3678">
        <v>25</v>
      </c>
      <c r="O3678">
        <v>5</v>
      </c>
      <c r="P3678">
        <v>13</v>
      </c>
      <c r="Q3678">
        <v>13.986233672037701</v>
      </c>
      <c r="R3678">
        <v>7.6</v>
      </c>
      <c r="T3678" s="358" t="str">
        <f t="shared" si="161"/>
        <v>2013MaleNon-Maori23Poisoning by gases and vapours</v>
      </c>
      <c r="U3678" s="360">
        <v>2013</v>
      </c>
      <c r="V3678" s="360" t="s">
        <v>20</v>
      </c>
      <c r="W3678" s="360" t="s">
        <v>19</v>
      </c>
      <c r="X3678" s="360">
        <v>23</v>
      </c>
      <c r="Y3678" s="360" t="s">
        <v>46</v>
      </c>
      <c r="Z3678" s="360">
        <v>9</v>
      </c>
      <c r="AA3678" s="360">
        <v>83</v>
      </c>
      <c r="AB3678" s="360">
        <v>10.8</v>
      </c>
    </row>
    <row r="3679" spans="10:28" x14ac:dyDescent="0.2">
      <c r="J3679" s="358" t="str">
        <f t="shared" si="160"/>
        <v>2014FemaleAllEth211</v>
      </c>
      <c r="K3679" s="359">
        <v>2014</v>
      </c>
      <c r="L3679" t="s">
        <v>8</v>
      </c>
      <c r="M3679" t="s">
        <v>27</v>
      </c>
      <c r="N3679">
        <v>21</v>
      </c>
      <c r="O3679">
        <v>1</v>
      </c>
      <c r="P3679">
        <v>1</v>
      </c>
      <c r="T3679" s="358" t="str">
        <f t="shared" si="161"/>
        <v>2013MaleNon-Maori24Poisoning by gases and vapours</v>
      </c>
      <c r="U3679" s="360">
        <v>2013</v>
      </c>
      <c r="V3679" s="360" t="s">
        <v>20</v>
      </c>
      <c r="W3679" s="360" t="s">
        <v>19</v>
      </c>
      <c r="X3679" s="360">
        <v>24</v>
      </c>
      <c r="Y3679" s="360" t="s">
        <v>46</v>
      </c>
      <c r="Z3679" s="360">
        <v>20</v>
      </c>
      <c r="AA3679" s="360">
        <v>125</v>
      </c>
      <c r="AB3679" s="360">
        <v>16</v>
      </c>
    </row>
    <row r="3680" spans="10:28" x14ac:dyDescent="0.2">
      <c r="J3680" s="358" t="str">
        <f t="shared" si="160"/>
        <v>2014FemaleAllEth212</v>
      </c>
      <c r="K3680" s="359">
        <v>2014</v>
      </c>
      <c r="L3680" t="s">
        <v>8</v>
      </c>
      <c r="M3680" t="s">
        <v>27</v>
      </c>
      <c r="N3680">
        <v>21</v>
      </c>
      <c r="O3680">
        <v>2</v>
      </c>
      <c r="P3680">
        <v>0</v>
      </c>
      <c r="T3680" s="358" t="str">
        <f t="shared" si="161"/>
        <v>2013MaleNon-Maori25Poisoning by gases and vapours</v>
      </c>
      <c r="U3680" s="360">
        <v>2013</v>
      </c>
      <c r="V3680" s="360" t="s">
        <v>20</v>
      </c>
      <c r="W3680" s="360" t="s">
        <v>19</v>
      </c>
      <c r="X3680" s="360">
        <v>25</v>
      </c>
      <c r="Y3680" s="360" t="s">
        <v>46</v>
      </c>
      <c r="Z3680" s="360">
        <v>3</v>
      </c>
      <c r="AA3680" s="360">
        <v>48</v>
      </c>
      <c r="AB3680" s="360">
        <v>6.2</v>
      </c>
    </row>
    <row r="3681" spans="10:28" x14ac:dyDescent="0.2">
      <c r="J3681" s="358" t="str">
        <f t="shared" si="160"/>
        <v>2014FemaleAllEth213</v>
      </c>
      <c r="K3681" s="359">
        <v>2014</v>
      </c>
      <c r="L3681" t="s">
        <v>8</v>
      </c>
      <c r="M3681" t="s">
        <v>27</v>
      </c>
      <c r="N3681">
        <v>21</v>
      </c>
      <c r="O3681">
        <v>3</v>
      </c>
      <c r="P3681">
        <v>1</v>
      </c>
      <c r="T3681" s="358" t="str">
        <f t="shared" si="161"/>
        <v>2013MaleNon-Maori22Poisoning by solids and liquids</v>
      </c>
      <c r="U3681" s="360">
        <v>2013</v>
      </c>
      <c r="V3681" s="360" t="s">
        <v>20</v>
      </c>
      <c r="W3681" s="360" t="s">
        <v>19</v>
      </c>
      <c r="X3681" s="360">
        <v>22</v>
      </c>
      <c r="Y3681" s="360" t="s">
        <v>47</v>
      </c>
      <c r="Z3681" s="360">
        <v>1</v>
      </c>
      <c r="AA3681" s="360">
        <v>44</v>
      </c>
      <c r="AB3681" s="360">
        <v>2.2999999999999998</v>
      </c>
    </row>
    <row r="3682" spans="10:28" x14ac:dyDescent="0.2">
      <c r="J3682" s="358" t="str">
        <f t="shared" si="160"/>
        <v>2014FemaleAllEth214</v>
      </c>
      <c r="K3682" s="359">
        <v>2014</v>
      </c>
      <c r="L3682" t="s">
        <v>8</v>
      </c>
      <c r="M3682" t="s">
        <v>27</v>
      </c>
      <c r="N3682">
        <v>21</v>
      </c>
      <c r="O3682">
        <v>4</v>
      </c>
      <c r="P3682">
        <v>0</v>
      </c>
      <c r="T3682" s="358" t="str">
        <f t="shared" si="161"/>
        <v>2013MaleNon-Maori23Poisoning by solids and liquids</v>
      </c>
      <c r="U3682" s="360">
        <v>2013</v>
      </c>
      <c r="V3682" s="360" t="s">
        <v>20</v>
      </c>
      <c r="W3682" s="360" t="s">
        <v>19</v>
      </c>
      <c r="X3682" s="360">
        <v>23</v>
      </c>
      <c r="Y3682" s="360" t="s">
        <v>47</v>
      </c>
      <c r="Z3682" s="360">
        <v>7</v>
      </c>
      <c r="AA3682" s="360">
        <v>83</v>
      </c>
      <c r="AB3682" s="360">
        <v>8.4</v>
      </c>
    </row>
    <row r="3683" spans="10:28" x14ac:dyDescent="0.2">
      <c r="J3683" s="358" t="str">
        <f t="shared" si="160"/>
        <v>2014FemaleAllEth215</v>
      </c>
      <c r="K3683" s="359">
        <v>2014</v>
      </c>
      <c r="L3683" t="s">
        <v>8</v>
      </c>
      <c r="M3683" t="s">
        <v>27</v>
      </c>
      <c r="N3683">
        <v>21</v>
      </c>
      <c r="O3683">
        <v>5</v>
      </c>
      <c r="P3683">
        <v>0</v>
      </c>
      <c r="T3683" s="358" t="str">
        <f t="shared" si="161"/>
        <v>2013MaleNon-Maori24Poisoning by solids and liquids</v>
      </c>
      <c r="U3683" s="360">
        <v>2013</v>
      </c>
      <c r="V3683" s="360" t="s">
        <v>20</v>
      </c>
      <c r="W3683" s="360" t="s">
        <v>19</v>
      </c>
      <c r="X3683" s="360">
        <v>24</v>
      </c>
      <c r="Y3683" s="360" t="s">
        <v>47</v>
      </c>
      <c r="Z3683" s="360">
        <v>16</v>
      </c>
      <c r="AA3683" s="360">
        <v>125</v>
      </c>
      <c r="AB3683" s="360">
        <v>12.8</v>
      </c>
    </row>
    <row r="3684" spans="10:28" x14ac:dyDescent="0.2">
      <c r="J3684" s="358" t="str">
        <f t="shared" si="160"/>
        <v>2014FemaleAllEth221</v>
      </c>
      <c r="K3684" s="359">
        <v>2014</v>
      </c>
      <c r="L3684" t="s">
        <v>8</v>
      </c>
      <c r="M3684" t="s">
        <v>27</v>
      </c>
      <c r="N3684">
        <v>22</v>
      </c>
      <c r="O3684">
        <v>1</v>
      </c>
      <c r="P3684">
        <v>2</v>
      </c>
      <c r="Q3684">
        <v>3.7147613509744</v>
      </c>
      <c r="R3684">
        <v>5.0999999999999996</v>
      </c>
      <c r="T3684" s="358" t="str">
        <f t="shared" si="161"/>
        <v>2013MaleNon-Maori25Poisoning by solids and liquids</v>
      </c>
      <c r="U3684" s="360">
        <v>2013</v>
      </c>
      <c r="V3684" s="360" t="s">
        <v>20</v>
      </c>
      <c r="W3684" s="360" t="s">
        <v>19</v>
      </c>
      <c r="X3684" s="360">
        <v>25</v>
      </c>
      <c r="Y3684" s="360" t="s">
        <v>47</v>
      </c>
      <c r="Z3684" s="360">
        <v>6</v>
      </c>
      <c r="AA3684" s="360">
        <v>48</v>
      </c>
      <c r="AB3684" s="360">
        <v>12.5</v>
      </c>
    </row>
    <row r="3685" spans="10:28" x14ac:dyDescent="0.2">
      <c r="J3685" s="358" t="str">
        <f t="shared" si="160"/>
        <v>2014FemaleAllEth222</v>
      </c>
      <c r="K3685" s="359">
        <v>2014</v>
      </c>
      <c r="L3685" t="s">
        <v>8</v>
      </c>
      <c r="M3685" t="s">
        <v>27</v>
      </c>
      <c r="N3685">
        <v>22</v>
      </c>
      <c r="O3685">
        <v>2</v>
      </c>
      <c r="P3685">
        <v>3</v>
      </c>
      <c r="Q3685">
        <v>5.4925382952640298</v>
      </c>
      <c r="R3685">
        <v>6.2</v>
      </c>
      <c r="T3685" s="358" t="str">
        <f t="shared" si="161"/>
        <v>2013MaleNon-Maori23Sharp object</v>
      </c>
      <c r="U3685" s="360">
        <v>2013</v>
      </c>
      <c r="V3685" s="360" t="s">
        <v>20</v>
      </c>
      <c r="W3685" s="360" t="s">
        <v>19</v>
      </c>
      <c r="X3685" s="360">
        <v>23</v>
      </c>
      <c r="Y3685" s="360" t="s">
        <v>48</v>
      </c>
      <c r="Z3685" s="360">
        <v>2</v>
      </c>
      <c r="AA3685" s="360">
        <v>83</v>
      </c>
      <c r="AB3685" s="360">
        <v>2.4</v>
      </c>
    </row>
    <row r="3686" spans="10:28" x14ac:dyDescent="0.2">
      <c r="J3686" s="358" t="str">
        <f t="shared" si="160"/>
        <v>2014FemaleAllEth223</v>
      </c>
      <c r="K3686" s="359">
        <v>2014</v>
      </c>
      <c r="L3686" t="s">
        <v>8</v>
      </c>
      <c r="M3686" t="s">
        <v>27</v>
      </c>
      <c r="N3686">
        <v>22</v>
      </c>
      <c r="O3686">
        <v>3</v>
      </c>
      <c r="P3686">
        <v>6</v>
      </c>
      <c r="Q3686">
        <v>10.2891779298957</v>
      </c>
      <c r="R3686">
        <v>8.1999999999999993</v>
      </c>
      <c r="T3686" s="358" t="str">
        <f t="shared" si="161"/>
        <v>2013MaleNon-Maori24Sharp object</v>
      </c>
      <c r="U3686" s="360">
        <v>2013</v>
      </c>
      <c r="V3686" s="360" t="s">
        <v>20</v>
      </c>
      <c r="W3686" s="360" t="s">
        <v>19</v>
      </c>
      <c r="X3686" s="360">
        <v>24</v>
      </c>
      <c r="Y3686" s="360" t="s">
        <v>48</v>
      </c>
      <c r="Z3686" s="360">
        <v>4</v>
      </c>
      <c r="AA3686" s="360">
        <v>125</v>
      </c>
      <c r="AB3686" s="360">
        <v>3.2</v>
      </c>
    </row>
    <row r="3687" spans="10:28" x14ac:dyDescent="0.2">
      <c r="J3687" s="358" t="str">
        <f t="shared" si="160"/>
        <v>2014FemaleAllEth224</v>
      </c>
      <c r="K3687" s="359">
        <v>2014</v>
      </c>
      <c r="L3687" t="s">
        <v>8</v>
      </c>
      <c r="M3687" t="s">
        <v>27</v>
      </c>
      <c r="N3687">
        <v>22</v>
      </c>
      <c r="O3687">
        <v>4</v>
      </c>
      <c r="P3687">
        <v>3</v>
      </c>
      <c r="Q3687">
        <v>4.4734200641863202</v>
      </c>
      <c r="R3687">
        <v>5.0999999999999996</v>
      </c>
      <c r="T3687" s="358" t="str">
        <f t="shared" si="161"/>
        <v>2013MaleNon-Maori25Sharp object</v>
      </c>
      <c r="U3687" s="360">
        <v>2013</v>
      </c>
      <c r="V3687" s="360" t="s">
        <v>20</v>
      </c>
      <c r="W3687" s="360" t="s">
        <v>19</v>
      </c>
      <c r="X3687" s="360">
        <v>25</v>
      </c>
      <c r="Y3687" s="360" t="s">
        <v>48</v>
      </c>
      <c r="Z3687" s="360">
        <v>1</v>
      </c>
      <c r="AA3687" s="360">
        <v>48</v>
      </c>
      <c r="AB3687" s="360">
        <v>2.1</v>
      </c>
    </row>
    <row r="3688" spans="10:28" x14ac:dyDescent="0.2">
      <c r="J3688" s="358" t="str">
        <f t="shared" si="160"/>
        <v>2014FemaleAllEth225</v>
      </c>
      <c r="K3688" s="359">
        <v>2014</v>
      </c>
      <c r="L3688" t="s">
        <v>8</v>
      </c>
      <c r="M3688" t="s">
        <v>27</v>
      </c>
      <c r="N3688">
        <v>22</v>
      </c>
      <c r="O3688">
        <v>5</v>
      </c>
      <c r="P3688">
        <v>8</v>
      </c>
      <c r="Q3688">
        <v>10.3060284693447</v>
      </c>
      <c r="R3688">
        <v>7.1</v>
      </c>
      <c r="T3688" s="358" t="str">
        <f t="shared" si="161"/>
        <v>2013MaleNon-Maori23Submersion (drowning)</v>
      </c>
      <c r="U3688" s="360">
        <v>2013</v>
      </c>
      <c r="V3688" s="360" t="s">
        <v>20</v>
      </c>
      <c r="W3688" s="360" t="s">
        <v>19</v>
      </c>
      <c r="X3688" s="360">
        <v>23</v>
      </c>
      <c r="Y3688" s="360" t="s">
        <v>49</v>
      </c>
      <c r="Z3688" s="360">
        <v>1</v>
      </c>
      <c r="AA3688" s="360">
        <v>83</v>
      </c>
      <c r="AB3688" s="360">
        <v>1.2</v>
      </c>
    </row>
    <row r="3689" spans="10:28" x14ac:dyDescent="0.2">
      <c r="J3689" s="358" t="str">
        <f t="shared" si="160"/>
        <v>2014FemaleAllEth231</v>
      </c>
      <c r="K3689" s="359">
        <v>2014</v>
      </c>
      <c r="L3689" t="s">
        <v>8</v>
      </c>
      <c r="M3689" t="s">
        <v>27</v>
      </c>
      <c r="N3689">
        <v>23</v>
      </c>
      <c r="O3689">
        <v>1</v>
      </c>
      <c r="P3689">
        <v>4</v>
      </c>
      <c r="Q3689">
        <v>3.4816604913677902</v>
      </c>
      <c r="R3689">
        <v>3.4</v>
      </c>
      <c r="T3689" s="358" t="str">
        <f t="shared" si="161"/>
        <v>2013MaleNon-Maori24Submersion (drowning)</v>
      </c>
      <c r="U3689" s="360">
        <v>2013</v>
      </c>
      <c r="V3689" s="360" t="s">
        <v>20</v>
      </c>
      <c r="W3689" s="360" t="s">
        <v>19</v>
      </c>
      <c r="X3689" s="360">
        <v>24</v>
      </c>
      <c r="Y3689" s="360" t="s">
        <v>49</v>
      </c>
      <c r="Z3689" s="360">
        <v>3</v>
      </c>
      <c r="AA3689" s="360">
        <v>125</v>
      </c>
      <c r="AB3689" s="360">
        <v>2.4</v>
      </c>
    </row>
    <row r="3690" spans="10:28" x14ac:dyDescent="0.2">
      <c r="J3690" s="358" t="str">
        <f t="shared" si="160"/>
        <v>2014FemaleAllEth232</v>
      </c>
      <c r="K3690" s="359">
        <v>2014</v>
      </c>
      <c r="L3690" t="s">
        <v>8</v>
      </c>
      <c r="M3690" t="s">
        <v>27</v>
      </c>
      <c r="N3690">
        <v>23</v>
      </c>
      <c r="O3690">
        <v>2</v>
      </c>
      <c r="P3690">
        <v>7</v>
      </c>
      <c r="Q3690">
        <v>5.7008381652631099</v>
      </c>
      <c r="R3690">
        <v>4.2</v>
      </c>
      <c r="T3690" s="358" t="str">
        <f t="shared" si="161"/>
        <v>2013MaleNon-Maori25Submersion (drowning)</v>
      </c>
      <c r="U3690" s="360">
        <v>2013</v>
      </c>
      <c r="V3690" s="360" t="s">
        <v>20</v>
      </c>
      <c r="W3690" s="360" t="s">
        <v>19</v>
      </c>
      <c r="X3690" s="360">
        <v>25</v>
      </c>
      <c r="Y3690" s="360" t="s">
        <v>49</v>
      </c>
      <c r="Z3690" s="360">
        <v>3</v>
      </c>
      <c r="AA3690" s="360">
        <v>48</v>
      </c>
      <c r="AB3690" s="360">
        <v>6.2</v>
      </c>
    </row>
    <row r="3691" spans="10:28" x14ac:dyDescent="0.2">
      <c r="J3691" s="358" t="str">
        <f t="shared" si="160"/>
        <v>2014FemaleAllEth233</v>
      </c>
      <c r="K3691" s="359">
        <v>2014</v>
      </c>
      <c r="L3691" t="s">
        <v>8</v>
      </c>
      <c r="M3691" t="s">
        <v>27</v>
      </c>
      <c r="N3691">
        <v>23</v>
      </c>
      <c r="O3691">
        <v>3</v>
      </c>
      <c r="P3691">
        <v>6</v>
      </c>
      <c r="Q3691">
        <v>4.8455240141953899</v>
      </c>
      <c r="R3691">
        <v>3.9</v>
      </c>
      <c r="T3691" s="358" t="str">
        <f t="shared" si="161"/>
        <v>2014AllSexAllEth21Firearms and explosives</v>
      </c>
      <c r="U3691" s="360">
        <v>2014</v>
      </c>
      <c r="V3691" s="360" t="s">
        <v>17</v>
      </c>
      <c r="W3691" s="360" t="s">
        <v>27</v>
      </c>
      <c r="X3691" s="360">
        <v>21</v>
      </c>
      <c r="Y3691" s="360" t="s">
        <v>42</v>
      </c>
      <c r="Z3691" s="360">
        <v>1</v>
      </c>
      <c r="AA3691" s="360">
        <v>5</v>
      </c>
      <c r="AB3691" s="360">
        <v>20</v>
      </c>
    </row>
    <row r="3692" spans="10:28" x14ac:dyDescent="0.2">
      <c r="J3692" s="358" t="str">
        <f t="shared" si="160"/>
        <v>2014FemaleAllEth234</v>
      </c>
      <c r="K3692" s="359">
        <v>2014</v>
      </c>
      <c r="L3692" t="s">
        <v>8</v>
      </c>
      <c r="M3692" t="s">
        <v>27</v>
      </c>
      <c r="N3692">
        <v>23</v>
      </c>
      <c r="O3692">
        <v>4</v>
      </c>
      <c r="P3692">
        <v>14</v>
      </c>
      <c r="Q3692">
        <v>11.5617459993138</v>
      </c>
      <c r="R3692">
        <v>6.1</v>
      </c>
      <c r="T3692" s="358" t="str">
        <f t="shared" si="161"/>
        <v>2014AllSexAllEth22Firearms and explosives</v>
      </c>
      <c r="U3692" s="360">
        <v>2014</v>
      </c>
      <c r="V3692" s="360" t="s">
        <v>17</v>
      </c>
      <c r="W3692" s="360" t="s">
        <v>27</v>
      </c>
      <c r="X3692" s="360">
        <v>22</v>
      </c>
      <c r="Y3692" s="360" t="s">
        <v>42</v>
      </c>
      <c r="Z3692" s="360">
        <v>2</v>
      </c>
      <c r="AA3692" s="360">
        <v>90</v>
      </c>
      <c r="AB3692" s="360">
        <v>2.2000000000000002</v>
      </c>
    </row>
    <row r="3693" spans="10:28" x14ac:dyDescent="0.2">
      <c r="J3693" s="358" t="str">
        <f t="shared" si="160"/>
        <v>2014FemaleAllEth235</v>
      </c>
      <c r="K3693" s="359">
        <v>2014</v>
      </c>
      <c r="L3693" t="s">
        <v>8</v>
      </c>
      <c r="M3693" t="s">
        <v>27</v>
      </c>
      <c r="N3693">
        <v>23</v>
      </c>
      <c r="O3693">
        <v>5</v>
      </c>
      <c r="P3693">
        <v>16</v>
      </c>
      <c r="Q3693">
        <v>13.6404218945032</v>
      </c>
      <c r="R3693">
        <v>6.7</v>
      </c>
      <c r="T3693" s="358" t="str">
        <f t="shared" si="161"/>
        <v>2014AllSexAllEth23Firearms and explosives</v>
      </c>
      <c r="U3693" s="360">
        <v>2014</v>
      </c>
      <c r="V3693" s="360" t="s">
        <v>17</v>
      </c>
      <c r="W3693" s="360" t="s">
        <v>27</v>
      </c>
      <c r="X3693" s="360">
        <v>23</v>
      </c>
      <c r="Y3693" s="360" t="s">
        <v>42</v>
      </c>
      <c r="Z3693" s="360">
        <v>8</v>
      </c>
      <c r="AA3693" s="360">
        <v>190</v>
      </c>
      <c r="AB3693" s="360">
        <v>4.2</v>
      </c>
    </row>
    <row r="3694" spans="10:28" x14ac:dyDescent="0.2">
      <c r="J3694" s="358" t="str">
        <f t="shared" si="160"/>
        <v>2014FemaleAllEth241</v>
      </c>
      <c r="K3694" s="359">
        <v>2014</v>
      </c>
      <c r="L3694" t="s">
        <v>8</v>
      </c>
      <c r="M3694" t="s">
        <v>27</v>
      </c>
      <c r="N3694">
        <v>24</v>
      </c>
      <c r="O3694">
        <v>1</v>
      </c>
      <c r="P3694">
        <v>5</v>
      </c>
      <c r="Q3694">
        <v>3.4839167931281301</v>
      </c>
      <c r="R3694">
        <v>3.1</v>
      </c>
      <c r="T3694" s="358" t="str">
        <f t="shared" si="161"/>
        <v>2014AllSexAllEth24Firearms and explosives</v>
      </c>
      <c r="U3694" s="360">
        <v>2014</v>
      </c>
      <c r="V3694" s="360" t="s">
        <v>17</v>
      </c>
      <c r="W3694" s="360" t="s">
        <v>27</v>
      </c>
      <c r="X3694" s="360">
        <v>24</v>
      </c>
      <c r="Y3694" s="360" t="s">
        <v>42</v>
      </c>
      <c r="Z3694" s="360">
        <v>19</v>
      </c>
      <c r="AA3694" s="360">
        <v>164</v>
      </c>
      <c r="AB3694" s="360">
        <v>11.6</v>
      </c>
    </row>
    <row r="3695" spans="10:28" x14ac:dyDescent="0.2">
      <c r="J3695" s="358" t="str">
        <f t="shared" si="160"/>
        <v>2014FemaleAllEth242</v>
      </c>
      <c r="K3695" s="359">
        <v>2014</v>
      </c>
      <c r="L3695" t="s">
        <v>8</v>
      </c>
      <c r="M3695" t="s">
        <v>27</v>
      </c>
      <c r="N3695">
        <v>24</v>
      </c>
      <c r="O3695">
        <v>2</v>
      </c>
      <c r="P3695">
        <v>11</v>
      </c>
      <c r="Q3695">
        <v>8.5270495140303506</v>
      </c>
      <c r="R3695">
        <v>5</v>
      </c>
      <c r="T3695" s="358" t="str">
        <f t="shared" si="161"/>
        <v>2014AllSexAllEth25Firearms and explosives</v>
      </c>
      <c r="U3695" s="360">
        <v>2014</v>
      </c>
      <c r="V3695" s="360" t="s">
        <v>17</v>
      </c>
      <c r="W3695" s="360" t="s">
        <v>27</v>
      </c>
      <c r="X3695" s="360">
        <v>25</v>
      </c>
      <c r="Y3695" s="360" t="s">
        <v>42</v>
      </c>
      <c r="Z3695" s="360">
        <v>11</v>
      </c>
      <c r="AA3695" s="360">
        <v>60</v>
      </c>
      <c r="AB3695" s="360">
        <v>18.3</v>
      </c>
    </row>
    <row r="3696" spans="10:28" x14ac:dyDescent="0.2">
      <c r="J3696" s="358" t="str">
        <f t="shared" si="160"/>
        <v>2014FemaleAllEth243</v>
      </c>
      <c r="K3696" s="359">
        <v>2014</v>
      </c>
      <c r="L3696" t="s">
        <v>8</v>
      </c>
      <c r="M3696" t="s">
        <v>27</v>
      </c>
      <c r="N3696">
        <v>24</v>
      </c>
      <c r="O3696">
        <v>3</v>
      </c>
      <c r="P3696">
        <v>6</v>
      </c>
      <c r="Q3696">
        <v>5.1117684953023499</v>
      </c>
      <c r="R3696">
        <v>4.0999999999999996</v>
      </c>
      <c r="T3696" s="358" t="str">
        <f t="shared" si="161"/>
        <v>2014AllSexAllEth21Hanging, strangulation and suffocation</v>
      </c>
      <c r="U3696" s="360">
        <v>2014</v>
      </c>
      <c r="V3696" s="360" t="s">
        <v>17</v>
      </c>
      <c r="W3696" s="360" t="s">
        <v>27</v>
      </c>
      <c r="X3696" s="360">
        <v>21</v>
      </c>
      <c r="Y3696" s="360" t="s">
        <v>43</v>
      </c>
      <c r="Z3696" s="360">
        <v>3</v>
      </c>
      <c r="AA3696" s="360">
        <v>5</v>
      </c>
      <c r="AB3696" s="360">
        <v>60</v>
      </c>
    </row>
    <row r="3697" spans="10:28" x14ac:dyDescent="0.2">
      <c r="J3697" s="358" t="str">
        <f t="shared" si="160"/>
        <v>2014FemaleAllEth244</v>
      </c>
      <c r="K3697" s="359">
        <v>2014</v>
      </c>
      <c r="L3697" t="s">
        <v>8</v>
      </c>
      <c r="M3697" t="s">
        <v>27</v>
      </c>
      <c r="N3697">
        <v>24</v>
      </c>
      <c r="O3697">
        <v>4</v>
      </c>
      <c r="P3697">
        <v>10</v>
      </c>
      <c r="Q3697">
        <v>9.3713408577718393</v>
      </c>
      <c r="R3697">
        <v>5.8</v>
      </c>
      <c r="T3697" s="358" t="str">
        <f t="shared" si="161"/>
        <v>2014AllSexAllEth22Hanging, strangulation and suffocation</v>
      </c>
      <c r="U3697" s="360">
        <v>2014</v>
      </c>
      <c r="V3697" s="360" t="s">
        <v>17</v>
      </c>
      <c r="W3697" s="360" t="s">
        <v>27</v>
      </c>
      <c r="X3697" s="360">
        <v>22</v>
      </c>
      <c r="Y3697" s="360" t="s">
        <v>43</v>
      </c>
      <c r="Z3697" s="360">
        <v>78</v>
      </c>
      <c r="AA3697" s="360">
        <v>90</v>
      </c>
      <c r="AB3697" s="360">
        <v>86.7</v>
      </c>
    </row>
    <row r="3698" spans="10:28" x14ac:dyDescent="0.2">
      <c r="J3698" s="358" t="str">
        <f t="shared" si="160"/>
        <v>2014FemaleAllEth245</v>
      </c>
      <c r="K3698" s="359">
        <v>2014</v>
      </c>
      <c r="L3698" t="s">
        <v>8</v>
      </c>
      <c r="M3698" t="s">
        <v>27</v>
      </c>
      <c r="N3698">
        <v>24</v>
      </c>
      <c r="O3698">
        <v>5</v>
      </c>
      <c r="P3698">
        <v>12</v>
      </c>
      <c r="Q3698">
        <v>12.165721136433501</v>
      </c>
      <c r="R3698">
        <v>6.9</v>
      </c>
      <c r="T3698" s="358" t="str">
        <f t="shared" si="161"/>
        <v>2014AllSexAllEth23Hanging, strangulation and suffocation</v>
      </c>
      <c r="U3698" s="360">
        <v>2014</v>
      </c>
      <c r="V3698" s="360" t="s">
        <v>17</v>
      </c>
      <c r="W3698" s="360" t="s">
        <v>27</v>
      </c>
      <c r="X3698" s="360">
        <v>23</v>
      </c>
      <c r="Y3698" s="360" t="s">
        <v>43</v>
      </c>
      <c r="Z3698" s="360">
        <v>137</v>
      </c>
      <c r="AA3698" s="360">
        <v>190</v>
      </c>
      <c r="AB3698" s="360">
        <v>72.099999999999994</v>
      </c>
    </row>
    <row r="3699" spans="10:28" x14ac:dyDescent="0.2">
      <c r="J3699" s="358" t="str">
        <f t="shared" si="160"/>
        <v>2014FemaleAllEth251</v>
      </c>
      <c r="K3699" s="359">
        <v>2014</v>
      </c>
      <c r="L3699" t="s">
        <v>8</v>
      </c>
      <c r="M3699" t="s">
        <v>27</v>
      </c>
      <c r="N3699">
        <v>25</v>
      </c>
      <c r="O3699">
        <v>1</v>
      </c>
      <c r="P3699">
        <v>2</v>
      </c>
      <c r="Q3699">
        <v>2.8702853755560498</v>
      </c>
      <c r="R3699">
        <v>4</v>
      </c>
      <c r="T3699" s="358" t="str">
        <f t="shared" si="161"/>
        <v>2014AllSexAllEth24Hanging, strangulation and suffocation</v>
      </c>
      <c r="U3699" s="360">
        <v>2014</v>
      </c>
      <c r="V3699" s="360" t="s">
        <v>17</v>
      </c>
      <c r="W3699" s="360" t="s">
        <v>27</v>
      </c>
      <c r="X3699" s="360">
        <v>24</v>
      </c>
      <c r="Y3699" s="360" t="s">
        <v>43</v>
      </c>
      <c r="Z3699" s="360">
        <v>68</v>
      </c>
      <c r="AA3699" s="360">
        <v>164</v>
      </c>
      <c r="AB3699" s="360">
        <v>41.5</v>
      </c>
    </row>
    <row r="3700" spans="10:28" x14ac:dyDescent="0.2">
      <c r="J3700" s="358" t="str">
        <f t="shared" si="160"/>
        <v>2014FemaleAllEth252</v>
      </c>
      <c r="K3700" s="359">
        <v>2014</v>
      </c>
      <c r="L3700" t="s">
        <v>8</v>
      </c>
      <c r="M3700" t="s">
        <v>27</v>
      </c>
      <c r="N3700">
        <v>25</v>
      </c>
      <c r="O3700">
        <v>2</v>
      </c>
      <c r="P3700">
        <v>2</v>
      </c>
      <c r="Q3700">
        <v>2.7916599197519201</v>
      </c>
      <c r="R3700">
        <v>3.9</v>
      </c>
      <c r="T3700" s="358" t="str">
        <f t="shared" si="161"/>
        <v>2014AllSexAllEth25Hanging, strangulation and suffocation</v>
      </c>
      <c r="U3700" s="360">
        <v>2014</v>
      </c>
      <c r="V3700" s="360" t="s">
        <v>17</v>
      </c>
      <c r="W3700" s="360" t="s">
        <v>27</v>
      </c>
      <c r="X3700" s="360">
        <v>25</v>
      </c>
      <c r="Y3700" s="360" t="s">
        <v>43</v>
      </c>
      <c r="Z3700" s="360">
        <v>24</v>
      </c>
      <c r="AA3700" s="360">
        <v>60</v>
      </c>
      <c r="AB3700" s="360">
        <v>40</v>
      </c>
    </row>
    <row r="3701" spans="10:28" x14ac:dyDescent="0.2">
      <c r="J3701" s="358" t="str">
        <f t="shared" si="160"/>
        <v>2014FemaleAllEth253</v>
      </c>
      <c r="K3701" s="359">
        <v>2014</v>
      </c>
      <c r="L3701" t="s">
        <v>8</v>
      </c>
      <c r="M3701" t="s">
        <v>27</v>
      </c>
      <c r="N3701">
        <v>25</v>
      </c>
      <c r="O3701">
        <v>3</v>
      </c>
      <c r="P3701">
        <v>4</v>
      </c>
      <c r="Q3701">
        <v>5.5309556103341997</v>
      </c>
      <c r="R3701">
        <v>5.4</v>
      </c>
      <c r="T3701" s="358" t="str">
        <f t="shared" si="161"/>
        <v>2014AllSexAllEth22Jumping from a high place</v>
      </c>
      <c r="U3701" s="360">
        <v>2014</v>
      </c>
      <c r="V3701" s="360" t="s">
        <v>17</v>
      </c>
      <c r="W3701" s="360" t="s">
        <v>27</v>
      </c>
      <c r="X3701" s="360">
        <v>22</v>
      </c>
      <c r="Y3701" s="360" t="s">
        <v>44</v>
      </c>
      <c r="Z3701" s="360">
        <v>2</v>
      </c>
      <c r="AA3701" s="360">
        <v>90</v>
      </c>
      <c r="AB3701" s="360">
        <v>2.2000000000000002</v>
      </c>
    </row>
    <row r="3702" spans="10:28" x14ac:dyDescent="0.2">
      <c r="J3702" s="358" t="str">
        <f t="shared" si="160"/>
        <v>2014FemaleAllEth254</v>
      </c>
      <c r="K3702" s="359">
        <v>2014</v>
      </c>
      <c r="L3702" t="s">
        <v>8</v>
      </c>
      <c r="M3702" t="s">
        <v>27</v>
      </c>
      <c r="N3702">
        <v>25</v>
      </c>
      <c r="O3702">
        <v>4</v>
      </c>
      <c r="P3702">
        <v>1</v>
      </c>
      <c r="Q3702">
        <v>1.3271033682123401</v>
      </c>
      <c r="R3702">
        <v>2.6</v>
      </c>
      <c r="T3702" s="358" t="str">
        <f t="shared" si="161"/>
        <v>2014AllSexAllEth23Jumping from a high place</v>
      </c>
      <c r="U3702" s="360">
        <v>2014</v>
      </c>
      <c r="V3702" s="360" t="s">
        <v>17</v>
      </c>
      <c r="W3702" s="360" t="s">
        <v>27</v>
      </c>
      <c r="X3702" s="360">
        <v>23</v>
      </c>
      <c r="Y3702" s="360" t="s">
        <v>44</v>
      </c>
      <c r="Z3702" s="360">
        <v>7</v>
      </c>
      <c r="AA3702" s="360">
        <v>190</v>
      </c>
      <c r="AB3702" s="360">
        <v>3.7</v>
      </c>
    </row>
    <row r="3703" spans="10:28" x14ac:dyDescent="0.2">
      <c r="J3703" s="358" t="str">
        <f t="shared" si="160"/>
        <v>2014FemaleAllEth255</v>
      </c>
      <c r="K3703" s="359">
        <v>2014</v>
      </c>
      <c r="L3703" t="s">
        <v>8</v>
      </c>
      <c r="M3703" t="s">
        <v>27</v>
      </c>
      <c r="N3703">
        <v>25</v>
      </c>
      <c r="O3703">
        <v>5</v>
      </c>
      <c r="P3703">
        <v>2</v>
      </c>
      <c r="Q3703">
        <v>3.3060717305793998</v>
      </c>
      <c r="R3703">
        <v>4.5999999999999996</v>
      </c>
      <c r="T3703" s="358" t="str">
        <f t="shared" si="161"/>
        <v>2014AllSexAllEth24Jumping from a high place</v>
      </c>
      <c r="U3703" s="360">
        <v>2014</v>
      </c>
      <c r="V3703" s="360" t="s">
        <v>17</v>
      </c>
      <c r="W3703" s="360" t="s">
        <v>27</v>
      </c>
      <c r="X3703" s="360">
        <v>24</v>
      </c>
      <c r="Y3703" s="360" t="s">
        <v>44</v>
      </c>
      <c r="Z3703" s="360">
        <v>7</v>
      </c>
      <c r="AA3703" s="360">
        <v>164</v>
      </c>
      <c r="AB3703" s="360">
        <v>4.3</v>
      </c>
    </row>
    <row r="3704" spans="10:28" x14ac:dyDescent="0.2">
      <c r="J3704" s="358" t="str">
        <f t="shared" si="160"/>
        <v>2014FemaleMaori211</v>
      </c>
      <c r="K3704" s="359">
        <v>2014</v>
      </c>
      <c r="L3704" t="s">
        <v>8</v>
      </c>
      <c r="M3704" t="s">
        <v>18</v>
      </c>
      <c r="N3704">
        <v>21</v>
      </c>
      <c r="O3704">
        <v>1</v>
      </c>
      <c r="P3704">
        <v>0</v>
      </c>
      <c r="T3704" s="358" t="str">
        <f t="shared" si="161"/>
        <v>2014AllSexAllEth25Jumping from a high place</v>
      </c>
      <c r="U3704" s="360">
        <v>2014</v>
      </c>
      <c r="V3704" s="360" t="s">
        <v>17</v>
      </c>
      <c r="W3704" s="360" t="s">
        <v>27</v>
      </c>
      <c r="X3704" s="360">
        <v>25</v>
      </c>
      <c r="Y3704" s="360" t="s">
        <v>44</v>
      </c>
      <c r="Z3704" s="360">
        <v>1</v>
      </c>
      <c r="AA3704" s="360">
        <v>60</v>
      </c>
      <c r="AB3704" s="360">
        <v>1.7</v>
      </c>
    </row>
    <row r="3705" spans="10:28" x14ac:dyDescent="0.2">
      <c r="J3705" s="358" t="str">
        <f t="shared" si="160"/>
        <v>2014FemaleMaori212</v>
      </c>
      <c r="K3705" s="359">
        <v>2014</v>
      </c>
      <c r="L3705" t="s">
        <v>8</v>
      </c>
      <c r="M3705" t="s">
        <v>18</v>
      </c>
      <c r="N3705">
        <v>21</v>
      </c>
      <c r="O3705">
        <v>2</v>
      </c>
      <c r="P3705">
        <v>0</v>
      </c>
      <c r="T3705" s="358" t="str">
        <f t="shared" si="161"/>
        <v>2014AllSexAllEth21Other</v>
      </c>
      <c r="U3705" s="360">
        <v>2014</v>
      </c>
      <c r="V3705" s="360" t="s">
        <v>17</v>
      </c>
      <c r="W3705" s="360" t="s">
        <v>27</v>
      </c>
      <c r="X3705" s="360">
        <v>21</v>
      </c>
      <c r="Y3705" s="360" t="s">
        <v>45</v>
      </c>
      <c r="Z3705" s="360">
        <v>1</v>
      </c>
      <c r="AA3705" s="360">
        <v>5</v>
      </c>
      <c r="AB3705" s="360">
        <v>20</v>
      </c>
    </row>
    <row r="3706" spans="10:28" x14ac:dyDescent="0.2">
      <c r="J3706" s="358" t="str">
        <f t="shared" si="160"/>
        <v>2014FemaleMaori213</v>
      </c>
      <c r="K3706" s="359">
        <v>2014</v>
      </c>
      <c r="L3706" t="s">
        <v>8</v>
      </c>
      <c r="M3706" t="s">
        <v>18</v>
      </c>
      <c r="N3706">
        <v>21</v>
      </c>
      <c r="O3706">
        <v>3</v>
      </c>
      <c r="P3706">
        <v>0</v>
      </c>
      <c r="T3706" s="358" t="str">
        <f t="shared" si="161"/>
        <v>2014AllSexAllEth22Other</v>
      </c>
      <c r="U3706" s="360">
        <v>2014</v>
      </c>
      <c r="V3706" s="360" t="s">
        <v>17</v>
      </c>
      <c r="W3706" s="360" t="s">
        <v>27</v>
      </c>
      <c r="X3706" s="360">
        <v>22</v>
      </c>
      <c r="Y3706" s="360" t="s">
        <v>45</v>
      </c>
      <c r="Z3706" s="360">
        <v>2</v>
      </c>
      <c r="AA3706" s="360">
        <v>90</v>
      </c>
      <c r="AB3706" s="360">
        <v>2.2000000000000002</v>
      </c>
    </row>
    <row r="3707" spans="10:28" x14ac:dyDescent="0.2">
      <c r="J3707" s="358" t="str">
        <f t="shared" si="160"/>
        <v>2014FemaleMaori214</v>
      </c>
      <c r="K3707" s="359">
        <v>2014</v>
      </c>
      <c r="L3707" t="s">
        <v>8</v>
      </c>
      <c r="M3707" t="s">
        <v>18</v>
      </c>
      <c r="N3707">
        <v>21</v>
      </c>
      <c r="O3707">
        <v>4</v>
      </c>
      <c r="P3707">
        <v>0</v>
      </c>
      <c r="T3707" s="358" t="str">
        <f t="shared" si="161"/>
        <v>2014AllSexAllEth23Other</v>
      </c>
      <c r="U3707" s="360">
        <v>2014</v>
      </c>
      <c r="V3707" s="360" t="s">
        <v>17</v>
      </c>
      <c r="W3707" s="360" t="s">
        <v>27</v>
      </c>
      <c r="X3707" s="360">
        <v>23</v>
      </c>
      <c r="Y3707" s="360" t="s">
        <v>45</v>
      </c>
      <c r="Z3707" s="360">
        <v>3</v>
      </c>
      <c r="AA3707" s="360">
        <v>190</v>
      </c>
      <c r="AB3707" s="360">
        <v>1.6</v>
      </c>
    </row>
    <row r="3708" spans="10:28" x14ac:dyDescent="0.2">
      <c r="J3708" s="358" t="str">
        <f t="shared" si="160"/>
        <v>2014FemaleMaori215</v>
      </c>
      <c r="K3708" s="359">
        <v>2014</v>
      </c>
      <c r="L3708" t="s">
        <v>8</v>
      </c>
      <c r="M3708" t="s">
        <v>18</v>
      </c>
      <c r="N3708">
        <v>21</v>
      </c>
      <c r="O3708">
        <v>5</v>
      </c>
      <c r="P3708">
        <v>0</v>
      </c>
      <c r="T3708" s="358" t="str">
        <f t="shared" si="161"/>
        <v>2014AllSexAllEth24Other</v>
      </c>
      <c r="U3708" s="360">
        <v>2014</v>
      </c>
      <c r="V3708" s="360" t="s">
        <v>17</v>
      </c>
      <c r="W3708" s="360" t="s">
        <v>27</v>
      </c>
      <c r="X3708" s="360">
        <v>24</v>
      </c>
      <c r="Y3708" s="360" t="s">
        <v>45</v>
      </c>
      <c r="Z3708" s="360">
        <v>9</v>
      </c>
      <c r="AA3708" s="360">
        <v>164</v>
      </c>
      <c r="AB3708" s="360">
        <v>5.5</v>
      </c>
    </row>
    <row r="3709" spans="10:28" x14ac:dyDescent="0.2">
      <c r="J3709" s="358" t="str">
        <f t="shared" si="160"/>
        <v>2014FemaleMaori221</v>
      </c>
      <c r="K3709" s="359">
        <v>2014</v>
      </c>
      <c r="L3709" t="s">
        <v>8</v>
      </c>
      <c r="M3709" t="s">
        <v>18</v>
      </c>
      <c r="N3709">
        <v>22</v>
      </c>
      <c r="O3709">
        <v>1</v>
      </c>
      <c r="P3709">
        <v>1</v>
      </c>
      <c r="Q3709">
        <v>18.803777480807302</v>
      </c>
      <c r="R3709">
        <v>36.9</v>
      </c>
      <c r="T3709" s="358" t="str">
        <f t="shared" si="161"/>
        <v>2014AllSexAllEth25Other</v>
      </c>
      <c r="U3709" s="360">
        <v>2014</v>
      </c>
      <c r="V3709" s="360" t="s">
        <v>17</v>
      </c>
      <c r="W3709" s="360" t="s">
        <v>27</v>
      </c>
      <c r="X3709" s="360">
        <v>25</v>
      </c>
      <c r="Y3709" s="360" t="s">
        <v>45</v>
      </c>
      <c r="Z3709" s="360">
        <v>1</v>
      </c>
      <c r="AA3709" s="360">
        <v>60</v>
      </c>
      <c r="AB3709" s="360">
        <v>1.7</v>
      </c>
    </row>
    <row r="3710" spans="10:28" x14ac:dyDescent="0.2">
      <c r="J3710" s="358" t="str">
        <f t="shared" si="160"/>
        <v>2014FemaleMaori222</v>
      </c>
      <c r="K3710" s="359">
        <v>2014</v>
      </c>
      <c r="L3710" t="s">
        <v>8</v>
      </c>
      <c r="M3710" t="s">
        <v>18</v>
      </c>
      <c r="N3710">
        <v>22</v>
      </c>
      <c r="O3710">
        <v>2</v>
      </c>
      <c r="P3710">
        <v>0</v>
      </c>
      <c r="Q3710">
        <v>0</v>
      </c>
      <c r="T3710" s="358" t="str">
        <f t="shared" si="161"/>
        <v>2014AllSexAllEth22Poisoning by gases and vapours</v>
      </c>
      <c r="U3710" s="360">
        <v>2014</v>
      </c>
      <c r="V3710" s="360" t="s">
        <v>17</v>
      </c>
      <c r="W3710" s="360" t="s">
        <v>27</v>
      </c>
      <c r="X3710" s="360">
        <v>22</v>
      </c>
      <c r="Y3710" s="360" t="s">
        <v>46</v>
      </c>
      <c r="Z3710" s="360">
        <v>3</v>
      </c>
      <c r="AA3710" s="360">
        <v>90</v>
      </c>
      <c r="AB3710" s="360">
        <v>3.3</v>
      </c>
    </row>
    <row r="3711" spans="10:28" x14ac:dyDescent="0.2">
      <c r="J3711" s="358" t="str">
        <f t="shared" si="160"/>
        <v>2014FemaleMaori223</v>
      </c>
      <c r="K3711" s="359">
        <v>2014</v>
      </c>
      <c r="L3711" t="s">
        <v>8</v>
      </c>
      <c r="M3711" t="s">
        <v>18</v>
      </c>
      <c r="N3711">
        <v>22</v>
      </c>
      <c r="O3711">
        <v>3</v>
      </c>
      <c r="P3711">
        <v>1</v>
      </c>
      <c r="Q3711">
        <v>9.6310749221278105</v>
      </c>
      <c r="R3711">
        <v>18.899999999999999</v>
      </c>
      <c r="T3711" s="358" t="str">
        <f t="shared" si="161"/>
        <v>2014AllSexAllEth23Poisoning by gases and vapours</v>
      </c>
      <c r="U3711" s="360">
        <v>2014</v>
      </c>
      <c r="V3711" s="360" t="s">
        <v>17</v>
      </c>
      <c r="W3711" s="360" t="s">
        <v>27</v>
      </c>
      <c r="X3711" s="360">
        <v>23</v>
      </c>
      <c r="Y3711" s="360" t="s">
        <v>46</v>
      </c>
      <c r="Z3711" s="360">
        <v>15</v>
      </c>
      <c r="AA3711" s="360">
        <v>190</v>
      </c>
      <c r="AB3711" s="360">
        <v>7.9</v>
      </c>
    </row>
    <row r="3712" spans="10:28" x14ac:dyDescent="0.2">
      <c r="J3712" s="358" t="str">
        <f t="shared" si="160"/>
        <v>2014FemaleMaori224</v>
      </c>
      <c r="K3712" s="359">
        <v>2014</v>
      </c>
      <c r="L3712" t="s">
        <v>8</v>
      </c>
      <c r="M3712" t="s">
        <v>18</v>
      </c>
      <c r="N3712">
        <v>22</v>
      </c>
      <c r="O3712">
        <v>4</v>
      </c>
      <c r="P3712">
        <v>0</v>
      </c>
      <c r="Q3712">
        <v>0</v>
      </c>
      <c r="T3712" s="358" t="str">
        <f t="shared" si="161"/>
        <v>2014AllSexAllEth24Poisoning by gases and vapours</v>
      </c>
      <c r="U3712" s="360">
        <v>2014</v>
      </c>
      <c r="V3712" s="360" t="s">
        <v>17</v>
      </c>
      <c r="W3712" s="360" t="s">
        <v>27</v>
      </c>
      <c r="X3712" s="360">
        <v>24</v>
      </c>
      <c r="Y3712" s="360" t="s">
        <v>46</v>
      </c>
      <c r="Z3712" s="360">
        <v>18</v>
      </c>
      <c r="AA3712" s="360">
        <v>164</v>
      </c>
      <c r="AB3712" s="360">
        <v>11</v>
      </c>
    </row>
    <row r="3713" spans="10:28" x14ac:dyDescent="0.2">
      <c r="J3713" s="358" t="str">
        <f t="shared" si="160"/>
        <v>2014FemaleMaori225</v>
      </c>
      <c r="K3713" s="359">
        <v>2014</v>
      </c>
      <c r="L3713" t="s">
        <v>8</v>
      </c>
      <c r="M3713" t="s">
        <v>18</v>
      </c>
      <c r="N3713">
        <v>22</v>
      </c>
      <c r="O3713">
        <v>5</v>
      </c>
      <c r="P3713">
        <v>6</v>
      </c>
      <c r="Q3713">
        <v>21.988014288403601</v>
      </c>
      <c r="R3713">
        <v>17.600000000000001</v>
      </c>
      <c r="T3713" s="358" t="str">
        <f t="shared" si="161"/>
        <v>2014AllSexAllEth25Poisoning by gases and vapours</v>
      </c>
      <c r="U3713" s="360">
        <v>2014</v>
      </c>
      <c r="V3713" s="360" t="s">
        <v>17</v>
      </c>
      <c r="W3713" s="360" t="s">
        <v>27</v>
      </c>
      <c r="X3713" s="360">
        <v>25</v>
      </c>
      <c r="Y3713" s="360" t="s">
        <v>46</v>
      </c>
      <c r="Z3713" s="360">
        <v>5</v>
      </c>
      <c r="AA3713" s="360">
        <v>60</v>
      </c>
      <c r="AB3713" s="360">
        <v>8.3000000000000007</v>
      </c>
    </row>
    <row r="3714" spans="10:28" x14ac:dyDescent="0.2">
      <c r="J3714" s="358" t="str">
        <f t="shared" si="160"/>
        <v>2014FemaleMaori231</v>
      </c>
      <c r="K3714" s="359">
        <v>2014</v>
      </c>
      <c r="L3714" t="s">
        <v>8</v>
      </c>
      <c r="M3714" t="s">
        <v>18</v>
      </c>
      <c r="N3714">
        <v>23</v>
      </c>
      <c r="O3714">
        <v>1</v>
      </c>
      <c r="P3714">
        <v>2</v>
      </c>
      <c r="Q3714">
        <v>26.132930127113099</v>
      </c>
      <c r="R3714">
        <v>36.200000000000003</v>
      </c>
      <c r="T3714" s="358" t="str">
        <f t="shared" si="161"/>
        <v>2014AllSexAllEth22Poisoning by solids and liquids</v>
      </c>
      <c r="U3714" s="360">
        <v>2014</v>
      </c>
      <c r="V3714" s="360" t="s">
        <v>17</v>
      </c>
      <c r="W3714" s="360" t="s">
        <v>27</v>
      </c>
      <c r="X3714" s="360">
        <v>22</v>
      </c>
      <c r="Y3714" s="360" t="s">
        <v>47</v>
      </c>
      <c r="Z3714" s="360">
        <v>1</v>
      </c>
      <c r="AA3714" s="360">
        <v>90</v>
      </c>
      <c r="AB3714" s="360">
        <v>1.1000000000000001</v>
      </c>
    </row>
    <row r="3715" spans="10:28" x14ac:dyDescent="0.2">
      <c r="J3715" s="358" t="str">
        <f t="shared" si="160"/>
        <v>2014FemaleMaori232</v>
      </c>
      <c r="K3715" s="359">
        <v>2014</v>
      </c>
      <c r="L3715" t="s">
        <v>8</v>
      </c>
      <c r="M3715" t="s">
        <v>18</v>
      </c>
      <c r="N3715">
        <v>23</v>
      </c>
      <c r="O3715">
        <v>2</v>
      </c>
      <c r="P3715">
        <v>0</v>
      </c>
      <c r="Q3715">
        <v>0</v>
      </c>
      <c r="T3715" s="358" t="str">
        <f t="shared" si="161"/>
        <v>2014AllSexAllEth23Poisoning by solids and liquids</v>
      </c>
      <c r="U3715" s="360">
        <v>2014</v>
      </c>
      <c r="V3715" s="360" t="s">
        <v>17</v>
      </c>
      <c r="W3715" s="360" t="s">
        <v>27</v>
      </c>
      <c r="X3715" s="360">
        <v>23</v>
      </c>
      <c r="Y3715" s="360" t="s">
        <v>47</v>
      </c>
      <c r="Z3715" s="360">
        <v>16</v>
      </c>
      <c r="AA3715" s="360">
        <v>190</v>
      </c>
      <c r="AB3715" s="360">
        <v>8.4</v>
      </c>
    </row>
    <row r="3716" spans="10:28" x14ac:dyDescent="0.2">
      <c r="J3716" s="358" t="str">
        <f t="shared" ref="J3716:J3779" si="162">K3716&amp;L3716&amp;M3716&amp;N3716&amp;O3716</f>
        <v>2014FemaleMaori233</v>
      </c>
      <c r="K3716" s="359">
        <v>2014</v>
      </c>
      <c r="L3716" t="s">
        <v>8</v>
      </c>
      <c r="M3716" t="s">
        <v>18</v>
      </c>
      <c r="N3716">
        <v>23</v>
      </c>
      <c r="O3716">
        <v>3</v>
      </c>
      <c r="P3716">
        <v>2</v>
      </c>
      <c r="Q3716">
        <v>13.2040827407686</v>
      </c>
      <c r="R3716">
        <v>18.3</v>
      </c>
      <c r="T3716" s="358" t="str">
        <f t="shared" si="161"/>
        <v>2014AllSexAllEth24Poisoning by solids and liquids</v>
      </c>
      <c r="U3716" s="360">
        <v>2014</v>
      </c>
      <c r="V3716" s="360" t="s">
        <v>17</v>
      </c>
      <c r="W3716" s="360" t="s">
        <v>27</v>
      </c>
      <c r="X3716" s="360">
        <v>24</v>
      </c>
      <c r="Y3716" s="360" t="s">
        <v>47</v>
      </c>
      <c r="Z3716" s="360">
        <v>32</v>
      </c>
      <c r="AA3716" s="360">
        <v>164</v>
      </c>
      <c r="AB3716" s="360">
        <v>19.5</v>
      </c>
    </row>
    <row r="3717" spans="10:28" x14ac:dyDescent="0.2">
      <c r="J3717" s="358" t="str">
        <f t="shared" si="162"/>
        <v>2014FemaleMaori234</v>
      </c>
      <c r="K3717" s="359">
        <v>2014</v>
      </c>
      <c r="L3717" t="s">
        <v>8</v>
      </c>
      <c r="M3717" t="s">
        <v>18</v>
      </c>
      <c r="N3717">
        <v>23</v>
      </c>
      <c r="O3717">
        <v>4</v>
      </c>
      <c r="P3717">
        <v>3</v>
      </c>
      <c r="Q3717">
        <v>14.128698446469601</v>
      </c>
      <c r="R3717">
        <v>16</v>
      </c>
      <c r="T3717" s="358" t="str">
        <f t="shared" ref="T3717:T3780" si="163">U3717&amp;V3717&amp;W3717&amp;X3717&amp;Y3717</f>
        <v>2014AllSexAllEth25Poisoning by solids and liquids</v>
      </c>
      <c r="U3717" s="360">
        <v>2014</v>
      </c>
      <c r="V3717" s="360" t="s">
        <v>17</v>
      </c>
      <c r="W3717" s="360" t="s">
        <v>27</v>
      </c>
      <c r="X3717" s="360">
        <v>25</v>
      </c>
      <c r="Y3717" s="360" t="s">
        <v>47</v>
      </c>
      <c r="Z3717" s="360">
        <v>15</v>
      </c>
      <c r="AA3717" s="360">
        <v>60</v>
      </c>
      <c r="AB3717" s="360">
        <v>25</v>
      </c>
    </row>
    <row r="3718" spans="10:28" x14ac:dyDescent="0.2">
      <c r="J3718" s="358" t="str">
        <f t="shared" si="162"/>
        <v>2014FemaleMaori235</v>
      </c>
      <c r="K3718" s="359">
        <v>2014</v>
      </c>
      <c r="L3718" t="s">
        <v>8</v>
      </c>
      <c r="M3718" t="s">
        <v>18</v>
      </c>
      <c r="N3718">
        <v>23</v>
      </c>
      <c r="O3718">
        <v>5</v>
      </c>
      <c r="P3718">
        <v>6</v>
      </c>
      <c r="Q3718">
        <v>16.326455820705402</v>
      </c>
      <c r="R3718">
        <v>13.1</v>
      </c>
      <c r="T3718" s="358" t="str">
        <f t="shared" si="163"/>
        <v>2014AllSexAllEth22Sharp object</v>
      </c>
      <c r="U3718" s="360">
        <v>2014</v>
      </c>
      <c r="V3718" s="360" t="s">
        <v>17</v>
      </c>
      <c r="W3718" s="360" t="s">
        <v>27</v>
      </c>
      <c r="X3718" s="360">
        <v>22</v>
      </c>
      <c r="Y3718" s="360" t="s">
        <v>48</v>
      </c>
      <c r="Z3718" s="360">
        <v>1</v>
      </c>
      <c r="AA3718" s="360">
        <v>90</v>
      </c>
      <c r="AB3718" s="360">
        <v>1.1000000000000001</v>
      </c>
    </row>
    <row r="3719" spans="10:28" x14ac:dyDescent="0.2">
      <c r="J3719" s="358" t="str">
        <f t="shared" si="162"/>
        <v>2014FemaleMaori241</v>
      </c>
      <c r="K3719" s="359">
        <v>2014</v>
      </c>
      <c r="L3719" t="s">
        <v>8</v>
      </c>
      <c r="M3719" t="s">
        <v>18</v>
      </c>
      <c r="N3719">
        <v>24</v>
      </c>
      <c r="O3719">
        <v>1</v>
      </c>
      <c r="P3719">
        <v>0</v>
      </c>
      <c r="Q3719">
        <v>0</v>
      </c>
      <c r="T3719" s="358" t="str">
        <f t="shared" si="163"/>
        <v>2014AllSexAllEth23Sharp object</v>
      </c>
      <c r="U3719" s="360">
        <v>2014</v>
      </c>
      <c r="V3719" s="360" t="s">
        <v>17</v>
      </c>
      <c r="W3719" s="360" t="s">
        <v>27</v>
      </c>
      <c r="X3719" s="360">
        <v>23</v>
      </c>
      <c r="Y3719" s="360" t="s">
        <v>48</v>
      </c>
      <c r="Z3719" s="360">
        <v>3</v>
      </c>
      <c r="AA3719" s="360">
        <v>190</v>
      </c>
      <c r="AB3719" s="360">
        <v>1.6</v>
      </c>
    </row>
    <row r="3720" spans="10:28" x14ac:dyDescent="0.2">
      <c r="J3720" s="358" t="str">
        <f t="shared" si="162"/>
        <v>2014FemaleMaori242</v>
      </c>
      <c r="K3720" s="359">
        <v>2014</v>
      </c>
      <c r="L3720" t="s">
        <v>8</v>
      </c>
      <c r="M3720" t="s">
        <v>18</v>
      </c>
      <c r="N3720">
        <v>24</v>
      </c>
      <c r="O3720">
        <v>2</v>
      </c>
      <c r="P3720">
        <v>0</v>
      </c>
      <c r="Q3720">
        <v>0</v>
      </c>
      <c r="T3720" s="358" t="str">
        <f t="shared" si="163"/>
        <v>2014AllSexAllEth24Sharp object</v>
      </c>
      <c r="U3720" s="360">
        <v>2014</v>
      </c>
      <c r="V3720" s="360" t="s">
        <v>17</v>
      </c>
      <c r="W3720" s="360" t="s">
        <v>27</v>
      </c>
      <c r="X3720" s="360">
        <v>24</v>
      </c>
      <c r="Y3720" s="360" t="s">
        <v>48</v>
      </c>
      <c r="Z3720" s="360">
        <v>5</v>
      </c>
      <c r="AA3720" s="360">
        <v>164</v>
      </c>
      <c r="AB3720" s="360">
        <v>3</v>
      </c>
    </row>
    <row r="3721" spans="10:28" x14ac:dyDescent="0.2">
      <c r="J3721" s="358" t="str">
        <f t="shared" si="162"/>
        <v>2014FemaleMaori243</v>
      </c>
      <c r="K3721" s="359">
        <v>2014</v>
      </c>
      <c r="L3721" t="s">
        <v>8</v>
      </c>
      <c r="M3721" t="s">
        <v>18</v>
      </c>
      <c r="N3721">
        <v>24</v>
      </c>
      <c r="O3721">
        <v>3</v>
      </c>
      <c r="P3721">
        <v>0</v>
      </c>
      <c r="Q3721">
        <v>0</v>
      </c>
      <c r="T3721" s="358" t="str">
        <f t="shared" si="163"/>
        <v>2014AllSexAllEth25Sharp object</v>
      </c>
      <c r="U3721" s="360">
        <v>2014</v>
      </c>
      <c r="V3721" s="360" t="s">
        <v>17</v>
      </c>
      <c r="W3721" s="360" t="s">
        <v>27</v>
      </c>
      <c r="X3721" s="360">
        <v>25</v>
      </c>
      <c r="Y3721" s="360" t="s">
        <v>48</v>
      </c>
      <c r="Z3721" s="360">
        <v>1</v>
      </c>
      <c r="AA3721" s="360">
        <v>60</v>
      </c>
      <c r="AB3721" s="360">
        <v>1.7</v>
      </c>
    </row>
    <row r="3722" spans="10:28" x14ac:dyDescent="0.2">
      <c r="J3722" s="358" t="str">
        <f t="shared" si="162"/>
        <v>2014FemaleMaori244</v>
      </c>
      <c r="K3722" s="359">
        <v>2014</v>
      </c>
      <c r="L3722" t="s">
        <v>8</v>
      </c>
      <c r="M3722" t="s">
        <v>18</v>
      </c>
      <c r="N3722">
        <v>24</v>
      </c>
      <c r="O3722">
        <v>4</v>
      </c>
      <c r="P3722">
        <v>1</v>
      </c>
      <c r="Q3722">
        <v>6.4168479465774197</v>
      </c>
      <c r="R3722">
        <v>12.6</v>
      </c>
      <c r="T3722" s="358" t="str">
        <f t="shared" si="163"/>
        <v>2014AllSexAllEth22Submersion (drowning)</v>
      </c>
      <c r="U3722" s="360">
        <v>2014</v>
      </c>
      <c r="V3722" s="360" t="s">
        <v>17</v>
      </c>
      <c r="W3722" s="360" t="s">
        <v>27</v>
      </c>
      <c r="X3722" s="360">
        <v>22</v>
      </c>
      <c r="Y3722" s="360" t="s">
        <v>49</v>
      </c>
      <c r="Z3722" s="360">
        <v>1</v>
      </c>
      <c r="AA3722" s="360">
        <v>90</v>
      </c>
      <c r="AB3722" s="360">
        <v>1.1000000000000001</v>
      </c>
    </row>
    <row r="3723" spans="10:28" x14ac:dyDescent="0.2">
      <c r="J3723" s="358" t="str">
        <f t="shared" si="162"/>
        <v>2014FemaleMaori245</v>
      </c>
      <c r="K3723" s="359">
        <v>2014</v>
      </c>
      <c r="L3723" t="s">
        <v>8</v>
      </c>
      <c r="M3723" t="s">
        <v>18</v>
      </c>
      <c r="N3723">
        <v>24</v>
      </c>
      <c r="O3723">
        <v>5</v>
      </c>
      <c r="P3723">
        <v>1</v>
      </c>
      <c r="Q3723">
        <v>3.5263368167136502</v>
      </c>
      <c r="R3723">
        <v>6.9</v>
      </c>
      <c r="T3723" s="358" t="str">
        <f t="shared" si="163"/>
        <v>2014AllSexAllEth23Submersion (drowning)</v>
      </c>
      <c r="U3723" s="360">
        <v>2014</v>
      </c>
      <c r="V3723" s="360" t="s">
        <v>17</v>
      </c>
      <c r="W3723" s="360" t="s">
        <v>27</v>
      </c>
      <c r="X3723" s="360">
        <v>23</v>
      </c>
      <c r="Y3723" s="360" t="s">
        <v>49</v>
      </c>
      <c r="Z3723" s="360">
        <v>1</v>
      </c>
      <c r="AA3723" s="360">
        <v>190</v>
      </c>
      <c r="AB3723" s="360">
        <v>0.5</v>
      </c>
    </row>
    <row r="3724" spans="10:28" x14ac:dyDescent="0.2">
      <c r="J3724" s="358" t="str">
        <f t="shared" si="162"/>
        <v>2014FemaleMaori251</v>
      </c>
      <c r="K3724" s="359">
        <v>2014</v>
      </c>
      <c r="L3724" t="s">
        <v>8</v>
      </c>
      <c r="M3724" t="s">
        <v>18</v>
      </c>
      <c r="N3724">
        <v>25</v>
      </c>
      <c r="O3724">
        <v>1</v>
      </c>
      <c r="P3724">
        <v>0</v>
      </c>
      <c r="Q3724">
        <v>0</v>
      </c>
      <c r="T3724" s="358" t="str">
        <f t="shared" si="163"/>
        <v>2014AllSexAllEth24Submersion (drowning)</v>
      </c>
      <c r="U3724" s="360">
        <v>2014</v>
      </c>
      <c r="V3724" s="360" t="s">
        <v>17</v>
      </c>
      <c r="W3724" s="360" t="s">
        <v>27</v>
      </c>
      <c r="X3724" s="360">
        <v>24</v>
      </c>
      <c r="Y3724" s="360" t="s">
        <v>49</v>
      </c>
      <c r="Z3724" s="360">
        <v>6</v>
      </c>
      <c r="AA3724" s="360">
        <v>164</v>
      </c>
      <c r="AB3724" s="360">
        <v>3.7</v>
      </c>
    </row>
    <row r="3725" spans="10:28" x14ac:dyDescent="0.2">
      <c r="J3725" s="358" t="str">
        <f t="shared" si="162"/>
        <v>2014FemaleMaori252</v>
      </c>
      <c r="K3725" s="359">
        <v>2014</v>
      </c>
      <c r="L3725" t="s">
        <v>8</v>
      </c>
      <c r="M3725" t="s">
        <v>18</v>
      </c>
      <c r="N3725">
        <v>25</v>
      </c>
      <c r="O3725">
        <v>2</v>
      </c>
      <c r="P3725">
        <v>0</v>
      </c>
      <c r="Q3725">
        <v>0</v>
      </c>
      <c r="T3725" s="358" t="str">
        <f t="shared" si="163"/>
        <v>2014AllSexAllEth25Submersion (drowning)</v>
      </c>
      <c r="U3725" s="360">
        <v>2014</v>
      </c>
      <c r="V3725" s="360" t="s">
        <v>17</v>
      </c>
      <c r="W3725" s="360" t="s">
        <v>27</v>
      </c>
      <c r="X3725" s="360">
        <v>25</v>
      </c>
      <c r="Y3725" s="360" t="s">
        <v>49</v>
      </c>
      <c r="Z3725" s="360">
        <v>2</v>
      </c>
      <c r="AA3725" s="360">
        <v>60</v>
      </c>
      <c r="AB3725" s="360">
        <v>3.3</v>
      </c>
    </row>
    <row r="3726" spans="10:28" x14ac:dyDescent="0.2">
      <c r="J3726" s="358" t="str">
        <f t="shared" si="162"/>
        <v>2014FemaleMaori253</v>
      </c>
      <c r="K3726" s="359">
        <v>2014</v>
      </c>
      <c r="L3726" t="s">
        <v>8</v>
      </c>
      <c r="M3726" t="s">
        <v>18</v>
      </c>
      <c r="N3726">
        <v>25</v>
      </c>
      <c r="O3726">
        <v>3</v>
      </c>
      <c r="P3726">
        <v>0</v>
      </c>
      <c r="Q3726">
        <v>0</v>
      </c>
      <c r="T3726" s="358" t="str">
        <f t="shared" si="163"/>
        <v>2014AllSexMaori24Firearms and explosives</v>
      </c>
      <c r="U3726" s="360">
        <v>2014</v>
      </c>
      <c r="V3726" s="360" t="s">
        <v>17</v>
      </c>
      <c r="W3726" s="360" t="s">
        <v>18</v>
      </c>
      <c r="X3726" s="360">
        <v>24</v>
      </c>
      <c r="Y3726" s="360" t="s">
        <v>42</v>
      </c>
      <c r="Z3726" s="360">
        <v>1</v>
      </c>
      <c r="AA3726" s="360">
        <v>11</v>
      </c>
      <c r="AB3726" s="360">
        <v>9.1</v>
      </c>
    </row>
    <row r="3727" spans="10:28" x14ac:dyDescent="0.2">
      <c r="J3727" s="358" t="str">
        <f t="shared" si="162"/>
        <v>2014FemaleMaori254</v>
      </c>
      <c r="K3727" s="359">
        <v>2014</v>
      </c>
      <c r="L3727" t="s">
        <v>8</v>
      </c>
      <c r="M3727" t="s">
        <v>18</v>
      </c>
      <c r="N3727">
        <v>25</v>
      </c>
      <c r="O3727">
        <v>4</v>
      </c>
      <c r="P3727">
        <v>0</v>
      </c>
      <c r="Q3727">
        <v>0</v>
      </c>
      <c r="T3727" s="358" t="str">
        <f t="shared" si="163"/>
        <v>2014AllSexMaori21Hanging, strangulation and suffocation</v>
      </c>
      <c r="U3727" s="360">
        <v>2014</v>
      </c>
      <c r="V3727" s="360" t="s">
        <v>17</v>
      </c>
      <c r="W3727" s="360" t="s">
        <v>18</v>
      </c>
      <c r="X3727" s="360">
        <v>21</v>
      </c>
      <c r="Y3727" s="360" t="s">
        <v>43</v>
      </c>
      <c r="Z3727" s="360">
        <v>2</v>
      </c>
      <c r="AA3727" s="360">
        <v>2</v>
      </c>
      <c r="AB3727" s="360">
        <v>100</v>
      </c>
    </row>
    <row r="3728" spans="10:28" x14ac:dyDescent="0.2">
      <c r="J3728" s="358" t="str">
        <f t="shared" si="162"/>
        <v>2014FemaleMaori255</v>
      </c>
      <c r="K3728" s="359">
        <v>2014</v>
      </c>
      <c r="L3728" t="s">
        <v>8</v>
      </c>
      <c r="M3728" t="s">
        <v>18</v>
      </c>
      <c r="N3728">
        <v>25</v>
      </c>
      <c r="O3728">
        <v>5</v>
      </c>
      <c r="P3728">
        <v>0</v>
      </c>
      <c r="Q3728">
        <v>0</v>
      </c>
      <c r="T3728" s="358" t="str">
        <f t="shared" si="163"/>
        <v>2014AllSexMaori22Hanging, strangulation and suffocation</v>
      </c>
      <c r="U3728" s="360">
        <v>2014</v>
      </c>
      <c r="V3728" s="360" t="s">
        <v>17</v>
      </c>
      <c r="W3728" s="360" t="s">
        <v>18</v>
      </c>
      <c r="X3728" s="360">
        <v>22</v>
      </c>
      <c r="Y3728" s="360" t="s">
        <v>43</v>
      </c>
      <c r="Z3728" s="360">
        <v>26</v>
      </c>
      <c r="AA3728" s="360">
        <v>28</v>
      </c>
      <c r="AB3728" s="360">
        <v>92.9</v>
      </c>
    </row>
    <row r="3729" spans="10:28" x14ac:dyDescent="0.2">
      <c r="J3729" s="358" t="str">
        <f t="shared" si="162"/>
        <v>2014FemaleNon-Maori211</v>
      </c>
      <c r="K3729" s="359">
        <v>2014</v>
      </c>
      <c r="L3729" t="s">
        <v>8</v>
      </c>
      <c r="M3729" t="s">
        <v>19</v>
      </c>
      <c r="N3729">
        <v>21</v>
      </c>
      <c r="O3729">
        <v>1</v>
      </c>
      <c r="P3729">
        <v>1</v>
      </c>
      <c r="T3729" s="358" t="str">
        <f t="shared" si="163"/>
        <v>2014AllSexMaori23Hanging, strangulation and suffocation</v>
      </c>
      <c r="U3729" s="360">
        <v>2014</v>
      </c>
      <c r="V3729" s="360" t="s">
        <v>17</v>
      </c>
      <c r="W3729" s="360" t="s">
        <v>18</v>
      </c>
      <c r="X3729" s="360">
        <v>23</v>
      </c>
      <c r="Y3729" s="360" t="s">
        <v>43</v>
      </c>
      <c r="Z3729" s="360">
        <v>44</v>
      </c>
      <c r="AA3729" s="360">
        <v>51</v>
      </c>
      <c r="AB3729" s="360">
        <v>86.3</v>
      </c>
    </row>
    <row r="3730" spans="10:28" x14ac:dyDescent="0.2">
      <c r="J3730" s="358" t="str">
        <f t="shared" si="162"/>
        <v>2014FemaleNon-Maori212</v>
      </c>
      <c r="K3730" s="359">
        <v>2014</v>
      </c>
      <c r="L3730" t="s">
        <v>8</v>
      </c>
      <c r="M3730" t="s">
        <v>19</v>
      </c>
      <c r="N3730">
        <v>21</v>
      </c>
      <c r="O3730">
        <v>2</v>
      </c>
      <c r="P3730">
        <v>0</v>
      </c>
      <c r="T3730" s="358" t="str">
        <f t="shared" si="163"/>
        <v>2014AllSexMaori24Hanging, strangulation and suffocation</v>
      </c>
      <c r="U3730" s="360">
        <v>2014</v>
      </c>
      <c r="V3730" s="360" t="s">
        <v>17</v>
      </c>
      <c r="W3730" s="360" t="s">
        <v>18</v>
      </c>
      <c r="X3730" s="360">
        <v>24</v>
      </c>
      <c r="Y3730" s="360" t="s">
        <v>43</v>
      </c>
      <c r="Z3730" s="360">
        <v>5</v>
      </c>
      <c r="AA3730" s="360">
        <v>11</v>
      </c>
      <c r="AB3730" s="360">
        <v>45.5</v>
      </c>
    </row>
    <row r="3731" spans="10:28" x14ac:dyDescent="0.2">
      <c r="J3731" s="358" t="str">
        <f t="shared" si="162"/>
        <v>2014FemaleNon-Maori213</v>
      </c>
      <c r="K3731" s="359">
        <v>2014</v>
      </c>
      <c r="L3731" t="s">
        <v>8</v>
      </c>
      <c r="M3731" t="s">
        <v>19</v>
      </c>
      <c r="N3731">
        <v>21</v>
      </c>
      <c r="O3731">
        <v>3</v>
      </c>
      <c r="P3731">
        <v>1</v>
      </c>
      <c r="T3731" s="358" t="str">
        <f t="shared" si="163"/>
        <v>2014AllSexMaori24Jumping from a high place</v>
      </c>
      <c r="U3731" s="360">
        <v>2014</v>
      </c>
      <c r="V3731" s="360" t="s">
        <v>17</v>
      </c>
      <c r="W3731" s="360" t="s">
        <v>18</v>
      </c>
      <c r="X3731" s="360">
        <v>24</v>
      </c>
      <c r="Y3731" s="360" t="s">
        <v>44</v>
      </c>
      <c r="Z3731" s="360">
        <v>1</v>
      </c>
      <c r="AA3731" s="360">
        <v>11</v>
      </c>
      <c r="AB3731" s="360">
        <v>9.1</v>
      </c>
    </row>
    <row r="3732" spans="10:28" x14ac:dyDescent="0.2">
      <c r="J3732" s="358" t="str">
        <f t="shared" si="162"/>
        <v>2014FemaleNon-Maori214</v>
      </c>
      <c r="K3732" s="359">
        <v>2014</v>
      </c>
      <c r="L3732" t="s">
        <v>8</v>
      </c>
      <c r="M3732" t="s">
        <v>19</v>
      </c>
      <c r="N3732">
        <v>21</v>
      </c>
      <c r="O3732">
        <v>4</v>
      </c>
      <c r="P3732">
        <v>0</v>
      </c>
      <c r="T3732" s="358" t="str">
        <f t="shared" si="163"/>
        <v>2014AllSexMaori22Other</v>
      </c>
      <c r="U3732" s="360">
        <v>2014</v>
      </c>
      <c r="V3732" s="360" t="s">
        <v>17</v>
      </c>
      <c r="W3732" s="360" t="s">
        <v>18</v>
      </c>
      <c r="X3732" s="360">
        <v>22</v>
      </c>
      <c r="Y3732" s="360" t="s">
        <v>45</v>
      </c>
      <c r="Z3732" s="360">
        <v>1</v>
      </c>
      <c r="AA3732" s="360">
        <v>28</v>
      </c>
      <c r="AB3732" s="360">
        <v>3.6</v>
      </c>
    </row>
    <row r="3733" spans="10:28" x14ac:dyDescent="0.2">
      <c r="J3733" s="358" t="str">
        <f t="shared" si="162"/>
        <v>2014FemaleNon-Maori215</v>
      </c>
      <c r="K3733" s="359">
        <v>2014</v>
      </c>
      <c r="L3733" t="s">
        <v>8</v>
      </c>
      <c r="M3733" t="s">
        <v>19</v>
      </c>
      <c r="N3733">
        <v>21</v>
      </c>
      <c r="O3733">
        <v>5</v>
      </c>
      <c r="P3733">
        <v>0</v>
      </c>
      <c r="T3733" s="358" t="str">
        <f t="shared" si="163"/>
        <v>2014AllSexMaori23Other</v>
      </c>
      <c r="U3733" s="360">
        <v>2014</v>
      </c>
      <c r="V3733" s="360" t="s">
        <v>17</v>
      </c>
      <c r="W3733" s="360" t="s">
        <v>18</v>
      </c>
      <c r="X3733" s="360">
        <v>23</v>
      </c>
      <c r="Y3733" s="360" t="s">
        <v>45</v>
      </c>
      <c r="Z3733" s="360">
        <v>1</v>
      </c>
      <c r="AA3733" s="360">
        <v>51</v>
      </c>
      <c r="AB3733" s="360">
        <v>2</v>
      </c>
    </row>
    <row r="3734" spans="10:28" x14ac:dyDescent="0.2">
      <c r="J3734" s="358" t="str">
        <f t="shared" si="162"/>
        <v>2014FemaleNon-Maori221</v>
      </c>
      <c r="K3734" s="359">
        <v>2014</v>
      </c>
      <c r="L3734" t="s">
        <v>8</v>
      </c>
      <c r="M3734" t="s">
        <v>19</v>
      </c>
      <c r="N3734">
        <v>22</v>
      </c>
      <c r="O3734">
        <v>1</v>
      </c>
      <c r="P3734">
        <v>1</v>
      </c>
      <c r="Q3734">
        <v>2.0516363325249198</v>
      </c>
      <c r="R3734">
        <v>4</v>
      </c>
      <c r="T3734" s="358" t="str">
        <f t="shared" si="163"/>
        <v>2014AllSexMaori24Other</v>
      </c>
      <c r="U3734" s="360">
        <v>2014</v>
      </c>
      <c r="V3734" s="360" t="s">
        <v>17</v>
      </c>
      <c r="W3734" s="360" t="s">
        <v>18</v>
      </c>
      <c r="X3734" s="360">
        <v>24</v>
      </c>
      <c r="Y3734" s="360" t="s">
        <v>45</v>
      </c>
      <c r="Z3734" s="360">
        <v>2</v>
      </c>
      <c r="AA3734" s="360">
        <v>11</v>
      </c>
      <c r="AB3734" s="360">
        <v>18.2</v>
      </c>
    </row>
    <row r="3735" spans="10:28" x14ac:dyDescent="0.2">
      <c r="J3735" s="358" t="str">
        <f t="shared" si="162"/>
        <v>2014FemaleNon-Maori222</v>
      </c>
      <c r="K3735" s="359">
        <v>2014</v>
      </c>
      <c r="L3735" t="s">
        <v>8</v>
      </c>
      <c r="M3735" t="s">
        <v>19</v>
      </c>
      <c r="N3735">
        <v>22</v>
      </c>
      <c r="O3735">
        <v>2</v>
      </c>
      <c r="P3735">
        <v>3</v>
      </c>
      <c r="Q3735">
        <v>6.2688808629276904</v>
      </c>
      <c r="R3735">
        <v>7.1</v>
      </c>
      <c r="T3735" s="358" t="str">
        <f t="shared" si="163"/>
        <v>2014AllSexMaori23Poisoning by gases and vapours</v>
      </c>
      <c r="U3735" s="360">
        <v>2014</v>
      </c>
      <c r="V3735" s="360" t="s">
        <v>17</v>
      </c>
      <c r="W3735" s="360" t="s">
        <v>18</v>
      </c>
      <c r="X3735" s="360">
        <v>23</v>
      </c>
      <c r="Y3735" s="360" t="s">
        <v>46</v>
      </c>
      <c r="Z3735" s="360">
        <v>2</v>
      </c>
      <c r="AA3735" s="360">
        <v>51</v>
      </c>
      <c r="AB3735" s="360">
        <v>3.9</v>
      </c>
    </row>
    <row r="3736" spans="10:28" x14ac:dyDescent="0.2">
      <c r="J3736" s="358" t="str">
        <f t="shared" si="162"/>
        <v>2014FemaleNon-Maori223</v>
      </c>
      <c r="K3736" s="359">
        <v>2014</v>
      </c>
      <c r="L3736" t="s">
        <v>8</v>
      </c>
      <c r="M3736" t="s">
        <v>19</v>
      </c>
      <c r="N3736">
        <v>22</v>
      </c>
      <c r="O3736">
        <v>3</v>
      </c>
      <c r="P3736">
        <v>5</v>
      </c>
      <c r="Q3736">
        <v>10.3609765498041</v>
      </c>
      <c r="R3736">
        <v>9.1</v>
      </c>
      <c r="T3736" s="358" t="str">
        <f t="shared" si="163"/>
        <v>2014AllSexMaori22Poisoning by solids and liquids</v>
      </c>
      <c r="U3736" s="360">
        <v>2014</v>
      </c>
      <c r="V3736" s="360" t="s">
        <v>17</v>
      </c>
      <c r="W3736" s="360" t="s">
        <v>18</v>
      </c>
      <c r="X3736" s="360">
        <v>22</v>
      </c>
      <c r="Y3736" s="360" t="s">
        <v>47</v>
      </c>
      <c r="Z3736" s="360">
        <v>1</v>
      </c>
      <c r="AA3736" s="360">
        <v>28</v>
      </c>
      <c r="AB3736" s="360">
        <v>3.6</v>
      </c>
    </row>
    <row r="3737" spans="10:28" x14ac:dyDescent="0.2">
      <c r="J3737" s="358" t="str">
        <f t="shared" si="162"/>
        <v>2014FemaleNon-Maori224</v>
      </c>
      <c r="K3737" s="359">
        <v>2014</v>
      </c>
      <c r="L3737" t="s">
        <v>8</v>
      </c>
      <c r="M3737" t="s">
        <v>19</v>
      </c>
      <c r="N3737">
        <v>22</v>
      </c>
      <c r="O3737">
        <v>4</v>
      </c>
      <c r="P3737">
        <v>3</v>
      </c>
      <c r="Q3737">
        <v>5.7569346592178503</v>
      </c>
      <c r="R3737">
        <v>6.5</v>
      </c>
      <c r="T3737" s="358" t="str">
        <f t="shared" si="163"/>
        <v>2014AllSexMaori23Poisoning by solids and liquids</v>
      </c>
      <c r="U3737" s="360">
        <v>2014</v>
      </c>
      <c r="V3737" s="360" t="s">
        <v>17</v>
      </c>
      <c r="W3737" s="360" t="s">
        <v>18</v>
      </c>
      <c r="X3737" s="360">
        <v>23</v>
      </c>
      <c r="Y3737" s="360" t="s">
        <v>47</v>
      </c>
      <c r="Z3737" s="360">
        <v>4</v>
      </c>
      <c r="AA3737" s="360">
        <v>51</v>
      </c>
      <c r="AB3737" s="360">
        <v>7.8</v>
      </c>
    </row>
    <row r="3738" spans="10:28" x14ac:dyDescent="0.2">
      <c r="J3738" s="358" t="str">
        <f t="shared" si="162"/>
        <v>2014FemaleNon-Maori225</v>
      </c>
      <c r="K3738" s="359">
        <v>2014</v>
      </c>
      <c r="L3738" t="s">
        <v>8</v>
      </c>
      <c r="M3738" t="s">
        <v>19</v>
      </c>
      <c r="N3738">
        <v>22</v>
      </c>
      <c r="O3738">
        <v>5</v>
      </c>
      <c r="P3738">
        <v>2</v>
      </c>
      <c r="Q3738">
        <v>3.93124167127083</v>
      </c>
      <c r="R3738">
        <v>5.4</v>
      </c>
      <c r="T3738" s="358" t="str">
        <f t="shared" si="163"/>
        <v>2014AllSexMaori24Poisoning by solids and liquids</v>
      </c>
      <c r="U3738" s="360">
        <v>2014</v>
      </c>
      <c r="V3738" s="360" t="s">
        <v>17</v>
      </c>
      <c r="W3738" s="360" t="s">
        <v>18</v>
      </c>
      <c r="X3738" s="360">
        <v>24</v>
      </c>
      <c r="Y3738" s="360" t="s">
        <v>47</v>
      </c>
      <c r="Z3738" s="360">
        <v>1</v>
      </c>
      <c r="AA3738" s="360">
        <v>11</v>
      </c>
      <c r="AB3738" s="360">
        <v>9.1</v>
      </c>
    </row>
    <row r="3739" spans="10:28" x14ac:dyDescent="0.2">
      <c r="J3739" s="358" t="str">
        <f t="shared" si="162"/>
        <v>2014FemaleNon-Maori231</v>
      </c>
      <c r="K3739" s="359">
        <v>2014</v>
      </c>
      <c r="L3739" t="s">
        <v>8</v>
      </c>
      <c r="M3739" t="s">
        <v>19</v>
      </c>
      <c r="N3739">
        <v>23</v>
      </c>
      <c r="O3739">
        <v>1</v>
      </c>
      <c r="P3739">
        <v>2</v>
      </c>
      <c r="Q3739">
        <v>1.86403080461642</v>
      </c>
      <c r="R3739">
        <v>2.6</v>
      </c>
      <c r="T3739" s="358" t="str">
        <f t="shared" si="163"/>
        <v>2014AllSexMaori24Submersion (drowning)</v>
      </c>
      <c r="U3739" s="360">
        <v>2014</v>
      </c>
      <c r="V3739" s="360" t="s">
        <v>17</v>
      </c>
      <c r="W3739" s="360" t="s">
        <v>18</v>
      </c>
      <c r="X3739" s="360">
        <v>24</v>
      </c>
      <c r="Y3739" s="360" t="s">
        <v>49</v>
      </c>
      <c r="Z3739" s="360">
        <v>1</v>
      </c>
      <c r="AA3739" s="360">
        <v>11</v>
      </c>
      <c r="AB3739" s="360">
        <v>9.1</v>
      </c>
    </row>
    <row r="3740" spans="10:28" x14ac:dyDescent="0.2">
      <c r="J3740" s="358" t="str">
        <f t="shared" si="162"/>
        <v>2014FemaleNon-Maori232</v>
      </c>
      <c r="K3740" s="359">
        <v>2014</v>
      </c>
      <c r="L3740" t="s">
        <v>8</v>
      </c>
      <c r="M3740" t="s">
        <v>19</v>
      </c>
      <c r="N3740">
        <v>23</v>
      </c>
      <c r="O3740">
        <v>2</v>
      </c>
      <c r="P3740">
        <v>7</v>
      </c>
      <c r="Q3740">
        <v>6.2301118290180204</v>
      </c>
      <c r="R3740">
        <v>4.5999999999999996</v>
      </c>
      <c r="T3740" s="358" t="str">
        <f t="shared" si="163"/>
        <v>2014AllSexNon-Maori21Firearms and explosives</v>
      </c>
      <c r="U3740" s="360">
        <v>2014</v>
      </c>
      <c r="V3740" s="360" t="s">
        <v>17</v>
      </c>
      <c r="W3740" s="360" t="s">
        <v>19</v>
      </c>
      <c r="X3740" s="360">
        <v>21</v>
      </c>
      <c r="Y3740" s="360" t="s">
        <v>42</v>
      </c>
      <c r="Z3740" s="360">
        <v>1</v>
      </c>
      <c r="AA3740" s="360">
        <v>3</v>
      </c>
      <c r="AB3740" s="360">
        <v>33.299999999999997</v>
      </c>
    </row>
    <row r="3741" spans="10:28" x14ac:dyDescent="0.2">
      <c r="J3741" s="358" t="str">
        <f t="shared" si="162"/>
        <v>2014FemaleNon-Maori233</v>
      </c>
      <c r="K3741" s="359">
        <v>2014</v>
      </c>
      <c r="L3741" t="s">
        <v>8</v>
      </c>
      <c r="M3741" t="s">
        <v>19</v>
      </c>
      <c r="N3741">
        <v>23</v>
      </c>
      <c r="O3741">
        <v>3</v>
      </c>
      <c r="P3741">
        <v>4</v>
      </c>
      <c r="Q3741">
        <v>3.6591953269344102</v>
      </c>
      <c r="R3741">
        <v>3.6</v>
      </c>
      <c r="T3741" s="358" t="str">
        <f t="shared" si="163"/>
        <v>2014AllSexNon-Maori22Firearms and explosives</v>
      </c>
      <c r="U3741" s="360">
        <v>2014</v>
      </c>
      <c r="V3741" s="360" t="s">
        <v>17</v>
      </c>
      <c r="W3741" s="360" t="s">
        <v>19</v>
      </c>
      <c r="X3741" s="360">
        <v>22</v>
      </c>
      <c r="Y3741" s="360" t="s">
        <v>42</v>
      </c>
      <c r="Z3741" s="360">
        <v>2</v>
      </c>
      <c r="AA3741" s="360">
        <v>62</v>
      </c>
      <c r="AB3741" s="360">
        <v>3.2</v>
      </c>
    </row>
    <row r="3742" spans="10:28" x14ac:dyDescent="0.2">
      <c r="J3742" s="358" t="str">
        <f t="shared" si="162"/>
        <v>2014FemaleNon-Maori234</v>
      </c>
      <c r="K3742" s="359">
        <v>2014</v>
      </c>
      <c r="L3742" t="s">
        <v>8</v>
      </c>
      <c r="M3742" t="s">
        <v>19</v>
      </c>
      <c r="N3742">
        <v>23</v>
      </c>
      <c r="O3742">
        <v>4</v>
      </c>
      <c r="P3742">
        <v>11</v>
      </c>
      <c r="Q3742">
        <v>10.929210672237501</v>
      </c>
      <c r="R3742">
        <v>6.5</v>
      </c>
      <c r="T3742" s="358" t="str">
        <f t="shared" si="163"/>
        <v>2014AllSexNon-Maori23Firearms and explosives</v>
      </c>
      <c r="U3742" s="360">
        <v>2014</v>
      </c>
      <c r="V3742" s="360" t="s">
        <v>17</v>
      </c>
      <c r="W3742" s="360" t="s">
        <v>19</v>
      </c>
      <c r="X3742" s="360">
        <v>23</v>
      </c>
      <c r="Y3742" s="360" t="s">
        <v>42</v>
      </c>
      <c r="Z3742" s="360">
        <v>8</v>
      </c>
      <c r="AA3742" s="360">
        <v>139</v>
      </c>
      <c r="AB3742" s="360">
        <v>5.8</v>
      </c>
    </row>
    <row r="3743" spans="10:28" x14ac:dyDescent="0.2">
      <c r="J3743" s="358" t="str">
        <f t="shared" si="162"/>
        <v>2014FemaleNon-Maori235</v>
      </c>
      <c r="K3743" s="359">
        <v>2014</v>
      </c>
      <c r="L3743" t="s">
        <v>8</v>
      </c>
      <c r="M3743" t="s">
        <v>19</v>
      </c>
      <c r="N3743">
        <v>23</v>
      </c>
      <c r="O3743">
        <v>5</v>
      </c>
      <c r="P3743">
        <v>10</v>
      </c>
      <c r="Q3743">
        <v>12.289057286878</v>
      </c>
      <c r="R3743">
        <v>7.6</v>
      </c>
      <c r="T3743" s="358" t="str">
        <f t="shared" si="163"/>
        <v>2014AllSexNon-Maori24Firearms and explosives</v>
      </c>
      <c r="U3743" s="360">
        <v>2014</v>
      </c>
      <c r="V3743" s="360" t="s">
        <v>17</v>
      </c>
      <c r="W3743" s="360" t="s">
        <v>19</v>
      </c>
      <c r="X3743" s="360">
        <v>24</v>
      </c>
      <c r="Y3743" s="360" t="s">
        <v>42</v>
      </c>
      <c r="Z3743" s="360">
        <v>18</v>
      </c>
      <c r="AA3743" s="360">
        <v>153</v>
      </c>
      <c r="AB3743" s="360">
        <v>11.8</v>
      </c>
    </row>
    <row r="3744" spans="10:28" x14ac:dyDescent="0.2">
      <c r="J3744" s="358" t="str">
        <f t="shared" si="162"/>
        <v>2014FemaleNon-Maori241</v>
      </c>
      <c r="K3744" s="359">
        <v>2014</v>
      </c>
      <c r="L3744" t="s">
        <v>8</v>
      </c>
      <c r="M3744" t="s">
        <v>19</v>
      </c>
      <c r="N3744">
        <v>24</v>
      </c>
      <c r="O3744">
        <v>1</v>
      </c>
      <c r="P3744">
        <v>5</v>
      </c>
      <c r="Q3744">
        <v>3.6789713396104</v>
      </c>
      <c r="R3744">
        <v>3.2</v>
      </c>
      <c r="T3744" s="358" t="str">
        <f t="shared" si="163"/>
        <v>2014AllSexNon-Maori25Firearms and explosives</v>
      </c>
      <c r="U3744" s="360">
        <v>2014</v>
      </c>
      <c r="V3744" s="360" t="s">
        <v>17</v>
      </c>
      <c r="W3744" s="360" t="s">
        <v>19</v>
      </c>
      <c r="X3744" s="360">
        <v>25</v>
      </c>
      <c r="Y3744" s="360" t="s">
        <v>42</v>
      </c>
      <c r="Z3744" s="360">
        <v>11</v>
      </c>
      <c r="AA3744" s="360">
        <v>60</v>
      </c>
      <c r="AB3744" s="360">
        <v>18.3</v>
      </c>
    </row>
    <row r="3745" spans="10:28" x14ac:dyDescent="0.2">
      <c r="J3745" s="358" t="str">
        <f t="shared" si="162"/>
        <v>2014FemaleNon-Maori242</v>
      </c>
      <c r="K3745" s="359">
        <v>2014</v>
      </c>
      <c r="L3745" t="s">
        <v>8</v>
      </c>
      <c r="M3745" t="s">
        <v>19</v>
      </c>
      <c r="N3745">
        <v>24</v>
      </c>
      <c r="O3745">
        <v>2</v>
      </c>
      <c r="P3745">
        <v>11</v>
      </c>
      <c r="Q3745">
        <v>9.1610457270177008</v>
      </c>
      <c r="R3745">
        <v>5.4</v>
      </c>
      <c r="T3745" s="358" t="str">
        <f t="shared" si="163"/>
        <v>2014AllSexNon-Maori21Hanging, strangulation and suffocation</v>
      </c>
      <c r="U3745" s="360">
        <v>2014</v>
      </c>
      <c r="V3745" s="360" t="s">
        <v>17</v>
      </c>
      <c r="W3745" s="360" t="s">
        <v>19</v>
      </c>
      <c r="X3745" s="360">
        <v>21</v>
      </c>
      <c r="Y3745" s="360" t="s">
        <v>43</v>
      </c>
      <c r="Z3745" s="360">
        <v>1</v>
      </c>
      <c r="AA3745" s="360">
        <v>3</v>
      </c>
      <c r="AB3745" s="360">
        <v>33.299999999999997</v>
      </c>
    </row>
    <row r="3746" spans="10:28" x14ac:dyDescent="0.2">
      <c r="J3746" s="358" t="str">
        <f t="shared" si="162"/>
        <v>2014FemaleNon-Maori243</v>
      </c>
      <c r="K3746" s="359">
        <v>2014</v>
      </c>
      <c r="L3746" t="s">
        <v>8</v>
      </c>
      <c r="M3746" t="s">
        <v>19</v>
      </c>
      <c r="N3746">
        <v>24</v>
      </c>
      <c r="O3746">
        <v>3</v>
      </c>
      <c r="P3746">
        <v>6</v>
      </c>
      <c r="Q3746">
        <v>5.6672539502113404</v>
      </c>
      <c r="R3746">
        <v>4.5</v>
      </c>
      <c r="T3746" s="358" t="str">
        <f t="shared" si="163"/>
        <v>2014AllSexNon-Maori22Hanging, strangulation and suffocation</v>
      </c>
      <c r="U3746" s="360">
        <v>2014</v>
      </c>
      <c r="V3746" s="360" t="s">
        <v>17</v>
      </c>
      <c r="W3746" s="360" t="s">
        <v>19</v>
      </c>
      <c r="X3746" s="360">
        <v>22</v>
      </c>
      <c r="Y3746" s="360" t="s">
        <v>43</v>
      </c>
      <c r="Z3746" s="360">
        <v>52</v>
      </c>
      <c r="AA3746" s="360">
        <v>62</v>
      </c>
      <c r="AB3746" s="360">
        <v>83.9</v>
      </c>
    </row>
    <row r="3747" spans="10:28" x14ac:dyDescent="0.2">
      <c r="J3747" s="358" t="str">
        <f t="shared" si="162"/>
        <v>2014FemaleNon-Maori244</v>
      </c>
      <c r="K3747" s="359">
        <v>2014</v>
      </c>
      <c r="L3747" t="s">
        <v>8</v>
      </c>
      <c r="M3747" t="s">
        <v>19</v>
      </c>
      <c r="N3747">
        <v>24</v>
      </c>
      <c r="O3747">
        <v>4</v>
      </c>
      <c r="P3747">
        <v>9</v>
      </c>
      <c r="Q3747">
        <v>9.9012896292304795</v>
      </c>
      <c r="R3747">
        <v>6.5</v>
      </c>
      <c r="T3747" s="358" t="str">
        <f t="shared" si="163"/>
        <v>2014AllSexNon-Maori23Hanging, strangulation and suffocation</v>
      </c>
      <c r="U3747" s="360">
        <v>2014</v>
      </c>
      <c r="V3747" s="360" t="s">
        <v>17</v>
      </c>
      <c r="W3747" s="360" t="s">
        <v>19</v>
      </c>
      <c r="X3747" s="360">
        <v>23</v>
      </c>
      <c r="Y3747" s="360" t="s">
        <v>43</v>
      </c>
      <c r="Z3747" s="360">
        <v>93</v>
      </c>
      <c r="AA3747" s="360">
        <v>139</v>
      </c>
      <c r="AB3747" s="360">
        <v>66.900000000000006</v>
      </c>
    </row>
    <row r="3748" spans="10:28" x14ac:dyDescent="0.2">
      <c r="J3748" s="358" t="str">
        <f t="shared" si="162"/>
        <v>2014FemaleNon-Maori245</v>
      </c>
      <c r="K3748" s="359">
        <v>2014</v>
      </c>
      <c r="L3748" t="s">
        <v>8</v>
      </c>
      <c r="M3748" t="s">
        <v>19</v>
      </c>
      <c r="N3748">
        <v>24</v>
      </c>
      <c r="O3748">
        <v>5</v>
      </c>
      <c r="P3748">
        <v>11</v>
      </c>
      <c r="Q3748">
        <v>15.5570847687324</v>
      </c>
      <c r="R3748">
        <v>9.1999999999999993</v>
      </c>
      <c r="T3748" s="358" t="str">
        <f t="shared" si="163"/>
        <v>2014AllSexNon-Maori24Hanging, strangulation and suffocation</v>
      </c>
      <c r="U3748" s="360">
        <v>2014</v>
      </c>
      <c r="V3748" s="360" t="s">
        <v>17</v>
      </c>
      <c r="W3748" s="360" t="s">
        <v>19</v>
      </c>
      <c r="X3748" s="360">
        <v>24</v>
      </c>
      <c r="Y3748" s="360" t="s">
        <v>43</v>
      </c>
      <c r="Z3748" s="360">
        <v>63</v>
      </c>
      <c r="AA3748" s="360">
        <v>153</v>
      </c>
      <c r="AB3748" s="360">
        <v>41.2</v>
      </c>
    </row>
    <row r="3749" spans="10:28" x14ac:dyDescent="0.2">
      <c r="J3749" s="358" t="str">
        <f t="shared" si="162"/>
        <v>2014FemaleNon-Maori251</v>
      </c>
      <c r="K3749" s="359">
        <v>2014</v>
      </c>
      <c r="L3749" t="s">
        <v>8</v>
      </c>
      <c r="M3749" t="s">
        <v>19</v>
      </c>
      <c r="N3749">
        <v>25</v>
      </c>
      <c r="O3749">
        <v>1</v>
      </c>
      <c r="P3749">
        <v>2</v>
      </c>
      <c r="Q3749">
        <v>2.9587370769535899</v>
      </c>
      <c r="R3749">
        <v>4.0999999999999996</v>
      </c>
      <c r="T3749" s="358" t="str">
        <f t="shared" si="163"/>
        <v>2014AllSexNon-Maori25Hanging, strangulation and suffocation</v>
      </c>
      <c r="U3749" s="360">
        <v>2014</v>
      </c>
      <c r="V3749" s="360" t="s">
        <v>17</v>
      </c>
      <c r="W3749" s="360" t="s">
        <v>19</v>
      </c>
      <c r="X3749" s="360">
        <v>25</v>
      </c>
      <c r="Y3749" s="360" t="s">
        <v>43</v>
      </c>
      <c r="Z3749" s="360">
        <v>24</v>
      </c>
      <c r="AA3749" s="360">
        <v>60</v>
      </c>
      <c r="AB3749" s="360">
        <v>40</v>
      </c>
    </row>
    <row r="3750" spans="10:28" x14ac:dyDescent="0.2">
      <c r="J3750" s="358" t="str">
        <f t="shared" si="162"/>
        <v>2014FemaleNon-Maori252</v>
      </c>
      <c r="K3750" s="359">
        <v>2014</v>
      </c>
      <c r="L3750" t="s">
        <v>8</v>
      </c>
      <c r="M3750" t="s">
        <v>19</v>
      </c>
      <c r="N3750">
        <v>25</v>
      </c>
      <c r="O3750">
        <v>2</v>
      </c>
      <c r="P3750">
        <v>2</v>
      </c>
      <c r="Q3750">
        <v>2.8959107699067901</v>
      </c>
      <c r="R3750">
        <v>4</v>
      </c>
      <c r="T3750" s="358" t="str">
        <f t="shared" si="163"/>
        <v>2014AllSexNon-Maori22Jumping from a high place</v>
      </c>
      <c r="U3750" s="360">
        <v>2014</v>
      </c>
      <c r="V3750" s="360" t="s">
        <v>17</v>
      </c>
      <c r="W3750" s="360" t="s">
        <v>19</v>
      </c>
      <c r="X3750" s="360">
        <v>22</v>
      </c>
      <c r="Y3750" s="360" t="s">
        <v>44</v>
      </c>
      <c r="Z3750" s="360">
        <v>2</v>
      </c>
      <c r="AA3750" s="360">
        <v>62</v>
      </c>
      <c r="AB3750" s="360">
        <v>3.2</v>
      </c>
    </row>
    <row r="3751" spans="10:28" x14ac:dyDescent="0.2">
      <c r="J3751" s="358" t="str">
        <f t="shared" si="162"/>
        <v>2014FemaleNon-Maori253</v>
      </c>
      <c r="K3751" s="359">
        <v>2014</v>
      </c>
      <c r="L3751" t="s">
        <v>8</v>
      </c>
      <c r="M3751" t="s">
        <v>19</v>
      </c>
      <c r="N3751">
        <v>25</v>
      </c>
      <c r="O3751">
        <v>3</v>
      </c>
      <c r="P3751">
        <v>4</v>
      </c>
      <c r="Q3751">
        <v>5.8301470186281099</v>
      </c>
      <c r="R3751">
        <v>5.7</v>
      </c>
      <c r="T3751" s="358" t="str">
        <f t="shared" si="163"/>
        <v>2014AllSexNon-Maori23Jumping from a high place</v>
      </c>
      <c r="U3751" s="360">
        <v>2014</v>
      </c>
      <c r="V3751" s="360" t="s">
        <v>17</v>
      </c>
      <c r="W3751" s="360" t="s">
        <v>19</v>
      </c>
      <c r="X3751" s="360">
        <v>23</v>
      </c>
      <c r="Y3751" s="360" t="s">
        <v>44</v>
      </c>
      <c r="Z3751" s="360">
        <v>7</v>
      </c>
      <c r="AA3751" s="360">
        <v>139</v>
      </c>
      <c r="AB3751" s="360">
        <v>5</v>
      </c>
    </row>
    <row r="3752" spans="10:28" x14ac:dyDescent="0.2">
      <c r="J3752" s="358" t="str">
        <f t="shared" si="162"/>
        <v>2014FemaleNon-Maori254</v>
      </c>
      <c r="K3752" s="359">
        <v>2014</v>
      </c>
      <c r="L3752" t="s">
        <v>8</v>
      </c>
      <c r="M3752" t="s">
        <v>19</v>
      </c>
      <c r="N3752">
        <v>25</v>
      </c>
      <c r="O3752">
        <v>4</v>
      </c>
      <c r="P3752">
        <v>1</v>
      </c>
      <c r="Q3752">
        <v>1.4309798526018001</v>
      </c>
      <c r="R3752">
        <v>2.8</v>
      </c>
      <c r="T3752" s="358" t="str">
        <f t="shared" si="163"/>
        <v>2014AllSexNon-Maori24Jumping from a high place</v>
      </c>
      <c r="U3752" s="360">
        <v>2014</v>
      </c>
      <c r="V3752" s="360" t="s">
        <v>17</v>
      </c>
      <c r="W3752" s="360" t="s">
        <v>19</v>
      </c>
      <c r="X3752" s="360">
        <v>24</v>
      </c>
      <c r="Y3752" s="360" t="s">
        <v>44</v>
      </c>
      <c r="Z3752" s="360">
        <v>6</v>
      </c>
      <c r="AA3752" s="360">
        <v>153</v>
      </c>
      <c r="AB3752" s="360">
        <v>3.9</v>
      </c>
    </row>
    <row r="3753" spans="10:28" x14ac:dyDescent="0.2">
      <c r="J3753" s="358" t="str">
        <f t="shared" si="162"/>
        <v>2014FemaleNon-Maori255</v>
      </c>
      <c r="K3753" s="359">
        <v>2014</v>
      </c>
      <c r="L3753" t="s">
        <v>8</v>
      </c>
      <c r="M3753" t="s">
        <v>19</v>
      </c>
      <c r="N3753">
        <v>25</v>
      </c>
      <c r="O3753">
        <v>5</v>
      </c>
      <c r="P3753">
        <v>2</v>
      </c>
      <c r="Q3753">
        <v>3.9331245575576901</v>
      </c>
      <c r="R3753">
        <v>5.5</v>
      </c>
      <c r="T3753" s="358" t="str">
        <f t="shared" si="163"/>
        <v>2014AllSexNon-Maori25Jumping from a high place</v>
      </c>
      <c r="U3753" s="360">
        <v>2014</v>
      </c>
      <c r="V3753" s="360" t="s">
        <v>17</v>
      </c>
      <c r="W3753" s="360" t="s">
        <v>19</v>
      </c>
      <c r="X3753" s="360">
        <v>25</v>
      </c>
      <c r="Y3753" s="360" t="s">
        <v>44</v>
      </c>
      <c r="Z3753" s="360">
        <v>1</v>
      </c>
      <c r="AA3753" s="360">
        <v>60</v>
      </c>
      <c r="AB3753" s="360">
        <v>1.7</v>
      </c>
    </row>
    <row r="3754" spans="10:28" x14ac:dyDescent="0.2">
      <c r="J3754" s="358" t="str">
        <f t="shared" si="162"/>
        <v>2014MaleAllEth211</v>
      </c>
      <c r="K3754" s="359">
        <v>2014</v>
      </c>
      <c r="L3754" t="s">
        <v>20</v>
      </c>
      <c r="M3754" t="s">
        <v>27</v>
      </c>
      <c r="N3754">
        <v>21</v>
      </c>
      <c r="O3754">
        <v>1</v>
      </c>
      <c r="P3754">
        <v>0</v>
      </c>
      <c r="T3754" s="358" t="str">
        <f t="shared" si="163"/>
        <v>2014AllSexNon-Maori21Other</v>
      </c>
      <c r="U3754" s="360">
        <v>2014</v>
      </c>
      <c r="V3754" s="360" t="s">
        <v>17</v>
      </c>
      <c r="W3754" s="360" t="s">
        <v>19</v>
      </c>
      <c r="X3754" s="360">
        <v>21</v>
      </c>
      <c r="Y3754" s="360" t="s">
        <v>45</v>
      </c>
      <c r="Z3754" s="360">
        <v>1</v>
      </c>
      <c r="AA3754" s="360">
        <v>3</v>
      </c>
      <c r="AB3754" s="360">
        <v>33.299999999999997</v>
      </c>
    </row>
    <row r="3755" spans="10:28" x14ac:dyDescent="0.2">
      <c r="J3755" s="358" t="str">
        <f t="shared" si="162"/>
        <v>2014MaleAllEth212</v>
      </c>
      <c r="K3755" s="359">
        <v>2014</v>
      </c>
      <c r="L3755" t="s">
        <v>20</v>
      </c>
      <c r="M3755" t="s">
        <v>27</v>
      </c>
      <c r="N3755">
        <v>21</v>
      </c>
      <c r="O3755">
        <v>2</v>
      </c>
      <c r="P3755">
        <v>0</v>
      </c>
      <c r="T3755" s="358" t="str">
        <f t="shared" si="163"/>
        <v>2014AllSexNon-Maori22Other</v>
      </c>
      <c r="U3755" s="360">
        <v>2014</v>
      </c>
      <c r="V3755" s="360" t="s">
        <v>17</v>
      </c>
      <c r="W3755" s="360" t="s">
        <v>19</v>
      </c>
      <c r="X3755" s="360">
        <v>22</v>
      </c>
      <c r="Y3755" s="360" t="s">
        <v>45</v>
      </c>
      <c r="Z3755" s="360">
        <v>1</v>
      </c>
      <c r="AA3755" s="360">
        <v>62</v>
      </c>
      <c r="AB3755" s="360">
        <v>1.6</v>
      </c>
    </row>
    <row r="3756" spans="10:28" x14ac:dyDescent="0.2">
      <c r="J3756" s="358" t="str">
        <f t="shared" si="162"/>
        <v>2014MaleAllEth213</v>
      </c>
      <c r="K3756" s="359">
        <v>2014</v>
      </c>
      <c r="L3756" t="s">
        <v>20</v>
      </c>
      <c r="M3756" t="s">
        <v>27</v>
      </c>
      <c r="N3756">
        <v>21</v>
      </c>
      <c r="O3756">
        <v>3</v>
      </c>
      <c r="P3756">
        <v>0</v>
      </c>
      <c r="T3756" s="358" t="str">
        <f t="shared" si="163"/>
        <v>2014AllSexNon-Maori23Other</v>
      </c>
      <c r="U3756" s="360">
        <v>2014</v>
      </c>
      <c r="V3756" s="360" t="s">
        <v>17</v>
      </c>
      <c r="W3756" s="360" t="s">
        <v>19</v>
      </c>
      <c r="X3756" s="360">
        <v>23</v>
      </c>
      <c r="Y3756" s="360" t="s">
        <v>45</v>
      </c>
      <c r="Z3756" s="360">
        <v>2</v>
      </c>
      <c r="AA3756" s="360">
        <v>139</v>
      </c>
      <c r="AB3756" s="360">
        <v>1.4</v>
      </c>
    </row>
    <row r="3757" spans="10:28" x14ac:dyDescent="0.2">
      <c r="J3757" s="358" t="str">
        <f t="shared" si="162"/>
        <v>2014MaleAllEth214</v>
      </c>
      <c r="K3757" s="359">
        <v>2014</v>
      </c>
      <c r="L3757" t="s">
        <v>20</v>
      </c>
      <c r="M3757" t="s">
        <v>27</v>
      </c>
      <c r="N3757">
        <v>21</v>
      </c>
      <c r="O3757">
        <v>4</v>
      </c>
      <c r="P3757">
        <v>1</v>
      </c>
      <c r="T3757" s="358" t="str">
        <f t="shared" si="163"/>
        <v>2014AllSexNon-Maori24Other</v>
      </c>
      <c r="U3757" s="360">
        <v>2014</v>
      </c>
      <c r="V3757" s="360" t="s">
        <v>17</v>
      </c>
      <c r="W3757" s="360" t="s">
        <v>19</v>
      </c>
      <c r="X3757" s="360">
        <v>24</v>
      </c>
      <c r="Y3757" s="360" t="s">
        <v>45</v>
      </c>
      <c r="Z3757" s="360">
        <v>7</v>
      </c>
      <c r="AA3757" s="360">
        <v>153</v>
      </c>
      <c r="AB3757" s="360">
        <v>4.5999999999999996</v>
      </c>
    </row>
    <row r="3758" spans="10:28" x14ac:dyDescent="0.2">
      <c r="J3758" s="358" t="str">
        <f t="shared" si="162"/>
        <v>2014MaleAllEth215</v>
      </c>
      <c r="K3758" s="359">
        <v>2014</v>
      </c>
      <c r="L3758" t="s">
        <v>20</v>
      </c>
      <c r="M3758" t="s">
        <v>27</v>
      </c>
      <c r="N3758">
        <v>21</v>
      </c>
      <c r="O3758">
        <v>5</v>
      </c>
      <c r="P3758">
        <v>1</v>
      </c>
      <c r="T3758" s="358" t="str">
        <f t="shared" si="163"/>
        <v>2014AllSexNon-Maori25Other</v>
      </c>
      <c r="U3758" s="360">
        <v>2014</v>
      </c>
      <c r="V3758" s="360" t="s">
        <v>17</v>
      </c>
      <c r="W3758" s="360" t="s">
        <v>19</v>
      </c>
      <c r="X3758" s="360">
        <v>25</v>
      </c>
      <c r="Y3758" s="360" t="s">
        <v>45</v>
      </c>
      <c r="Z3758" s="360">
        <v>1</v>
      </c>
      <c r="AA3758" s="360">
        <v>60</v>
      </c>
      <c r="AB3758" s="360">
        <v>1.7</v>
      </c>
    </row>
    <row r="3759" spans="10:28" x14ac:dyDescent="0.2">
      <c r="J3759" s="358" t="str">
        <f t="shared" si="162"/>
        <v>2014MaleAllEth221</v>
      </c>
      <c r="K3759" s="359">
        <v>2014</v>
      </c>
      <c r="L3759" t="s">
        <v>20</v>
      </c>
      <c r="M3759" t="s">
        <v>27</v>
      </c>
      <c r="N3759">
        <v>22</v>
      </c>
      <c r="O3759">
        <v>1</v>
      </c>
      <c r="P3759">
        <v>9</v>
      </c>
      <c r="Q3759">
        <v>15.301428145058001</v>
      </c>
      <c r="R3759">
        <v>10</v>
      </c>
      <c r="T3759" s="358" t="str">
        <f t="shared" si="163"/>
        <v>2014AllSexNon-Maori22Poisoning by gases and vapours</v>
      </c>
      <c r="U3759" s="360">
        <v>2014</v>
      </c>
      <c r="V3759" s="360" t="s">
        <v>17</v>
      </c>
      <c r="W3759" s="360" t="s">
        <v>19</v>
      </c>
      <c r="X3759" s="360">
        <v>22</v>
      </c>
      <c r="Y3759" s="360" t="s">
        <v>46</v>
      </c>
      <c r="Z3759" s="360">
        <v>3</v>
      </c>
      <c r="AA3759" s="360">
        <v>62</v>
      </c>
      <c r="AB3759" s="360">
        <v>4.8</v>
      </c>
    </row>
    <row r="3760" spans="10:28" x14ac:dyDescent="0.2">
      <c r="J3760" s="358" t="str">
        <f t="shared" si="162"/>
        <v>2014MaleAllEth222</v>
      </c>
      <c r="K3760" s="359">
        <v>2014</v>
      </c>
      <c r="L3760" t="s">
        <v>20</v>
      </c>
      <c r="M3760" t="s">
        <v>27</v>
      </c>
      <c r="N3760">
        <v>22</v>
      </c>
      <c r="O3760">
        <v>2</v>
      </c>
      <c r="P3760">
        <v>9</v>
      </c>
      <c r="Q3760">
        <v>15.104398865024701</v>
      </c>
      <c r="R3760">
        <v>9.9</v>
      </c>
      <c r="T3760" s="358" t="str">
        <f t="shared" si="163"/>
        <v>2014AllSexNon-Maori23Poisoning by gases and vapours</v>
      </c>
      <c r="U3760" s="360">
        <v>2014</v>
      </c>
      <c r="V3760" s="360" t="s">
        <v>17</v>
      </c>
      <c r="W3760" s="360" t="s">
        <v>19</v>
      </c>
      <c r="X3760" s="360">
        <v>23</v>
      </c>
      <c r="Y3760" s="360" t="s">
        <v>46</v>
      </c>
      <c r="Z3760" s="360">
        <v>13</v>
      </c>
      <c r="AA3760" s="360">
        <v>139</v>
      </c>
      <c r="AB3760" s="360">
        <v>9.4</v>
      </c>
    </row>
    <row r="3761" spans="10:28" x14ac:dyDescent="0.2">
      <c r="J3761" s="358" t="str">
        <f t="shared" si="162"/>
        <v>2014MaleAllEth223</v>
      </c>
      <c r="K3761" s="359">
        <v>2014</v>
      </c>
      <c r="L3761" t="s">
        <v>20</v>
      </c>
      <c r="M3761" t="s">
        <v>27</v>
      </c>
      <c r="N3761">
        <v>22</v>
      </c>
      <c r="O3761">
        <v>3</v>
      </c>
      <c r="P3761">
        <v>12</v>
      </c>
      <c r="Q3761">
        <v>19.091298256521899</v>
      </c>
      <c r="R3761">
        <v>10.8</v>
      </c>
      <c r="T3761" s="358" t="str">
        <f t="shared" si="163"/>
        <v>2014AllSexNon-Maori24Poisoning by gases and vapours</v>
      </c>
      <c r="U3761" s="360">
        <v>2014</v>
      </c>
      <c r="V3761" s="360" t="s">
        <v>17</v>
      </c>
      <c r="W3761" s="360" t="s">
        <v>19</v>
      </c>
      <c r="X3761" s="360">
        <v>24</v>
      </c>
      <c r="Y3761" s="360" t="s">
        <v>46</v>
      </c>
      <c r="Z3761" s="360">
        <v>18</v>
      </c>
      <c r="AA3761" s="360">
        <v>153</v>
      </c>
      <c r="AB3761" s="360">
        <v>11.8</v>
      </c>
    </row>
    <row r="3762" spans="10:28" x14ac:dyDescent="0.2">
      <c r="J3762" s="358" t="str">
        <f t="shared" si="162"/>
        <v>2014MaleAllEth224</v>
      </c>
      <c r="K3762" s="359">
        <v>2014</v>
      </c>
      <c r="L3762" t="s">
        <v>20</v>
      </c>
      <c r="M3762" t="s">
        <v>27</v>
      </c>
      <c r="N3762">
        <v>22</v>
      </c>
      <c r="O3762">
        <v>4</v>
      </c>
      <c r="P3762">
        <v>13</v>
      </c>
      <c r="Q3762">
        <v>18.7700633052408</v>
      </c>
      <c r="R3762">
        <v>10.199999999999999</v>
      </c>
      <c r="T3762" s="358" t="str">
        <f t="shared" si="163"/>
        <v>2014AllSexNon-Maori25Poisoning by gases and vapours</v>
      </c>
      <c r="U3762" s="360">
        <v>2014</v>
      </c>
      <c r="V3762" s="360" t="s">
        <v>17</v>
      </c>
      <c r="W3762" s="360" t="s">
        <v>19</v>
      </c>
      <c r="X3762" s="360">
        <v>25</v>
      </c>
      <c r="Y3762" s="360" t="s">
        <v>46</v>
      </c>
      <c r="Z3762" s="360">
        <v>5</v>
      </c>
      <c r="AA3762" s="360">
        <v>60</v>
      </c>
      <c r="AB3762" s="360">
        <v>8.3000000000000007</v>
      </c>
    </row>
    <row r="3763" spans="10:28" x14ac:dyDescent="0.2">
      <c r="J3763" s="358" t="str">
        <f t="shared" si="162"/>
        <v>2014MaleAllEth225</v>
      </c>
      <c r="K3763" s="359">
        <v>2014</v>
      </c>
      <c r="L3763" t="s">
        <v>20</v>
      </c>
      <c r="M3763" t="s">
        <v>27</v>
      </c>
      <c r="N3763">
        <v>22</v>
      </c>
      <c r="O3763">
        <v>5</v>
      </c>
      <c r="P3763">
        <v>23</v>
      </c>
      <c r="Q3763">
        <v>29.780736253744202</v>
      </c>
      <c r="R3763">
        <v>12.2</v>
      </c>
      <c r="T3763" s="358" t="str">
        <f t="shared" si="163"/>
        <v>2014AllSexNon-Maori23Poisoning by solids and liquids</v>
      </c>
      <c r="U3763" s="360">
        <v>2014</v>
      </c>
      <c r="V3763" s="360" t="s">
        <v>17</v>
      </c>
      <c r="W3763" s="360" t="s">
        <v>19</v>
      </c>
      <c r="X3763" s="360">
        <v>23</v>
      </c>
      <c r="Y3763" s="360" t="s">
        <v>47</v>
      </c>
      <c r="Z3763" s="360">
        <v>12</v>
      </c>
      <c r="AA3763" s="360">
        <v>139</v>
      </c>
      <c r="AB3763" s="360">
        <v>8.6</v>
      </c>
    </row>
    <row r="3764" spans="10:28" x14ac:dyDescent="0.2">
      <c r="J3764" s="358" t="str">
        <f t="shared" si="162"/>
        <v>2014MaleAllEth231</v>
      </c>
      <c r="K3764" s="359">
        <v>2014</v>
      </c>
      <c r="L3764" t="s">
        <v>20</v>
      </c>
      <c r="M3764" t="s">
        <v>27</v>
      </c>
      <c r="N3764">
        <v>23</v>
      </c>
      <c r="O3764">
        <v>1</v>
      </c>
      <c r="P3764">
        <v>16</v>
      </c>
      <c r="Q3764">
        <v>15.4422257903115</v>
      </c>
      <c r="R3764">
        <v>7.6</v>
      </c>
      <c r="T3764" s="358" t="str">
        <f t="shared" si="163"/>
        <v>2014AllSexNon-Maori24Poisoning by solids and liquids</v>
      </c>
      <c r="U3764" s="360">
        <v>2014</v>
      </c>
      <c r="V3764" s="360" t="s">
        <v>17</v>
      </c>
      <c r="W3764" s="360" t="s">
        <v>19</v>
      </c>
      <c r="X3764" s="360">
        <v>24</v>
      </c>
      <c r="Y3764" s="360" t="s">
        <v>47</v>
      </c>
      <c r="Z3764" s="360">
        <v>31</v>
      </c>
      <c r="AA3764" s="360">
        <v>153</v>
      </c>
      <c r="AB3764" s="360">
        <v>20.3</v>
      </c>
    </row>
    <row r="3765" spans="10:28" x14ac:dyDescent="0.2">
      <c r="J3765" s="358" t="str">
        <f t="shared" si="162"/>
        <v>2014MaleAllEth232</v>
      </c>
      <c r="K3765" s="359">
        <v>2014</v>
      </c>
      <c r="L3765" t="s">
        <v>20</v>
      </c>
      <c r="M3765" t="s">
        <v>27</v>
      </c>
      <c r="N3765">
        <v>23</v>
      </c>
      <c r="O3765">
        <v>2</v>
      </c>
      <c r="P3765">
        <v>18</v>
      </c>
      <c r="Q3765">
        <v>15.862443415628301</v>
      </c>
      <c r="R3765">
        <v>7.3</v>
      </c>
      <c r="T3765" s="358" t="str">
        <f t="shared" si="163"/>
        <v>2014AllSexNon-Maori25Poisoning by solids and liquids</v>
      </c>
      <c r="U3765" s="360">
        <v>2014</v>
      </c>
      <c r="V3765" s="360" t="s">
        <v>17</v>
      </c>
      <c r="W3765" s="360" t="s">
        <v>19</v>
      </c>
      <c r="X3765" s="360">
        <v>25</v>
      </c>
      <c r="Y3765" s="360" t="s">
        <v>47</v>
      </c>
      <c r="Z3765" s="360">
        <v>15</v>
      </c>
      <c r="AA3765" s="360">
        <v>60</v>
      </c>
      <c r="AB3765" s="360">
        <v>25</v>
      </c>
    </row>
    <row r="3766" spans="10:28" x14ac:dyDescent="0.2">
      <c r="J3766" s="358" t="str">
        <f t="shared" si="162"/>
        <v>2014MaleAllEth233</v>
      </c>
      <c r="K3766" s="359">
        <v>2014</v>
      </c>
      <c r="L3766" t="s">
        <v>20</v>
      </c>
      <c r="M3766" t="s">
        <v>27</v>
      </c>
      <c r="N3766">
        <v>23</v>
      </c>
      <c r="O3766">
        <v>3</v>
      </c>
      <c r="P3766">
        <v>28</v>
      </c>
      <c r="Q3766">
        <v>23.876656075765801</v>
      </c>
      <c r="R3766">
        <v>8.8000000000000007</v>
      </c>
      <c r="T3766" s="358" t="str">
        <f t="shared" si="163"/>
        <v>2014AllSexNon-Maori22Sharp object</v>
      </c>
      <c r="U3766" s="360">
        <v>2014</v>
      </c>
      <c r="V3766" s="360" t="s">
        <v>17</v>
      </c>
      <c r="W3766" s="360" t="s">
        <v>19</v>
      </c>
      <c r="X3766" s="360">
        <v>22</v>
      </c>
      <c r="Y3766" s="360" t="s">
        <v>48</v>
      </c>
      <c r="Z3766" s="360">
        <v>1</v>
      </c>
      <c r="AA3766" s="360">
        <v>62</v>
      </c>
      <c r="AB3766" s="360">
        <v>1.6</v>
      </c>
    </row>
    <row r="3767" spans="10:28" x14ac:dyDescent="0.2">
      <c r="J3767" s="358" t="str">
        <f t="shared" si="162"/>
        <v>2014MaleAllEth234</v>
      </c>
      <c r="K3767" s="359">
        <v>2014</v>
      </c>
      <c r="L3767" t="s">
        <v>20</v>
      </c>
      <c r="M3767" t="s">
        <v>27</v>
      </c>
      <c r="N3767">
        <v>23</v>
      </c>
      <c r="O3767">
        <v>4</v>
      </c>
      <c r="P3767">
        <v>32</v>
      </c>
      <c r="Q3767">
        <v>27.725828794575001</v>
      </c>
      <c r="R3767">
        <v>9.6</v>
      </c>
      <c r="T3767" s="358" t="str">
        <f t="shared" si="163"/>
        <v>2014AllSexNon-Maori23Sharp object</v>
      </c>
      <c r="U3767" s="360">
        <v>2014</v>
      </c>
      <c r="V3767" s="360" t="s">
        <v>17</v>
      </c>
      <c r="W3767" s="360" t="s">
        <v>19</v>
      </c>
      <c r="X3767" s="360">
        <v>23</v>
      </c>
      <c r="Y3767" s="360" t="s">
        <v>48</v>
      </c>
      <c r="Z3767" s="360">
        <v>3</v>
      </c>
      <c r="AA3767" s="360">
        <v>139</v>
      </c>
      <c r="AB3767" s="360">
        <v>2.2000000000000002</v>
      </c>
    </row>
    <row r="3768" spans="10:28" x14ac:dyDescent="0.2">
      <c r="J3768" s="358" t="str">
        <f t="shared" si="162"/>
        <v>2014MaleAllEth235</v>
      </c>
      <c r="K3768" s="359">
        <v>2014</v>
      </c>
      <c r="L3768" t="s">
        <v>20</v>
      </c>
      <c r="M3768" t="s">
        <v>27</v>
      </c>
      <c r="N3768">
        <v>23</v>
      </c>
      <c r="O3768">
        <v>5</v>
      </c>
      <c r="P3768">
        <v>43</v>
      </c>
      <c r="Q3768">
        <v>40.605030570751701</v>
      </c>
      <c r="R3768">
        <v>12.1</v>
      </c>
      <c r="T3768" s="358" t="str">
        <f t="shared" si="163"/>
        <v>2014AllSexNon-Maori24Sharp object</v>
      </c>
      <c r="U3768" s="360">
        <v>2014</v>
      </c>
      <c r="V3768" s="360" t="s">
        <v>17</v>
      </c>
      <c r="W3768" s="360" t="s">
        <v>19</v>
      </c>
      <c r="X3768" s="360">
        <v>24</v>
      </c>
      <c r="Y3768" s="360" t="s">
        <v>48</v>
      </c>
      <c r="Z3768" s="360">
        <v>5</v>
      </c>
      <c r="AA3768" s="360">
        <v>153</v>
      </c>
      <c r="AB3768" s="360">
        <v>3.3</v>
      </c>
    </row>
    <row r="3769" spans="10:28" x14ac:dyDescent="0.2">
      <c r="J3769" s="358" t="str">
        <f t="shared" si="162"/>
        <v>2014MaleAllEth241</v>
      </c>
      <c r="K3769" s="359">
        <v>2014</v>
      </c>
      <c r="L3769" t="s">
        <v>20</v>
      </c>
      <c r="M3769" t="s">
        <v>27</v>
      </c>
      <c r="N3769">
        <v>24</v>
      </c>
      <c r="O3769">
        <v>1</v>
      </c>
      <c r="P3769">
        <v>16</v>
      </c>
      <c r="Q3769">
        <v>11.6771462106708</v>
      </c>
      <c r="R3769">
        <v>5.7</v>
      </c>
      <c r="T3769" s="358" t="str">
        <f t="shared" si="163"/>
        <v>2014AllSexNon-Maori25Sharp object</v>
      </c>
      <c r="U3769" s="360">
        <v>2014</v>
      </c>
      <c r="V3769" s="360" t="s">
        <v>17</v>
      </c>
      <c r="W3769" s="360" t="s">
        <v>19</v>
      </c>
      <c r="X3769" s="360">
        <v>25</v>
      </c>
      <c r="Y3769" s="360" t="s">
        <v>48</v>
      </c>
      <c r="Z3769" s="360">
        <v>1</v>
      </c>
      <c r="AA3769" s="360">
        <v>60</v>
      </c>
      <c r="AB3769" s="360">
        <v>1.7</v>
      </c>
    </row>
    <row r="3770" spans="10:28" x14ac:dyDescent="0.2">
      <c r="J3770" s="358" t="str">
        <f t="shared" si="162"/>
        <v>2014MaleAllEth242</v>
      </c>
      <c r="K3770" s="359">
        <v>2014</v>
      </c>
      <c r="L3770" t="s">
        <v>20</v>
      </c>
      <c r="M3770" t="s">
        <v>27</v>
      </c>
      <c r="N3770">
        <v>24</v>
      </c>
      <c r="O3770">
        <v>2</v>
      </c>
      <c r="P3770">
        <v>17</v>
      </c>
      <c r="Q3770">
        <v>13.9840551551797</v>
      </c>
      <c r="R3770">
        <v>6.6</v>
      </c>
      <c r="T3770" s="358" t="str">
        <f t="shared" si="163"/>
        <v>2014AllSexNon-Maori22Submersion (drowning)</v>
      </c>
      <c r="U3770" s="360">
        <v>2014</v>
      </c>
      <c r="V3770" s="360" t="s">
        <v>17</v>
      </c>
      <c r="W3770" s="360" t="s">
        <v>19</v>
      </c>
      <c r="X3770" s="360">
        <v>22</v>
      </c>
      <c r="Y3770" s="360" t="s">
        <v>49</v>
      </c>
      <c r="Z3770" s="360">
        <v>1</v>
      </c>
      <c r="AA3770" s="360">
        <v>62</v>
      </c>
      <c r="AB3770" s="360">
        <v>1.6</v>
      </c>
    </row>
    <row r="3771" spans="10:28" x14ac:dyDescent="0.2">
      <c r="J3771" s="358" t="str">
        <f t="shared" si="162"/>
        <v>2014MaleAllEth243</v>
      </c>
      <c r="K3771" s="359">
        <v>2014</v>
      </c>
      <c r="L3771" t="s">
        <v>20</v>
      </c>
      <c r="M3771" t="s">
        <v>27</v>
      </c>
      <c r="N3771">
        <v>24</v>
      </c>
      <c r="O3771">
        <v>3</v>
      </c>
      <c r="P3771">
        <v>23</v>
      </c>
      <c r="Q3771">
        <v>21.006545758649999</v>
      </c>
      <c r="R3771">
        <v>8.6</v>
      </c>
      <c r="T3771" s="358" t="str">
        <f t="shared" si="163"/>
        <v>2014AllSexNon-Maori23Submersion (drowning)</v>
      </c>
      <c r="U3771" s="360">
        <v>2014</v>
      </c>
      <c r="V3771" s="360" t="s">
        <v>17</v>
      </c>
      <c r="W3771" s="360" t="s">
        <v>19</v>
      </c>
      <c r="X3771" s="360">
        <v>23</v>
      </c>
      <c r="Y3771" s="360" t="s">
        <v>49</v>
      </c>
      <c r="Z3771" s="360">
        <v>1</v>
      </c>
      <c r="AA3771" s="360">
        <v>139</v>
      </c>
      <c r="AB3771" s="360">
        <v>0.7</v>
      </c>
    </row>
    <row r="3772" spans="10:28" x14ac:dyDescent="0.2">
      <c r="J3772" s="358" t="str">
        <f t="shared" si="162"/>
        <v>2014MaleAllEth244</v>
      </c>
      <c r="K3772" s="359">
        <v>2014</v>
      </c>
      <c r="L3772" t="s">
        <v>20</v>
      </c>
      <c r="M3772" t="s">
        <v>27</v>
      </c>
      <c r="N3772">
        <v>24</v>
      </c>
      <c r="O3772">
        <v>4</v>
      </c>
      <c r="P3772">
        <v>30</v>
      </c>
      <c r="Q3772">
        <v>30.176426965838601</v>
      </c>
      <c r="R3772">
        <v>10.8</v>
      </c>
      <c r="T3772" s="358" t="str">
        <f t="shared" si="163"/>
        <v>2014AllSexNon-Maori24Submersion (drowning)</v>
      </c>
      <c r="U3772" s="360">
        <v>2014</v>
      </c>
      <c r="V3772" s="360" t="s">
        <v>17</v>
      </c>
      <c r="W3772" s="360" t="s">
        <v>19</v>
      </c>
      <c r="X3772" s="360">
        <v>24</v>
      </c>
      <c r="Y3772" s="360" t="s">
        <v>49</v>
      </c>
      <c r="Z3772" s="360">
        <v>5</v>
      </c>
      <c r="AA3772" s="360">
        <v>153</v>
      </c>
      <c r="AB3772" s="360">
        <v>3.3</v>
      </c>
    </row>
    <row r="3773" spans="10:28" x14ac:dyDescent="0.2">
      <c r="J3773" s="358" t="str">
        <f t="shared" si="162"/>
        <v>2014MaleAllEth245</v>
      </c>
      <c r="K3773" s="359">
        <v>2014</v>
      </c>
      <c r="L3773" t="s">
        <v>20</v>
      </c>
      <c r="M3773" t="s">
        <v>27</v>
      </c>
      <c r="N3773">
        <v>24</v>
      </c>
      <c r="O3773">
        <v>5</v>
      </c>
      <c r="P3773">
        <v>25</v>
      </c>
      <c r="Q3773">
        <v>27.548860343414699</v>
      </c>
      <c r="R3773">
        <v>10.8</v>
      </c>
      <c r="T3773" s="358" t="str">
        <f t="shared" si="163"/>
        <v>2014AllSexNon-Maori25Submersion (drowning)</v>
      </c>
      <c r="U3773" s="360">
        <v>2014</v>
      </c>
      <c r="V3773" s="360" t="s">
        <v>17</v>
      </c>
      <c r="W3773" s="360" t="s">
        <v>19</v>
      </c>
      <c r="X3773" s="360">
        <v>25</v>
      </c>
      <c r="Y3773" s="360" t="s">
        <v>49</v>
      </c>
      <c r="Z3773" s="360">
        <v>2</v>
      </c>
      <c r="AA3773" s="360">
        <v>60</v>
      </c>
      <c r="AB3773" s="360">
        <v>3.3</v>
      </c>
    </row>
    <row r="3774" spans="10:28" x14ac:dyDescent="0.2">
      <c r="J3774" s="358" t="str">
        <f t="shared" si="162"/>
        <v>2014MaleAllEth251</v>
      </c>
      <c r="K3774" s="359">
        <v>2014</v>
      </c>
      <c r="L3774" t="s">
        <v>20</v>
      </c>
      <c r="M3774" t="s">
        <v>27</v>
      </c>
      <c r="N3774">
        <v>25</v>
      </c>
      <c r="O3774">
        <v>1</v>
      </c>
      <c r="P3774">
        <v>8</v>
      </c>
      <c r="Q3774">
        <v>12.252945607282401</v>
      </c>
      <c r="R3774">
        <v>8.5</v>
      </c>
      <c r="T3774" s="358" t="str">
        <f t="shared" si="163"/>
        <v>2014FemaleAllEth21Firearms and explosives</v>
      </c>
      <c r="U3774" s="360">
        <v>2014</v>
      </c>
      <c r="V3774" s="360" t="s">
        <v>8</v>
      </c>
      <c r="W3774" s="360" t="s">
        <v>27</v>
      </c>
      <c r="X3774" s="360">
        <v>21</v>
      </c>
      <c r="Y3774" s="360" t="s">
        <v>42</v>
      </c>
      <c r="Z3774" s="360">
        <v>1</v>
      </c>
      <c r="AA3774" s="360">
        <v>3</v>
      </c>
      <c r="AB3774" s="360">
        <v>33.299999999999997</v>
      </c>
    </row>
    <row r="3775" spans="10:28" x14ac:dyDescent="0.2">
      <c r="J3775" s="358" t="str">
        <f t="shared" si="162"/>
        <v>2014MaleAllEth252</v>
      </c>
      <c r="K3775" s="359">
        <v>2014</v>
      </c>
      <c r="L3775" t="s">
        <v>20</v>
      </c>
      <c r="M3775" t="s">
        <v>27</v>
      </c>
      <c r="N3775">
        <v>25</v>
      </c>
      <c r="O3775">
        <v>2</v>
      </c>
      <c r="P3775">
        <v>5</v>
      </c>
      <c r="Q3775">
        <v>7.7780916701696103</v>
      </c>
      <c r="R3775">
        <v>6.8</v>
      </c>
      <c r="T3775" s="358" t="str">
        <f t="shared" si="163"/>
        <v>2014FemaleAllEth23Firearms and explosives</v>
      </c>
      <c r="U3775" s="360">
        <v>2014</v>
      </c>
      <c r="V3775" s="360" t="s">
        <v>8</v>
      </c>
      <c r="W3775" s="360" t="s">
        <v>27</v>
      </c>
      <c r="X3775" s="360">
        <v>23</v>
      </c>
      <c r="Y3775" s="360" t="s">
        <v>42</v>
      </c>
      <c r="Z3775" s="360">
        <v>1</v>
      </c>
      <c r="AA3775" s="360">
        <v>49</v>
      </c>
      <c r="AB3775" s="360">
        <v>2</v>
      </c>
    </row>
    <row r="3776" spans="10:28" x14ac:dyDescent="0.2">
      <c r="J3776" s="358" t="str">
        <f t="shared" si="162"/>
        <v>2014MaleAllEth253</v>
      </c>
      <c r="K3776" s="359">
        <v>2014</v>
      </c>
      <c r="L3776" t="s">
        <v>20</v>
      </c>
      <c r="M3776" t="s">
        <v>27</v>
      </c>
      <c r="N3776">
        <v>25</v>
      </c>
      <c r="O3776">
        <v>3</v>
      </c>
      <c r="P3776">
        <v>8</v>
      </c>
      <c r="Q3776">
        <v>12.935301823733599</v>
      </c>
      <c r="R3776">
        <v>9</v>
      </c>
      <c r="T3776" s="358" t="str">
        <f t="shared" si="163"/>
        <v>2014FemaleAllEth24Firearms and explosives</v>
      </c>
      <c r="U3776" s="360">
        <v>2014</v>
      </c>
      <c r="V3776" s="360" t="s">
        <v>8</v>
      </c>
      <c r="W3776" s="360" t="s">
        <v>27</v>
      </c>
      <c r="X3776" s="360">
        <v>24</v>
      </c>
      <c r="Y3776" s="360" t="s">
        <v>42</v>
      </c>
      <c r="Z3776" s="360">
        <v>1</v>
      </c>
      <c r="AA3776" s="360">
        <v>45</v>
      </c>
      <c r="AB3776" s="360">
        <v>2.2000000000000002</v>
      </c>
    </row>
    <row r="3777" spans="10:28" x14ac:dyDescent="0.2">
      <c r="J3777" s="358" t="str">
        <f t="shared" si="162"/>
        <v>2014MaleAllEth254</v>
      </c>
      <c r="K3777" s="359">
        <v>2014</v>
      </c>
      <c r="L3777" t="s">
        <v>20</v>
      </c>
      <c r="M3777" t="s">
        <v>27</v>
      </c>
      <c r="N3777">
        <v>25</v>
      </c>
      <c r="O3777">
        <v>4</v>
      </c>
      <c r="P3777">
        <v>16</v>
      </c>
      <c r="Q3777">
        <v>26.680356204078599</v>
      </c>
      <c r="R3777">
        <v>13.1</v>
      </c>
      <c r="T3777" s="358" t="str">
        <f t="shared" si="163"/>
        <v>2014FemaleAllEth21Hanging, strangulation and suffocation</v>
      </c>
      <c r="U3777" s="360">
        <v>2014</v>
      </c>
      <c r="V3777" s="360" t="s">
        <v>8</v>
      </c>
      <c r="W3777" s="360" t="s">
        <v>27</v>
      </c>
      <c r="X3777" s="360">
        <v>21</v>
      </c>
      <c r="Y3777" s="360" t="s">
        <v>43</v>
      </c>
      <c r="Z3777" s="360">
        <v>1</v>
      </c>
      <c r="AA3777" s="360">
        <v>3</v>
      </c>
      <c r="AB3777" s="360">
        <v>33.299999999999997</v>
      </c>
    </row>
    <row r="3778" spans="10:28" x14ac:dyDescent="0.2">
      <c r="J3778" s="358" t="str">
        <f t="shared" si="162"/>
        <v>2014MaleAllEth255</v>
      </c>
      <c r="K3778" s="359">
        <v>2014</v>
      </c>
      <c r="L3778" t="s">
        <v>20</v>
      </c>
      <c r="M3778" t="s">
        <v>27</v>
      </c>
      <c r="N3778">
        <v>25</v>
      </c>
      <c r="O3778">
        <v>5</v>
      </c>
      <c r="P3778">
        <v>11</v>
      </c>
      <c r="Q3778">
        <v>22.194163576138202</v>
      </c>
      <c r="R3778">
        <v>13.1</v>
      </c>
      <c r="T3778" s="358" t="str">
        <f t="shared" si="163"/>
        <v>2014FemaleAllEth22Hanging, strangulation and suffocation</v>
      </c>
      <c r="U3778" s="360">
        <v>2014</v>
      </c>
      <c r="V3778" s="360" t="s">
        <v>8</v>
      </c>
      <c r="W3778" s="360" t="s">
        <v>27</v>
      </c>
      <c r="X3778" s="360">
        <v>22</v>
      </c>
      <c r="Y3778" s="360" t="s">
        <v>43</v>
      </c>
      <c r="Z3778" s="360">
        <v>18</v>
      </c>
      <c r="AA3778" s="360">
        <v>22</v>
      </c>
      <c r="AB3778" s="360">
        <v>81.8</v>
      </c>
    </row>
    <row r="3779" spans="10:28" x14ac:dyDescent="0.2">
      <c r="J3779" s="358" t="str">
        <f t="shared" si="162"/>
        <v>2014MaleMaori211</v>
      </c>
      <c r="K3779" s="359">
        <v>2014</v>
      </c>
      <c r="L3779" t="s">
        <v>20</v>
      </c>
      <c r="M3779" t="s">
        <v>18</v>
      </c>
      <c r="N3779">
        <v>21</v>
      </c>
      <c r="O3779">
        <v>1</v>
      </c>
      <c r="P3779">
        <v>0</v>
      </c>
      <c r="T3779" s="358" t="str">
        <f t="shared" si="163"/>
        <v>2014FemaleAllEth23Hanging, strangulation and suffocation</v>
      </c>
      <c r="U3779" s="360">
        <v>2014</v>
      </c>
      <c r="V3779" s="360" t="s">
        <v>8</v>
      </c>
      <c r="W3779" s="360" t="s">
        <v>27</v>
      </c>
      <c r="X3779" s="360">
        <v>23</v>
      </c>
      <c r="Y3779" s="360" t="s">
        <v>43</v>
      </c>
      <c r="Z3779" s="360">
        <v>37</v>
      </c>
      <c r="AA3779" s="360">
        <v>49</v>
      </c>
      <c r="AB3779" s="360">
        <v>75.5</v>
      </c>
    </row>
    <row r="3780" spans="10:28" x14ac:dyDescent="0.2">
      <c r="J3780" s="358" t="str">
        <f t="shared" ref="J3780:J3843" si="164">K3780&amp;L3780&amp;M3780&amp;N3780&amp;O3780</f>
        <v>2014MaleMaori212</v>
      </c>
      <c r="K3780" s="359">
        <v>2014</v>
      </c>
      <c r="L3780" t="s">
        <v>20</v>
      </c>
      <c r="M3780" t="s">
        <v>18</v>
      </c>
      <c r="N3780">
        <v>21</v>
      </c>
      <c r="O3780">
        <v>2</v>
      </c>
      <c r="P3780">
        <v>0</v>
      </c>
      <c r="T3780" s="358" t="str">
        <f t="shared" si="163"/>
        <v>2014FemaleAllEth24Hanging, strangulation and suffocation</v>
      </c>
      <c r="U3780" s="360">
        <v>2014</v>
      </c>
      <c r="V3780" s="360" t="s">
        <v>8</v>
      </c>
      <c r="W3780" s="360" t="s">
        <v>27</v>
      </c>
      <c r="X3780" s="360">
        <v>24</v>
      </c>
      <c r="Y3780" s="360" t="s">
        <v>43</v>
      </c>
      <c r="Z3780" s="360">
        <v>11</v>
      </c>
      <c r="AA3780" s="360">
        <v>45</v>
      </c>
      <c r="AB3780" s="360">
        <v>24.4</v>
      </c>
    </row>
    <row r="3781" spans="10:28" x14ac:dyDescent="0.2">
      <c r="J3781" s="358" t="str">
        <f t="shared" si="164"/>
        <v>2014MaleMaori213</v>
      </c>
      <c r="K3781" s="359">
        <v>2014</v>
      </c>
      <c r="L3781" t="s">
        <v>20</v>
      </c>
      <c r="M3781" t="s">
        <v>18</v>
      </c>
      <c r="N3781">
        <v>21</v>
      </c>
      <c r="O3781">
        <v>3</v>
      </c>
      <c r="P3781">
        <v>0</v>
      </c>
      <c r="T3781" s="358" t="str">
        <f t="shared" ref="T3781:T3844" si="165">U3781&amp;V3781&amp;W3781&amp;X3781&amp;Y3781</f>
        <v>2014FemaleAllEth25Hanging, strangulation and suffocation</v>
      </c>
      <c r="U3781" s="360">
        <v>2014</v>
      </c>
      <c r="V3781" s="360" t="s">
        <v>8</v>
      </c>
      <c r="W3781" s="360" t="s">
        <v>27</v>
      </c>
      <c r="X3781" s="360">
        <v>25</v>
      </c>
      <c r="Y3781" s="360" t="s">
        <v>43</v>
      </c>
      <c r="Z3781" s="360">
        <v>2</v>
      </c>
      <c r="AA3781" s="360">
        <v>11</v>
      </c>
      <c r="AB3781" s="360">
        <v>18.2</v>
      </c>
    </row>
    <row r="3782" spans="10:28" x14ac:dyDescent="0.2">
      <c r="J3782" s="358" t="str">
        <f t="shared" si="164"/>
        <v>2014MaleMaori214</v>
      </c>
      <c r="K3782" s="359">
        <v>2014</v>
      </c>
      <c r="L3782" t="s">
        <v>20</v>
      </c>
      <c r="M3782" t="s">
        <v>18</v>
      </c>
      <c r="N3782">
        <v>21</v>
      </c>
      <c r="O3782">
        <v>4</v>
      </c>
      <c r="P3782">
        <v>1</v>
      </c>
      <c r="T3782" s="358" t="str">
        <f t="shared" si="165"/>
        <v>2014FemaleAllEth22Jumping from a high place</v>
      </c>
      <c r="U3782" s="360">
        <v>2014</v>
      </c>
      <c r="V3782" s="360" t="s">
        <v>8</v>
      </c>
      <c r="W3782" s="360" t="s">
        <v>27</v>
      </c>
      <c r="X3782" s="360">
        <v>22</v>
      </c>
      <c r="Y3782" s="360" t="s">
        <v>44</v>
      </c>
      <c r="Z3782" s="360">
        <v>1</v>
      </c>
      <c r="AA3782" s="360">
        <v>22</v>
      </c>
      <c r="AB3782" s="360">
        <v>4.5</v>
      </c>
    </row>
    <row r="3783" spans="10:28" x14ac:dyDescent="0.2">
      <c r="J3783" s="358" t="str">
        <f t="shared" si="164"/>
        <v>2014MaleMaori215</v>
      </c>
      <c r="K3783" s="359">
        <v>2014</v>
      </c>
      <c r="L3783" t="s">
        <v>20</v>
      </c>
      <c r="M3783" t="s">
        <v>18</v>
      </c>
      <c r="N3783">
        <v>21</v>
      </c>
      <c r="O3783">
        <v>5</v>
      </c>
      <c r="P3783">
        <v>0</v>
      </c>
      <c r="T3783" s="358" t="str">
        <f t="shared" si="165"/>
        <v>2014FemaleAllEth24Jumping from a high place</v>
      </c>
      <c r="U3783" s="360">
        <v>2014</v>
      </c>
      <c r="V3783" s="360" t="s">
        <v>8</v>
      </c>
      <c r="W3783" s="360" t="s">
        <v>27</v>
      </c>
      <c r="X3783" s="360">
        <v>24</v>
      </c>
      <c r="Y3783" s="360" t="s">
        <v>44</v>
      </c>
      <c r="Z3783" s="360">
        <v>3</v>
      </c>
      <c r="AA3783" s="360">
        <v>45</v>
      </c>
      <c r="AB3783" s="360">
        <v>6.7</v>
      </c>
    </row>
    <row r="3784" spans="10:28" x14ac:dyDescent="0.2">
      <c r="J3784" s="358" t="str">
        <f t="shared" si="164"/>
        <v>2014MaleMaori221</v>
      </c>
      <c r="K3784" s="359">
        <v>2014</v>
      </c>
      <c r="L3784" t="s">
        <v>20</v>
      </c>
      <c r="M3784" t="s">
        <v>18</v>
      </c>
      <c r="N3784">
        <v>22</v>
      </c>
      <c r="O3784">
        <v>1</v>
      </c>
      <c r="P3784">
        <v>2</v>
      </c>
      <c r="Q3784">
        <v>34.6737729634198</v>
      </c>
      <c r="R3784">
        <v>48.1</v>
      </c>
      <c r="T3784" s="358" t="str">
        <f t="shared" si="165"/>
        <v>2014FemaleAllEth25Jumping from a high place</v>
      </c>
      <c r="U3784" s="360">
        <v>2014</v>
      </c>
      <c r="V3784" s="360" t="s">
        <v>8</v>
      </c>
      <c r="W3784" s="360" t="s">
        <v>27</v>
      </c>
      <c r="X3784" s="360">
        <v>25</v>
      </c>
      <c r="Y3784" s="360" t="s">
        <v>44</v>
      </c>
      <c r="Z3784" s="360">
        <v>1</v>
      </c>
      <c r="AA3784" s="360">
        <v>11</v>
      </c>
      <c r="AB3784" s="360">
        <v>9.1</v>
      </c>
    </row>
    <row r="3785" spans="10:28" x14ac:dyDescent="0.2">
      <c r="J3785" s="358" t="str">
        <f t="shared" si="164"/>
        <v>2014MaleMaori222</v>
      </c>
      <c r="K3785" s="359">
        <v>2014</v>
      </c>
      <c r="L3785" t="s">
        <v>20</v>
      </c>
      <c r="M3785" t="s">
        <v>18</v>
      </c>
      <c r="N3785">
        <v>22</v>
      </c>
      <c r="O3785">
        <v>2</v>
      </c>
      <c r="P3785">
        <v>2</v>
      </c>
      <c r="Q3785">
        <v>25.9255267789862</v>
      </c>
      <c r="R3785">
        <v>35.9</v>
      </c>
      <c r="T3785" s="358" t="str">
        <f t="shared" si="165"/>
        <v>2014FemaleAllEth21Other</v>
      </c>
      <c r="U3785" s="360">
        <v>2014</v>
      </c>
      <c r="V3785" s="360" t="s">
        <v>8</v>
      </c>
      <c r="W3785" s="360" t="s">
        <v>27</v>
      </c>
      <c r="X3785" s="360">
        <v>21</v>
      </c>
      <c r="Y3785" s="360" t="s">
        <v>45</v>
      </c>
      <c r="Z3785" s="360">
        <v>1</v>
      </c>
      <c r="AA3785" s="360">
        <v>3</v>
      </c>
      <c r="AB3785" s="360">
        <v>33.299999999999997</v>
      </c>
    </row>
    <row r="3786" spans="10:28" x14ac:dyDescent="0.2">
      <c r="J3786" s="358" t="str">
        <f t="shared" si="164"/>
        <v>2014MaleMaori223</v>
      </c>
      <c r="K3786" s="359">
        <v>2014</v>
      </c>
      <c r="L3786" t="s">
        <v>20</v>
      </c>
      <c r="M3786" t="s">
        <v>18</v>
      </c>
      <c r="N3786">
        <v>22</v>
      </c>
      <c r="O3786">
        <v>3</v>
      </c>
      <c r="P3786">
        <v>2</v>
      </c>
      <c r="Q3786">
        <v>18.102455575434799</v>
      </c>
      <c r="R3786">
        <v>25.1</v>
      </c>
      <c r="T3786" s="358" t="str">
        <f t="shared" si="165"/>
        <v>2014FemaleAllEth24Other</v>
      </c>
      <c r="U3786" s="360">
        <v>2014</v>
      </c>
      <c r="V3786" s="360" t="s">
        <v>8</v>
      </c>
      <c r="W3786" s="360" t="s">
        <v>27</v>
      </c>
      <c r="X3786" s="360">
        <v>24</v>
      </c>
      <c r="Y3786" s="360" t="s">
        <v>45</v>
      </c>
      <c r="Z3786" s="360">
        <v>1</v>
      </c>
      <c r="AA3786" s="360">
        <v>45</v>
      </c>
      <c r="AB3786" s="360">
        <v>2.2000000000000002</v>
      </c>
    </row>
    <row r="3787" spans="10:28" x14ac:dyDescent="0.2">
      <c r="J3787" s="358" t="str">
        <f t="shared" si="164"/>
        <v>2014MaleMaori224</v>
      </c>
      <c r="K3787" s="359">
        <v>2014</v>
      </c>
      <c r="L3787" t="s">
        <v>20</v>
      </c>
      <c r="M3787" t="s">
        <v>18</v>
      </c>
      <c r="N3787">
        <v>22</v>
      </c>
      <c r="O3787">
        <v>4</v>
      </c>
      <c r="P3787">
        <v>3</v>
      </c>
      <c r="Q3787">
        <v>19.227822440128801</v>
      </c>
      <c r="R3787">
        <v>21.8</v>
      </c>
      <c r="T3787" s="358" t="str">
        <f t="shared" si="165"/>
        <v>2014FemaleAllEth22Poisoning by gases and vapours</v>
      </c>
      <c r="U3787" s="360">
        <v>2014</v>
      </c>
      <c r="V3787" s="360" t="s">
        <v>8</v>
      </c>
      <c r="W3787" s="360" t="s">
        <v>27</v>
      </c>
      <c r="X3787" s="360">
        <v>22</v>
      </c>
      <c r="Y3787" s="360" t="s">
        <v>46</v>
      </c>
      <c r="Z3787" s="360">
        <v>1</v>
      </c>
      <c r="AA3787" s="360">
        <v>22</v>
      </c>
      <c r="AB3787" s="360">
        <v>4.5</v>
      </c>
    </row>
    <row r="3788" spans="10:28" x14ac:dyDescent="0.2">
      <c r="J3788" s="358" t="str">
        <f t="shared" si="164"/>
        <v>2014MaleMaori225</v>
      </c>
      <c r="K3788" s="359">
        <v>2014</v>
      </c>
      <c r="L3788" t="s">
        <v>20</v>
      </c>
      <c r="M3788" t="s">
        <v>18</v>
      </c>
      <c r="N3788">
        <v>22</v>
      </c>
      <c r="O3788">
        <v>5</v>
      </c>
      <c r="P3788">
        <v>11</v>
      </c>
      <c r="Q3788">
        <v>42.434641086068403</v>
      </c>
      <c r="R3788">
        <v>25.1</v>
      </c>
      <c r="T3788" s="358" t="str">
        <f t="shared" si="165"/>
        <v>2014FemaleAllEth24Poisoning by gases and vapours</v>
      </c>
      <c r="U3788" s="360">
        <v>2014</v>
      </c>
      <c r="V3788" s="360" t="s">
        <v>8</v>
      </c>
      <c r="W3788" s="360" t="s">
        <v>27</v>
      </c>
      <c r="X3788" s="360">
        <v>24</v>
      </c>
      <c r="Y3788" s="360" t="s">
        <v>46</v>
      </c>
      <c r="Z3788" s="360">
        <v>8</v>
      </c>
      <c r="AA3788" s="360">
        <v>45</v>
      </c>
      <c r="AB3788" s="360">
        <v>17.8</v>
      </c>
    </row>
    <row r="3789" spans="10:28" x14ac:dyDescent="0.2">
      <c r="J3789" s="358" t="str">
        <f t="shared" si="164"/>
        <v>2014MaleMaori231</v>
      </c>
      <c r="K3789" s="359">
        <v>2014</v>
      </c>
      <c r="L3789" t="s">
        <v>20</v>
      </c>
      <c r="M3789" t="s">
        <v>18</v>
      </c>
      <c r="N3789">
        <v>23</v>
      </c>
      <c r="O3789">
        <v>1</v>
      </c>
      <c r="P3789">
        <v>3</v>
      </c>
      <c r="Q3789">
        <v>40.874458844593498</v>
      </c>
      <c r="R3789">
        <v>46.3</v>
      </c>
      <c r="T3789" s="358" t="str">
        <f t="shared" si="165"/>
        <v>2014FemaleAllEth22Poisoning by solids and liquids</v>
      </c>
      <c r="U3789" s="360">
        <v>2014</v>
      </c>
      <c r="V3789" s="360" t="s">
        <v>8</v>
      </c>
      <c r="W3789" s="360" t="s">
        <v>27</v>
      </c>
      <c r="X3789" s="360">
        <v>22</v>
      </c>
      <c r="Y3789" s="360" t="s">
        <v>47</v>
      </c>
      <c r="Z3789" s="360">
        <v>1</v>
      </c>
      <c r="AA3789" s="360">
        <v>22</v>
      </c>
      <c r="AB3789" s="360">
        <v>4.5</v>
      </c>
    </row>
    <row r="3790" spans="10:28" x14ac:dyDescent="0.2">
      <c r="J3790" s="358" t="str">
        <f t="shared" si="164"/>
        <v>2014MaleMaori232</v>
      </c>
      <c r="K3790" s="359">
        <v>2014</v>
      </c>
      <c r="L3790" t="s">
        <v>20</v>
      </c>
      <c r="M3790" t="s">
        <v>18</v>
      </c>
      <c r="N3790">
        <v>23</v>
      </c>
      <c r="O3790">
        <v>2</v>
      </c>
      <c r="P3790">
        <v>2</v>
      </c>
      <c r="Q3790">
        <v>20.066634257273702</v>
      </c>
      <c r="R3790">
        <v>27.8</v>
      </c>
      <c r="T3790" s="358" t="str">
        <f t="shared" si="165"/>
        <v>2014FemaleAllEth23Poisoning by solids and liquids</v>
      </c>
      <c r="U3790" s="360">
        <v>2014</v>
      </c>
      <c r="V3790" s="360" t="s">
        <v>8</v>
      </c>
      <c r="W3790" s="360" t="s">
        <v>27</v>
      </c>
      <c r="X3790" s="360">
        <v>23</v>
      </c>
      <c r="Y3790" s="360" t="s">
        <v>47</v>
      </c>
      <c r="Z3790" s="360">
        <v>9</v>
      </c>
      <c r="AA3790" s="360">
        <v>49</v>
      </c>
      <c r="AB3790" s="360">
        <v>18.399999999999999</v>
      </c>
    </row>
    <row r="3791" spans="10:28" x14ac:dyDescent="0.2">
      <c r="J3791" s="358" t="str">
        <f t="shared" si="164"/>
        <v>2014MaleMaori233</v>
      </c>
      <c r="K3791" s="359">
        <v>2014</v>
      </c>
      <c r="L3791" t="s">
        <v>20</v>
      </c>
      <c r="M3791" t="s">
        <v>18</v>
      </c>
      <c r="N3791">
        <v>23</v>
      </c>
      <c r="O3791">
        <v>3</v>
      </c>
      <c r="P3791">
        <v>10</v>
      </c>
      <c r="Q3791">
        <v>72.143652237555102</v>
      </c>
      <c r="R3791">
        <v>44.7</v>
      </c>
      <c r="T3791" s="358" t="str">
        <f t="shared" si="165"/>
        <v>2014FemaleAllEth24Poisoning by solids and liquids</v>
      </c>
      <c r="U3791" s="360">
        <v>2014</v>
      </c>
      <c r="V3791" s="360" t="s">
        <v>8</v>
      </c>
      <c r="W3791" s="360" t="s">
        <v>27</v>
      </c>
      <c r="X3791" s="360">
        <v>24</v>
      </c>
      <c r="Y3791" s="360" t="s">
        <v>47</v>
      </c>
      <c r="Z3791" s="360">
        <v>17</v>
      </c>
      <c r="AA3791" s="360">
        <v>45</v>
      </c>
      <c r="AB3791" s="360">
        <v>37.799999999999997</v>
      </c>
    </row>
    <row r="3792" spans="10:28" x14ac:dyDescent="0.2">
      <c r="J3792" s="358" t="str">
        <f t="shared" si="164"/>
        <v>2014MaleMaori234</v>
      </c>
      <c r="K3792" s="359">
        <v>2014</v>
      </c>
      <c r="L3792" t="s">
        <v>20</v>
      </c>
      <c r="M3792" t="s">
        <v>18</v>
      </c>
      <c r="N3792">
        <v>23</v>
      </c>
      <c r="O3792">
        <v>4</v>
      </c>
      <c r="P3792">
        <v>10</v>
      </c>
      <c r="Q3792">
        <v>53.218335995262301</v>
      </c>
      <c r="R3792">
        <v>33</v>
      </c>
      <c r="T3792" s="358" t="str">
        <f t="shared" si="165"/>
        <v>2014FemaleAllEth25Poisoning by solids and liquids</v>
      </c>
      <c r="U3792" s="360">
        <v>2014</v>
      </c>
      <c r="V3792" s="360" t="s">
        <v>8</v>
      </c>
      <c r="W3792" s="360" t="s">
        <v>27</v>
      </c>
      <c r="X3792" s="360">
        <v>25</v>
      </c>
      <c r="Y3792" s="360" t="s">
        <v>47</v>
      </c>
      <c r="Z3792" s="360">
        <v>7</v>
      </c>
      <c r="AA3792" s="360">
        <v>11</v>
      </c>
      <c r="AB3792" s="360">
        <v>63.6</v>
      </c>
    </row>
    <row r="3793" spans="10:28" x14ac:dyDescent="0.2">
      <c r="J3793" s="358" t="str">
        <f t="shared" si="164"/>
        <v>2014MaleMaori235</v>
      </c>
      <c r="K3793" s="359">
        <v>2014</v>
      </c>
      <c r="L3793" t="s">
        <v>20</v>
      </c>
      <c r="M3793" t="s">
        <v>18</v>
      </c>
      <c r="N3793">
        <v>23</v>
      </c>
      <c r="O3793">
        <v>5</v>
      </c>
      <c r="P3793">
        <v>12</v>
      </c>
      <c r="Q3793">
        <v>42.755118830934499</v>
      </c>
      <c r="R3793">
        <v>24.2</v>
      </c>
      <c r="T3793" s="358" t="str">
        <f t="shared" si="165"/>
        <v>2014FemaleAllEth22Sharp object</v>
      </c>
      <c r="U3793" s="360">
        <v>2014</v>
      </c>
      <c r="V3793" s="360" t="s">
        <v>8</v>
      </c>
      <c r="W3793" s="360" t="s">
        <v>27</v>
      </c>
      <c r="X3793" s="360">
        <v>22</v>
      </c>
      <c r="Y3793" s="360" t="s">
        <v>48</v>
      </c>
      <c r="Z3793" s="360">
        <v>1</v>
      </c>
      <c r="AA3793" s="360">
        <v>22</v>
      </c>
      <c r="AB3793" s="360">
        <v>4.5</v>
      </c>
    </row>
    <row r="3794" spans="10:28" x14ac:dyDescent="0.2">
      <c r="J3794" s="358" t="str">
        <f t="shared" si="164"/>
        <v>2014MaleMaori241</v>
      </c>
      <c r="K3794" s="359">
        <v>2014</v>
      </c>
      <c r="L3794" t="s">
        <v>20</v>
      </c>
      <c r="M3794" t="s">
        <v>18</v>
      </c>
      <c r="N3794">
        <v>24</v>
      </c>
      <c r="O3794">
        <v>1</v>
      </c>
      <c r="P3794">
        <v>0</v>
      </c>
      <c r="Q3794">
        <v>0</v>
      </c>
      <c r="T3794" s="358" t="str">
        <f t="shared" si="165"/>
        <v>2014FemaleAllEth23Sharp object</v>
      </c>
      <c r="U3794" s="360">
        <v>2014</v>
      </c>
      <c r="V3794" s="360" t="s">
        <v>8</v>
      </c>
      <c r="W3794" s="360" t="s">
        <v>27</v>
      </c>
      <c r="X3794" s="360">
        <v>23</v>
      </c>
      <c r="Y3794" s="360" t="s">
        <v>48</v>
      </c>
      <c r="Z3794" s="360">
        <v>1</v>
      </c>
      <c r="AA3794" s="360">
        <v>49</v>
      </c>
      <c r="AB3794" s="360">
        <v>2</v>
      </c>
    </row>
    <row r="3795" spans="10:28" x14ac:dyDescent="0.2">
      <c r="J3795" s="358" t="str">
        <f t="shared" si="164"/>
        <v>2014MaleMaori242</v>
      </c>
      <c r="K3795" s="359">
        <v>2014</v>
      </c>
      <c r="L3795" t="s">
        <v>20</v>
      </c>
      <c r="M3795" t="s">
        <v>18</v>
      </c>
      <c r="N3795">
        <v>24</v>
      </c>
      <c r="O3795">
        <v>2</v>
      </c>
      <c r="P3795">
        <v>0</v>
      </c>
      <c r="Q3795">
        <v>0</v>
      </c>
      <c r="T3795" s="358" t="str">
        <f t="shared" si="165"/>
        <v>2014FemaleAllEth24Sharp object</v>
      </c>
      <c r="U3795" s="360">
        <v>2014</v>
      </c>
      <c r="V3795" s="360" t="s">
        <v>8</v>
      </c>
      <c r="W3795" s="360" t="s">
        <v>27</v>
      </c>
      <c r="X3795" s="360">
        <v>24</v>
      </c>
      <c r="Y3795" s="360" t="s">
        <v>48</v>
      </c>
      <c r="Z3795" s="360">
        <v>3</v>
      </c>
      <c r="AA3795" s="360">
        <v>45</v>
      </c>
      <c r="AB3795" s="360">
        <v>6.7</v>
      </c>
    </row>
    <row r="3796" spans="10:28" x14ac:dyDescent="0.2">
      <c r="J3796" s="358" t="str">
        <f t="shared" si="164"/>
        <v>2014MaleMaori243</v>
      </c>
      <c r="K3796" s="359">
        <v>2014</v>
      </c>
      <c r="L3796" t="s">
        <v>20</v>
      </c>
      <c r="M3796" t="s">
        <v>18</v>
      </c>
      <c r="N3796">
        <v>24</v>
      </c>
      <c r="O3796">
        <v>3</v>
      </c>
      <c r="P3796">
        <v>3</v>
      </c>
      <c r="Q3796">
        <v>29.371735876342701</v>
      </c>
      <c r="R3796">
        <v>33.200000000000003</v>
      </c>
      <c r="T3796" s="358" t="str">
        <f t="shared" si="165"/>
        <v>2014FemaleAllEth25Sharp object</v>
      </c>
      <c r="U3796" s="360">
        <v>2014</v>
      </c>
      <c r="V3796" s="360" t="s">
        <v>8</v>
      </c>
      <c r="W3796" s="360" t="s">
        <v>27</v>
      </c>
      <c r="X3796" s="360">
        <v>25</v>
      </c>
      <c r="Y3796" s="360" t="s">
        <v>48</v>
      </c>
      <c r="Z3796" s="360">
        <v>1</v>
      </c>
      <c r="AA3796" s="360">
        <v>11</v>
      </c>
      <c r="AB3796" s="360">
        <v>9.1</v>
      </c>
    </row>
    <row r="3797" spans="10:28" x14ac:dyDescent="0.2">
      <c r="J3797" s="358" t="str">
        <f t="shared" si="164"/>
        <v>2014MaleMaori244</v>
      </c>
      <c r="K3797" s="359">
        <v>2014</v>
      </c>
      <c r="L3797" t="s">
        <v>20</v>
      </c>
      <c r="M3797" t="s">
        <v>18</v>
      </c>
      <c r="N3797">
        <v>24</v>
      </c>
      <c r="O3797">
        <v>4</v>
      </c>
      <c r="P3797">
        <v>1</v>
      </c>
      <c r="Q3797">
        <v>7.1963503856166504</v>
      </c>
      <c r="R3797">
        <v>14.1</v>
      </c>
      <c r="T3797" s="358" t="str">
        <f t="shared" si="165"/>
        <v>2014FemaleAllEth23Submersion (drowning)</v>
      </c>
      <c r="U3797" s="360">
        <v>2014</v>
      </c>
      <c r="V3797" s="360" t="s">
        <v>8</v>
      </c>
      <c r="W3797" s="360" t="s">
        <v>27</v>
      </c>
      <c r="X3797" s="360">
        <v>23</v>
      </c>
      <c r="Y3797" s="360" t="s">
        <v>49</v>
      </c>
      <c r="Z3797" s="360">
        <v>1</v>
      </c>
      <c r="AA3797" s="360">
        <v>49</v>
      </c>
      <c r="AB3797" s="360">
        <v>2</v>
      </c>
    </row>
    <row r="3798" spans="10:28" x14ac:dyDescent="0.2">
      <c r="J3798" s="358" t="str">
        <f t="shared" si="164"/>
        <v>2014MaleMaori245</v>
      </c>
      <c r="K3798" s="359">
        <v>2014</v>
      </c>
      <c r="L3798" t="s">
        <v>20</v>
      </c>
      <c r="M3798" t="s">
        <v>18</v>
      </c>
      <c r="N3798">
        <v>24</v>
      </c>
      <c r="O3798">
        <v>5</v>
      </c>
      <c r="P3798">
        <v>4</v>
      </c>
      <c r="Q3798">
        <v>17.332788113540101</v>
      </c>
      <c r="R3798">
        <v>17</v>
      </c>
      <c r="T3798" s="358" t="str">
        <f t="shared" si="165"/>
        <v>2014FemaleAllEth24Submersion (drowning)</v>
      </c>
      <c r="U3798" s="360">
        <v>2014</v>
      </c>
      <c r="V3798" s="360" t="s">
        <v>8</v>
      </c>
      <c r="W3798" s="360" t="s">
        <v>27</v>
      </c>
      <c r="X3798" s="360">
        <v>24</v>
      </c>
      <c r="Y3798" s="360" t="s">
        <v>49</v>
      </c>
      <c r="Z3798" s="360">
        <v>1</v>
      </c>
      <c r="AA3798" s="360">
        <v>45</v>
      </c>
      <c r="AB3798" s="360">
        <v>2.2000000000000002</v>
      </c>
    </row>
    <row r="3799" spans="10:28" x14ac:dyDescent="0.2">
      <c r="J3799" s="358" t="str">
        <f t="shared" si="164"/>
        <v>2014MaleMaori251</v>
      </c>
      <c r="K3799" s="359">
        <v>2014</v>
      </c>
      <c r="L3799" t="s">
        <v>20</v>
      </c>
      <c r="M3799" t="s">
        <v>18</v>
      </c>
      <c r="N3799">
        <v>25</v>
      </c>
      <c r="O3799">
        <v>1</v>
      </c>
      <c r="P3799">
        <v>0</v>
      </c>
      <c r="Q3799">
        <v>0</v>
      </c>
      <c r="T3799" s="358" t="str">
        <f t="shared" si="165"/>
        <v>2014FemaleMaori21Hanging, strangulation and suffocation</v>
      </c>
      <c r="U3799" s="360">
        <v>2014</v>
      </c>
      <c r="V3799" s="360" t="s">
        <v>8</v>
      </c>
      <c r="W3799" s="360" t="s">
        <v>18</v>
      </c>
      <c r="X3799" s="360">
        <v>21</v>
      </c>
      <c r="Y3799" s="360" t="s">
        <v>43</v>
      </c>
      <c r="Z3799" s="360">
        <v>1</v>
      </c>
      <c r="AA3799" s="360">
        <v>1</v>
      </c>
      <c r="AB3799" s="360">
        <v>100</v>
      </c>
    </row>
    <row r="3800" spans="10:28" x14ac:dyDescent="0.2">
      <c r="J3800" s="358" t="str">
        <f t="shared" si="164"/>
        <v>2014MaleMaori252</v>
      </c>
      <c r="K3800" s="359">
        <v>2014</v>
      </c>
      <c r="L3800" t="s">
        <v>20</v>
      </c>
      <c r="M3800" t="s">
        <v>18</v>
      </c>
      <c r="N3800">
        <v>25</v>
      </c>
      <c r="O3800">
        <v>2</v>
      </c>
      <c r="P3800">
        <v>0</v>
      </c>
      <c r="Q3800">
        <v>0</v>
      </c>
      <c r="T3800" s="358" t="str">
        <f t="shared" si="165"/>
        <v>2014FemaleMaori22Hanging, strangulation and suffocation</v>
      </c>
      <c r="U3800" s="360">
        <v>2014</v>
      </c>
      <c r="V3800" s="360" t="s">
        <v>8</v>
      </c>
      <c r="W3800" s="360" t="s">
        <v>18</v>
      </c>
      <c r="X3800" s="360">
        <v>22</v>
      </c>
      <c r="Y3800" s="360" t="s">
        <v>43</v>
      </c>
      <c r="Z3800" s="360">
        <v>7</v>
      </c>
      <c r="AA3800" s="360">
        <v>8</v>
      </c>
      <c r="AB3800" s="360">
        <v>87.5</v>
      </c>
    </row>
    <row r="3801" spans="10:28" x14ac:dyDescent="0.2">
      <c r="J3801" s="358" t="str">
        <f t="shared" si="164"/>
        <v>2014MaleMaori253</v>
      </c>
      <c r="K3801" s="359">
        <v>2014</v>
      </c>
      <c r="L3801" t="s">
        <v>20</v>
      </c>
      <c r="M3801" t="s">
        <v>18</v>
      </c>
      <c r="N3801">
        <v>25</v>
      </c>
      <c r="O3801">
        <v>3</v>
      </c>
      <c r="P3801">
        <v>0</v>
      </c>
      <c r="Q3801">
        <v>0</v>
      </c>
      <c r="T3801" s="358" t="str">
        <f t="shared" si="165"/>
        <v>2014FemaleMaori23Hanging, strangulation and suffocation</v>
      </c>
      <c r="U3801" s="360">
        <v>2014</v>
      </c>
      <c r="V3801" s="360" t="s">
        <v>8</v>
      </c>
      <c r="W3801" s="360" t="s">
        <v>18</v>
      </c>
      <c r="X3801" s="360">
        <v>23</v>
      </c>
      <c r="Y3801" s="360" t="s">
        <v>43</v>
      </c>
      <c r="Z3801" s="360">
        <v>11</v>
      </c>
      <c r="AA3801" s="360">
        <v>14</v>
      </c>
      <c r="AB3801" s="360">
        <v>78.599999999999994</v>
      </c>
    </row>
    <row r="3802" spans="10:28" x14ac:dyDescent="0.2">
      <c r="J3802" s="358" t="str">
        <f t="shared" si="164"/>
        <v>2014MaleMaori254</v>
      </c>
      <c r="K3802" s="359">
        <v>2014</v>
      </c>
      <c r="L3802" t="s">
        <v>20</v>
      </c>
      <c r="M3802" t="s">
        <v>18</v>
      </c>
      <c r="N3802">
        <v>25</v>
      </c>
      <c r="O3802">
        <v>4</v>
      </c>
      <c r="P3802">
        <v>0</v>
      </c>
      <c r="Q3802">
        <v>0</v>
      </c>
      <c r="T3802" s="358" t="str">
        <f t="shared" si="165"/>
        <v>2014FemaleMaori24Hanging, strangulation and suffocation</v>
      </c>
      <c r="U3802" s="360">
        <v>2014</v>
      </c>
      <c r="V3802" s="360" t="s">
        <v>8</v>
      </c>
      <c r="W3802" s="360" t="s">
        <v>18</v>
      </c>
      <c r="X3802" s="360">
        <v>24</v>
      </c>
      <c r="Y3802" s="360" t="s">
        <v>43</v>
      </c>
      <c r="Z3802" s="360">
        <v>1</v>
      </c>
      <c r="AA3802" s="360">
        <v>2</v>
      </c>
      <c r="AB3802" s="360">
        <v>50</v>
      </c>
    </row>
    <row r="3803" spans="10:28" x14ac:dyDescent="0.2">
      <c r="J3803" s="358" t="str">
        <f t="shared" si="164"/>
        <v>2014MaleMaori255</v>
      </c>
      <c r="K3803" s="359">
        <v>2014</v>
      </c>
      <c r="L3803" t="s">
        <v>20</v>
      </c>
      <c r="M3803" t="s">
        <v>18</v>
      </c>
      <c r="N3803">
        <v>25</v>
      </c>
      <c r="O3803">
        <v>5</v>
      </c>
      <c r="P3803">
        <v>0</v>
      </c>
      <c r="Q3803">
        <v>0</v>
      </c>
      <c r="T3803" s="358" t="str">
        <f t="shared" si="165"/>
        <v>2014FemaleMaori24Jumping from a high place</v>
      </c>
      <c r="U3803" s="360">
        <v>2014</v>
      </c>
      <c r="V3803" s="360" t="s">
        <v>8</v>
      </c>
      <c r="W3803" s="360" t="s">
        <v>18</v>
      </c>
      <c r="X3803" s="360">
        <v>24</v>
      </c>
      <c r="Y3803" s="360" t="s">
        <v>44</v>
      </c>
      <c r="Z3803" s="360">
        <v>1</v>
      </c>
      <c r="AA3803" s="360">
        <v>2</v>
      </c>
      <c r="AB3803" s="360">
        <v>50</v>
      </c>
    </row>
    <row r="3804" spans="10:28" x14ac:dyDescent="0.2">
      <c r="J3804" s="358" t="str">
        <f t="shared" si="164"/>
        <v>2014MaleNon-Maori211</v>
      </c>
      <c r="K3804" s="359">
        <v>2014</v>
      </c>
      <c r="L3804" t="s">
        <v>20</v>
      </c>
      <c r="M3804" t="s">
        <v>19</v>
      </c>
      <c r="N3804">
        <v>21</v>
      </c>
      <c r="O3804">
        <v>1</v>
      </c>
      <c r="P3804">
        <v>0</v>
      </c>
      <c r="T3804" s="358" t="str">
        <f t="shared" si="165"/>
        <v>2014FemaleMaori22Poisoning by solids and liquids</v>
      </c>
      <c r="U3804" s="360">
        <v>2014</v>
      </c>
      <c r="V3804" s="360" t="s">
        <v>8</v>
      </c>
      <c r="W3804" s="360" t="s">
        <v>18</v>
      </c>
      <c r="X3804" s="360">
        <v>22</v>
      </c>
      <c r="Y3804" s="360" t="s">
        <v>47</v>
      </c>
      <c r="Z3804" s="360">
        <v>1</v>
      </c>
      <c r="AA3804" s="360">
        <v>8</v>
      </c>
      <c r="AB3804" s="360">
        <v>12.5</v>
      </c>
    </row>
    <row r="3805" spans="10:28" x14ac:dyDescent="0.2">
      <c r="J3805" s="358" t="str">
        <f t="shared" si="164"/>
        <v>2014MaleNon-Maori212</v>
      </c>
      <c r="K3805" s="359">
        <v>2014</v>
      </c>
      <c r="L3805" t="s">
        <v>20</v>
      </c>
      <c r="M3805" t="s">
        <v>19</v>
      </c>
      <c r="N3805">
        <v>21</v>
      </c>
      <c r="O3805">
        <v>2</v>
      </c>
      <c r="P3805">
        <v>0</v>
      </c>
      <c r="T3805" s="358" t="str">
        <f t="shared" si="165"/>
        <v>2014FemaleMaori23Poisoning by solids and liquids</v>
      </c>
      <c r="U3805" s="360">
        <v>2014</v>
      </c>
      <c r="V3805" s="360" t="s">
        <v>8</v>
      </c>
      <c r="W3805" s="360" t="s">
        <v>18</v>
      </c>
      <c r="X3805" s="360">
        <v>23</v>
      </c>
      <c r="Y3805" s="360" t="s">
        <v>47</v>
      </c>
      <c r="Z3805" s="360">
        <v>3</v>
      </c>
      <c r="AA3805" s="360">
        <v>14</v>
      </c>
      <c r="AB3805" s="360">
        <v>21.4</v>
      </c>
    </row>
    <row r="3806" spans="10:28" x14ac:dyDescent="0.2">
      <c r="J3806" s="358" t="str">
        <f t="shared" si="164"/>
        <v>2014MaleNon-Maori213</v>
      </c>
      <c r="K3806" s="359">
        <v>2014</v>
      </c>
      <c r="L3806" t="s">
        <v>20</v>
      </c>
      <c r="M3806" t="s">
        <v>19</v>
      </c>
      <c r="N3806">
        <v>21</v>
      </c>
      <c r="O3806">
        <v>3</v>
      </c>
      <c r="P3806">
        <v>0</v>
      </c>
      <c r="T3806" s="358" t="str">
        <f t="shared" si="165"/>
        <v>2014FemaleNon-Maori21Firearms and explosives</v>
      </c>
      <c r="U3806" s="360">
        <v>2014</v>
      </c>
      <c r="V3806" s="360" t="s">
        <v>8</v>
      </c>
      <c r="W3806" s="360" t="s">
        <v>19</v>
      </c>
      <c r="X3806" s="360">
        <v>21</v>
      </c>
      <c r="Y3806" s="360" t="s">
        <v>42</v>
      </c>
      <c r="Z3806" s="360">
        <v>1</v>
      </c>
      <c r="AA3806" s="360">
        <v>2</v>
      </c>
      <c r="AB3806" s="360">
        <v>50</v>
      </c>
    </row>
    <row r="3807" spans="10:28" x14ac:dyDescent="0.2">
      <c r="J3807" s="358" t="str">
        <f t="shared" si="164"/>
        <v>2014MaleNon-Maori214</v>
      </c>
      <c r="K3807" s="359">
        <v>2014</v>
      </c>
      <c r="L3807" t="s">
        <v>20</v>
      </c>
      <c r="M3807" t="s">
        <v>19</v>
      </c>
      <c r="N3807">
        <v>21</v>
      </c>
      <c r="O3807">
        <v>4</v>
      </c>
      <c r="P3807">
        <v>0</v>
      </c>
      <c r="T3807" s="358" t="str">
        <f t="shared" si="165"/>
        <v>2014FemaleNon-Maori23Firearms and explosives</v>
      </c>
      <c r="U3807" s="360">
        <v>2014</v>
      </c>
      <c r="V3807" s="360" t="s">
        <v>8</v>
      </c>
      <c r="W3807" s="360" t="s">
        <v>19</v>
      </c>
      <c r="X3807" s="360">
        <v>23</v>
      </c>
      <c r="Y3807" s="360" t="s">
        <v>42</v>
      </c>
      <c r="Z3807" s="360">
        <v>1</v>
      </c>
      <c r="AA3807" s="360">
        <v>35</v>
      </c>
      <c r="AB3807" s="360">
        <v>2.9</v>
      </c>
    </row>
    <row r="3808" spans="10:28" x14ac:dyDescent="0.2">
      <c r="J3808" s="358" t="str">
        <f t="shared" si="164"/>
        <v>2014MaleNon-Maori215</v>
      </c>
      <c r="K3808" s="359">
        <v>2014</v>
      </c>
      <c r="L3808" t="s">
        <v>20</v>
      </c>
      <c r="M3808" t="s">
        <v>19</v>
      </c>
      <c r="N3808">
        <v>21</v>
      </c>
      <c r="O3808">
        <v>5</v>
      </c>
      <c r="P3808">
        <v>1</v>
      </c>
      <c r="T3808" s="358" t="str">
        <f t="shared" si="165"/>
        <v>2014FemaleNon-Maori24Firearms and explosives</v>
      </c>
      <c r="U3808" s="360">
        <v>2014</v>
      </c>
      <c r="V3808" s="360" t="s">
        <v>8</v>
      </c>
      <c r="W3808" s="360" t="s">
        <v>19</v>
      </c>
      <c r="X3808" s="360">
        <v>24</v>
      </c>
      <c r="Y3808" s="360" t="s">
        <v>42</v>
      </c>
      <c r="Z3808" s="360">
        <v>1</v>
      </c>
      <c r="AA3808" s="360">
        <v>43</v>
      </c>
      <c r="AB3808" s="360">
        <v>2.2999999999999998</v>
      </c>
    </row>
    <row r="3809" spans="10:28" x14ac:dyDescent="0.2">
      <c r="J3809" s="358" t="str">
        <f t="shared" si="164"/>
        <v>2014MaleNon-Maori221</v>
      </c>
      <c r="K3809" s="359">
        <v>2014</v>
      </c>
      <c r="L3809" t="s">
        <v>20</v>
      </c>
      <c r="M3809" t="s">
        <v>19</v>
      </c>
      <c r="N3809">
        <v>22</v>
      </c>
      <c r="O3809">
        <v>1</v>
      </c>
      <c r="P3809">
        <v>7</v>
      </c>
      <c r="Q3809">
        <v>13.082339900783699</v>
      </c>
      <c r="R3809">
        <v>9.6999999999999993</v>
      </c>
      <c r="T3809" s="358" t="str">
        <f t="shared" si="165"/>
        <v>2014FemaleNon-Maori22Hanging, strangulation and suffocation</v>
      </c>
      <c r="U3809" s="360">
        <v>2014</v>
      </c>
      <c r="V3809" s="360" t="s">
        <v>8</v>
      </c>
      <c r="W3809" s="360" t="s">
        <v>19</v>
      </c>
      <c r="X3809" s="360">
        <v>22</v>
      </c>
      <c r="Y3809" s="360" t="s">
        <v>43</v>
      </c>
      <c r="Z3809" s="360">
        <v>11</v>
      </c>
      <c r="AA3809" s="360">
        <v>14</v>
      </c>
      <c r="AB3809" s="360">
        <v>78.599999999999994</v>
      </c>
    </row>
    <row r="3810" spans="10:28" x14ac:dyDescent="0.2">
      <c r="J3810" s="358" t="str">
        <f t="shared" si="164"/>
        <v>2014MaleNon-Maori222</v>
      </c>
      <c r="K3810" s="359">
        <v>2014</v>
      </c>
      <c r="L3810" t="s">
        <v>20</v>
      </c>
      <c r="M3810" t="s">
        <v>19</v>
      </c>
      <c r="N3810">
        <v>22</v>
      </c>
      <c r="O3810">
        <v>2</v>
      </c>
      <c r="P3810">
        <v>7</v>
      </c>
      <c r="Q3810">
        <v>13.3686382149279</v>
      </c>
      <c r="R3810">
        <v>9.9</v>
      </c>
      <c r="T3810" s="358" t="str">
        <f t="shared" si="165"/>
        <v>2014FemaleNon-Maori23Hanging, strangulation and suffocation</v>
      </c>
      <c r="U3810" s="360">
        <v>2014</v>
      </c>
      <c r="V3810" s="360" t="s">
        <v>8</v>
      </c>
      <c r="W3810" s="360" t="s">
        <v>19</v>
      </c>
      <c r="X3810" s="360">
        <v>23</v>
      </c>
      <c r="Y3810" s="360" t="s">
        <v>43</v>
      </c>
      <c r="Z3810" s="360">
        <v>26</v>
      </c>
      <c r="AA3810" s="360">
        <v>35</v>
      </c>
      <c r="AB3810" s="360">
        <v>74.3</v>
      </c>
    </row>
    <row r="3811" spans="10:28" x14ac:dyDescent="0.2">
      <c r="J3811" s="358" t="str">
        <f t="shared" si="164"/>
        <v>2014MaleNon-Maori223</v>
      </c>
      <c r="K3811" s="359">
        <v>2014</v>
      </c>
      <c r="L3811" t="s">
        <v>20</v>
      </c>
      <c r="M3811" t="s">
        <v>19</v>
      </c>
      <c r="N3811">
        <v>22</v>
      </c>
      <c r="O3811">
        <v>3</v>
      </c>
      <c r="P3811">
        <v>10</v>
      </c>
      <c r="Q3811">
        <v>19.081902502759899</v>
      </c>
      <c r="R3811">
        <v>11.8</v>
      </c>
      <c r="T3811" s="358" t="str">
        <f t="shared" si="165"/>
        <v>2014FemaleNon-Maori24Hanging, strangulation and suffocation</v>
      </c>
      <c r="U3811" s="360">
        <v>2014</v>
      </c>
      <c r="V3811" s="360" t="s">
        <v>8</v>
      </c>
      <c r="W3811" s="360" t="s">
        <v>19</v>
      </c>
      <c r="X3811" s="360">
        <v>24</v>
      </c>
      <c r="Y3811" s="360" t="s">
        <v>43</v>
      </c>
      <c r="Z3811" s="360">
        <v>10</v>
      </c>
      <c r="AA3811" s="360">
        <v>43</v>
      </c>
      <c r="AB3811" s="360">
        <v>23.3</v>
      </c>
    </row>
    <row r="3812" spans="10:28" x14ac:dyDescent="0.2">
      <c r="J3812" s="358" t="str">
        <f t="shared" si="164"/>
        <v>2014MaleNon-Maori224</v>
      </c>
      <c r="K3812" s="359">
        <v>2014</v>
      </c>
      <c r="L3812" t="s">
        <v>20</v>
      </c>
      <c r="M3812" t="s">
        <v>19</v>
      </c>
      <c r="N3812">
        <v>22</v>
      </c>
      <c r="O3812">
        <v>4</v>
      </c>
      <c r="P3812">
        <v>10</v>
      </c>
      <c r="Q3812">
        <v>18.416857704227201</v>
      </c>
      <c r="R3812">
        <v>11.4</v>
      </c>
      <c r="T3812" s="358" t="str">
        <f t="shared" si="165"/>
        <v>2014FemaleNon-Maori25Hanging, strangulation and suffocation</v>
      </c>
      <c r="U3812" s="360">
        <v>2014</v>
      </c>
      <c r="V3812" s="360" t="s">
        <v>8</v>
      </c>
      <c r="W3812" s="360" t="s">
        <v>19</v>
      </c>
      <c r="X3812" s="360">
        <v>25</v>
      </c>
      <c r="Y3812" s="360" t="s">
        <v>43</v>
      </c>
      <c r="Z3812" s="360">
        <v>2</v>
      </c>
      <c r="AA3812" s="360">
        <v>11</v>
      </c>
      <c r="AB3812" s="360">
        <v>18.2</v>
      </c>
    </row>
    <row r="3813" spans="10:28" x14ac:dyDescent="0.2">
      <c r="J3813" s="358" t="str">
        <f t="shared" si="164"/>
        <v>2014MaleNon-Maori225</v>
      </c>
      <c r="K3813" s="359">
        <v>2014</v>
      </c>
      <c r="L3813" t="s">
        <v>20</v>
      </c>
      <c r="M3813" t="s">
        <v>19</v>
      </c>
      <c r="N3813">
        <v>22</v>
      </c>
      <c r="O3813">
        <v>5</v>
      </c>
      <c r="P3813">
        <v>12</v>
      </c>
      <c r="Q3813">
        <v>23.0769907475085</v>
      </c>
      <c r="R3813">
        <v>13.1</v>
      </c>
      <c r="T3813" s="358" t="str">
        <f t="shared" si="165"/>
        <v>2014FemaleNon-Maori22Jumping from a high place</v>
      </c>
      <c r="U3813" s="360">
        <v>2014</v>
      </c>
      <c r="V3813" s="360" t="s">
        <v>8</v>
      </c>
      <c r="W3813" s="360" t="s">
        <v>19</v>
      </c>
      <c r="X3813" s="360">
        <v>22</v>
      </c>
      <c r="Y3813" s="360" t="s">
        <v>44</v>
      </c>
      <c r="Z3813" s="360">
        <v>1</v>
      </c>
      <c r="AA3813" s="360">
        <v>14</v>
      </c>
      <c r="AB3813" s="360">
        <v>7.1</v>
      </c>
    </row>
    <row r="3814" spans="10:28" x14ac:dyDescent="0.2">
      <c r="J3814" s="358" t="str">
        <f t="shared" si="164"/>
        <v>2014MaleNon-Maori231</v>
      </c>
      <c r="K3814" s="359">
        <v>2014</v>
      </c>
      <c r="L3814" t="s">
        <v>20</v>
      </c>
      <c r="M3814" t="s">
        <v>19</v>
      </c>
      <c r="N3814">
        <v>23</v>
      </c>
      <c r="O3814">
        <v>1</v>
      </c>
      <c r="P3814">
        <v>13</v>
      </c>
      <c r="Q3814">
        <v>13.465924228566401</v>
      </c>
      <c r="R3814">
        <v>7.3</v>
      </c>
      <c r="T3814" s="358" t="str">
        <f t="shared" si="165"/>
        <v>2014FemaleNon-Maori24Jumping from a high place</v>
      </c>
      <c r="U3814" s="360">
        <v>2014</v>
      </c>
      <c r="V3814" s="360" t="s">
        <v>8</v>
      </c>
      <c r="W3814" s="360" t="s">
        <v>19</v>
      </c>
      <c r="X3814" s="360">
        <v>24</v>
      </c>
      <c r="Y3814" s="360" t="s">
        <v>44</v>
      </c>
      <c r="Z3814" s="360">
        <v>2</v>
      </c>
      <c r="AA3814" s="360">
        <v>43</v>
      </c>
      <c r="AB3814" s="360">
        <v>4.7</v>
      </c>
    </row>
    <row r="3815" spans="10:28" x14ac:dyDescent="0.2">
      <c r="J3815" s="358" t="str">
        <f t="shared" si="164"/>
        <v>2014MaleNon-Maori232</v>
      </c>
      <c r="K3815" s="359">
        <v>2014</v>
      </c>
      <c r="L3815" t="s">
        <v>20</v>
      </c>
      <c r="M3815" t="s">
        <v>19</v>
      </c>
      <c r="N3815">
        <v>23</v>
      </c>
      <c r="O3815">
        <v>2</v>
      </c>
      <c r="P3815">
        <v>16</v>
      </c>
      <c r="Q3815">
        <v>15.367255085017399</v>
      </c>
      <c r="R3815">
        <v>7.5</v>
      </c>
      <c r="T3815" s="358" t="str">
        <f t="shared" si="165"/>
        <v>2014FemaleNon-Maori25Jumping from a high place</v>
      </c>
      <c r="U3815" s="360">
        <v>2014</v>
      </c>
      <c r="V3815" s="360" t="s">
        <v>8</v>
      </c>
      <c r="W3815" s="360" t="s">
        <v>19</v>
      </c>
      <c r="X3815" s="360">
        <v>25</v>
      </c>
      <c r="Y3815" s="360" t="s">
        <v>44</v>
      </c>
      <c r="Z3815" s="360">
        <v>1</v>
      </c>
      <c r="AA3815" s="360">
        <v>11</v>
      </c>
      <c r="AB3815" s="360">
        <v>9.1</v>
      </c>
    </row>
    <row r="3816" spans="10:28" x14ac:dyDescent="0.2">
      <c r="J3816" s="358" t="str">
        <f t="shared" si="164"/>
        <v>2014MaleNon-Maori233</v>
      </c>
      <c r="K3816" s="359">
        <v>2014</v>
      </c>
      <c r="L3816" t="s">
        <v>20</v>
      </c>
      <c r="M3816" t="s">
        <v>19</v>
      </c>
      <c r="N3816">
        <v>23</v>
      </c>
      <c r="O3816">
        <v>3</v>
      </c>
      <c r="P3816">
        <v>18</v>
      </c>
      <c r="Q3816">
        <v>17.272473716934901</v>
      </c>
      <c r="R3816">
        <v>8</v>
      </c>
      <c r="T3816" s="358" t="str">
        <f t="shared" si="165"/>
        <v>2014FemaleNon-Maori21Other</v>
      </c>
      <c r="U3816" s="360">
        <v>2014</v>
      </c>
      <c r="V3816" s="360" t="s">
        <v>8</v>
      </c>
      <c r="W3816" s="360" t="s">
        <v>19</v>
      </c>
      <c r="X3816" s="360">
        <v>21</v>
      </c>
      <c r="Y3816" s="360" t="s">
        <v>45</v>
      </c>
      <c r="Z3816" s="360">
        <v>1</v>
      </c>
      <c r="AA3816" s="360">
        <v>2</v>
      </c>
      <c r="AB3816" s="360">
        <v>50</v>
      </c>
    </row>
    <row r="3817" spans="10:28" x14ac:dyDescent="0.2">
      <c r="J3817" s="358" t="str">
        <f t="shared" si="164"/>
        <v>2014MaleNon-Maori234</v>
      </c>
      <c r="K3817" s="359">
        <v>2014</v>
      </c>
      <c r="L3817" t="s">
        <v>20</v>
      </c>
      <c r="M3817" t="s">
        <v>19</v>
      </c>
      <c r="N3817">
        <v>23</v>
      </c>
      <c r="O3817">
        <v>4</v>
      </c>
      <c r="P3817">
        <v>22</v>
      </c>
      <c r="Q3817">
        <v>22.554852553312401</v>
      </c>
      <c r="R3817">
        <v>9.4</v>
      </c>
      <c r="T3817" s="358" t="str">
        <f t="shared" si="165"/>
        <v>2014FemaleNon-Maori24Other</v>
      </c>
      <c r="U3817" s="360">
        <v>2014</v>
      </c>
      <c r="V3817" s="360" t="s">
        <v>8</v>
      </c>
      <c r="W3817" s="360" t="s">
        <v>19</v>
      </c>
      <c r="X3817" s="360">
        <v>24</v>
      </c>
      <c r="Y3817" s="360" t="s">
        <v>45</v>
      </c>
      <c r="Z3817" s="360">
        <v>1</v>
      </c>
      <c r="AA3817" s="360">
        <v>43</v>
      </c>
      <c r="AB3817" s="360">
        <v>2.2999999999999998</v>
      </c>
    </row>
    <row r="3818" spans="10:28" x14ac:dyDescent="0.2">
      <c r="J3818" s="358" t="str">
        <f t="shared" si="164"/>
        <v>2014MaleNon-Maori235</v>
      </c>
      <c r="K3818" s="359">
        <v>2014</v>
      </c>
      <c r="L3818" t="s">
        <v>20</v>
      </c>
      <c r="M3818" t="s">
        <v>19</v>
      </c>
      <c r="N3818">
        <v>23</v>
      </c>
      <c r="O3818">
        <v>5</v>
      </c>
      <c r="P3818">
        <v>31</v>
      </c>
      <c r="Q3818">
        <v>39.479438211326404</v>
      </c>
      <c r="R3818">
        <v>13.9</v>
      </c>
      <c r="T3818" s="358" t="str">
        <f t="shared" si="165"/>
        <v>2014FemaleNon-Maori22Poisoning by gases and vapours</v>
      </c>
      <c r="U3818" s="360">
        <v>2014</v>
      </c>
      <c r="V3818" s="360" t="s">
        <v>8</v>
      </c>
      <c r="W3818" s="360" t="s">
        <v>19</v>
      </c>
      <c r="X3818" s="360">
        <v>22</v>
      </c>
      <c r="Y3818" s="360" t="s">
        <v>46</v>
      </c>
      <c r="Z3818" s="360">
        <v>1</v>
      </c>
      <c r="AA3818" s="360">
        <v>14</v>
      </c>
      <c r="AB3818" s="360">
        <v>7.1</v>
      </c>
    </row>
    <row r="3819" spans="10:28" x14ac:dyDescent="0.2">
      <c r="J3819" s="358" t="str">
        <f t="shared" si="164"/>
        <v>2014MaleNon-Maori241</v>
      </c>
      <c r="K3819" s="359">
        <v>2014</v>
      </c>
      <c r="L3819" t="s">
        <v>20</v>
      </c>
      <c r="M3819" t="s">
        <v>19</v>
      </c>
      <c r="N3819">
        <v>24</v>
      </c>
      <c r="O3819">
        <v>1</v>
      </c>
      <c r="P3819">
        <v>16</v>
      </c>
      <c r="Q3819">
        <v>12.344508126535899</v>
      </c>
      <c r="R3819">
        <v>6</v>
      </c>
      <c r="T3819" s="358" t="str">
        <f t="shared" si="165"/>
        <v>2014FemaleNon-Maori24Poisoning by gases and vapours</v>
      </c>
      <c r="U3819" s="360">
        <v>2014</v>
      </c>
      <c r="V3819" s="360" t="s">
        <v>8</v>
      </c>
      <c r="W3819" s="360" t="s">
        <v>19</v>
      </c>
      <c r="X3819" s="360">
        <v>24</v>
      </c>
      <c r="Y3819" s="360" t="s">
        <v>46</v>
      </c>
      <c r="Z3819" s="360">
        <v>8</v>
      </c>
      <c r="AA3819" s="360">
        <v>43</v>
      </c>
      <c r="AB3819" s="360">
        <v>18.600000000000001</v>
      </c>
    </row>
    <row r="3820" spans="10:28" x14ac:dyDescent="0.2">
      <c r="J3820" s="358" t="str">
        <f t="shared" si="164"/>
        <v>2014MaleNon-Maori242</v>
      </c>
      <c r="K3820" s="359">
        <v>2014</v>
      </c>
      <c r="L3820" t="s">
        <v>20</v>
      </c>
      <c r="M3820" t="s">
        <v>19</v>
      </c>
      <c r="N3820">
        <v>24</v>
      </c>
      <c r="O3820">
        <v>2</v>
      </c>
      <c r="P3820">
        <v>17</v>
      </c>
      <c r="Q3820">
        <v>15.0504812087483</v>
      </c>
      <c r="R3820">
        <v>7.2</v>
      </c>
      <c r="T3820" s="358" t="str">
        <f t="shared" si="165"/>
        <v>2014FemaleNon-Maori23Poisoning by solids and liquids</v>
      </c>
      <c r="U3820" s="360">
        <v>2014</v>
      </c>
      <c r="V3820" s="360" t="s">
        <v>8</v>
      </c>
      <c r="W3820" s="360" t="s">
        <v>19</v>
      </c>
      <c r="X3820" s="360">
        <v>23</v>
      </c>
      <c r="Y3820" s="360" t="s">
        <v>47</v>
      </c>
      <c r="Z3820" s="360">
        <v>6</v>
      </c>
      <c r="AA3820" s="360">
        <v>35</v>
      </c>
      <c r="AB3820" s="360">
        <v>17.100000000000001</v>
      </c>
    </row>
    <row r="3821" spans="10:28" x14ac:dyDescent="0.2">
      <c r="J3821" s="358" t="str">
        <f t="shared" si="164"/>
        <v>2014MaleNon-Maori243</v>
      </c>
      <c r="K3821" s="359">
        <v>2014</v>
      </c>
      <c r="L3821" t="s">
        <v>20</v>
      </c>
      <c r="M3821" t="s">
        <v>19</v>
      </c>
      <c r="N3821">
        <v>24</v>
      </c>
      <c r="O3821">
        <v>3</v>
      </c>
      <c r="P3821">
        <v>20</v>
      </c>
      <c r="Q3821">
        <v>20.241924233196201</v>
      </c>
      <c r="R3821">
        <v>8.9</v>
      </c>
      <c r="T3821" s="358" t="str">
        <f t="shared" si="165"/>
        <v>2014FemaleNon-Maori24Poisoning by solids and liquids</v>
      </c>
      <c r="U3821" s="360">
        <v>2014</v>
      </c>
      <c r="V3821" s="360" t="s">
        <v>8</v>
      </c>
      <c r="W3821" s="360" t="s">
        <v>19</v>
      </c>
      <c r="X3821" s="360">
        <v>24</v>
      </c>
      <c r="Y3821" s="360" t="s">
        <v>47</v>
      </c>
      <c r="Z3821" s="360">
        <v>17</v>
      </c>
      <c r="AA3821" s="360">
        <v>43</v>
      </c>
      <c r="AB3821" s="360">
        <v>39.5</v>
      </c>
    </row>
    <row r="3822" spans="10:28" x14ac:dyDescent="0.2">
      <c r="J3822" s="358" t="str">
        <f t="shared" si="164"/>
        <v>2014MaleNon-Maori244</v>
      </c>
      <c r="K3822" s="359">
        <v>2014</v>
      </c>
      <c r="L3822" t="s">
        <v>20</v>
      </c>
      <c r="M3822" t="s">
        <v>19</v>
      </c>
      <c r="N3822">
        <v>24</v>
      </c>
      <c r="O3822">
        <v>4</v>
      </c>
      <c r="P3822">
        <v>29</v>
      </c>
      <c r="Q3822">
        <v>33.988943700930697</v>
      </c>
      <c r="R3822">
        <v>12.4</v>
      </c>
      <c r="T3822" s="358" t="str">
        <f t="shared" si="165"/>
        <v>2014FemaleNon-Maori25Poisoning by solids and liquids</v>
      </c>
      <c r="U3822" s="360">
        <v>2014</v>
      </c>
      <c r="V3822" s="360" t="s">
        <v>8</v>
      </c>
      <c r="W3822" s="360" t="s">
        <v>19</v>
      </c>
      <c r="X3822" s="360">
        <v>25</v>
      </c>
      <c r="Y3822" s="360" t="s">
        <v>47</v>
      </c>
      <c r="Z3822" s="360">
        <v>7</v>
      </c>
      <c r="AA3822" s="360">
        <v>11</v>
      </c>
      <c r="AB3822" s="360">
        <v>63.6</v>
      </c>
    </row>
    <row r="3823" spans="10:28" x14ac:dyDescent="0.2">
      <c r="J3823" s="358" t="str">
        <f t="shared" si="164"/>
        <v>2014MaleNon-Maori245</v>
      </c>
      <c r="K3823" s="359">
        <v>2014</v>
      </c>
      <c r="L3823" t="s">
        <v>20</v>
      </c>
      <c r="M3823" t="s">
        <v>19</v>
      </c>
      <c r="N3823">
        <v>24</v>
      </c>
      <c r="O3823">
        <v>5</v>
      </c>
      <c r="P3823">
        <v>21</v>
      </c>
      <c r="Q3823">
        <v>30.878593327322999</v>
      </c>
      <c r="R3823">
        <v>13.2</v>
      </c>
      <c r="T3823" s="358" t="str">
        <f t="shared" si="165"/>
        <v>2014FemaleNon-Maori22Sharp object</v>
      </c>
      <c r="U3823" s="360">
        <v>2014</v>
      </c>
      <c r="V3823" s="360" t="s">
        <v>8</v>
      </c>
      <c r="W3823" s="360" t="s">
        <v>19</v>
      </c>
      <c r="X3823" s="360">
        <v>22</v>
      </c>
      <c r="Y3823" s="360" t="s">
        <v>48</v>
      </c>
      <c r="Z3823" s="360">
        <v>1</v>
      </c>
      <c r="AA3823" s="360">
        <v>14</v>
      </c>
      <c r="AB3823" s="360">
        <v>7.1</v>
      </c>
    </row>
    <row r="3824" spans="10:28" x14ac:dyDescent="0.2">
      <c r="J3824" s="358" t="str">
        <f t="shared" si="164"/>
        <v>2014MaleNon-Maori251</v>
      </c>
      <c r="K3824" s="359">
        <v>2014</v>
      </c>
      <c r="L3824" t="s">
        <v>20</v>
      </c>
      <c r="M3824" t="s">
        <v>19</v>
      </c>
      <c r="N3824">
        <v>25</v>
      </c>
      <c r="O3824">
        <v>1</v>
      </c>
      <c r="P3824">
        <v>8</v>
      </c>
      <c r="Q3824">
        <v>12.643195584297599</v>
      </c>
      <c r="R3824">
        <v>8.8000000000000007</v>
      </c>
      <c r="T3824" s="358" t="str">
        <f t="shared" si="165"/>
        <v>2014FemaleNon-Maori23Sharp object</v>
      </c>
      <c r="U3824" s="360">
        <v>2014</v>
      </c>
      <c r="V3824" s="360" t="s">
        <v>8</v>
      </c>
      <c r="W3824" s="360" t="s">
        <v>19</v>
      </c>
      <c r="X3824" s="360">
        <v>23</v>
      </c>
      <c r="Y3824" s="360" t="s">
        <v>48</v>
      </c>
      <c r="Z3824" s="360">
        <v>1</v>
      </c>
      <c r="AA3824" s="360">
        <v>35</v>
      </c>
      <c r="AB3824" s="360">
        <v>2.9</v>
      </c>
    </row>
    <row r="3825" spans="10:28" x14ac:dyDescent="0.2">
      <c r="J3825" s="358" t="str">
        <f t="shared" si="164"/>
        <v>2014MaleNon-Maori252</v>
      </c>
      <c r="K3825" s="359">
        <v>2014</v>
      </c>
      <c r="L3825" t="s">
        <v>20</v>
      </c>
      <c r="M3825" t="s">
        <v>19</v>
      </c>
      <c r="N3825">
        <v>25</v>
      </c>
      <c r="O3825">
        <v>2</v>
      </c>
      <c r="P3825">
        <v>5</v>
      </c>
      <c r="Q3825">
        <v>8.0915756043640599</v>
      </c>
      <c r="R3825">
        <v>7.1</v>
      </c>
      <c r="T3825" s="358" t="str">
        <f t="shared" si="165"/>
        <v>2014FemaleNon-Maori24Sharp object</v>
      </c>
      <c r="U3825" s="360">
        <v>2014</v>
      </c>
      <c r="V3825" s="360" t="s">
        <v>8</v>
      </c>
      <c r="W3825" s="360" t="s">
        <v>19</v>
      </c>
      <c r="X3825" s="360">
        <v>24</v>
      </c>
      <c r="Y3825" s="360" t="s">
        <v>48</v>
      </c>
      <c r="Z3825" s="360">
        <v>3</v>
      </c>
      <c r="AA3825" s="360">
        <v>43</v>
      </c>
      <c r="AB3825" s="360">
        <v>7</v>
      </c>
    </row>
    <row r="3826" spans="10:28" x14ac:dyDescent="0.2">
      <c r="J3826" s="358" t="str">
        <f t="shared" si="164"/>
        <v>2014MaleNon-Maori253</v>
      </c>
      <c r="K3826" s="359">
        <v>2014</v>
      </c>
      <c r="L3826" t="s">
        <v>20</v>
      </c>
      <c r="M3826" t="s">
        <v>19</v>
      </c>
      <c r="N3826">
        <v>25</v>
      </c>
      <c r="O3826">
        <v>3</v>
      </c>
      <c r="P3826">
        <v>8</v>
      </c>
      <c r="Q3826">
        <v>13.6476499460226</v>
      </c>
      <c r="R3826">
        <v>9.5</v>
      </c>
      <c r="T3826" s="358" t="str">
        <f t="shared" si="165"/>
        <v>2014FemaleNon-Maori25Sharp object</v>
      </c>
      <c r="U3826" s="360">
        <v>2014</v>
      </c>
      <c r="V3826" s="360" t="s">
        <v>8</v>
      </c>
      <c r="W3826" s="360" t="s">
        <v>19</v>
      </c>
      <c r="X3826" s="360">
        <v>25</v>
      </c>
      <c r="Y3826" s="360" t="s">
        <v>48</v>
      </c>
      <c r="Z3826" s="360">
        <v>1</v>
      </c>
      <c r="AA3826" s="360">
        <v>11</v>
      </c>
      <c r="AB3826" s="360">
        <v>9.1</v>
      </c>
    </row>
    <row r="3827" spans="10:28" x14ac:dyDescent="0.2">
      <c r="J3827" s="358" t="str">
        <f t="shared" si="164"/>
        <v>2014MaleNon-Maori254</v>
      </c>
      <c r="K3827" s="359">
        <v>2014</v>
      </c>
      <c r="L3827" t="s">
        <v>20</v>
      </c>
      <c r="M3827" t="s">
        <v>19</v>
      </c>
      <c r="N3827">
        <v>25</v>
      </c>
      <c r="O3827">
        <v>4</v>
      </c>
      <c r="P3827">
        <v>16</v>
      </c>
      <c r="Q3827">
        <v>28.845107957298101</v>
      </c>
      <c r="R3827">
        <v>14.1</v>
      </c>
      <c r="T3827" s="358" t="str">
        <f t="shared" si="165"/>
        <v>2014FemaleNon-Maori23Submersion (drowning)</v>
      </c>
      <c r="U3827" s="360">
        <v>2014</v>
      </c>
      <c r="V3827" s="360" t="s">
        <v>8</v>
      </c>
      <c r="W3827" s="360" t="s">
        <v>19</v>
      </c>
      <c r="X3827" s="360">
        <v>23</v>
      </c>
      <c r="Y3827" s="360" t="s">
        <v>49</v>
      </c>
      <c r="Z3827" s="360">
        <v>1</v>
      </c>
      <c r="AA3827" s="360">
        <v>35</v>
      </c>
      <c r="AB3827" s="360">
        <v>2.9</v>
      </c>
    </row>
    <row r="3828" spans="10:28" x14ac:dyDescent="0.2">
      <c r="J3828" s="358" t="str">
        <f t="shared" si="164"/>
        <v>2014MaleNon-Maori255</v>
      </c>
      <c r="K3828" s="359">
        <v>2014</v>
      </c>
      <c r="L3828" t="s">
        <v>20</v>
      </c>
      <c r="M3828" t="s">
        <v>19</v>
      </c>
      <c r="N3828">
        <v>25</v>
      </c>
      <c r="O3828">
        <v>5</v>
      </c>
      <c r="P3828">
        <v>11</v>
      </c>
      <c r="Q3828">
        <v>26.170173779288</v>
      </c>
      <c r="R3828">
        <v>15.5</v>
      </c>
      <c r="T3828" s="358" t="str">
        <f t="shared" si="165"/>
        <v>2014FemaleNon-Maori24Submersion (drowning)</v>
      </c>
      <c r="U3828" s="360">
        <v>2014</v>
      </c>
      <c r="V3828" s="360" t="s">
        <v>8</v>
      </c>
      <c r="W3828" s="360" t="s">
        <v>19</v>
      </c>
      <c r="X3828" s="360">
        <v>24</v>
      </c>
      <c r="Y3828" s="360" t="s">
        <v>49</v>
      </c>
      <c r="Z3828" s="360">
        <v>1</v>
      </c>
      <c r="AA3828" s="360">
        <v>43</v>
      </c>
      <c r="AB3828" s="360">
        <v>2.2999999999999998</v>
      </c>
    </row>
    <row r="3829" spans="10:28" x14ac:dyDescent="0.2">
      <c r="J3829" s="358" t="str">
        <f t="shared" si="164"/>
        <v>2015AllSexAllEth211</v>
      </c>
      <c r="K3829" s="359">
        <v>2015</v>
      </c>
      <c r="L3829" t="s">
        <v>17</v>
      </c>
      <c r="M3829" t="s">
        <v>27</v>
      </c>
      <c r="N3829">
        <v>21</v>
      </c>
      <c r="O3829">
        <v>1</v>
      </c>
      <c r="P3829">
        <v>0</v>
      </c>
      <c r="T3829" s="358" t="str">
        <f t="shared" si="165"/>
        <v>2014MaleAllEth22Firearms and explosives</v>
      </c>
      <c r="U3829" s="360">
        <v>2014</v>
      </c>
      <c r="V3829" s="360" t="s">
        <v>20</v>
      </c>
      <c r="W3829" s="360" t="s">
        <v>27</v>
      </c>
      <c r="X3829" s="360">
        <v>22</v>
      </c>
      <c r="Y3829" s="360" t="s">
        <v>42</v>
      </c>
      <c r="Z3829" s="360">
        <v>2</v>
      </c>
      <c r="AA3829" s="360">
        <v>68</v>
      </c>
      <c r="AB3829" s="360">
        <v>2.9</v>
      </c>
    </row>
    <row r="3830" spans="10:28" x14ac:dyDescent="0.2">
      <c r="J3830" s="358" t="str">
        <f t="shared" si="164"/>
        <v>2015AllSexAllEth212</v>
      </c>
      <c r="K3830" s="359">
        <v>2015</v>
      </c>
      <c r="L3830" t="s">
        <v>17</v>
      </c>
      <c r="M3830" t="s">
        <v>27</v>
      </c>
      <c r="N3830">
        <v>21</v>
      </c>
      <c r="O3830">
        <v>2</v>
      </c>
      <c r="P3830">
        <v>0</v>
      </c>
      <c r="T3830" s="358" t="str">
        <f t="shared" si="165"/>
        <v>2014MaleAllEth23Firearms and explosives</v>
      </c>
      <c r="U3830" s="360">
        <v>2014</v>
      </c>
      <c r="V3830" s="360" t="s">
        <v>20</v>
      </c>
      <c r="W3830" s="360" t="s">
        <v>27</v>
      </c>
      <c r="X3830" s="360">
        <v>23</v>
      </c>
      <c r="Y3830" s="360" t="s">
        <v>42</v>
      </c>
      <c r="Z3830" s="360">
        <v>7</v>
      </c>
      <c r="AA3830" s="360">
        <v>141</v>
      </c>
      <c r="AB3830" s="360">
        <v>5</v>
      </c>
    </row>
    <row r="3831" spans="10:28" x14ac:dyDescent="0.2">
      <c r="J3831" s="358" t="str">
        <f t="shared" si="164"/>
        <v>2015AllSexAllEth213</v>
      </c>
      <c r="K3831" s="359">
        <v>2015</v>
      </c>
      <c r="L3831" t="s">
        <v>17</v>
      </c>
      <c r="M3831" t="s">
        <v>27</v>
      </c>
      <c r="N3831">
        <v>21</v>
      </c>
      <c r="O3831">
        <v>3</v>
      </c>
      <c r="P3831">
        <v>3</v>
      </c>
      <c r="T3831" s="358" t="str">
        <f t="shared" si="165"/>
        <v>2014MaleAllEth24Firearms and explosives</v>
      </c>
      <c r="U3831" s="360">
        <v>2014</v>
      </c>
      <c r="V3831" s="360" t="s">
        <v>20</v>
      </c>
      <c r="W3831" s="360" t="s">
        <v>27</v>
      </c>
      <c r="X3831" s="360">
        <v>24</v>
      </c>
      <c r="Y3831" s="360" t="s">
        <v>42</v>
      </c>
      <c r="Z3831" s="360">
        <v>18</v>
      </c>
      <c r="AA3831" s="360">
        <v>119</v>
      </c>
      <c r="AB3831" s="360">
        <v>15.1</v>
      </c>
    </row>
    <row r="3832" spans="10:28" x14ac:dyDescent="0.2">
      <c r="J3832" s="358" t="str">
        <f t="shared" si="164"/>
        <v>2015AllSexAllEth214</v>
      </c>
      <c r="K3832" s="359">
        <v>2015</v>
      </c>
      <c r="L3832" t="s">
        <v>17</v>
      </c>
      <c r="M3832" t="s">
        <v>27</v>
      </c>
      <c r="N3832">
        <v>21</v>
      </c>
      <c r="O3832">
        <v>4</v>
      </c>
      <c r="P3832">
        <v>1</v>
      </c>
      <c r="T3832" s="358" t="str">
        <f t="shared" si="165"/>
        <v>2014MaleAllEth25Firearms and explosives</v>
      </c>
      <c r="U3832" s="360">
        <v>2014</v>
      </c>
      <c r="V3832" s="360" t="s">
        <v>20</v>
      </c>
      <c r="W3832" s="360" t="s">
        <v>27</v>
      </c>
      <c r="X3832" s="360">
        <v>25</v>
      </c>
      <c r="Y3832" s="360" t="s">
        <v>42</v>
      </c>
      <c r="Z3832" s="360">
        <v>11</v>
      </c>
      <c r="AA3832" s="360">
        <v>49</v>
      </c>
      <c r="AB3832" s="360">
        <v>22.4</v>
      </c>
    </row>
    <row r="3833" spans="10:28" x14ac:dyDescent="0.2">
      <c r="J3833" s="358" t="str">
        <f t="shared" si="164"/>
        <v>2015AllSexAllEth215</v>
      </c>
      <c r="K3833" s="359">
        <v>2015</v>
      </c>
      <c r="L3833" t="s">
        <v>17</v>
      </c>
      <c r="M3833" t="s">
        <v>27</v>
      </c>
      <c r="N3833">
        <v>21</v>
      </c>
      <c r="O3833">
        <v>5</v>
      </c>
      <c r="P3833">
        <v>6</v>
      </c>
      <c r="T3833" s="358" t="str">
        <f t="shared" si="165"/>
        <v>2014MaleAllEth21Hanging, strangulation and suffocation</v>
      </c>
      <c r="U3833" s="360">
        <v>2014</v>
      </c>
      <c r="V3833" s="360" t="s">
        <v>20</v>
      </c>
      <c r="W3833" s="360" t="s">
        <v>27</v>
      </c>
      <c r="X3833" s="360">
        <v>21</v>
      </c>
      <c r="Y3833" s="360" t="s">
        <v>43</v>
      </c>
      <c r="Z3833" s="360">
        <v>2</v>
      </c>
      <c r="AA3833" s="360">
        <v>2</v>
      </c>
      <c r="AB3833" s="360">
        <v>100</v>
      </c>
    </row>
    <row r="3834" spans="10:28" x14ac:dyDescent="0.2">
      <c r="J3834" s="358" t="str">
        <f t="shared" si="164"/>
        <v>2015AllSexAllEth221</v>
      </c>
      <c r="K3834" s="359">
        <v>2015</v>
      </c>
      <c r="L3834" t="s">
        <v>17</v>
      </c>
      <c r="M3834" t="s">
        <v>27</v>
      </c>
      <c r="N3834">
        <v>22</v>
      </c>
      <c r="O3834">
        <v>1</v>
      </c>
      <c r="P3834">
        <v>18</v>
      </c>
      <c r="Q3834">
        <v>15.6144781512393</v>
      </c>
      <c r="R3834">
        <v>7.2</v>
      </c>
      <c r="T3834" s="358" t="str">
        <f t="shared" si="165"/>
        <v>2014MaleAllEth22Hanging, strangulation and suffocation</v>
      </c>
      <c r="U3834" s="360">
        <v>2014</v>
      </c>
      <c r="V3834" s="360" t="s">
        <v>20</v>
      </c>
      <c r="W3834" s="360" t="s">
        <v>27</v>
      </c>
      <c r="X3834" s="360">
        <v>22</v>
      </c>
      <c r="Y3834" s="360" t="s">
        <v>43</v>
      </c>
      <c r="Z3834" s="360">
        <v>60</v>
      </c>
      <c r="AA3834" s="360">
        <v>68</v>
      </c>
      <c r="AB3834" s="360">
        <v>88.2</v>
      </c>
    </row>
    <row r="3835" spans="10:28" x14ac:dyDescent="0.2">
      <c r="J3835" s="358" t="str">
        <f t="shared" si="164"/>
        <v>2015AllSexAllEth222</v>
      </c>
      <c r="K3835" s="359">
        <v>2015</v>
      </c>
      <c r="L3835" t="s">
        <v>17</v>
      </c>
      <c r="M3835" t="s">
        <v>27</v>
      </c>
      <c r="N3835">
        <v>22</v>
      </c>
      <c r="O3835">
        <v>2</v>
      </c>
      <c r="P3835">
        <v>14</v>
      </c>
      <c r="Q3835">
        <v>11.962381134026399</v>
      </c>
      <c r="R3835">
        <v>6.3</v>
      </c>
      <c r="T3835" s="358" t="str">
        <f t="shared" si="165"/>
        <v>2014MaleAllEth23Hanging, strangulation and suffocation</v>
      </c>
      <c r="U3835" s="360">
        <v>2014</v>
      </c>
      <c r="V3835" s="360" t="s">
        <v>20</v>
      </c>
      <c r="W3835" s="360" t="s">
        <v>27</v>
      </c>
      <c r="X3835" s="360">
        <v>23</v>
      </c>
      <c r="Y3835" s="360" t="s">
        <v>43</v>
      </c>
      <c r="Z3835" s="360">
        <v>100</v>
      </c>
      <c r="AA3835" s="360">
        <v>141</v>
      </c>
      <c r="AB3835" s="360">
        <v>70.900000000000006</v>
      </c>
    </row>
    <row r="3836" spans="10:28" x14ac:dyDescent="0.2">
      <c r="J3836" s="358" t="str">
        <f t="shared" si="164"/>
        <v>2015AllSexAllEth223</v>
      </c>
      <c r="K3836" s="359">
        <v>2015</v>
      </c>
      <c r="L3836" t="s">
        <v>17</v>
      </c>
      <c r="M3836" t="s">
        <v>27</v>
      </c>
      <c r="N3836">
        <v>22</v>
      </c>
      <c r="O3836">
        <v>3</v>
      </c>
      <c r="P3836">
        <v>14</v>
      </c>
      <c r="Q3836">
        <v>11.2618063840156</v>
      </c>
      <c r="R3836">
        <v>5.9</v>
      </c>
      <c r="T3836" s="358" t="str">
        <f t="shared" si="165"/>
        <v>2014MaleAllEth24Hanging, strangulation and suffocation</v>
      </c>
      <c r="U3836" s="360">
        <v>2014</v>
      </c>
      <c r="V3836" s="360" t="s">
        <v>20</v>
      </c>
      <c r="W3836" s="360" t="s">
        <v>27</v>
      </c>
      <c r="X3836" s="360">
        <v>24</v>
      </c>
      <c r="Y3836" s="360" t="s">
        <v>43</v>
      </c>
      <c r="Z3836" s="360">
        <v>57</v>
      </c>
      <c r="AA3836" s="360">
        <v>119</v>
      </c>
      <c r="AB3836" s="360">
        <v>47.9</v>
      </c>
    </row>
    <row r="3837" spans="10:28" x14ac:dyDescent="0.2">
      <c r="J3837" s="358" t="str">
        <f t="shared" si="164"/>
        <v>2015AllSexAllEth224</v>
      </c>
      <c r="K3837" s="359">
        <v>2015</v>
      </c>
      <c r="L3837" t="s">
        <v>17</v>
      </c>
      <c r="M3837" t="s">
        <v>27</v>
      </c>
      <c r="N3837">
        <v>22</v>
      </c>
      <c r="O3837">
        <v>4</v>
      </c>
      <c r="P3837">
        <v>28</v>
      </c>
      <c r="Q3837">
        <v>20.0088448670564</v>
      </c>
      <c r="R3837">
        <v>7.4</v>
      </c>
      <c r="T3837" s="358" t="str">
        <f t="shared" si="165"/>
        <v>2014MaleAllEth25Hanging, strangulation and suffocation</v>
      </c>
      <c r="U3837" s="360">
        <v>2014</v>
      </c>
      <c r="V3837" s="360" t="s">
        <v>20</v>
      </c>
      <c r="W3837" s="360" t="s">
        <v>27</v>
      </c>
      <c r="X3837" s="360">
        <v>25</v>
      </c>
      <c r="Y3837" s="360" t="s">
        <v>43</v>
      </c>
      <c r="Z3837" s="360">
        <v>22</v>
      </c>
      <c r="AA3837" s="360">
        <v>49</v>
      </c>
      <c r="AB3837" s="360">
        <v>44.9</v>
      </c>
    </row>
    <row r="3838" spans="10:28" x14ac:dyDescent="0.2">
      <c r="J3838" s="358" t="str">
        <f t="shared" si="164"/>
        <v>2015AllSexAllEth225</v>
      </c>
      <c r="K3838" s="359">
        <v>2015</v>
      </c>
      <c r="L3838" t="s">
        <v>17</v>
      </c>
      <c r="M3838" t="s">
        <v>27</v>
      </c>
      <c r="N3838">
        <v>22</v>
      </c>
      <c r="O3838">
        <v>5</v>
      </c>
      <c r="P3838">
        <v>35</v>
      </c>
      <c r="Q3838">
        <v>22.026800919296701</v>
      </c>
      <c r="R3838">
        <v>7.3</v>
      </c>
      <c r="T3838" s="358" t="str">
        <f t="shared" si="165"/>
        <v>2014MaleAllEth22Jumping from a high place</v>
      </c>
      <c r="U3838" s="360">
        <v>2014</v>
      </c>
      <c r="V3838" s="360" t="s">
        <v>20</v>
      </c>
      <c r="W3838" s="360" t="s">
        <v>27</v>
      </c>
      <c r="X3838" s="360">
        <v>22</v>
      </c>
      <c r="Y3838" s="360" t="s">
        <v>44</v>
      </c>
      <c r="Z3838" s="360">
        <v>1</v>
      </c>
      <c r="AA3838" s="360">
        <v>68</v>
      </c>
      <c r="AB3838" s="360">
        <v>1.5</v>
      </c>
    </row>
    <row r="3839" spans="10:28" x14ac:dyDescent="0.2">
      <c r="J3839" s="358" t="str">
        <f t="shared" si="164"/>
        <v>2015AllSexAllEth231</v>
      </c>
      <c r="K3839" s="359">
        <v>2015</v>
      </c>
      <c r="L3839" t="s">
        <v>17</v>
      </c>
      <c r="M3839" t="s">
        <v>27</v>
      </c>
      <c r="N3839">
        <v>23</v>
      </c>
      <c r="O3839">
        <v>1</v>
      </c>
      <c r="P3839">
        <v>21</v>
      </c>
      <c r="Q3839">
        <v>9.4477166720078092</v>
      </c>
      <c r="R3839">
        <v>4</v>
      </c>
      <c r="T3839" s="358" t="str">
        <f t="shared" si="165"/>
        <v>2014MaleAllEth23Jumping from a high place</v>
      </c>
      <c r="U3839" s="360">
        <v>2014</v>
      </c>
      <c r="V3839" s="360" t="s">
        <v>20</v>
      </c>
      <c r="W3839" s="360" t="s">
        <v>27</v>
      </c>
      <c r="X3839" s="360">
        <v>23</v>
      </c>
      <c r="Y3839" s="360" t="s">
        <v>44</v>
      </c>
      <c r="Z3839" s="360">
        <v>7</v>
      </c>
      <c r="AA3839" s="360">
        <v>141</v>
      </c>
      <c r="AB3839" s="360">
        <v>5</v>
      </c>
    </row>
    <row r="3840" spans="10:28" x14ac:dyDescent="0.2">
      <c r="J3840" s="358" t="str">
        <f t="shared" si="164"/>
        <v>2015AllSexAllEth232</v>
      </c>
      <c r="K3840" s="359">
        <v>2015</v>
      </c>
      <c r="L3840" t="s">
        <v>17</v>
      </c>
      <c r="M3840" t="s">
        <v>27</v>
      </c>
      <c r="N3840">
        <v>23</v>
      </c>
      <c r="O3840">
        <v>2</v>
      </c>
      <c r="P3840">
        <v>28</v>
      </c>
      <c r="Q3840">
        <v>11.599994790601199</v>
      </c>
      <c r="R3840">
        <v>4.3</v>
      </c>
      <c r="T3840" s="358" t="str">
        <f t="shared" si="165"/>
        <v>2014MaleAllEth24Jumping from a high place</v>
      </c>
      <c r="U3840" s="360">
        <v>2014</v>
      </c>
      <c r="V3840" s="360" t="s">
        <v>20</v>
      </c>
      <c r="W3840" s="360" t="s">
        <v>27</v>
      </c>
      <c r="X3840" s="360">
        <v>24</v>
      </c>
      <c r="Y3840" s="360" t="s">
        <v>44</v>
      </c>
      <c r="Z3840" s="360">
        <v>4</v>
      </c>
      <c r="AA3840" s="360">
        <v>119</v>
      </c>
      <c r="AB3840" s="360">
        <v>3.4</v>
      </c>
    </row>
    <row r="3841" spans="10:28" x14ac:dyDescent="0.2">
      <c r="J3841" s="358" t="str">
        <f t="shared" si="164"/>
        <v>2015AllSexAllEth233</v>
      </c>
      <c r="K3841" s="359">
        <v>2015</v>
      </c>
      <c r="L3841" t="s">
        <v>17</v>
      </c>
      <c r="M3841" t="s">
        <v>27</v>
      </c>
      <c r="N3841">
        <v>23</v>
      </c>
      <c r="O3841">
        <v>3</v>
      </c>
      <c r="P3841">
        <v>29</v>
      </c>
      <c r="Q3841">
        <v>11.7444880633042</v>
      </c>
      <c r="R3841">
        <v>4.3</v>
      </c>
      <c r="T3841" s="358" t="str">
        <f t="shared" si="165"/>
        <v>2014MaleAllEth22Other</v>
      </c>
      <c r="U3841" s="360">
        <v>2014</v>
      </c>
      <c r="V3841" s="360" t="s">
        <v>20</v>
      </c>
      <c r="W3841" s="360" t="s">
        <v>27</v>
      </c>
      <c r="X3841" s="360">
        <v>22</v>
      </c>
      <c r="Y3841" s="360" t="s">
        <v>45</v>
      </c>
      <c r="Z3841" s="360">
        <v>2</v>
      </c>
      <c r="AA3841" s="360">
        <v>68</v>
      </c>
      <c r="AB3841" s="360">
        <v>2.9</v>
      </c>
    </row>
    <row r="3842" spans="10:28" x14ac:dyDescent="0.2">
      <c r="J3842" s="358" t="str">
        <f t="shared" si="164"/>
        <v>2015AllSexAllEth234</v>
      </c>
      <c r="K3842" s="359">
        <v>2015</v>
      </c>
      <c r="L3842" t="s">
        <v>17</v>
      </c>
      <c r="M3842" t="s">
        <v>27</v>
      </c>
      <c r="N3842">
        <v>23</v>
      </c>
      <c r="O3842">
        <v>4</v>
      </c>
      <c r="P3842">
        <v>38</v>
      </c>
      <c r="Q3842">
        <v>15.66469047484</v>
      </c>
      <c r="R3842">
        <v>5</v>
      </c>
      <c r="T3842" s="358" t="str">
        <f t="shared" si="165"/>
        <v>2014MaleAllEth23Other</v>
      </c>
      <c r="U3842" s="360">
        <v>2014</v>
      </c>
      <c r="V3842" s="360" t="s">
        <v>20</v>
      </c>
      <c r="W3842" s="360" t="s">
        <v>27</v>
      </c>
      <c r="X3842" s="360">
        <v>23</v>
      </c>
      <c r="Y3842" s="360" t="s">
        <v>45</v>
      </c>
      <c r="Z3842" s="360">
        <v>3</v>
      </c>
      <c r="AA3842" s="360">
        <v>141</v>
      </c>
      <c r="AB3842" s="360">
        <v>2.1</v>
      </c>
    </row>
    <row r="3843" spans="10:28" x14ac:dyDescent="0.2">
      <c r="J3843" s="358" t="str">
        <f t="shared" si="164"/>
        <v>2015AllSexAllEth235</v>
      </c>
      <c r="K3843" s="359">
        <v>2015</v>
      </c>
      <c r="L3843" t="s">
        <v>17</v>
      </c>
      <c r="M3843" t="s">
        <v>27</v>
      </c>
      <c r="N3843">
        <v>23</v>
      </c>
      <c r="O3843">
        <v>5</v>
      </c>
      <c r="P3843">
        <v>53</v>
      </c>
      <c r="Q3843">
        <v>23.1272051079739</v>
      </c>
      <c r="R3843">
        <v>6.2</v>
      </c>
      <c r="T3843" s="358" t="str">
        <f t="shared" si="165"/>
        <v>2014MaleAllEth24Other</v>
      </c>
      <c r="U3843" s="360">
        <v>2014</v>
      </c>
      <c r="V3843" s="360" t="s">
        <v>20</v>
      </c>
      <c r="W3843" s="360" t="s">
        <v>27</v>
      </c>
      <c r="X3843" s="360">
        <v>24</v>
      </c>
      <c r="Y3843" s="360" t="s">
        <v>45</v>
      </c>
      <c r="Z3843" s="360">
        <v>8</v>
      </c>
      <c r="AA3843" s="360">
        <v>119</v>
      </c>
      <c r="AB3843" s="360">
        <v>6.7</v>
      </c>
    </row>
    <row r="3844" spans="10:28" x14ac:dyDescent="0.2">
      <c r="J3844" s="358" t="str">
        <f t="shared" ref="J3844:J3907" si="166">K3844&amp;L3844&amp;M3844&amp;N3844&amp;O3844</f>
        <v>2015AllSexAllEth241</v>
      </c>
      <c r="K3844" s="359">
        <v>2015</v>
      </c>
      <c r="L3844" t="s">
        <v>17</v>
      </c>
      <c r="M3844" t="s">
        <v>27</v>
      </c>
      <c r="N3844">
        <v>24</v>
      </c>
      <c r="O3844">
        <v>1</v>
      </c>
      <c r="P3844">
        <v>24</v>
      </c>
      <c r="Q3844">
        <v>8.4400846005149202</v>
      </c>
      <c r="R3844">
        <v>3.4</v>
      </c>
      <c r="T3844" s="358" t="str">
        <f t="shared" si="165"/>
        <v>2014MaleAllEth25Other</v>
      </c>
      <c r="U3844" s="360">
        <v>2014</v>
      </c>
      <c r="V3844" s="360" t="s">
        <v>20</v>
      </c>
      <c r="W3844" s="360" t="s">
        <v>27</v>
      </c>
      <c r="X3844" s="360">
        <v>25</v>
      </c>
      <c r="Y3844" s="360" t="s">
        <v>45</v>
      </c>
      <c r="Z3844" s="360">
        <v>1</v>
      </c>
      <c r="AA3844" s="360">
        <v>49</v>
      </c>
      <c r="AB3844" s="360">
        <v>2</v>
      </c>
    </row>
    <row r="3845" spans="10:28" x14ac:dyDescent="0.2">
      <c r="J3845" s="358" t="str">
        <f t="shared" si="166"/>
        <v>2015AllSexAllEth242</v>
      </c>
      <c r="K3845" s="359">
        <v>2015</v>
      </c>
      <c r="L3845" t="s">
        <v>17</v>
      </c>
      <c r="M3845" t="s">
        <v>27</v>
      </c>
      <c r="N3845">
        <v>24</v>
      </c>
      <c r="O3845">
        <v>2</v>
      </c>
      <c r="P3845">
        <v>38</v>
      </c>
      <c r="Q3845">
        <v>14.9607001533436</v>
      </c>
      <c r="R3845">
        <v>4.8</v>
      </c>
      <c r="T3845" s="358" t="str">
        <f t="shared" ref="T3845:T3908" si="167">U3845&amp;V3845&amp;W3845&amp;X3845&amp;Y3845</f>
        <v>2014MaleAllEth22Poisoning by gases and vapours</v>
      </c>
      <c r="U3845" s="360">
        <v>2014</v>
      </c>
      <c r="V3845" s="360" t="s">
        <v>20</v>
      </c>
      <c r="W3845" s="360" t="s">
        <v>27</v>
      </c>
      <c r="X3845" s="360">
        <v>22</v>
      </c>
      <c r="Y3845" s="360" t="s">
        <v>46</v>
      </c>
      <c r="Z3845" s="360">
        <v>2</v>
      </c>
      <c r="AA3845" s="360">
        <v>68</v>
      </c>
      <c r="AB3845" s="360">
        <v>2.9</v>
      </c>
    </row>
    <row r="3846" spans="10:28" x14ac:dyDescent="0.2">
      <c r="J3846" s="358" t="str">
        <f t="shared" si="166"/>
        <v>2015AllSexAllEth243</v>
      </c>
      <c r="K3846" s="359">
        <v>2015</v>
      </c>
      <c r="L3846" t="s">
        <v>17</v>
      </c>
      <c r="M3846" t="s">
        <v>27</v>
      </c>
      <c r="N3846">
        <v>24</v>
      </c>
      <c r="O3846">
        <v>3</v>
      </c>
      <c r="P3846">
        <v>32</v>
      </c>
      <c r="Q3846">
        <v>13.914332945355699</v>
      </c>
      <c r="R3846">
        <v>4.8</v>
      </c>
      <c r="T3846" s="358" t="str">
        <f t="shared" si="167"/>
        <v>2014MaleAllEth23Poisoning by gases and vapours</v>
      </c>
      <c r="U3846" s="360">
        <v>2014</v>
      </c>
      <c r="V3846" s="360" t="s">
        <v>20</v>
      </c>
      <c r="W3846" s="360" t="s">
        <v>27</v>
      </c>
      <c r="X3846" s="360">
        <v>23</v>
      </c>
      <c r="Y3846" s="360" t="s">
        <v>46</v>
      </c>
      <c r="Z3846" s="360">
        <v>15</v>
      </c>
      <c r="AA3846" s="360">
        <v>141</v>
      </c>
      <c r="AB3846" s="360">
        <v>10.6</v>
      </c>
    </row>
    <row r="3847" spans="10:28" x14ac:dyDescent="0.2">
      <c r="J3847" s="358" t="str">
        <f t="shared" si="166"/>
        <v>2015AllSexAllEth244</v>
      </c>
      <c r="K3847" s="359">
        <v>2015</v>
      </c>
      <c r="L3847" t="s">
        <v>17</v>
      </c>
      <c r="M3847" t="s">
        <v>27</v>
      </c>
      <c r="N3847">
        <v>24</v>
      </c>
      <c r="O3847">
        <v>4</v>
      </c>
      <c r="P3847">
        <v>35</v>
      </c>
      <c r="Q3847">
        <v>16.749653895792999</v>
      </c>
      <c r="R3847">
        <v>5.5</v>
      </c>
      <c r="T3847" s="358" t="str">
        <f t="shared" si="167"/>
        <v>2014MaleAllEth24Poisoning by gases and vapours</v>
      </c>
      <c r="U3847" s="360">
        <v>2014</v>
      </c>
      <c r="V3847" s="360" t="s">
        <v>20</v>
      </c>
      <c r="W3847" s="360" t="s">
        <v>27</v>
      </c>
      <c r="X3847" s="360">
        <v>24</v>
      </c>
      <c r="Y3847" s="360" t="s">
        <v>46</v>
      </c>
      <c r="Z3847" s="360">
        <v>10</v>
      </c>
      <c r="AA3847" s="360">
        <v>119</v>
      </c>
      <c r="AB3847" s="360">
        <v>8.4</v>
      </c>
    </row>
    <row r="3848" spans="10:28" x14ac:dyDescent="0.2">
      <c r="J3848" s="358" t="str">
        <f t="shared" si="166"/>
        <v>2015AllSexAllEth245</v>
      </c>
      <c r="K3848" s="359">
        <v>2015</v>
      </c>
      <c r="L3848" t="s">
        <v>17</v>
      </c>
      <c r="M3848" t="s">
        <v>27</v>
      </c>
      <c r="N3848">
        <v>24</v>
      </c>
      <c r="O3848">
        <v>5</v>
      </c>
      <c r="P3848">
        <v>37</v>
      </c>
      <c r="Q3848">
        <v>19.275225052220598</v>
      </c>
      <c r="R3848">
        <v>6.2</v>
      </c>
      <c r="T3848" s="358" t="str">
        <f t="shared" si="167"/>
        <v>2014MaleAllEth25Poisoning by gases and vapours</v>
      </c>
      <c r="U3848" s="360">
        <v>2014</v>
      </c>
      <c r="V3848" s="360" t="s">
        <v>20</v>
      </c>
      <c r="W3848" s="360" t="s">
        <v>27</v>
      </c>
      <c r="X3848" s="360">
        <v>25</v>
      </c>
      <c r="Y3848" s="360" t="s">
        <v>46</v>
      </c>
      <c r="Z3848" s="360">
        <v>5</v>
      </c>
      <c r="AA3848" s="360">
        <v>49</v>
      </c>
      <c r="AB3848" s="360">
        <v>10.199999999999999</v>
      </c>
    </row>
    <row r="3849" spans="10:28" x14ac:dyDescent="0.2">
      <c r="J3849" s="358" t="str">
        <f t="shared" si="166"/>
        <v>2015AllSexAllEth251</v>
      </c>
      <c r="K3849" s="359">
        <v>2015</v>
      </c>
      <c r="L3849" t="s">
        <v>17</v>
      </c>
      <c r="M3849" t="s">
        <v>27</v>
      </c>
      <c r="N3849">
        <v>25</v>
      </c>
      <c r="O3849">
        <v>1</v>
      </c>
      <c r="P3849">
        <v>18</v>
      </c>
      <c r="Q3849">
        <v>12.85592725844</v>
      </c>
      <c r="R3849">
        <v>5.9</v>
      </c>
      <c r="T3849" s="358" t="str">
        <f t="shared" si="167"/>
        <v>2014MaleAllEth23Poisoning by solids and liquids</v>
      </c>
      <c r="U3849" s="360">
        <v>2014</v>
      </c>
      <c r="V3849" s="360" t="s">
        <v>20</v>
      </c>
      <c r="W3849" s="360" t="s">
        <v>27</v>
      </c>
      <c r="X3849" s="360">
        <v>23</v>
      </c>
      <c r="Y3849" s="360" t="s">
        <v>47</v>
      </c>
      <c r="Z3849" s="360">
        <v>7</v>
      </c>
      <c r="AA3849" s="360">
        <v>141</v>
      </c>
      <c r="AB3849" s="360">
        <v>5</v>
      </c>
    </row>
    <row r="3850" spans="10:28" x14ac:dyDescent="0.2">
      <c r="J3850" s="358" t="str">
        <f t="shared" si="166"/>
        <v>2015AllSexAllEth252</v>
      </c>
      <c r="K3850" s="359">
        <v>2015</v>
      </c>
      <c r="L3850" t="s">
        <v>17</v>
      </c>
      <c r="M3850" t="s">
        <v>27</v>
      </c>
      <c r="N3850">
        <v>25</v>
      </c>
      <c r="O3850">
        <v>2</v>
      </c>
      <c r="P3850">
        <v>12</v>
      </c>
      <c r="Q3850">
        <v>8.5119967639644702</v>
      </c>
      <c r="R3850">
        <v>4.8</v>
      </c>
      <c r="T3850" s="358" t="str">
        <f t="shared" si="167"/>
        <v>2014MaleAllEth24Poisoning by solids and liquids</v>
      </c>
      <c r="U3850" s="360">
        <v>2014</v>
      </c>
      <c r="V3850" s="360" t="s">
        <v>20</v>
      </c>
      <c r="W3850" s="360" t="s">
        <v>27</v>
      </c>
      <c r="X3850" s="360">
        <v>24</v>
      </c>
      <c r="Y3850" s="360" t="s">
        <v>47</v>
      </c>
      <c r="Z3850" s="360">
        <v>15</v>
      </c>
      <c r="AA3850" s="360">
        <v>119</v>
      </c>
      <c r="AB3850" s="360">
        <v>12.6</v>
      </c>
    </row>
    <row r="3851" spans="10:28" x14ac:dyDescent="0.2">
      <c r="J3851" s="358" t="str">
        <f t="shared" si="166"/>
        <v>2015AllSexAllEth253</v>
      </c>
      <c r="K3851" s="359">
        <v>2015</v>
      </c>
      <c r="L3851" t="s">
        <v>17</v>
      </c>
      <c r="M3851" t="s">
        <v>27</v>
      </c>
      <c r="N3851">
        <v>25</v>
      </c>
      <c r="O3851">
        <v>3</v>
      </c>
      <c r="P3851">
        <v>11</v>
      </c>
      <c r="Q3851">
        <v>7.9069198940264203</v>
      </c>
      <c r="R3851">
        <v>4.7</v>
      </c>
      <c r="T3851" s="358" t="str">
        <f t="shared" si="167"/>
        <v>2014MaleAllEth25Poisoning by solids and liquids</v>
      </c>
      <c r="U3851" s="360">
        <v>2014</v>
      </c>
      <c r="V3851" s="360" t="s">
        <v>20</v>
      </c>
      <c r="W3851" s="360" t="s">
        <v>27</v>
      </c>
      <c r="X3851" s="360">
        <v>25</v>
      </c>
      <c r="Y3851" s="360" t="s">
        <v>47</v>
      </c>
      <c r="Z3851" s="360">
        <v>8</v>
      </c>
      <c r="AA3851" s="360">
        <v>49</v>
      </c>
      <c r="AB3851" s="360">
        <v>16.3</v>
      </c>
    </row>
    <row r="3852" spans="10:28" x14ac:dyDescent="0.2">
      <c r="J3852" s="358" t="str">
        <f t="shared" si="166"/>
        <v>2015AllSexAllEth254</v>
      </c>
      <c r="K3852" s="359">
        <v>2015</v>
      </c>
      <c r="L3852" t="s">
        <v>17</v>
      </c>
      <c r="M3852" t="s">
        <v>27</v>
      </c>
      <c r="N3852">
        <v>25</v>
      </c>
      <c r="O3852">
        <v>4</v>
      </c>
      <c r="P3852">
        <v>16</v>
      </c>
      <c r="Q3852">
        <v>11.4108332755892</v>
      </c>
      <c r="R3852">
        <v>5.6</v>
      </c>
      <c r="T3852" s="358" t="str">
        <f t="shared" si="167"/>
        <v>2014MaleAllEth23Sharp object</v>
      </c>
      <c r="U3852" s="360">
        <v>2014</v>
      </c>
      <c r="V3852" s="360" t="s">
        <v>20</v>
      </c>
      <c r="W3852" s="360" t="s">
        <v>27</v>
      </c>
      <c r="X3852" s="360">
        <v>23</v>
      </c>
      <c r="Y3852" s="360" t="s">
        <v>48</v>
      </c>
      <c r="Z3852" s="360">
        <v>2</v>
      </c>
      <c r="AA3852" s="360">
        <v>141</v>
      </c>
      <c r="AB3852" s="360">
        <v>1.4</v>
      </c>
    </row>
    <row r="3853" spans="10:28" x14ac:dyDescent="0.2">
      <c r="J3853" s="358" t="str">
        <f t="shared" si="166"/>
        <v>2015AllSexAllEth255</v>
      </c>
      <c r="K3853" s="359">
        <v>2015</v>
      </c>
      <c r="L3853" t="s">
        <v>17</v>
      </c>
      <c r="M3853" t="s">
        <v>27</v>
      </c>
      <c r="N3853">
        <v>25</v>
      </c>
      <c r="O3853">
        <v>5</v>
      </c>
      <c r="P3853">
        <v>7</v>
      </c>
      <c r="Q3853">
        <v>6.1351504208595404</v>
      </c>
      <c r="R3853">
        <v>4.5</v>
      </c>
      <c r="T3853" s="358" t="str">
        <f t="shared" si="167"/>
        <v>2014MaleAllEth24Sharp object</v>
      </c>
      <c r="U3853" s="360">
        <v>2014</v>
      </c>
      <c r="V3853" s="360" t="s">
        <v>20</v>
      </c>
      <c r="W3853" s="360" t="s">
        <v>27</v>
      </c>
      <c r="X3853" s="360">
        <v>24</v>
      </c>
      <c r="Y3853" s="360" t="s">
        <v>48</v>
      </c>
      <c r="Z3853" s="360">
        <v>2</v>
      </c>
      <c r="AA3853" s="360">
        <v>119</v>
      </c>
      <c r="AB3853" s="360">
        <v>1.7</v>
      </c>
    </row>
    <row r="3854" spans="10:28" x14ac:dyDescent="0.2">
      <c r="J3854" s="358" t="str">
        <f t="shared" si="166"/>
        <v>2015AllSexMaori211</v>
      </c>
      <c r="K3854" s="359">
        <v>2015</v>
      </c>
      <c r="L3854" t="s">
        <v>17</v>
      </c>
      <c r="M3854" t="s">
        <v>18</v>
      </c>
      <c r="N3854">
        <v>21</v>
      </c>
      <c r="O3854">
        <v>1</v>
      </c>
      <c r="P3854">
        <v>0</v>
      </c>
      <c r="T3854" s="358" t="str">
        <f t="shared" si="167"/>
        <v>2014MaleAllEth22Submersion (drowning)</v>
      </c>
      <c r="U3854" s="360">
        <v>2014</v>
      </c>
      <c r="V3854" s="360" t="s">
        <v>20</v>
      </c>
      <c r="W3854" s="360" t="s">
        <v>27</v>
      </c>
      <c r="X3854" s="360">
        <v>22</v>
      </c>
      <c r="Y3854" s="360" t="s">
        <v>49</v>
      </c>
      <c r="Z3854" s="360">
        <v>1</v>
      </c>
      <c r="AA3854" s="360">
        <v>68</v>
      </c>
      <c r="AB3854" s="360">
        <v>1.5</v>
      </c>
    </row>
    <row r="3855" spans="10:28" x14ac:dyDescent="0.2">
      <c r="J3855" s="358" t="str">
        <f t="shared" si="166"/>
        <v>2015AllSexMaori212</v>
      </c>
      <c r="K3855" s="359">
        <v>2015</v>
      </c>
      <c r="L3855" t="s">
        <v>17</v>
      </c>
      <c r="M3855" t="s">
        <v>18</v>
      </c>
      <c r="N3855">
        <v>21</v>
      </c>
      <c r="O3855">
        <v>2</v>
      </c>
      <c r="P3855">
        <v>0</v>
      </c>
      <c r="T3855" s="358" t="str">
        <f t="shared" si="167"/>
        <v>2014MaleAllEth24Submersion (drowning)</v>
      </c>
      <c r="U3855" s="360">
        <v>2014</v>
      </c>
      <c r="V3855" s="360" t="s">
        <v>20</v>
      </c>
      <c r="W3855" s="360" t="s">
        <v>27</v>
      </c>
      <c r="X3855" s="360">
        <v>24</v>
      </c>
      <c r="Y3855" s="360" t="s">
        <v>49</v>
      </c>
      <c r="Z3855" s="360">
        <v>5</v>
      </c>
      <c r="AA3855" s="360">
        <v>119</v>
      </c>
      <c r="AB3855" s="360">
        <v>4.2</v>
      </c>
    </row>
    <row r="3856" spans="10:28" x14ac:dyDescent="0.2">
      <c r="J3856" s="358" t="str">
        <f t="shared" si="166"/>
        <v>2015AllSexMaori213</v>
      </c>
      <c r="K3856" s="359">
        <v>2015</v>
      </c>
      <c r="L3856" t="s">
        <v>17</v>
      </c>
      <c r="M3856" t="s">
        <v>18</v>
      </c>
      <c r="N3856">
        <v>21</v>
      </c>
      <c r="O3856">
        <v>3</v>
      </c>
      <c r="P3856">
        <v>1</v>
      </c>
      <c r="T3856" s="358" t="str">
        <f t="shared" si="167"/>
        <v>2014MaleAllEth25Submersion (drowning)</v>
      </c>
      <c r="U3856" s="360">
        <v>2014</v>
      </c>
      <c r="V3856" s="360" t="s">
        <v>20</v>
      </c>
      <c r="W3856" s="360" t="s">
        <v>27</v>
      </c>
      <c r="X3856" s="360">
        <v>25</v>
      </c>
      <c r="Y3856" s="360" t="s">
        <v>49</v>
      </c>
      <c r="Z3856" s="360">
        <v>2</v>
      </c>
      <c r="AA3856" s="360">
        <v>49</v>
      </c>
      <c r="AB3856" s="360">
        <v>4.0999999999999996</v>
      </c>
    </row>
    <row r="3857" spans="10:28" x14ac:dyDescent="0.2">
      <c r="J3857" s="358" t="str">
        <f t="shared" si="166"/>
        <v>2015AllSexMaori214</v>
      </c>
      <c r="K3857" s="359">
        <v>2015</v>
      </c>
      <c r="L3857" t="s">
        <v>17</v>
      </c>
      <c r="M3857" t="s">
        <v>18</v>
      </c>
      <c r="N3857">
        <v>21</v>
      </c>
      <c r="O3857">
        <v>4</v>
      </c>
      <c r="P3857">
        <v>1</v>
      </c>
      <c r="T3857" s="358" t="str">
        <f t="shared" si="167"/>
        <v>2014MaleMaori24Firearms and explosives</v>
      </c>
      <c r="U3857" s="360">
        <v>2014</v>
      </c>
      <c r="V3857" s="360" t="s">
        <v>20</v>
      </c>
      <c r="W3857" s="360" t="s">
        <v>18</v>
      </c>
      <c r="X3857" s="360">
        <v>24</v>
      </c>
      <c r="Y3857" s="360" t="s">
        <v>42</v>
      </c>
      <c r="Z3857" s="360">
        <v>1</v>
      </c>
      <c r="AA3857" s="360">
        <v>9</v>
      </c>
      <c r="AB3857" s="360">
        <v>11.1</v>
      </c>
    </row>
    <row r="3858" spans="10:28" x14ac:dyDescent="0.2">
      <c r="J3858" s="358" t="str">
        <f t="shared" si="166"/>
        <v>2015AllSexMaori215</v>
      </c>
      <c r="K3858" s="359">
        <v>2015</v>
      </c>
      <c r="L3858" t="s">
        <v>17</v>
      </c>
      <c r="M3858" t="s">
        <v>18</v>
      </c>
      <c r="N3858">
        <v>21</v>
      </c>
      <c r="O3858">
        <v>5</v>
      </c>
      <c r="P3858">
        <v>2</v>
      </c>
      <c r="T3858" s="358" t="str">
        <f t="shared" si="167"/>
        <v>2014MaleMaori21Hanging, strangulation and suffocation</v>
      </c>
      <c r="U3858" s="360">
        <v>2014</v>
      </c>
      <c r="V3858" s="360" t="s">
        <v>20</v>
      </c>
      <c r="W3858" s="360" t="s">
        <v>18</v>
      </c>
      <c r="X3858" s="360">
        <v>21</v>
      </c>
      <c r="Y3858" s="360" t="s">
        <v>43</v>
      </c>
      <c r="Z3858" s="360">
        <v>1</v>
      </c>
      <c r="AA3858" s="360">
        <v>1</v>
      </c>
      <c r="AB3858" s="360">
        <v>100</v>
      </c>
    </row>
    <row r="3859" spans="10:28" x14ac:dyDescent="0.2">
      <c r="J3859" s="358" t="str">
        <f t="shared" si="166"/>
        <v>2015AllSexMaori221</v>
      </c>
      <c r="K3859" s="359">
        <v>2015</v>
      </c>
      <c r="L3859" t="s">
        <v>17</v>
      </c>
      <c r="M3859" t="s">
        <v>18</v>
      </c>
      <c r="N3859">
        <v>22</v>
      </c>
      <c r="O3859">
        <v>1</v>
      </c>
      <c r="P3859">
        <v>3</v>
      </c>
      <c r="Q3859">
        <v>26.3572062035268</v>
      </c>
      <c r="R3859">
        <v>29.8</v>
      </c>
      <c r="T3859" s="358" t="str">
        <f t="shared" si="167"/>
        <v>2014MaleMaori22Hanging, strangulation and suffocation</v>
      </c>
      <c r="U3859" s="360">
        <v>2014</v>
      </c>
      <c r="V3859" s="360" t="s">
        <v>20</v>
      </c>
      <c r="W3859" s="360" t="s">
        <v>18</v>
      </c>
      <c r="X3859" s="360">
        <v>22</v>
      </c>
      <c r="Y3859" s="360" t="s">
        <v>43</v>
      </c>
      <c r="Z3859" s="360">
        <v>19</v>
      </c>
      <c r="AA3859" s="360">
        <v>20</v>
      </c>
      <c r="AB3859" s="360">
        <v>95</v>
      </c>
    </row>
    <row r="3860" spans="10:28" x14ac:dyDescent="0.2">
      <c r="J3860" s="358" t="str">
        <f t="shared" si="166"/>
        <v>2015AllSexMaori222</v>
      </c>
      <c r="K3860" s="359">
        <v>2015</v>
      </c>
      <c r="L3860" t="s">
        <v>17</v>
      </c>
      <c r="M3860" t="s">
        <v>18</v>
      </c>
      <c r="N3860">
        <v>22</v>
      </c>
      <c r="O3860">
        <v>2</v>
      </c>
      <c r="P3860">
        <v>5</v>
      </c>
      <c r="Q3860">
        <v>32.970983931728298</v>
      </c>
      <c r="R3860">
        <v>28.9</v>
      </c>
      <c r="T3860" s="358" t="str">
        <f t="shared" si="167"/>
        <v>2014MaleMaori23Hanging, strangulation and suffocation</v>
      </c>
      <c r="U3860" s="360">
        <v>2014</v>
      </c>
      <c r="V3860" s="360" t="s">
        <v>20</v>
      </c>
      <c r="W3860" s="360" t="s">
        <v>18</v>
      </c>
      <c r="X3860" s="360">
        <v>23</v>
      </c>
      <c r="Y3860" s="360" t="s">
        <v>43</v>
      </c>
      <c r="Z3860" s="360">
        <v>33</v>
      </c>
      <c r="AA3860" s="360">
        <v>37</v>
      </c>
      <c r="AB3860" s="360">
        <v>89.2</v>
      </c>
    </row>
    <row r="3861" spans="10:28" x14ac:dyDescent="0.2">
      <c r="J3861" s="358" t="str">
        <f t="shared" si="166"/>
        <v>2015AllSexMaori223</v>
      </c>
      <c r="K3861" s="359">
        <v>2015</v>
      </c>
      <c r="L3861" t="s">
        <v>17</v>
      </c>
      <c r="M3861" t="s">
        <v>18</v>
      </c>
      <c r="N3861">
        <v>22</v>
      </c>
      <c r="O3861">
        <v>3</v>
      </c>
      <c r="P3861">
        <v>5</v>
      </c>
      <c r="Q3861">
        <v>22.684233067089</v>
      </c>
      <c r="R3861">
        <v>19.899999999999999</v>
      </c>
      <c r="T3861" s="358" t="str">
        <f t="shared" si="167"/>
        <v>2014MaleMaori24Hanging, strangulation and suffocation</v>
      </c>
      <c r="U3861" s="360">
        <v>2014</v>
      </c>
      <c r="V3861" s="360" t="s">
        <v>20</v>
      </c>
      <c r="W3861" s="360" t="s">
        <v>18</v>
      </c>
      <c r="X3861" s="360">
        <v>24</v>
      </c>
      <c r="Y3861" s="360" t="s">
        <v>43</v>
      </c>
      <c r="Z3861" s="360">
        <v>4</v>
      </c>
      <c r="AA3861" s="360">
        <v>9</v>
      </c>
      <c r="AB3861" s="360">
        <v>44.4</v>
      </c>
    </row>
    <row r="3862" spans="10:28" x14ac:dyDescent="0.2">
      <c r="J3862" s="358" t="str">
        <f t="shared" si="166"/>
        <v>2015AllSexMaori224</v>
      </c>
      <c r="K3862" s="359">
        <v>2015</v>
      </c>
      <c r="L3862" t="s">
        <v>17</v>
      </c>
      <c r="M3862" t="s">
        <v>18</v>
      </c>
      <c r="N3862">
        <v>22</v>
      </c>
      <c r="O3862">
        <v>4</v>
      </c>
      <c r="P3862">
        <v>12</v>
      </c>
      <c r="Q3862">
        <v>37.695223078880097</v>
      </c>
      <c r="R3862">
        <v>21.3</v>
      </c>
      <c r="T3862" s="358" t="str">
        <f t="shared" si="167"/>
        <v>2014MaleMaori22Other</v>
      </c>
      <c r="U3862" s="360">
        <v>2014</v>
      </c>
      <c r="V3862" s="360" t="s">
        <v>20</v>
      </c>
      <c r="W3862" s="360" t="s">
        <v>18</v>
      </c>
      <c r="X3862" s="360">
        <v>22</v>
      </c>
      <c r="Y3862" s="360" t="s">
        <v>45</v>
      </c>
      <c r="Z3862" s="360">
        <v>1</v>
      </c>
      <c r="AA3862" s="360">
        <v>20</v>
      </c>
      <c r="AB3862" s="360">
        <v>5</v>
      </c>
    </row>
    <row r="3863" spans="10:28" x14ac:dyDescent="0.2">
      <c r="J3863" s="358" t="str">
        <f t="shared" si="166"/>
        <v>2015AllSexMaori225</v>
      </c>
      <c r="K3863" s="359">
        <v>2015</v>
      </c>
      <c r="L3863" t="s">
        <v>17</v>
      </c>
      <c r="M3863" t="s">
        <v>18</v>
      </c>
      <c r="N3863">
        <v>22</v>
      </c>
      <c r="O3863">
        <v>5</v>
      </c>
      <c r="P3863">
        <v>17</v>
      </c>
      <c r="Q3863">
        <v>31.054935202179401</v>
      </c>
      <c r="R3863">
        <v>14.8</v>
      </c>
      <c r="T3863" s="358" t="str">
        <f t="shared" si="167"/>
        <v>2014MaleMaori23Other</v>
      </c>
      <c r="U3863" s="360">
        <v>2014</v>
      </c>
      <c r="V3863" s="360" t="s">
        <v>20</v>
      </c>
      <c r="W3863" s="360" t="s">
        <v>18</v>
      </c>
      <c r="X3863" s="360">
        <v>23</v>
      </c>
      <c r="Y3863" s="360" t="s">
        <v>45</v>
      </c>
      <c r="Z3863" s="360">
        <v>1</v>
      </c>
      <c r="AA3863" s="360">
        <v>37</v>
      </c>
      <c r="AB3863" s="360">
        <v>2.7</v>
      </c>
    </row>
    <row r="3864" spans="10:28" x14ac:dyDescent="0.2">
      <c r="J3864" s="358" t="str">
        <f t="shared" si="166"/>
        <v>2015AllSexMaori231</v>
      </c>
      <c r="K3864" s="359">
        <v>2015</v>
      </c>
      <c r="L3864" t="s">
        <v>17</v>
      </c>
      <c r="M3864" t="s">
        <v>18</v>
      </c>
      <c r="N3864">
        <v>23</v>
      </c>
      <c r="O3864">
        <v>1</v>
      </c>
      <c r="P3864">
        <v>0</v>
      </c>
      <c r="Q3864">
        <v>0</v>
      </c>
      <c r="T3864" s="358" t="str">
        <f t="shared" si="167"/>
        <v>2014MaleMaori24Other</v>
      </c>
      <c r="U3864" s="360">
        <v>2014</v>
      </c>
      <c r="V3864" s="360" t="s">
        <v>20</v>
      </c>
      <c r="W3864" s="360" t="s">
        <v>18</v>
      </c>
      <c r="X3864" s="360">
        <v>24</v>
      </c>
      <c r="Y3864" s="360" t="s">
        <v>45</v>
      </c>
      <c r="Z3864" s="360">
        <v>2</v>
      </c>
      <c r="AA3864" s="360">
        <v>9</v>
      </c>
      <c r="AB3864" s="360">
        <v>22.2</v>
      </c>
    </row>
    <row r="3865" spans="10:28" x14ac:dyDescent="0.2">
      <c r="J3865" s="358" t="str">
        <f t="shared" si="166"/>
        <v>2015AllSexMaori232</v>
      </c>
      <c r="K3865" s="359">
        <v>2015</v>
      </c>
      <c r="L3865" t="s">
        <v>17</v>
      </c>
      <c r="M3865" t="s">
        <v>18</v>
      </c>
      <c r="N3865">
        <v>23</v>
      </c>
      <c r="O3865">
        <v>2</v>
      </c>
      <c r="P3865">
        <v>5</v>
      </c>
      <c r="Q3865">
        <v>23.6633527997529</v>
      </c>
      <c r="R3865">
        <v>20.7</v>
      </c>
      <c r="T3865" s="358" t="str">
        <f t="shared" si="167"/>
        <v>2014MaleMaori23Poisoning by gases and vapours</v>
      </c>
      <c r="U3865" s="360">
        <v>2014</v>
      </c>
      <c r="V3865" s="360" t="s">
        <v>20</v>
      </c>
      <c r="W3865" s="360" t="s">
        <v>18</v>
      </c>
      <c r="X3865" s="360">
        <v>23</v>
      </c>
      <c r="Y3865" s="360" t="s">
        <v>46</v>
      </c>
      <c r="Z3865" s="360">
        <v>2</v>
      </c>
      <c r="AA3865" s="360">
        <v>37</v>
      </c>
      <c r="AB3865" s="360">
        <v>5.4</v>
      </c>
    </row>
    <row r="3866" spans="10:28" x14ac:dyDescent="0.2">
      <c r="J3866" s="358" t="str">
        <f t="shared" si="166"/>
        <v>2015AllSexMaori233</v>
      </c>
      <c r="K3866" s="359">
        <v>2015</v>
      </c>
      <c r="L3866" t="s">
        <v>17</v>
      </c>
      <c r="M3866" t="s">
        <v>18</v>
      </c>
      <c r="N3866">
        <v>23</v>
      </c>
      <c r="O3866">
        <v>3</v>
      </c>
      <c r="P3866">
        <v>7</v>
      </c>
      <c r="Q3866">
        <v>23.774124003848701</v>
      </c>
      <c r="R3866">
        <v>17.600000000000001</v>
      </c>
      <c r="T3866" s="358" t="str">
        <f t="shared" si="167"/>
        <v>2014MaleMaori23Poisoning by solids and liquids</v>
      </c>
      <c r="U3866" s="360">
        <v>2014</v>
      </c>
      <c r="V3866" s="360" t="s">
        <v>20</v>
      </c>
      <c r="W3866" s="360" t="s">
        <v>18</v>
      </c>
      <c r="X3866" s="360">
        <v>23</v>
      </c>
      <c r="Y3866" s="360" t="s">
        <v>47</v>
      </c>
      <c r="Z3866" s="360">
        <v>1</v>
      </c>
      <c r="AA3866" s="360">
        <v>37</v>
      </c>
      <c r="AB3866" s="360">
        <v>2.7</v>
      </c>
    </row>
    <row r="3867" spans="10:28" x14ac:dyDescent="0.2">
      <c r="J3867" s="358" t="str">
        <f t="shared" si="166"/>
        <v>2015AllSexMaori234</v>
      </c>
      <c r="K3867" s="359">
        <v>2015</v>
      </c>
      <c r="L3867" t="s">
        <v>17</v>
      </c>
      <c r="M3867" t="s">
        <v>18</v>
      </c>
      <c r="N3867">
        <v>23</v>
      </c>
      <c r="O3867">
        <v>4</v>
      </c>
      <c r="P3867">
        <v>13</v>
      </c>
      <c r="Q3867">
        <v>31.952900982443399</v>
      </c>
      <c r="R3867">
        <v>17.399999999999999</v>
      </c>
      <c r="T3867" s="358" t="str">
        <f t="shared" si="167"/>
        <v>2014MaleMaori24Poisoning by solids and liquids</v>
      </c>
      <c r="U3867" s="360">
        <v>2014</v>
      </c>
      <c r="V3867" s="360" t="s">
        <v>20</v>
      </c>
      <c r="W3867" s="360" t="s">
        <v>18</v>
      </c>
      <c r="X3867" s="360">
        <v>24</v>
      </c>
      <c r="Y3867" s="360" t="s">
        <v>47</v>
      </c>
      <c r="Z3867" s="360">
        <v>1</v>
      </c>
      <c r="AA3867" s="360">
        <v>9</v>
      </c>
      <c r="AB3867" s="360">
        <v>11.1</v>
      </c>
    </row>
    <row r="3868" spans="10:28" x14ac:dyDescent="0.2">
      <c r="J3868" s="358" t="str">
        <f t="shared" si="166"/>
        <v>2015AllSexMaori235</v>
      </c>
      <c r="K3868" s="359">
        <v>2015</v>
      </c>
      <c r="L3868" t="s">
        <v>17</v>
      </c>
      <c r="M3868" t="s">
        <v>18</v>
      </c>
      <c r="N3868">
        <v>23</v>
      </c>
      <c r="O3868">
        <v>5</v>
      </c>
      <c r="P3868">
        <v>29</v>
      </c>
      <c r="Q3868">
        <v>44.0176682606075</v>
      </c>
      <c r="R3868">
        <v>16</v>
      </c>
      <c r="T3868" s="358" t="str">
        <f t="shared" si="167"/>
        <v>2014MaleMaori24Submersion (drowning)</v>
      </c>
      <c r="U3868" s="360">
        <v>2014</v>
      </c>
      <c r="V3868" s="360" t="s">
        <v>20</v>
      </c>
      <c r="W3868" s="360" t="s">
        <v>18</v>
      </c>
      <c r="X3868" s="360">
        <v>24</v>
      </c>
      <c r="Y3868" s="360" t="s">
        <v>49</v>
      </c>
      <c r="Z3868" s="360">
        <v>1</v>
      </c>
      <c r="AA3868" s="360">
        <v>9</v>
      </c>
      <c r="AB3868" s="360">
        <v>11.1</v>
      </c>
    </row>
    <row r="3869" spans="10:28" x14ac:dyDescent="0.2">
      <c r="J3869" s="358" t="str">
        <f t="shared" si="166"/>
        <v>2015AllSexMaori241</v>
      </c>
      <c r="K3869" s="359">
        <v>2015</v>
      </c>
      <c r="L3869" t="s">
        <v>17</v>
      </c>
      <c r="M3869" t="s">
        <v>18</v>
      </c>
      <c r="N3869">
        <v>24</v>
      </c>
      <c r="O3869">
        <v>1</v>
      </c>
      <c r="P3869">
        <v>0</v>
      </c>
      <c r="Q3869">
        <v>0</v>
      </c>
      <c r="T3869" s="358" t="str">
        <f t="shared" si="167"/>
        <v>2014MaleNon-Maori22Firearms and explosives</v>
      </c>
      <c r="U3869" s="360">
        <v>2014</v>
      </c>
      <c r="V3869" s="360" t="s">
        <v>20</v>
      </c>
      <c r="W3869" s="360" t="s">
        <v>19</v>
      </c>
      <c r="X3869" s="360">
        <v>22</v>
      </c>
      <c r="Y3869" s="360" t="s">
        <v>42</v>
      </c>
      <c r="Z3869" s="360">
        <v>2</v>
      </c>
      <c r="AA3869" s="360">
        <v>48</v>
      </c>
      <c r="AB3869" s="360">
        <v>4.2</v>
      </c>
    </row>
    <row r="3870" spans="10:28" x14ac:dyDescent="0.2">
      <c r="J3870" s="358" t="str">
        <f t="shared" si="166"/>
        <v>2015AllSexMaori242</v>
      </c>
      <c r="K3870" s="359">
        <v>2015</v>
      </c>
      <c r="L3870" t="s">
        <v>17</v>
      </c>
      <c r="M3870" t="s">
        <v>18</v>
      </c>
      <c r="N3870">
        <v>24</v>
      </c>
      <c r="O3870">
        <v>2</v>
      </c>
      <c r="P3870">
        <v>3</v>
      </c>
      <c r="Q3870">
        <v>18.229647313432899</v>
      </c>
      <c r="R3870">
        <v>20.6</v>
      </c>
      <c r="T3870" s="358" t="str">
        <f t="shared" si="167"/>
        <v>2014MaleNon-Maori23Firearms and explosives</v>
      </c>
      <c r="U3870" s="360">
        <v>2014</v>
      </c>
      <c r="V3870" s="360" t="s">
        <v>20</v>
      </c>
      <c r="W3870" s="360" t="s">
        <v>19</v>
      </c>
      <c r="X3870" s="360">
        <v>23</v>
      </c>
      <c r="Y3870" s="360" t="s">
        <v>42</v>
      </c>
      <c r="Z3870" s="360">
        <v>7</v>
      </c>
      <c r="AA3870" s="360">
        <v>104</v>
      </c>
      <c r="AB3870" s="360">
        <v>6.7</v>
      </c>
    </row>
    <row r="3871" spans="10:28" x14ac:dyDescent="0.2">
      <c r="J3871" s="358" t="str">
        <f t="shared" si="166"/>
        <v>2015AllSexMaori243</v>
      </c>
      <c r="K3871" s="359">
        <v>2015</v>
      </c>
      <c r="L3871" t="s">
        <v>17</v>
      </c>
      <c r="M3871" t="s">
        <v>18</v>
      </c>
      <c r="N3871">
        <v>24</v>
      </c>
      <c r="O3871">
        <v>3</v>
      </c>
      <c r="P3871">
        <v>4</v>
      </c>
      <c r="Q3871">
        <v>18.436837552597499</v>
      </c>
      <c r="R3871">
        <v>18.100000000000001</v>
      </c>
      <c r="T3871" s="358" t="str">
        <f t="shared" si="167"/>
        <v>2014MaleNon-Maori24Firearms and explosives</v>
      </c>
      <c r="U3871" s="360">
        <v>2014</v>
      </c>
      <c r="V3871" s="360" t="s">
        <v>20</v>
      </c>
      <c r="W3871" s="360" t="s">
        <v>19</v>
      </c>
      <c r="X3871" s="360">
        <v>24</v>
      </c>
      <c r="Y3871" s="360" t="s">
        <v>42</v>
      </c>
      <c r="Z3871" s="360">
        <v>17</v>
      </c>
      <c r="AA3871" s="360">
        <v>110</v>
      </c>
      <c r="AB3871" s="360">
        <v>15.5</v>
      </c>
    </row>
    <row r="3872" spans="10:28" x14ac:dyDescent="0.2">
      <c r="J3872" s="358" t="str">
        <f t="shared" si="166"/>
        <v>2015AllSexMaori244</v>
      </c>
      <c r="K3872" s="359">
        <v>2015</v>
      </c>
      <c r="L3872" t="s">
        <v>17</v>
      </c>
      <c r="M3872" t="s">
        <v>18</v>
      </c>
      <c r="N3872">
        <v>24</v>
      </c>
      <c r="O3872">
        <v>4</v>
      </c>
      <c r="P3872">
        <v>3</v>
      </c>
      <c r="Q3872">
        <v>9.9427435666222692</v>
      </c>
      <c r="R3872">
        <v>11.3</v>
      </c>
      <c r="T3872" s="358" t="str">
        <f t="shared" si="167"/>
        <v>2014MaleNon-Maori25Firearms and explosives</v>
      </c>
      <c r="U3872" s="360">
        <v>2014</v>
      </c>
      <c r="V3872" s="360" t="s">
        <v>20</v>
      </c>
      <c r="W3872" s="360" t="s">
        <v>19</v>
      </c>
      <c r="X3872" s="360">
        <v>25</v>
      </c>
      <c r="Y3872" s="360" t="s">
        <v>42</v>
      </c>
      <c r="Z3872" s="360">
        <v>11</v>
      </c>
      <c r="AA3872" s="360">
        <v>49</v>
      </c>
      <c r="AB3872" s="360">
        <v>22.4</v>
      </c>
    </row>
    <row r="3873" spans="10:28" x14ac:dyDescent="0.2">
      <c r="J3873" s="358" t="str">
        <f t="shared" si="166"/>
        <v>2015AllSexMaori245</v>
      </c>
      <c r="K3873" s="359">
        <v>2015</v>
      </c>
      <c r="L3873" t="s">
        <v>17</v>
      </c>
      <c r="M3873" t="s">
        <v>18</v>
      </c>
      <c r="N3873">
        <v>24</v>
      </c>
      <c r="O3873">
        <v>5</v>
      </c>
      <c r="P3873">
        <v>8</v>
      </c>
      <c r="Q3873">
        <v>15.17690971967</v>
      </c>
      <c r="R3873">
        <v>10.5</v>
      </c>
      <c r="T3873" s="358" t="str">
        <f t="shared" si="167"/>
        <v>2014MaleNon-Maori21Hanging, strangulation and suffocation</v>
      </c>
      <c r="U3873" s="360">
        <v>2014</v>
      </c>
      <c r="V3873" s="360" t="s">
        <v>20</v>
      </c>
      <c r="W3873" s="360" t="s">
        <v>19</v>
      </c>
      <c r="X3873" s="360">
        <v>21</v>
      </c>
      <c r="Y3873" s="360" t="s">
        <v>43</v>
      </c>
      <c r="Z3873" s="360">
        <v>1</v>
      </c>
      <c r="AA3873" s="360">
        <v>1</v>
      </c>
      <c r="AB3873" s="360">
        <v>100</v>
      </c>
    </row>
    <row r="3874" spans="10:28" x14ac:dyDescent="0.2">
      <c r="J3874" s="358" t="str">
        <f t="shared" si="166"/>
        <v>2015AllSexMaori251</v>
      </c>
      <c r="K3874" s="359">
        <v>2015</v>
      </c>
      <c r="L3874" t="s">
        <v>17</v>
      </c>
      <c r="M3874" t="s">
        <v>18</v>
      </c>
      <c r="N3874">
        <v>25</v>
      </c>
      <c r="O3874">
        <v>1</v>
      </c>
      <c r="P3874">
        <v>0</v>
      </c>
      <c r="Q3874">
        <v>0</v>
      </c>
      <c r="T3874" s="358" t="str">
        <f t="shared" si="167"/>
        <v>2014MaleNon-Maori22Hanging, strangulation and suffocation</v>
      </c>
      <c r="U3874" s="360">
        <v>2014</v>
      </c>
      <c r="V3874" s="360" t="s">
        <v>20</v>
      </c>
      <c r="W3874" s="360" t="s">
        <v>19</v>
      </c>
      <c r="X3874" s="360">
        <v>22</v>
      </c>
      <c r="Y3874" s="360" t="s">
        <v>43</v>
      </c>
      <c r="Z3874" s="360">
        <v>41</v>
      </c>
      <c r="AA3874" s="360">
        <v>48</v>
      </c>
      <c r="AB3874" s="360">
        <v>85.4</v>
      </c>
    </row>
    <row r="3875" spans="10:28" x14ac:dyDescent="0.2">
      <c r="J3875" s="358" t="str">
        <f t="shared" si="166"/>
        <v>2015AllSexMaori252</v>
      </c>
      <c r="K3875" s="359">
        <v>2015</v>
      </c>
      <c r="L3875" t="s">
        <v>17</v>
      </c>
      <c r="M3875" t="s">
        <v>18</v>
      </c>
      <c r="N3875">
        <v>25</v>
      </c>
      <c r="O3875">
        <v>2</v>
      </c>
      <c r="P3875">
        <v>0</v>
      </c>
      <c r="Q3875">
        <v>0</v>
      </c>
      <c r="T3875" s="358" t="str">
        <f t="shared" si="167"/>
        <v>2014MaleNon-Maori23Hanging, strangulation and suffocation</v>
      </c>
      <c r="U3875" s="360">
        <v>2014</v>
      </c>
      <c r="V3875" s="360" t="s">
        <v>20</v>
      </c>
      <c r="W3875" s="360" t="s">
        <v>19</v>
      </c>
      <c r="X3875" s="360">
        <v>23</v>
      </c>
      <c r="Y3875" s="360" t="s">
        <v>43</v>
      </c>
      <c r="Z3875" s="360">
        <v>67</v>
      </c>
      <c r="AA3875" s="360">
        <v>104</v>
      </c>
      <c r="AB3875" s="360">
        <v>64.400000000000006</v>
      </c>
    </row>
    <row r="3876" spans="10:28" x14ac:dyDescent="0.2">
      <c r="J3876" s="358" t="str">
        <f t="shared" si="166"/>
        <v>2015AllSexMaori253</v>
      </c>
      <c r="K3876" s="359">
        <v>2015</v>
      </c>
      <c r="L3876" t="s">
        <v>17</v>
      </c>
      <c r="M3876" t="s">
        <v>18</v>
      </c>
      <c r="N3876">
        <v>25</v>
      </c>
      <c r="O3876">
        <v>3</v>
      </c>
      <c r="P3876">
        <v>0</v>
      </c>
      <c r="Q3876">
        <v>0</v>
      </c>
      <c r="T3876" s="358" t="str">
        <f t="shared" si="167"/>
        <v>2014MaleNon-Maori24Hanging, strangulation and suffocation</v>
      </c>
      <c r="U3876" s="360">
        <v>2014</v>
      </c>
      <c r="V3876" s="360" t="s">
        <v>20</v>
      </c>
      <c r="W3876" s="360" t="s">
        <v>19</v>
      </c>
      <c r="X3876" s="360">
        <v>24</v>
      </c>
      <c r="Y3876" s="360" t="s">
        <v>43</v>
      </c>
      <c r="Z3876" s="360">
        <v>53</v>
      </c>
      <c r="AA3876" s="360">
        <v>110</v>
      </c>
      <c r="AB3876" s="360">
        <v>48.2</v>
      </c>
    </row>
    <row r="3877" spans="10:28" x14ac:dyDescent="0.2">
      <c r="J3877" s="358" t="str">
        <f t="shared" si="166"/>
        <v>2015AllSexMaori254</v>
      </c>
      <c r="K3877" s="359">
        <v>2015</v>
      </c>
      <c r="L3877" t="s">
        <v>17</v>
      </c>
      <c r="M3877" t="s">
        <v>18</v>
      </c>
      <c r="N3877">
        <v>25</v>
      </c>
      <c r="O3877">
        <v>4</v>
      </c>
      <c r="P3877">
        <v>0</v>
      </c>
      <c r="Q3877">
        <v>0</v>
      </c>
      <c r="T3877" s="358" t="str">
        <f t="shared" si="167"/>
        <v>2014MaleNon-Maori25Hanging, strangulation and suffocation</v>
      </c>
      <c r="U3877" s="360">
        <v>2014</v>
      </c>
      <c r="V3877" s="360" t="s">
        <v>20</v>
      </c>
      <c r="W3877" s="360" t="s">
        <v>19</v>
      </c>
      <c r="X3877" s="360">
        <v>25</v>
      </c>
      <c r="Y3877" s="360" t="s">
        <v>43</v>
      </c>
      <c r="Z3877" s="360">
        <v>22</v>
      </c>
      <c r="AA3877" s="360">
        <v>49</v>
      </c>
      <c r="AB3877" s="360">
        <v>44.9</v>
      </c>
    </row>
    <row r="3878" spans="10:28" x14ac:dyDescent="0.2">
      <c r="J3878" s="358" t="str">
        <f t="shared" si="166"/>
        <v>2015AllSexMaori255</v>
      </c>
      <c r="K3878" s="359">
        <v>2015</v>
      </c>
      <c r="L3878" t="s">
        <v>17</v>
      </c>
      <c r="M3878" t="s">
        <v>18</v>
      </c>
      <c r="N3878">
        <v>25</v>
      </c>
      <c r="O3878">
        <v>5</v>
      </c>
      <c r="P3878">
        <v>0</v>
      </c>
      <c r="Q3878">
        <v>0</v>
      </c>
      <c r="T3878" s="358" t="str">
        <f t="shared" si="167"/>
        <v>2014MaleNon-Maori22Jumping from a high place</v>
      </c>
      <c r="U3878" s="360">
        <v>2014</v>
      </c>
      <c r="V3878" s="360" t="s">
        <v>20</v>
      </c>
      <c r="W3878" s="360" t="s">
        <v>19</v>
      </c>
      <c r="X3878" s="360">
        <v>22</v>
      </c>
      <c r="Y3878" s="360" t="s">
        <v>44</v>
      </c>
      <c r="Z3878" s="360">
        <v>1</v>
      </c>
      <c r="AA3878" s="360">
        <v>48</v>
      </c>
      <c r="AB3878" s="360">
        <v>2.1</v>
      </c>
    </row>
    <row r="3879" spans="10:28" x14ac:dyDescent="0.2">
      <c r="J3879" s="358" t="str">
        <f t="shared" si="166"/>
        <v>2015AllSexNon-Maori211</v>
      </c>
      <c r="K3879" s="359">
        <v>2015</v>
      </c>
      <c r="L3879" t="s">
        <v>17</v>
      </c>
      <c r="M3879" t="s">
        <v>19</v>
      </c>
      <c r="N3879">
        <v>21</v>
      </c>
      <c r="O3879">
        <v>1</v>
      </c>
      <c r="P3879">
        <v>0</v>
      </c>
      <c r="T3879" s="358" t="str">
        <f t="shared" si="167"/>
        <v>2014MaleNon-Maori23Jumping from a high place</v>
      </c>
      <c r="U3879" s="360">
        <v>2014</v>
      </c>
      <c r="V3879" s="360" t="s">
        <v>20</v>
      </c>
      <c r="W3879" s="360" t="s">
        <v>19</v>
      </c>
      <c r="X3879" s="360">
        <v>23</v>
      </c>
      <c r="Y3879" s="360" t="s">
        <v>44</v>
      </c>
      <c r="Z3879" s="360">
        <v>7</v>
      </c>
      <c r="AA3879" s="360">
        <v>104</v>
      </c>
      <c r="AB3879" s="360">
        <v>6.7</v>
      </c>
    </row>
    <row r="3880" spans="10:28" x14ac:dyDescent="0.2">
      <c r="J3880" s="358" t="str">
        <f t="shared" si="166"/>
        <v>2015AllSexNon-Maori212</v>
      </c>
      <c r="K3880" s="359">
        <v>2015</v>
      </c>
      <c r="L3880" t="s">
        <v>17</v>
      </c>
      <c r="M3880" t="s">
        <v>19</v>
      </c>
      <c r="N3880">
        <v>21</v>
      </c>
      <c r="O3880">
        <v>2</v>
      </c>
      <c r="P3880">
        <v>0</v>
      </c>
      <c r="T3880" s="358" t="str">
        <f t="shared" si="167"/>
        <v>2014MaleNon-Maori24Jumping from a high place</v>
      </c>
      <c r="U3880" s="360">
        <v>2014</v>
      </c>
      <c r="V3880" s="360" t="s">
        <v>20</v>
      </c>
      <c r="W3880" s="360" t="s">
        <v>19</v>
      </c>
      <c r="X3880" s="360">
        <v>24</v>
      </c>
      <c r="Y3880" s="360" t="s">
        <v>44</v>
      </c>
      <c r="Z3880" s="360">
        <v>4</v>
      </c>
      <c r="AA3880" s="360">
        <v>110</v>
      </c>
      <c r="AB3880" s="360">
        <v>3.6</v>
      </c>
    </row>
    <row r="3881" spans="10:28" x14ac:dyDescent="0.2">
      <c r="J3881" s="358" t="str">
        <f t="shared" si="166"/>
        <v>2015AllSexNon-Maori213</v>
      </c>
      <c r="K3881" s="359">
        <v>2015</v>
      </c>
      <c r="L3881" t="s">
        <v>17</v>
      </c>
      <c r="M3881" t="s">
        <v>19</v>
      </c>
      <c r="N3881">
        <v>21</v>
      </c>
      <c r="O3881">
        <v>3</v>
      </c>
      <c r="P3881">
        <v>2</v>
      </c>
      <c r="T3881" s="358" t="str">
        <f t="shared" si="167"/>
        <v>2014MaleNon-Maori22Other</v>
      </c>
      <c r="U3881" s="360">
        <v>2014</v>
      </c>
      <c r="V3881" s="360" t="s">
        <v>20</v>
      </c>
      <c r="W3881" s="360" t="s">
        <v>19</v>
      </c>
      <c r="X3881" s="360">
        <v>22</v>
      </c>
      <c r="Y3881" s="360" t="s">
        <v>45</v>
      </c>
      <c r="Z3881" s="360">
        <v>1</v>
      </c>
      <c r="AA3881" s="360">
        <v>48</v>
      </c>
      <c r="AB3881" s="360">
        <v>2.1</v>
      </c>
    </row>
    <row r="3882" spans="10:28" x14ac:dyDescent="0.2">
      <c r="J3882" s="358" t="str">
        <f t="shared" si="166"/>
        <v>2015AllSexNon-Maori214</v>
      </c>
      <c r="K3882" s="359">
        <v>2015</v>
      </c>
      <c r="L3882" t="s">
        <v>17</v>
      </c>
      <c r="M3882" t="s">
        <v>19</v>
      </c>
      <c r="N3882">
        <v>21</v>
      </c>
      <c r="O3882">
        <v>4</v>
      </c>
      <c r="P3882">
        <v>0</v>
      </c>
      <c r="T3882" s="358" t="str">
        <f t="shared" si="167"/>
        <v>2014MaleNon-Maori23Other</v>
      </c>
      <c r="U3882" s="360">
        <v>2014</v>
      </c>
      <c r="V3882" s="360" t="s">
        <v>20</v>
      </c>
      <c r="W3882" s="360" t="s">
        <v>19</v>
      </c>
      <c r="X3882" s="360">
        <v>23</v>
      </c>
      <c r="Y3882" s="360" t="s">
        <v>45</v>
      </c>
      <c r="Z3882" s="360">
        <v>2</v>
      </c>
      <c r="AA3882" s="360">
        <v>104</v>
      </c>
      <c r="AB3882" s="360">
        <v>1.9</v>
      </c>
    </row>
    <row r="3883" spans="10:28" x14ac:dyDescent="0.2">
      <c r="J3883" s="358" t="str">
        <f t="shared" si="166"/>
        <v>2015AllSexNon-Maori215</v>
      </c>
      <c r="K3883" s="359">
        <v>2015</v>
      </c>
      <c r="L3883" t="s">
        <v>17</v>
      </c>
      <c r="M3883" t="s">
        <v>19</v>
      </c>
      <c r="N3883">
        <v>21</v>
      </c>
      <c r="O3883">
        <v>5</v>
      </c>
      <c r="P3883">
        <v>4</v>
      </c>
      <c r="T3883" s="358" t="str">
        <f t="shared" si="167"/>
        <v>2014MaleNon-Maori24Other</v>
      </c>
      <c r="U3883" s="360">
        <v>2014</v>
      </c>
      <c r="V3883" s="360" t="s">
        <v>20</v>
      </c>
      <c r="W3883" s="360" t="s">
        <v>19</v>
      </c>
      <c r="X3883" s="360">
        <v>24</v>
      </c>
      <c r="Y3883" s="360" t="s">
        <v>45</v>
      </c>
      <c r="Z3883" s="360">
        <v>6</v>
      </c>
      <c r="AA3883" s="360">
        <v>110</v>
      </c>
      <c r="AB3883" s="360">
        <v>5.5</v>
      </c>
    </row>
    <row r="3884" spans="10:28" x14ac:dyDescent="0.2">
      <c r="J3884" s="358" t="str">
        <f t="shared" si="166"/>
        <v>2015AllSexNon-Maori221</v>
      </c>
      <c r="K3884" s="359">
        <v>2015</v>
      </c>
      <c r="L3884" t="s">
        <v>17</v>
      </c>
      <c r="M3884" t="s">
        <v>19</v>
      </c>
      <c r="N3884">
        <v>22</v>
      </c>
      <c r="O3884">
        <v>1</v>
      </c>
      <c r="P3884">
        <v>15</v>
      </c>
      <c r="Q3884">
        <v>14.4176793858219</v>
      </c>
      <c r="R3884">
        <v>7.3</v>
      </c>
      <c r="T3884" s="358" t="str">
        <f t="shared" si="167"/>
        <v>2014MaleNon-Maori25Other</v>
      </c>
      <c r="U3884" s="360">
        <v>2014</v>
      </c>
      <c r="V3884" s="360" t="s">
        <v>20</v>
      </c>
      <c r="W3884" s="360" t="s">
        <v>19</v>
      </c>
      <c r="X3884" s="360">
        <v>25</v>
      </c>
      <c r="Y3884" s="360" t="s">
        <v>45</v>
      </c>
      <c r="Z3884" s="360">
        <v>1</v>
      </c>
      <c r="AA3884" s="360">
        <v>49</v>
      </c>
      <c r="AB3884" s="360">
        <v>2</v>
      </c>
    </row>
    <row r="3885" spans="10:28" x14ac:dyDescent="0.2">
      <c r="J3885" s="358" t="str">
        <f t="shared" si="166"/>
        <v>2015AllSexNon-Maori222</v>
      </c>
      <c r="K3885" s="359">
        <v>2015</v>
      </c>
      <c r="L3885" t="s">
        <v>17</v>
      </c>
      <c r="M3885" t="s">
        <v>19</v>
      </c>
      <c r="N3885">
        <v>22</v>
      </c>
      <c r="O3885">
        <v>2</v>
      </c>
      <c r="P3885">
        <v>9</v>
      </c>
      <c r="Q3885">
        <v>8.8042339469933193</v>
      </c>
      <c r="R3885">
        <v>5.8</v>
      </c>
      <c r="T3885" s="358" t="str">
        <f t="shared" si="167"/>
        <v>2014MaleNon-Maori22Poisoning by gases and vapours</v>
      </c>
      <c r="U3885" s="360">
        <v>2014</v>
      </c>
      <c r="V3885" s="360" t="s">
        <v>20</v>
      </c>
      <c r="W3885" s="360" t="s">
        <v>19</v>
      </c>
      <c r="X3885" s="360">
        <v>22</v>
      </c>
      <c r="Y3885" s="360" t="s">
        <v>46</v>
      </c>
      <c r="Z3885" s="360">
        <v>2</v>
      </c>
      <c r="AA3885" s="360">
        <v>48</v>
      </c>
      <c r="AB3885" s="360">
        <v>4.2</v>
      </c>
    </row>
    <row r="3886" spans="10:28" x14ac:dyDescent="0.2">
      <c r="J3886" s="358" t="str">
        <f t="shared" si="166"/>
        <v>2015AllSexNon-Maori223</v>
      </c>
      <c r="K3886" s="359">
        <v>2015</v>
      </c>
      <c r="L3886" t="s">
        <v>17</v>
      </c>
      <c r="M3886" t="s">
        <v>19</v>
      </c>
      <c r="N3886">
        <v>22</v>
      </c>
      <c r="O3886">
        <v>3</v>
      </c>
      <c r="P3886">
        <v>9</v>
      </c>
      <c r="Q3886">
        <v>8.7493210327734303</v>
      </c>
      <c r="R3886">
        <v>5.7</v>
      </c>
      <c r="T3886" s="358" t="str">
        <f t="shared" si="167"/>
        <v>2014MaleNon-Maori23Poisoning by gases and vapours</v>
      </c>
      <c r="U3886" s="360">
        <v>2014</v>
      </c>
      <c r="V3886" s="360" t="s">
        <v>20</v>
      </c>
      <c r="W3886" s="360" t="s">
        <v>19</v>
      </c>
      <c r="X3886" s="360">
        <v>23</v>
      </c>
      <c r="Y3886" s="360" t="s">
        <v>46</v>
      </c>
      <c r="Z3886" s="360">
        <v>13</v>
      </c>
      <c r="AA3886" s="360">
        <v>104</v>
      </c>
      <c r="AB3886" s="360">
        <v>12.5</v>
      </c>
    </row>
    <row r="3887" spans="10:28" x14ac:dyDescent="0.2">
      <c r="J3887" s="358" t="str">
        <f t="shared" si="166"/>
        <v>2015AllSexNon-Maori224</v>
      </c>
      <c r="K3887" s="359">
        <v>2015</v>
      </c>
      <c r="L3887" t="s">
        <v>17</v>
      </c>
      <c r="M3887" t="s">
        <v>19</v>
      </c>
      <c r="N3887">
        <v>22</v>
      </c>
      <c r="O3887">
        <v>4</v>
      </c>
      <c r="P3887">
        <v>16</v>
      </c>
      <c r="Q3887">
        <v>14.7012146141138</v>
      </c>
      <c r="R3887">
        <v>7.2</v>
      </c>
      <c r="T3887" s="358" t="str">
        <f t="shared" si="167"/>
        <v>2014MaleNon-Maori24Poisoning by gases and vapours</v>
      </c>
      <c r="U3887" s="360">
        <v>2014</v>
      </c>
      <c r="V3887" s="360" t="s">
        <v>20</v>
      </c>
      <c r="W3887" s="360" t="s">
        <v>19</v>
      </c>
      <c r="X3887" s="360">
        <v>24</v>
      </c>
      <c r="Y3887" s="360" t="s">
        <v>46</v>
      </c>
      <c r="Z3887" s="360">
        <v>10</v>
      </c>
      <c r="AA3887" s="360">
        <v>110</v>
      </c>
      <c r="AB3887" s="360">
        <v>9.1</v>
      </c>
    </row>
    <row r="3888" spans="10:28" x14ac:dyDescent="0.2">
      <c r="J3888" s="358" t="str">
        <f t="shared" si="166"/>
        <v>2015AllSexNon-Maori225</v>
      </c>
      <c r="K3888" s="359">
        <v>2015</v>
      </c>
      <c r="L3888" t="s">
        <v>17</v>
      </c>
      <c r="M3888" t="s">
        <v>19</v>
      </c>
      <c r="N3888">
        <v>22</v>
      </c>
      <c r="O3888">
        <v>5</v>
      </c>
      <c r="P3888">
        <v>18</v>
      </c>
      <c r="Q3888">
        <v>17.095571691853301</v>
      </c>
      <c r="R3888">
        <v>7.9</v>
      </c>
      <c r="T3888" s="358" t="str">
        <f t="shared" si="167"/>
        <v>2014MaleNon-Maori25Poisoning by gases and vapours</v>
      </c>
      <c r="U3888" s="360">
        <v>2014</v>
      </c>
      <c r="V3888" s="360" t="s">
        <v>20</v>
      </c>
      <c r="W3888" s="360" t="s">
        <v>19</v>
      </c>
      <c r="X3888" s="360">
        <v>25</v>
      </c>
      <c r="Y3888" s="360" t="s">
        <v>46</v>
      </c>
      <c r="Z3888" s="360">
        <v>5</v>
      </c>
      <c r="AA3888" s="360">
        <v>49</v>
      </c>
      <c r="AB3888" s="360">
        <v>10.199999999999999</v>
      </c>
    </row>
    <row r="3889" spans="10:28" x14ac:dyDescent="0.2">
      <c r="J3889" s="358" t="str">
        <f t="shared" si="166"/>
        <v>2015AllSexNon-Maori231</v>
      </c>
      <c r="K3889" s="359">
        <v>2015</v>
      </c>
      <c r="L3889" t="s">
        <v>17</v>
      </c>
      <c r="M3889" t="s">
        <v>19</v>
      </c>
      <c r="N3889">
        <v>23</v>
      </c>
      <c r="O3889">
        <v>1</v>
      </c>
      <c r="P3889">
        <v>21</v>
      </c>
      <c r="Q3889">
        <v>10.1375018803896</v>
      </c>
      <c r="R3889">
        <v>4.3</v>
      </c>
      <c r="T3889" s="358" t="str">
        <f t="shared" si="167"/>
        <v>2014MaleNon-Maori23Poisoning by solids and liquids</v>
      </c>
      <c r="U3889" s="360">
        <v>2014</v>
      </c>
      <c r="V3889" s="360" t="s">
        <v>20</v>
      </c>
      <c r="W3889" s="360" t="s">
        <v>19</v>
      </c>
      <c r="X3889" s="360">
        <v>23</v>
      </c>
      <c r="Y3889" s="360" t="s">
        <v>47</v>
      </c>
      <c r="Z3889" s="360">
        <v>6</v>
      </c>
      <c r="AA3889" s="360">
        <v>104</v>
      </c>
      <c r="AB3889" s="360">
        <v>5.8</v>
      </c>
    </row>
    <row r="3890" spans="10:28" x14ac:dyDescent="0.2">
      <c r="J3890" s="358" t="str">
        <f t="shared" si="166"/>
        <v>2015AllSexNon-Maori232</v>
      </c>
      <c r="K3890" s="359">
        <v>2015</v>
      </c>
      <c r="L3890" t="s">
        <v>17</v>
      </c>
      <c r="M3890" t="s">
        <v>19</v>
      </c>
      <c r="N3890">
        <v>23</v>
      </c>
      <c r="O3890">
        <v>2</v>
      </c>
      <c r="P3890">
        <v>23</v>
      </c>
      <c r="Q3890">
        <v>10.377985488692101</v>
      </c>
      <c r="R3890">
        <v>4.2</v>
      </c>
      <c r="T3890" s="358" t="str">
        <f t="shared" si="167"/>
        <v>2014MaleNon-Maori24Poisoning by solids and liquids</v>
      </c>
      <c r="U3890" s="360">
        <v>2014</v>
      </c>
      <c r="V3890" s="360" t="s">
        <v>20</v>
      </c>
      <c r="W3890" s="360" t="s">
        <v>19</v>
      </c>
      <c r="X3890" s="360">
        <v>24</v>
      </c>
      <c r="Y3890" s="360" t="s">
        <v>47</v>
      </c>
      <c r="Z3890" s="360">
        <v>14</v>
      </c>
      <c r="AA3890" s="360">
        <v>110</v>
      </c>
      <c r="AB3890" s="360">
        <v>12.7</v>
      </c>
    </row>
    <row r="3891" spans="10:28" x14ac:dyDescent="0.2">
      <c r="J3891" s="358" t="str">
        <f t="shared" si="166"/>
        <v>2015AllSexNon-Maori233</v>
      </c>
      <c r="K3891" s="359">
        <v>2015</v>
      </c>
      <c r="L3891" t="s">
        <v>17</v>
      </c>
      <c r="M3891" t="s">
        <v>19</v>
      </c>
      <c r="N3891">
        <v>23</v>
      </c>
      <c r="O3891">
        <v>3</v>
      </c>
      <c r="P3891">
        <v>22</v>
      </c>
      <c r="Q3891">
        <v>10.0214408062775</v>
      </c>
      <c r="R3891">
        <v>4.2</v>
      </c>
      <c r="T3891" s="358" t="str">
        <f t="shared" si="167"/>
        <v>2014MaleNon-Maori25Poisoning by solids and liquids</v>
      </c>
      <c r="U3891" s="360">
        <v>2014</v>
      </c>
      <c r="V3891" s="360" t="s">
        <v>20</v>
      </c>
      <c r="W3891" s="360" t="s">
        <v>19</v>
      </c>
      <c r="X3891" s="360">
        <v>25</v>
      </c>
      <c r="Y3891" s="360" t="s">
        <v>47</v>
      </c>
      <c r="Z3891" s="360">
        <v>8</v>
      </c>
      <c r="AA3891" s="360">
        <v>49</v>
      </c>
      <c r="AB3891" s="360">
        <v>16.3</v>
      </c>
    </row>
    <row r="3892" spans="10:28" x14ac:dyDescent="0.2">
      <c r="J3892" s="358" t="str">
        <f t="shared" si="166"/>
        <v>2015AllSexNon-Maori234</v>
      </c>
      <c r="K3892" s="359">
        <v>2015</v>
      </c>
      <c r="L3892" t="s">
        <v>17</v>
      </c>
      <c r="M3892" t="s">
        <v>19</v>
      </c>
      <c r="N3892">
        <v>23</v>
      </c>
      <c r="O3892">
        <v>4</v>
      </c>
      <c r="P3892">
        <v>25</v>
      </c>
      <c r="Q3892">
        <v>12.227352808975599</v>
      </c>
      <c r="R3892">
        <v>4.8</v>
      </c>
      <c r="T3892" s="358" t="str">
        <f t="shared" si="167"/>
        <v>2014MaleNon-Maori23Sharp object</v>
      </c>
      <c r="U3892" s="360">
        <v>2014</v>
      </c>
      <c r="V3892" s="360" t="s">
        <v>20</v>
      </c>
      <c r="W3892" s="360" t="s">
        <v>19</v>
      </c>
      <c r="X3892" s="360">
        <v>23</v>
      </c>
      <c r="Y3892" s="360" t="s">
        <v>48</v>
      </c>
      <c r="Z3892" s="360">
        <v>2</v>
      </c>
      <c r="AA3892" s="360">
        <v>104</v>
      </c>
      <c r="AB3892" s="360">
        <v>1.9</v>
      </c>
    </row>
    <row r="3893" spans="10:28" x14ac:dyDescent="0.2">
      <c r="J3893" s="358" t="str">
        <f t="shared" si="166"/>
        <v>2015AllSexNon-Maori235</v>
      </c>
      <c r="K3893" s="359">
        <v>2015</v>
      </c>
      <c r="L3893" t="s">
        <v>17</v>
      </c>
      <c r="M3893" t="s">
        <v>19</v>
      </c>
      <c r="N3893">
        <v>23</v>
      </c>
      <c r="O3893">
        <v>5</v>
      </c>
      <c r="P3893">
        <v>24</v>
      </c>
      <c r="Q3893">
        <v>14.5281560413635</v>
      </c>
      <c r="R3893">
        <v>5.8</v>
      </c>
      <c r="T3893" s="358" t="str">
        <f t="shared" si="167"/>
        <v>2014MaleNon-Maori24Sharp object</v>
      </c>
      <c r="U3893" s="360">
        <v>2014</v>
      </c>
      <c r="V3893" s="360" t="s">
        <v>20</v>
      </c>
      <c r="W3893" s="360" t="s">
        <v>19</v>
      </c>
      <c r="X3893" s="360">
        <v>24</v>
      </c>
      <c r="Y3893" s="360" t="s">
        <v>48</v>
      </c>
      <c r="Z3893" s="360">
        <v>2</v>
      </c>
      <c r="AA3893" s="360">
        <v>110</v>
      </c>
      <c r="AB3893" s="360">
        <v>1.8</v>
      </c>
    </row>
    <row r="3894" spans="10:28" x14ac:dyDescent="0.2">
      <c r="J3894" s="358" t="str">
        <f t="shared" si="166"/>
        <v>2015AllSexNon-Maori241</v>
      </c>
      <c r="K3894" s="359">
        <v>2015</v>
      </c>
      <c r="L3894" t="s">
        <v>17</v>
      </c>
      <c r="M3894" t="s">
        <v>19</v>
      </c>
      <c r="N3894">
        <v>24</v>
      </c>
      <c r="O3894">
        <v>1</v>
      </c>
      <c r="P3894">
        <v>24</v>
      </c>
      <c r="Q3894">
        <v>8.9566107020405195</v>
      </c>
      <c r="R3894">
        <v>3.6</v>
      </c>
      <c r="T3894" s="358" t="str">
        <f t="shared" si="167"/>
        <v>2014MaleNon-Maori22Submersion (drowning)</v>
      </c>
      <c r="U3894" s="360">
        <v>2014</v>
      </c>
      <c r="V3894" s="360" t="s">
        <v>20</v>
      </c>
      <c r="W3894" s="360" t="s">
        <v>19</v>
      </c>
      <c r="X3894" s="360">
        <v>22</v>
      </c>
      <c r="Y3894" s="360" t="s">
        <v>49</v>
      </c>
      <c r="Z3894" s="360">
        <v>1</v>
      </c>
      <c r="AA3894" s="360">
        <v>48</v>
      </c>
      <c r="AB3894" s="360">
        <v>2.1</v>
      </c>
    </row>
    <row r="3895" spans="10:28" x14ac:dyDescent="0.2">
      <c r="J3895" s="358" t="str">
        <f t="shared" si="166"/>
        <v>2015AllSexNon-Maori242</v>
      </c>
      <c r="K3895" s="359">
        <v>2015</v>
      </c>
      <c r="L3895" t="s">
        <v>17</v>
      </c>
      <c r="M3895" t="s">
        <v>19</v>
      </c>
      <c r="N3895">
        <v>24</v>
      </c>
      <c r="O3895">
        <v>2</v>
      </c>
      <c r="P3895">
        <v>35</v>
      </c>
      <c r="Q3895">
        <v>14.849048047293801</v>
      </c>
      <c r="R3895">
        <v>4.9000000000000004</v>
      </c>
      <c r="T3895" s="358" t="str">
        <f t="shared" si="167"/>
        <v>2014MaleNon-Maori24Submersion (drowning)</v>
      </c>
      <c r="U3895" s="360">
        <v>2014</v>
      </c>
      <c r="V3895" s="360" t="s">
        <v>20</v>
      </c>
      <c r="W3895" s="360" t="s">
        <v>19</v>
      </c>
      <c r="X3895" s="360">
        <v>24</v>
      </c>
      <c r="Y3895" s="360" t="s">
        <v>49</v>
      </c>
      <c r="Z3895" s="360">
        <v>4</v>
      </c>
      <c r="AA3895" s="360">
        <v>110</v>
      </c>
      <c r="AB3895" s="360">
        <v>3.6</v>
      </c>
    </row>
    <row r="3896" spans="10:28" x14ac:dyDescent="0.2">
      <c r="J3896" s="358" t="str">
        <f t="shared" si="166"/>
        <v>2015AllSexNon-Maori243</v>
      </c>
      <c r="K3896" s="359">
        <v>2015</v>
      </c>
      <c r="L3896" t="s">
        <v>17</v>
      </c>
      <c r="M3896" t="s">
        <v>19</v>
      </c>
      <c r="N3896">
        <v>24</v>
      </c>
      <c r="O3896">
        <v>3</v>
      </c>
      <c r="P3896">
        <v>28</v>
      </c>
      <c r="Q3896">
        <v>13.5193918932979</v>
      </c>
      <c r="R3896">
        <v>5</v>
      </c>
      <c r="T3896" s="358" t="str">
        <f t="shared" si="167"/>
        <v>2014MaleNon-Maori25Submersion (drowning)</v>
      </c>
      <c r="U3896" s="360">
        <v>2014</v>
      </c>
      <c r="V3896" s="360" t="s">
        <v>20</v>
      </c>
      <c r="W3896" s="360" t="s">
        <v>19</v>
      </c>
      <c r="X3896" s="360">
        <v>25</v>
      </c>
      <c r="Y3896" s="360" t="s">
        <v>49</v>
      </c>
      <c r="Z3896" s="360">
        <v>2</v>
      </c>
      <c r="AA3896" s="360">
        <v>49</v>
      </c>
      <c r="AB3896" s="360">
        <v>4.0999999999999996</v>
      </c>
    </row>
    <row r="3897" spans="10:28" x14ac:dyDescent="0.2">
      <c r="J3897" s="358" t="str">
        <f t="shared" si="166"/>
        <v>2015AllSexNon-Maori244</v>
      </c>
      <c r="K3897" s="359">
        <v>2015</v>
      </c>
      <c r="L3897" t="s">
        <v>17</v>
      </c>
      <c r="M3897" t="s">
        <v>19</v>
      </c>
      <c r="N3897">
        <v>24</v>
      </c>
      <c r="O3897">
        <v>4</v>
      </c>
      <c r="P3897">
        <v>32</v>
      </c>
      <c r="Q3897">
        <v>17.9193354878844</v>
      </c>
      <c r="R3897">
        <v>6.2</v>
      </c>
      <c r="T3897" s="358" t="str">
        <f t="shared" si="167"/>
        <v>2015AllSexAllEth22Firearms and explosives</v>
      </c>
      <c r="U3897" s="360">
        <v>2015</v>
      </c>
      <c r="V3897" s="360" t="s">
        <v>17</v>
      </c>
      <c r="W3897" s="360" t="s">
        <v>27</v>
      </c>
      <c r="X3897" s="360">
        <v>22</v>
      </c>
      <c r="Y3897" s="360" t="s">
        <v>42</v>
      </c>
      <c r="Z3897" s="360">
        <v>3</v>
      </c>
      <c r="AA3897" s="360">
        <v>111</v>
      </c>
      <c r="AB3897" s="360">
        <v>2.7</v>
      </c>
    </row>
    <row r="3898" spans="10:28" x14ac:dyDescent="0.2">
      <c r="J3898" s="358" t="str">
        <f t="shared" si="166"/>
        <v>2015AllSexNon-Maori245</v>
      </c>
      <c r="K3898" s="359">
        <v>2015</v>
      </c>
      <c r="L3898" t="s">
        <v>17</v>
      </c>
      <c r="M3898" t="s">
        <v>19</v>
      </c>
      <c r="N3898">
        <v>24</v>
      </c>
      <c r="O3898">
        <v>5</v>
      </c>
      <c r="P3898">
        <v>29</v>
      </c>
      <c r="Q3898">
        <v>20.5479985888615</v>
      </c>
      <c r="R3898">
        <v>7.5</v>
      </c>
      <c r="T3898" s="358" t="str">
        <f t="shared" si="167"/>
        <v>2015AllSexAllEth23Firearms and explosives</v>
      </c>
      <c r="U3898" s="360">
        <v>2015</v>
      </c>
      <c r="V3898" s="360" t="s">
        <v>17</v>
      </c>
      <c r="W3898" s="360" t="s">
        <v>27</v>
      </c>
      <c r="X3898" s="360">
        <v>23</v>
      </c>
      <c r="Y3898" s="360" t="s">
        <v>42</v>
      </c>
      <c r="Z3898" s="360">
        <v>9</v>
      </c>
      <c r="AA3898" s="360">
        <v>171</v>
      </c>
      <c r="AB3898" s="360">
        <v>5.3</v>
      </c>
    </row>
    <row r="3899" spans="10:28" x14ac:dyDescent="0.2">
      <c r="J3899" s="358" t="str">
        <f t="shared" si="166"/>
        <v>2015AllSexNon-Maori251</v>
      </c>
      <c r="K3899" s="359">
        <v>2015</v>
      </c>
      <c r="L3899" t="s">
        <v>17</v>
      </c>
      <c r="M3899" t="s">
        <v>19</v>
      </c>
      <c r="N3899">
        <v>25</v>
      </c>
      <c r="O3899">
        <v>1</v>
      </c>
      <c r="P3899">
        <v>18</v>
      </c>
      <c r="Q3899">
        <v>13.2970142034348</v>
      </c>
      <c r="R3899">
        <v>6.1</v>
      </c>
      <c r="T3899" s="358" t="str">
        <f t="shared" si="167"/>
        <v>2015AllSexAllEth24Firearms and explosives</v>
      </c>
      <c r="U3899" s="360">
        <v>2015</v>
      </c>
      <c r="V3899" s="360" t="s">
        <v>17</v>
      </c>
      <c r="W3899" s="360" t="s">
        <v>27</v>
      </c>
      <c r="X3899" s="360">
        <v>24</v>
      </c>
      <c r="Y3899" s="360" t="s">
        <v>42</v>
      </c>
      <c r="Z3899" s="360">
        <v>14</v>
      </c>
      <c r="AA3899" s="360">
        <v>169</v>
      </c>
      <c r="AB3899" s="360">
        <v>8.3000000000000007</v>
      </c>
    </row>
    <row r="3900" spans="10:28" x14ac:dyDescent="0.2">
      <c r="J3900" s="358" t="str">
        <f t="shared" si="166"/>
        <v>2015AllSexNon-Maori252</v>
      </c>
      <c r="K3900" s="359">
        <v>2015</v>
      </c>
      <c r="L3900" t="s">
        <v>17</v>
      </c>
      <c r="M3900" t="s">
        <v>19</v>
      </c>
      <c r="N3900">
        <v>25</v>
      </c>
      <c r="O3900">
        <v>2</v>
      </c>
      <c r="P3900">
        <v>12</v>
      </c>
      <c r="Q3900">
        <v>8.8637181319409493</v>
      </c>
      <c r="R3900">
        <v>5</v>
      </c>
      <c r="T3900" s="358" t="str">
        <f t="shared" si="167"/>
        <v>2015AllSexAllEth25Firearms and explosives</v>
      </c>
      <c r="U3900" s="360">
        <v>2015</v>
      </c>
      <c r="V3900" s="360" t="s">
        <v>17</v>
      </c>
      <c r="W3900" s="360" t="s">
        <v>27</v>
      </c>
      <c r="X3900" s="360">
        <v>25</v>
      </c>
      <c r="Y3900" s="360" t="s">
        <v>42</v>
      </c>
      <c r="Z3900" s="360">
        <v>15</v>
      </c>
      <c r="AA3900" s="360">
        <v>64</v>
      </c>
      <c r="AB3900" s="360">
        <v>23.4</v>
      </c>
    </row>
    <row r="3901" spans="10:28" x14ac:dyDescent="0.2">
      <c r="J3901" s="358" t="str">
        <f t="shared" si="166"/>
        <v>2015AllSexNon-Maori253</v>
      </c>
      <c r="K3901" s="359">
        <v>2015</v>
      </c>
      <c r="L3901" t="s">
        <v>17</v>
      </c>
      <c r="M3901" t="s">
        <v>19</v>
      </c>
      <c r="N3901">
        <v>25</v>
      </c>
      <c r="O3901">
        <v>3</v>
      </c>
      <c r="P3901">
        <v>11</v>
      </c>
      <c r="Q3901">
        <v>8.3607433178768993</v>
      </c>
      <c r="R3901">
        <v>4.9000000000000004</v>
      </c>
      <c r="T3901" s="358" t="str">
        <f t="shared" si="167"/>
        <v>2015AllSexAllEth21Hanging, strangulation and suffocation</v>
      </c>
      <c r="U3901" s="360">
        <v>2015</v>
      </c>
      <c r="V3901" s="360" t="s">
        <v>17</v>
      </c>
      <c r="W3901" s="360" t="s">
        <v>27</v>
      </c>
      <c r="X3901" s="360">
        <v>21</v>
      </c>
      <c r="Y3901" s="360" t="s">
        <v>43</v>
      </c>
      <c r="Z3901" s="360">
        <v>10</v>
      </c>
      <c r="AA3901" s="360">
        <v>10</v>
      </c>
      <c r="AB3901" s="360">
        <v>100</v>
      </c>
    </row>
    <row r="3902" spans="10:28" x14ac:dyDescent="0.2">
      <c r="J3902" s="358" t="str">
        <f t="shared" si="166"/>
        <v>2015AllSexNon-Maori254</v>
      </c>
      <c r="K3902" s="359">
        <v>2015</v>
      </c>
      <c r="L3902" t="s">
        <v>17</v>
      </c>
      <c r="M3902" t="s">
        <v>19</v>
      </c>
      <c r="N3902">
        <v>25</v>
      </c>
      <c r="O3902">
        <v>4</v>
      </c>
      <c r="P3902">
        <v>16</v>
      </c>
      <c r="Q3902">
        <v>12.345797998575</v>
      </c>
      <c r="R3902">
        <v>6</v>
      </c>
      <c r="T3902" s="358" t="str">
        <f t="shared" si="167"/>
        <v>2015AllSexAllEth22Hanging, strangulation and suffocation</v>
      </c>
      <c r="U3902" s="360">
        <v>2015</v>
      </c>
      <c r="V3902" s="360" t="s">
        <v>17</v>
      </c>
      <c r="W3902" s="360" t="s">
        <v>27</v>
      </c>
      <c r="X3902" s="360">
        <v>22</v>
      </c>
      <c r="Y3902" s="360" t="s">
        <v>43</v>
      </c>
      <c r="Z3902" s="360">
        <v>91</v>
      </c>
      <c r="AA3902" s="360">
        <v>111</v>
      </c>
      <c r="AB3902" s="360">
        <v>82</v>
      </c>
    </row>
    <row r="3903" spans="10:28" x14ac:dyDescent="0.2">
      <c r="J3903" s="358" t="str">
        <f t="shared" si="166"/>
        <v>2015AllSexNon-Maori255</v>
      </c>
      <c r="K3903" s="359">
        <v>2015</v>
      </c>
      <c r="L3903" t="s">
        <v>17</v>
      </c>
      <c r="M3903" t="s">
        <v>19</v>
      </c>
      <c r="N3903">
        <v>25</v>
      </c>
      <c r="O3903">
        <v>5</v>
      </c>
      <c r="P3903">
        <v>7</v>
      </c>
      <c r="Q3903">
        <v>7.2652957415726203</v>
      </c>
      <c r="R3903">
        <v>5.4</v>
      </c>
      <c r="T3903" s="358" t="str">
        <f t="shared" si="167"/>
        <v>2015AllSexAllEth23Hanging, strangulation and suffocation</v>
      </c>
      <c r="U3903" s="360">
        <v>2015</v>
      </c>
      <c r="V3903" s="360" t="s">
        <v>17</v>
      </c>
      <c r="W3903" s="360" t="s">
        <v>27</v>
      </c>
      <c r="X3903" s="360">
        <v>23</v>
      </c>
      <c r="Y3903" s="360" t="s">
        <v>43</v>
      </c>
      <c r="Z3903" s="360">
        <v>123</v>
      </c>
      <c r="AA3903" s="360">
        <v>171</v>
      </c>
      <c r="AB3903" s="360">
        <v>71.900000000000006</v>
      </c>
    </row>
    <row r="3904" spans="10:28" x14ac:dyDescent="0.2">
      <c r="J3904" s="358" t="str">
        <f t="shared" si="166"/>
        <v>2015FemaleAllEth211</v>
      </c>
      <c r="K3904" s="359">
        <v>2015</v>
      </c>
      <c r="L3904" t="s">
        <v>8</v>
      </c>
      <c r="M3904" t="s">
        <v>27</v>
      </c>
      <c r="N3904">
        <v>21</v>
      </c>
      <c r="O3904">
        <v>1</v>
      </c>
      <c r="P3904">
        <v>0</v>
      </c>
      <c r="T3904" s="358" t="str">
        <f t="shared" si="167"/>
        <v>2015AllSexAllEth24Hanging, strangulation and suffocation</v>
      </c>
      <c r="U3904" s="360">
        <v>2015</v>
      </c>
      <c r="V3904" s="360" t="s">
        <v>17</v>
      </c>
      <c r="W3904" s="360" t="s">
        <v>27</v>
      </c>
      <c r="X3904" s="360">
        <v>24</v>
      </c>
      <c r="Y3904" s="360" t="s">
        <v>43</v>
      </c>
      <c r="Z3904" s="360">
        <v>85</v>
      </c>
      <c r="AA3904" s="360">
        <v>169</v>
      </c>
      <c r="AB3904" s="360">
        <v>50.3</v>
      </c>
    </row>
    <row r="3905" spans="10:28" x14ac:dyDescent="0.2">
      <c r="J3905" s="358" t="str">
        <f t="shared" si="166"/>
        <v>2015FemaleAllEth212</v>
      </c>
      <c r="K3905" s="359">
        <v>2015</v>
      </c>
      <c r="L3905" t="s">
        <v>8</v>
      </c>
      <c r="M3905" t="s">
        <v>27</v>
      </c>
      <c r="N3905">
        <v>21</v>
      </c>
      <c r="O3905">
        <v>2</v>
      </c>
      <c r="P3905">
        <v>0</v>
      </c>
      <c r="T3905" s="358" t="str">
        <f t="shared" si="167"/>
        <v>2015AllSexAllEth25Hanging, strangulation and suffocation</v>
      </c>
      <c r="U3905" s="360">
        <v>2015</v>
      </c>
      <c r="V3905" s="360" t="s">
        <v>17</v>
      </c>
      <c r="W3905" s="360" t="s">
        <v>27</v>
      </c>
      <c r="X3905" s="360">
        <v>25</v>
      </c>
      <c r="Y3905" s="360" t="s">
        <v>43</v>
      </c>
      <c r="Z3905" s="360">
        <v>19</v>
      </c>
      <c r="AA3905" s="360">
        <v>64</v>
      </c>
      <c r="AB3905" s="360">
        <v>29.7</v>
      </c>
    </row>
    <row r="3906" spans="10:28" x14ac:dyDescent="0.2">
      <c r="J3906" s="358" t="str">
        <f t="shared" si="166"/>
        <v>2015FemaleAllEth213</v>
      </c>
      <c r="K3906" s="359">
        <v>2015</v>
      </c>
      <c r="L3906" t="s">
        <v>8</v>
      </c>
      <c r="M3906" t="s">
        <v>27</v>
      </c>
      <c r="N3906">
        <v>21</v>
      </c>
      <c r="O3906">
        <v>3</v>
      </c>
      <c r="P3906">
        <v>2</v>
      </c>
      <c r="T3906" s="358" t="str">
        <f t="shared" si="167"/>
        <v>2015AllSexAllEth22Jumping from a high place</v>
      </c>
      <c r="U3906" s="360">
        <v>2015</v>
      </c>
      <c r="V3906" s="360" t="s">
        <v>17</v>
      </c>
      <c r="W3906" s="360" t="s">
        <v>27</v>
      </c>
      <c r="X3906" s="360">
        <v>22</v>
      </c>
      <c r="Y3906" s="360" t="s">
        <v>44</v>
      </c>
      <c r="Z3906" s="360">
        <v>3</v>
      </c>
      <c r="AA3906" s="360">
        <v>111</v>
      </c>
      <c r="AB3906" s="360">
        <v>2.7</v>
      </c>
    </row>
    <row r="3907" spans="10:28" x14ac:dyDescent="0.2">
      <c r="J3907" s="358" t="str">
        <f t="shared" si="166"/>
        <v>2015FemaleAllEth214</v>
      </c>
      <c r="K3907" s="359">
        <v>2015</v>
      </c>
      <c r="L3907" t="s">
        <v>8</v>
      </c>
      <c r="M3907" t="s">
        <v>27</v>
      </c>
      <c r="N3907">
        <v>21</v>
      </c>
      <c r="O3907">
        <v>4</v>
      </c>
      <c r="P3907">
        <v>0</v>
      </c>
      <c r="T3907" s="358" t="str">
        <f t="shared" si="167"/>
        <v>2015AllSexAllEth23Jumping from a high place</v>
      </c>
      <c r="U3907" s="360">
        <v>2015</v>
      </c>
      <c r="V3907" s="360" t="s">
        <v>17</v>
      </c>
      <c r="W3907" s="360" t="s">
        <v>27</v>
      </c>
      <c r="X3907" s="360">
        <v>23</v>
      </c>
      <c r="Y3907" s="360" t="s">
        <v>44</v>
      </c>
      <c r="Z3907" s="360">
        <v>5</v>
      </c>
      <c r="AA3907" s="360">
        <v>171</v>
      </c>
      <c r="AB3907" s="360">
        <v>2.9</v>
      </c>
    </row>
    <row r="3908" spans="10:28" x14ac:dyDescent="0.2">
      <c r="J3908" s="358" t="str">
        <f t="shared" ref="J3908:J3971" si="168">K3908&amp;L3908&amp;M3908&amp;N3908&amp;O3908</f>
        <v>2015FemaleAllEth215</v>
      </c>
      <c r="K3908" s="359">
        <v>2015</v>
      </c>
      <c r="L3908" t="s">
        <v>8</v>
      </c>
      <c r="M3908" t="s">
        <v>27</v>
      </c>
      <c r="N3908">
        <v>21</v>
      </c>
      <c r="O3908">
        <v>5</v>
      </c>
      <c r="P3908">
        <v>2</v>
      </c>
      <c r="T3908" s="358" t="str">
        <f t="shared" si="167"/>
        <v>2015AllSexAllEth24Jumping from a high place</v>
      </c>
      <c r="U3908" s="360">
        <v>2015</v>
      </c>
      <c r="V3908" s="360" t="s">
        <v>17</v>
      </c>
      <c r="W3908" s="360" t="s">
        <v>27</v>
      </c>
      <c r="X3908" s="360">
        <v>24</v>
      </c>
      <c r="Y3908" s="360" t="s">
        <v>44</v>
      </c>
      <c r="Z3908" s="360">
        <v>8</v>
      </c>
      <c r="AA3908" s="360">
        <v>169</v>
      </c>
      <c r="AB3908" s="360">
        <v>4.7</v>
      </c>
    </row>
    <row r="3909" spans="10:28" x14ac:dyDescent="0.2">
      <c r="J3909" s="358" t="str">
        <f t="shared" si="168"/>
        <v>2015FemaleAllEth221</v>
      </c>
      <c r="K3909" s="359">
        <v>2015</v>
      </c>
      <c r="L3909" t="s">
        <v>8</v>
      </c>
      <c r="M3909" t="s">
        <v>27</v>
      </c>
      <c r="N3909">
        <v>22</v>
      </c>
      <c r="O3909">
        <v>1</v>
      </c>
      <c r="P3909">
        <v>5</v>
      </c>
      <c r="Q3909">
        <v>9.1489522403756993</v>
      </c>
      <c r="R3909">
        <v>8</v>
      </c>
      <c r="T3909" s="358" t="str">
        <f t="shared" ref="T3909:T3972" si="169">U3909&amp;V3909&amp;W3909&amp;X3909&amp;Y3909</f>
        <v>2015AllSexAllEth25Jumping from a high place</v>
      </c>
      <c r="U3909" s="360">
        <v>2015</v>
      </c>
      <c r="V3909" s="360" t="s">
        <v>17</v>
      </c>
      <c r="W3909" s="360" t="s">
        <v>27</v>
      </c>
      <c r="X3909" s="360">
        <v>25</v>
      </c>
      <c r="Y3909" s="360" t="s">
        <v>44</v>
      </c>
      <c r="Z3909" s="360">
        <v>3</v>
      </c>
      <c r="AA3909" s="360">
        <v>64</v>
      </c>
      <c r="AB3909" s="360">
        <v>4.7</v>
      </c>
    </row>
    <row r="3910" spans="10:28" x14ac:dyDescent="0.2">
      <c r="J3910" s="358" t="str">
        <f t="shared" si="168"/>
        <v>2015FemaleAllEth222</v>
      </c>
      <c r="K3910" s="359">
        <v>2015</v>
      </c>
      <c r="L3910" t="s">
        <v>8</v>
      </c>
      <c r="M3910" t="s">
        <v>27</v>
      </c>
      <c r="N3910">
        <v>22</v>
      </c>
      <c r="O3910">
        <v>2</v>
      </c>
      <c r="P3910">
        <v>5</v>
      </c>
      <c r="Q3910">
        <v>9.0111987919701697</v>
      </c>
      <c r="R3910">
        <v>7.9</v>
      </c>
      <c r="T3910" s="358" t="str">
        <f t="shared" si="169"/>
        <v>2015AllSexAllEth22Other</v>
      </c>
      <c r="U3910" s="360">
        <v>2015</v>
      </c>
      <c r="V3910" s="360" t="s">
        <v>17</v>
      </c>
      <c r="W3910" s="360" t="s">
        <v>27</v>
      </c>
      <c r="X3910" s="360">
        <v>22</v>
      </c>
      <c r="Y3910" s="360" t="s">
        <v>45</v>
      </c>
      <c r="Z3910" s="360">
        <v>5</v>
      </c>
      <c r="AA3910" s="360">
        <v>111</v>
      </c>
      <c r="AB3910" s="360">
        <v>4.5</v>
      </c>
    </row>
    <row r="3911" spans="10:28" x14ac:dyDescent="0.2">
      <c r="J3911" s="358" t="str">
        <f t="shared" si="168"/>
        <v>2015FemaleAllEth223</v>
      </c>
      <c r="K3911" s="359">
        <v>2015</v>
      </c>
      <c r="L3911" t="s">
        <v>8</v>
      </c>
      <c r="M3911" t="s">
        <v>27</v>
      </c>
      <c r="N3911">
        <v>22</v>
      </c>
      <c r="O3911">
        <v>3</v>
      </c>
      <c r="P3911">
        <v>3</v>
      </c>
      <c r="Q3911">
        <v>5.06041210253772</v>
      </c>
      <c r="R3911">
        <v>5.7</v>
      </c>
      <c r="T3911" s="358" t="str">
        <f t="shared" si="169"/>
        <v>2015AllSexAllEth23Other</v>
      </c>
      <c r="U3911" s="360">
        <v>2015</v>
      </c>
      <c r="V3911" s="360" t="s">
        <v>17</v>
      </c>
      <c r="W3911" s="360" t="s">
        <v>27</v>
      </c>
      <c r="X3911" s="360">
        <v>23</v>
      </c>
      <c r="Y3911" s="360" t="s">
        <v>45</v>
      </c>
      <c r="Z3911" s="360">
        <v>5</v>
      </c>
      <c r="AA3911" s="360">
        <v>171</v>
      </c>
      <c r="AB3911" s="360">
        <v>2.9</v>
      </c>
    </row>
    <row r="3912" spans="10:28" x14ac:dyDescent="0.2">
      <c r="J3912" s="358" t="str">
        <f t="shared" si="168"/>
        <v>2015FemaleAllEth224</v>
      </c>
      <c r="K3912" s="359">
        <v>2015</v>
      </c>
      <c r="L3912" t="s">
        <v>8</v>
      </c>
      <c r="M3912" t="s">
        <v>27</v>
      </c>
      <c r="N3912">
        <v>22</v>
      </c>
      <c r="O3912">
        <v>4</v>
      </c>
      <c r="P3912">
        <v>13</v>
      </c>
      <c r="Q3912">
        <v>19.064741111732602</v>
      </c>
      <c r="R3912">
        <v>10.4</v>
      </c>
      <c r="T3912" s="358" t="str">
        <f t="shared" si="169"/>
        <v>2015AllSexAllEth24Other</v>
      </c>
      <c r="U3912" s="360">
        <v>2015</v>
      </c>
      <c r="V3912" s="360" t="s">
        <v>17</v>
      </c>
      <c r="W3912" s="360" t="s">
        <v>27</v>
      </c>
      <c r="X3912" s="360">
        <v>24</v>
      </c>
      <c r="Y3912" s="360" t="s">
        <v>45</v>
      </c>
      <c r="Z3912" s="360">
        <v>9</v>
      </c>
      <c r="AA3912" s="360">
        <v>169</v>
      </c>
      <c r="AB3912" s="360">
        <v>5.3</v>
      </c>
    </row>
    <row r="3913" spans="10:28" x14ac:dyDescent="0.2">
      <c r="J3913" s="358" t="str">
        <f t="shared" si="168"/>
        <v>2015FemaleAllEth225</v>
      </c>
      <c r="K3913" s="359">
        <v>2015</v>
      </c>
      <c r="L3913" t="s">
        <v>8</v>
      </c>
      <c r="M3913" t="s">
        <v>27</v>
      </c>
      <c r="N3913">
        <v>22</v>
      </c>
      <c r="O3913">
        <v>5</v>
      </c>
      <c r="P3913">
        <v>16</v>
      </c>
      <c r="Q3913">
        <v>20.2763868023684</v>
      </c>
      <c r="R3913">
        <v>9.9</v>
      </c>
      <c r="T3913" s="358" t="str">
        <f t="shared" si="169"/>
        <v>2015AllSexAllEth25Other</v>
      </c>
      <c r="U3913" s="360">
        <v>2015</v>
      </c>
      <c r="V3913" s="360" t="s">
        <v>17</v>
      </c>
      <c r="W3913" s="360" t="s">
        <v>27</v>
      </c>
      <c r="X3913" s="360">
        <v>25</v>
      </c>
      <c r="Y3913" s="360" t="s">
        <v>45</v>
      </c>
      <c r="Z3913" s="360">
        <v>5</v>
      </c>
      <c r="AA3913" s="360">
        <v>64</v>
      </c>
      <c r="AB3913" s="360">
        <v>7.8</v>
      </c>
    </row>
    <row r="3914" spans="10:28" x14ac:dyDescent="0.2">
      <c r="J3914" s="358" t="str">
        <f t="shared" si="168"/>
        <v>2015FemaleAllEth231</v>
      </c>
      <c r="K3914" s="359">
        <v>2015</v>
      </c>
      <c r="L3914" t="s">
        <v>8</v>
      </c>
      <c r="M3914" t="s">
        <v>27</v>
      </c>
      <c r="N3914">
        <v>23</v>
      </c>
      <c r="O3914">
        <v>1</v>
      </c>
      <c r="P3914">
        <v>4</v>
      </c>
      <c r="Q3914">
        <v>3.4393032545787698</v>
      </c>
      <c r="R3914">
        <v>3.4</v>
      </c>
      <c r="T3914" s="358" t="str">
        <f t="shared" si="169"/>
        <v>2015AllSexAllEth22Poisoning by gases and vapours</v>
      </c>
      <c r="U3914" s="360">
        <v>2015</v>
      </c>
      <c r="V3914" s="360" t="s">
        <v>17</v>
      </c>
      <c r="W3914" s="360" t="s">
        <v>27</v>
      </c>
      <c r="X3914" s="360">
        <v>22</v>
      </c>
      <c r="Y3914" s="360" t="s">
        <v>46</v>
      </c>
      <c r="Z3914" s="360">
        <v>3</v>
      </c>
      <c r="AA3914" s="360">
        <v>111</v>
      </c>
      <c r="AB3914" s="360">
        <v>2.7</v>
      </c>
    </row>
    <row r="3915" spans="10:28" x14ac:dyDescent="0.2">
      <c r="J3915" s="358" t="str">
        <f t="shared" si="168"/>
        <v>2015FemaleAllEth232</v>
      </c>
      <c r="K3915" s="359">
        <v>2015</v>
      </c>
      <c r="L3915" t="s">
        <v>8</v>
      </c>
      <c r="M3915" t="s">
        <v>27</v>
      </c>
      <c r="N3915">
        <v>23</v>
      </c>
      <c r="O3915">
        <v>2</v>
      </c>
      <c r="P3915">
        <v>6</v>
      </c>
      <c r="Q3915">
        <v>4.80827698279034</v>
      </c>
      <c r="R3915">
        <v>3.8</v>
      </c>
      <c r="T3915" s="358" t="str">
        <f t="shared" si="169"/>
        <v>2015AllSexAllEth23Poisoning by gases and vapours</v>
      </c>
      <c r="U3915" s="360">
        <v>2015</v>
      </c>
      <c r="V3915" s="360" t="s">
        <v>17</v>
      </c>
      <c r="W3915" s="360" t="s">
        <v>27</v>
      </c>
      <c r="X3915" s="360">
        <v>23</v>
      </c>
      <c r="Y3915" s="360" t="s">
        <v>46</v>
      </c>
      <c r="Z3915" s="360">
        <v>16</v>
      </c>
      <c r="AA3915" s="360">
        <v>171</v>
      </c>
      <c r="AB3915" s="360">
        <v>9.4</v>
      </c>
    </row>
    <row r="3916" spans="10:28" x14ac:dyDescent="0.2">
      <c r="J3916" s="358" t="str">
        <f t="shared" si="168"/>
        <v>2015FemaleAllEth233</v>
      </c>
      <c r="K3916" s="359">
        <v>2015</v>
      </c>
      <c r="L3916" t="s">
        <v>8</v>
      </c>
      <c r="M3916" t="s">
        <v>27</v>
      </c>
      <c r="N3916">
        <v>23</v>
      </c>
      <c r="O3916">
        <v>3</v>
      </c>
      <c r="P3916">
        <v>7</v>
      </c>
      <c r="Q3916">
        <v>5.5494052364143602</v>
      </c>
      <c r="R3916">
        <v>4.0999999999999996</v>
      </c>
      <c r="T3916" s="358" t="str">
        <f t="shared" si="169"/>
        <v>2015AllSexAllEth24Poisoning by gases and vapours</v>
      </c>
      <c r="U3916" s="360">
        <v>2015</v>
      </c>
      <c r="V3916" s="360" t="s">
        <v>17</v>
      </c>
      <c r="W3916" s="360" t="s">
        <v>27</v>
      </c>
      <c r="X3916" s="360">
        <v>24</v>
      </c>
      <c r="Y3916" s="360" t="s">
        <v>46</v>
      </c>
      <c r="Z3916" s="360">
        <v>24</v>
      </c>
      <c r="AA3916" s="360">
        <v>169</v>
      </c>
      <c r="AB3916" s="360">
        <v>14.2</v>
      </c>
    </row>
    <row r="3917" spans="10:28" x14ac:dyDescent="0.2">
      <c r="J3917" s="358" t="str">
        <f t="shared" si="168"/>
        <v>2015FemaleAllEth234</v>
      </c>
      <c r="K3917" s="359">
        <v>2015</v>
      </c>
      <c r="L3917" t="s">
        <v>8</v>
      </c>
      <c r="M3917" t="s">
        <v>27</v>
      </c>
      <c r="N3917">
        <v>23</v>
      </c>
      <c r="O3917">
        <v>4</v>
      </c>
      <c r="P3917">
        <v>7</v>
      </c>
      <c r="Q3917">
        <v>5.6657276651056003</v>
      </c>
      <c r="R3917">
        <v>4.2</v>
      </c>
      <c r="T3917" s="358" t="str">
        <f t="shared" si="169"/>
        <v>2015AllSexAllEth25Poisoning by gases and vapours</v>
      </c>
      <c r="U3917" s="360">
        <v>2015</v>
      </c>
      <c r="V3917" s="360" t="s">
        <v>17</v>
      </c>
      <c r="W3917" s="360" t="s">
        <v>27</v>
      </c>
      <c r="X3917" s="360">
        <v>25</v>
      </c>
      <c r="Y3917" s="360" t="s">
        <v>46</v>
      </c>
      <c r="Z3917" s="360">
        <v>3</v>
      </c>
      <c r="AA3917" s="360">
        <v>64</v>
      </c>
      <c r="AB3917" s="360">
        <v>4.7</v>
      </c>
    </row>
    <row r="3918" spans="10:28" x14ac:dyDescent="0.2">
      <c r="J3918" s="358" t="str">
        <f t="shared" si="168"/>
        <v>2015FemaleAllEth235</v>
      </c>
      <c r="K3918" s="359">
        <v>2015</v>
      </c>
      <c r="L3918" t="s">
        <v>8</v>
      </c>
      <c r="M3918" t="s">
        <v>27</v>
      </c>
      <c r="N3918">
        <v>23</v>
      </c>
      <c r="O3918">
        <v>5</v>
      </c>
      <c r="P3918">
        <v>11</v>
      </c>
      <c r="Q3918">
        <v>9.1833191994801897</v>
      </c>
      <c r="R3918">
        <v>5.4</v>
      </c>
      <c r="T3918" s="358" t="str">
        <f t="shared" si="169"/>
        <v>2015AllSexAllEth22Poisoning by solids and liquids</v>
      </c>
      <c r="U3918" s="360">
        <v>2015</v>
      </c>
      <c r="V3918" s="360" t="s">
        <v>17</v>
      </c>
      <c r="W3918" s="360" t="s">
        <v>27</v>
      </c>
      <c r="X3918" s="360">
        <v>22</v>
      </c>
      <c r="Y3918" s="360" t="s">
        <v>47</v>
      </c>
      <c r="Z3918" s="360">
        <v>5</v>
      </c>
      <c r="AA3918" s="360">
        <v>111</v>
      </c>
      <c r="AB3918" s="360">
        <v>4.5</v>
      </c>
    </row>
    <row r="3919" spans="10:28" x14ac:dyDescent="0.2">
      <c r="J3919" s="358" t="str">
        <f t="shared" si="168"/>
        <v>2015FemaleAllEth241</v>
      </c>
      <c r="K3919" s="359">
        <v>2015</v>
      </c>
      <c r="L3919" t="s">
        <v>8</v>
      </c>
      <c r="M3919" t="s">
        <v>27</v>
      </c>
      <c r="N3919">
        <v>24</v>
      </c>
      <c r="O3919">
        <v>1</v>
      </c>
      <c r="P3919">
        <v>6</v>
      </c>
      <c r="Q3919">
        <v>4.11921942751834</v>
      </c>
      <c r="R3919">
        <v>3.3</v>
      </c>
      <c r="T3919" s="358" t="str">
        <f t="shared" si="169"/>
        <v>2015AllSexAllEth23Poisoning by solids and liquids</v>
      </c>
      <c r="U3919" s="360">
        <v>2015</v>
      </c>
      <c r="V3919" s="360" t="s">
        <v>17</v>
      </c>
      <c r="W3919" s="360" t="s">
        <v>27</v>
      </c>
      <c r="X3919" s="360">
        <v>23</v>
      </c>
      <c r="Y3919" s="360" t="s">
        <v>47</v>
      </c>
      <c r="Z3919" s="360">
        <v>10</v>
      </c>
      <c r="AA3919" s="360">
        <v>171</v>
      </c>
      <c r="AB3919" s="360">
        <v>5.8</v>
      </c>
    </row>
    <row r="3920" spans="10:28" x14ac:dyDescent="0.2">
      <c r="J3920" s="358" t="str">
        <f t="shared" si="168"/>
        <v>2015FemaleAllEth242</v>
      </c>
      <c r="K3920" s="359">
        <v>2015</v>
      </c>
      <c r="L3920" t="s">
        <v>8</v>
      </c>
      <c r="M3920" t="s">
        <v>27</v>
      </c>
      <c r="N3920">
        <v>24</v>
      </c>
      <c r="O3920">
        <v>2</v>
      </c>
      <c r="P3920">
        <v>10</v>
      </c>
      <c r="Q3920">
        <v>7.6369278971181203</v>
      </c>
      <c r="R3920">
        <v>4.7</v>
      </c>
      <c r="T3920" s="358" t="str">
        <f t="shared" si="169"/>
        <v>2015AllSexAllEth24Poisoning by solids and liquids</v>
      </c>
      <c r="U3920" s="360">
        <v>2015</v>
      </c>
      <c r="V3920" s="360" t="s">
        <v>17</v>
      </c>
      <c r="W3920" s="360" t="s">
        <v>27</v>
      </c>
      <c r="X3920" s="360">
        <v>24</v>
      </c>
      <c r="Y3920" s="360" t="s">
        <v>47</v>
      </c>
      <c r="Z3920" s="360">
        <v>23</v>
      </c>
      <c r="AA3920" s="360">
        <v>169</v>
      </c>
      <c r="AB3920" s="360">
        <v>13.6</v>
      </c>
    </row>
    <row r="3921" spans="10:28" x14ac:dyDescent="0.2">
      <c r="J3921" s="358" t="str">
        <f t="shared" si="168"/>
        <v>2015FemaleAllEth243</v>
      </c>
      <c r="K3921" s="359">
        <v>2015</v>
      </c>
      <c r="L3921" t="s">
        <v>8</v>
      </c>
      <c r="M3921" t="s">
        <v>27</v>
      </c>
      <c r="N3921">
        <v>24</v>
      </c>
      <c r="O3921">
        <v>3</v>
      </c>
      <c r="P3921">
        <v>13</v>
      </c>
      <c r="Q3921">
        <v>10.910322200682399</v>
      </c>
      <c r="R3921">
        <v>5.9</v>
      </c>
      <c r="T3921" s="358" t="str">
        <f t="shared" si="169"/>
        <v>2015AllSexAllEth25Poisoning by solids and liquids</v>
      </c>
      <c r="U3921" s="360">
        <v>2015</v>
      </c>
      <c r="V3921" s="360" t="s">
        <v>17</v>
      </c>
      <c r="W3921" s="360" t="s">
        <v>27</v>
      </c>
      <c r="X3921" s="360">
        <v>25</v>
      </c>
      <c r="Y3921" s="360" t="s">
        <v>47</v>
      </c>
      <c r="Z3921" s="360">
        <v>11</v>
      </c>
      <c r="AA3921" s="360">
        <v>64</v>
      </c>
      <c r="AB3921" s="360">
        <v>17.2</v>
      </c>
    </row>
    <row r="3922" spans="10:28" x14ac:dyDescent="0.2">
      <c r="J3922" s="358" t="str">
        <f t="shared" si="168"/>
        <v>2015FemaleAllEth244</v>
      </c>
      <c r="K3922" s="359">
        <v>2015</v>
      </c>
      <c r="L3922" t="s">
        <v>8</v>
      </c>
      <c r="M3922" t="s">
        <v>27</v>
      </c>
      <c r="N3922">
        <v>24</v>
      </c>
      <c r="O3922">
        <v>4</v>
      </c>
      <c r="P3922">
        <v>6</v>
      </c>
      <c r="Q3922">
        <v>5.5383979262680798</v>
      </c>
      <c r="R3922">
        <v>4.4000000000000004</v>
      </c>
      <c r="T3922" s="358" t="str">
        <f t="shared" si="169"/>
        <v>2015AllSexAllEth22Sharp object</v>
      </c>
      <c r="U3922" s="360">
        <v>2015</v>
      </c>
      <c r="V3922" s="360" t="s">
        <v>17</v>
      </c>
      <c r="W3922" s="360" t="s">
        <v>27</v>
      </c>
      <c r="X3922" s="360">
        <v>22</v>
      </c>
      <c r="Y3922" s="360" t="s">
        <v>48</v>
      </c>
      <c r="Z3922" s="360">
        <v>1</v>
      </c>
      <c r="AA3922" s="360">
        <v>111</v>
      </c>
      <c r="AB3922" s="360">
        <v>0.9</v>
      </c>
    </row>
    <row r="3923" spans="10:28" x14ac:dyDescent="0.2">
      <c r="J3923" s="358" t="str">
        <f t="shared" si="168"/>
        <v>2015FemaleAllEth245</v>
      </c>
      <c r="K3923" s="359">
        <v>2015</v>
      </c>
      <c r="L3923" t="s">
        <v>8</v>
      </c>
      <c r="M3923" t="s">
        <v>27</v>
      </c>
      <c r="N3923">
        <v>24</v>
      </c>
      <c r="O3923">
        <v>5</v>
      </c>
      <c r="P3923">
        <v>10</v>
      </c>
      <c r="Q3923">
        <v>9.9888976243205008</v>
      </c>
      <c r="R3923">
        <v>6.2</v>
      </c>
      <c r="T3923" s="358" t="str">
        <f t="shared" si="169"/>
        <v>2015AllSexAllEth23Sharp object</v>
      </c>
      <c r="U3923" s="360">
        <v>2015</v>
      </c>
      <c r="V3923" s="360" t="s">
        <v>17</v>
      </c>
      <c r="W3923" s="360" t="s">
        <v>27</v>
      </c>
      <c r="X3923" s="360">
        <v>23</v>
      </c>
      <c r="Y3923" s="360" t="s">
        <v>48</v>
      </c>
      <c r="Z3923" s="360">
        <v>2</v>
      </c>
      <c r="AA3923" s="360">
        <v>171</v>
      </c>
      <c r="AB3923" s="360">
        <v>1.2</v>
      </c>
    </row>
    <row r="3924" spans="10:28" x14ac:dyDescent="0.2">
      <c r="J3924" s="358" t="str">
        <f t="shared" si="168"/>
        <v>2015FemaleAllEth251</v>
      </c>
      <c r="K3924" s="359">
        <v>2015</v>
      </c>
      <c r="L3924" t="s">
        <v>8</v>
      </c>
      <c r="M3924" t="s">
        <v>27</v>
      </c>
      <c r="N3924">
        <v>25</v>
      </c>
      <c r="O3924">
        <v>1</v>
      </c>
      <c r="P3924">
        <v>7</v>
      </c>
      <c r="Q3924">
        <v>9.6985078169595393</v>
      </c>
      <c r="R3924">
        <v>7.2</v>
      </c>
      <c r="T3924" s="358" t="str">
        <f t="shared" si="169"/>
        <v>2015AllSexAllEth24Sharp object</v>
      </c>
      <c r="U3924" s="360">
        <v>2015</v>
      </c>
      <c r="V3924" s="360" t="s">
        <v>17</v>
      </c>
      <c r="W3924" s="360" t="s">
        <v>27</v>
      </c>
      <c r="X3924" s="360">
        <v>24</v>
      </c>
      <c r="Y3924" s="360" t="s">
        <v>48</v>
      </c>
      <c r="Z3924" s="360">
        <v>3</v>
      </c>
      <c r="AA3924" s="360">
        <v>169</v>
      </c>
      <c r="AB3924" s="360">
        <v>1.8</v>
      </c>
    </row>
    <row r="3925" spans="10:28" x14ac:dyDescent="0.2">
      <c r="J3925" s="358" t="str">
        <f t="shared" si="168"/>
        <v>2015FemaleAllEth252</v>
      </c>
      <c r="K3925" s="359">
        <v>2015</v>
      </c>
      <c r="L3925" t="s">
        <v>8</v>
      </c>
      <c r="M3925" t="s">
        <v>27</v>
      </c>
      <c r="N3925">
        <v>25</v>
      </c>
      <c r="O3925">
        <v>2</v>
      </c>
      <c r="P3925">
        <v>1</v>
      </c>
      <c r="Q3925">
        <v>1.34822873550412</v>
      </c>
      <c r="R3925">
        <v>2.6</v>
      </c>
      <c r="T3925" s="358" t="str">
        <f t="shared" si="169"/>
        <v>2015AllSexAllEth25Sharp object</v>
      </c>
      <c r="U3925" s="360">
        <v>2015</v>
      </c>
      <c r="V3925" s="360" t="s">
        <v>17</v>
      </c>
      <c r="W3925" s="360" t="s">
        <v>27</v>
      </c>
      <c r="X3925" s="360">
        <v>25</v>
      </c>
      <c r="Y3925" s="360" t="s">
        <v>48</v>
      </c>
      <c r="Z3925" s="360">
        <v>2</v>
      </c>
      <c r="AA3925" s="360">
        <v>64</v>
      </c>
      <c r="AB3925" s="360">
        <v>3.1</v>
      </c>
    </row>
    <row r="3926" spans="10:28" x14ac:dyDescent="0.2">
      <c r="J3926" s="358" t="str">
        <f t="shared" si="168"/>
        <v>2015FemaleAllEth253</v>
      </c>
      <c r="K3926" s="359">
        <v>2015</v>
      </c>
      <c r="L3926" t="s">
        <v>8</v>
      </c>
      <c r="M3926" t="s">
        <v>27</v>
      </c>
      <c r="N3926">
        <v>25</v>
      </c>
      <c r="O3926">
        <v>3</v>
      </c>
      <c r="P3926">
        <v>4</v>
      </c>
      <c r="Q3926">
        <v>5.3457618097178701</v>
      </c>
      <c r="R3926">
        <v>5.2</v>
      </c>
      <c r="T3926" s="358" t="str">
        <f t="shared" si="169"/>
        <v>2015AllSexAllEth23Submersion (drowning)</v>
      </c>
      <c r="U3926" s="360">
        <v>2015</v>
      </c>
      <c r="V3926" s="360" t="s">
        <v>17</v>
      </c>
      <c r="W3926" s="360" t="s">
        <v>27</v>
      </c>
      <c r="X3926" s="360">
        <v>23</v>
      </c>
      <c r="Y3926" s="360" t="s">
        <v>49</v>
      </c>
      <c r="Z3926" s="360">
        <v>1</v>
      </c>
      <c r="AA3926" s="360">
        <v>171</v>
      </c>
      <c r="AB3926" s="360">
        <v>0.6</v>
      </c>
    </row>
    <row r="3927" spans="10:28" x14ac:dyDescent="0.2">
      <c r="J3927" s="358" t="str">
        <f t="shared" si="168"/>
        <v>2015FemaleAllEth254</v>
      </c>
      <c r="K3927" s="359">
        <v>2015</v>
      </c>
      <c r="L3927" t="s">
        <v>8</v>
      </c>
      <c r="M3927" t="s">
        <v>27</v>
      </c>
      <c r="N3927">
        <v>25</v>
      </c>
      <c r="O3927">
        <v>4</v>
      </c>
      <c r="P3927">
        <v>3</v>
      </c>
      <c r="Q3927">
        <v>3.8508571735835</v>
      </c>
      <c r="R3927">
        <v>4.4000000000000004</v>
      </c>
      <c r="T3927" s="358" t="str">
        <f t="shared" si="169"/>
        <v>2015AllSexAllEth24Submersion (drowning)</v>
      </c>
      <c r="U3927" s="360">
        <v>2015</v>
      </c>
      <c r="V3927" s="360" t="s">
        <v>17</v>
      </c>
      <c r="W3927" s="360" t="s">
        <v>27</v>
      </c>
      <c r="X3927" s="360">
        <v>24</v>
      </c>
      <c r="Y3927" s="360" t="s">
        <v>49</v>
      </c>
      <c r="Z3927" s="360">
        <v>3</v>
      </c>
      <c r="AA3927" s="360">
        <v>169</v>
      </c>
      <c r="AB3927" s="360">
        <v>1.8</v>
      </c>
    </row>
    <row r="3928" spans="10:28" x14ac:dyDescent="0.2">
      <c r="J3928" s="358" t="str">
        <f t="shared" si="168"/>
        <v>2015FemaleAllEth255</v>
      </c>
      <c r="K3928" s="359">
        <v>2015</v>
      </c>
      <c r="L3928" t="s">
        <v>8</v>
      </c>
      <c r="M3928" t="s">
        <v>27</v>
      </c>
      <c r="N3928">
        <v>25</v>
      </c>
      <c r="O3928">
        <v>5</v>
      </c>
      <c r="P3928">
        <v>1</v>
      </c>
      <c r="Q3928">
        <v>1.59793594709181</v>
      </c>
      <c r="R3928">
        <v>3.1</v>
      </c>
      <c r="T3928" s="358" t="str">
        <f t="shared" si="169"/>
        <v>2015AllSexAllEth25Submersion (drowning)</v>
      </c>
      <c r="U3928" s="360">
        <v>2015</v>
      </c>
      <c r="V3928" s="360" t="s">
        <v>17</v>
      </c>
      <c r="W3928" s="360" t="s">
        <v>27</v>
      </c>
      <c r="X3928" s="360">
        <v>25</v>
      </c>
      <c r="Y3928" s="360" t="s">
        <v>49</v>
      </c>
      <c r="Z3928" s="360">
        <v>6</v>
      </c>
      <c r="AA3928" s="360">
        <v>64</v>
      </c>
      <c r="AB3928" s="360">
        <v>9.4</v>
      </c>
    </row>
    <row r="3929" spans="10:28" x14ac:dyDescent="0.2">
      <c r="J3929" s="358" t="str">
        <f t="shared" si="168"/>
        <v>2015FemaleMaori211</v>
      </c>
      <c r="K3929" s="359">
        <v>2015</v>
      </c>
      <c r="L3929" t="s">
        <v>8</v>
      </c>
      <c r="M3929" t="s">
        <v>18</v>
      </c>
      <c r="N3929">
        <v>21</v>
      </c>
      <c r="O3929">
        <v>1</v>
      </c>
      <c r="P3929">
        <v>0</v>
      </c>
      <c r="T3929" s="358" t="str">
        <f t="shared" si="169"/>
        <v>2015AllSexMaori23Firearms and explosives</v>
      </c>
      <c r="U3929" s="360">
        <v>2015</v>
      </c>
      <c r="V3929" s="360" t="s">
        <v>17</v>
      </c>
      <c r="W3929" s="360" t="s">
        <v>18</v>
      </c>
      <c r="X3929" s="360">
        <v>23</v>
      </c>
      <c r="Y3929" s="360" t="s">
        <v>42</v>
      </c>
      <c r="Z3929" s="360">
        <v>1</v>
      </c>
      <c r="AA3929" s="360">
        <v>54</v>
      </c>
      <c r="AB3929" s="360">
        <v>1.9</v>
      </c>
    </row>
    <row r="3930" spans="10:28" x14ac:dyDescent="0.2">
      <c r="J3930" s="358" t="str">
        <f t="shared" si="168"/>
        <v>2015FemaleMaori212</v>
      </c>
      <c r="K3930" s="359">
        <v>2015</v>
      </c>
      <c r="L3930" t="s">
        <v>8</v>
      </c>
      <c r="M3930" t="s">
        <v>18</v>
      </c>
      <c r="N3930">
        <v>21</v>
      </c>
      <c r="O3930">
        <v>2</v>
      </c>
      <c r="P3930">
        <v>0</v>
      </c>
      <c r="T3930" s="358" t="str">
        <f t="shared" si="169"/>
        <v>2015AllSexMaori21Hanging, strangulation and suffocation</v>
      </c>
      <c r="U3930" s="360">
        <v>2015</v>
      </c>
      <c r="V3930" s="360" t="s">
        <v>17</v>
      </c>
      <c r="W3930" s="360" t="s">
        <v>18</v>
      </c>
      <c r="X3930" s="360">
        <v>21</v>
      </c>
      <c r="Y3930" s="360" t="s">
        <v>43</v>
      </c>
      <c r="Z3930" s="360">
        <v>4</v>
      </c>
      <c r="AA3930" s="360">
        <v>4</v>
      </c>
      <c r="AB3930" s="360">
        <v>100</v>
      </c>
    </row>
    <row r="3931" spans="10:28" x14ac:dyDescent="0.2">
      <c r="J3931" s="358" t="str">
        <f t="shared" si="168"/>
        <v>2015FemaleMaori213</v>
      </c>
      <c r="K3931" s="359">
        <v>2015</v>
      </c>
      <c r="L3931" t="s">
        <v>8</v>
      </c>
      <c r="M3931" t="s">
        <v>18</v>
      </c>
      <c r="N3931">
        <v>21</v>
      </c>
      <c r="O3931">
        <v>3</v>
      </c>
      <c r="P3931">
        <v>0</v>
      </c>
      <c r="T3931" s="358" t="str">
        <f t="shared" si="169"/>
        <v>2015AllSexMaori22Hanging, strangulation and suffocation</v>
      </c>
      <c r="U3931" s="360">
        <v>2015</v>
      </c>
      <c r="V3931" s="360" t="s">
        <v>17</v>
      </c>
      <c r="W3931" s="360" t="s">
        <v>18</v>
      </c>
      <c r="X3931" s="360">
        <v>22</v>
      </c>
      <c r="Y3931" s="360" t="s">
        <v>43</v>
      </c>
      <c r="Z3931" s="360">
        <v>39</v>
      </c>
      <c r="AA3931" s="360">
        <v>42</v>
      </c>
      <c r="AB3931" s="360">
        <v>92.9</v>
      </c>
    </row>
    <row r="3932" spans="10:28" x14ac:dyDescent="0.2">
      <c r="J3932" s="358" t="str">
        <f t="shared" si="168"/>
        <v>2015FemaleMaori214</v>
      </c>
      <c r="K3932" s="359">
        <v>2015</v>
      </c>
      <c r="L3932" t="s">
        <v>8</v>
      </c>
      <c r="M3932" t="s">
        <v>18</v>
      </c>
      <c r="N3932">
        <v>21</v>
      </c>
      <c r="O3932">
        <v>4</v>
      </c>
      <c r="P3932">
        <v>0</v>
      </c>
      <c r="T3932" s="358" t="str">
        <f t="shared" si="169"/>
        <v>2015AllSexMaori23Hanging, strangulation and suffocation</v>
      </c>
      <c r="U3932" s="360">
        <v>2015</v>
      </c>
      <c r="V3932" s="360" t="s">
        <v>17</v>
      </c>
      <c r="W3932" s="360" t="s">
        <v>18</v>
      </c>
      <c r="X3932" s="360">
        <v>23</v>
      </c>
      <c r="Y3932" s="360" t="s">
        <v>43</v>
      </c>
      <c r="Z3932" s="360">
        <v>48</v>
      </c>
      <c r="AA3932" s="360">
        <v>54</v>
      </c>
      <c r="AB3932" s="360">
        <v>88.9</v>
      </c>
    </row>
    <row r="3933" spans="10:28" x14ac:dyDescent="0.2">
      <c r="J3933" s="358" t="str">
        <f t="shared" si="168"/>
        <v>2015FemaleMaori215</v>
      </c>
      <c r="K3933" s="359">
        <v>2015</v>
      </c>
      <c r="L3933" t="s">
        <v>8</v>
      </c>
      <c r="M3933" t="s">
        <v>18</v>
      </c>
      <c r="N3933">
        <v>21</v>
      </c>
      <c r="O3933">
        <v>5</v>
      </c>
      <c r="P3933">
        <v>1</v>
      </c>
      <c r="T3933" s="358" t="str">
        <f t="shared" si="169"/>
        <v>2015AllSexMaori24Hanging, strangulation and suffocation</v>
      </c>
      <c r="U3933" s="360">
        <v>2015</v>
      </c>
      <c r="V3933" s="360" t="s">
        <v>17</v>
      </c>
      <c r="W3933" s="360" t="s">
        <v>18</v>
      </c>
      <c r="X3933" s="360">
        <v>24</v>
      </c>
      <c r="Y3933" s="360" t="s">
        <v>43</v>
      </c>
      <c r="Z3933" s="360">
        <v>15</v>
      </c>
      <c r="AA3933" s="360">
        <v>18</v>
      </c>
      <c r="AB3933" s="360">
        <v>83.3</v>
      </c>
    </row>
    <row r="3934" spans="10:28" x14ac:dyDescent="0.2">
      <c r="J3934" s="358" t="str">
        <f t="shared" si="168"/>
        <v>2015FemaleMaori221</v>
      </c>
      <c r="K3934" s="359">
        <v>2015</v>
      </c>
      <c r="L3934" t="s">
        <v>8</v>
      </c>
      <c r="M3934" t="s">
        <v>18</v>
      </c>
      <c r="N3934">
        <v>22</v>
      </c>
      <c r="O3934">
        <v>1</v>
      </c>
      <c r="P3934">
        <v>2</v>
      </c>
      <c r="Q3934">
        <v>36.838004336636999</v>
      </c>
      <c r="R3934">
        <v>51.1</v>
      </c>
      <c r="T3934" s="358" t="str">
        <f t="shared" si="169"/>
        <v>2015AllSexMaori22Other</v>
      </c>
      <c r="U3934" s="360">
        <v>2015</v>
      </c>
      <c r="V3934" s="360" t="s">
        <v>17</v>
      </c>
      <c r="W3934" s="360" t="s">
        <v>18</v>
      </c>
      <c r="X3934" s="360">
        <v>22</v>
      </c>
      <c r="Y3934" s="360" t="s">
        <v>45</v>
      </c>
      <c r="Z3934" s="360">
        <v>1</v>
      </c>
      <c r="AA3934" s="360">
        <v>42</v>
      </c>
      <c r="AB3934" s="360">
        <v>2.4</v>
      </c>
    </row>
    <row r="3935" spans="10:28" x14ac:dyDescent="0.2">
      <c r="J3935" s="358" t="str">
        <f t="shared" si="168"/>
        <v>2015FemaleMaori222</v>
      </c>
      <c r="K3935" s="359">
        <v>2015</v>
      </c>
      <c r="L3935" t="s">
        <v>8</v>
      </c>
      <c r="M3935" t="s">
        <v>18</v>
      </c>
      <c r="N3935">
        <v>22</v>
      </c>
      <c r="O3935">
        <v>2</v>
      </c>
      <c r="P3935">
        <v>2</v>
      </c>
      <c r="Q3935">
        <v>27.792719268597502</v>
      </c>
      <c r="R3935">
        <v>38.5</v>
      </c>
      <c r="T3935" s="358" t="str">
        <f t="shared" si="169"/>
        <v>2015AllSexMaori23Other</v>
      </c>
      <c r="U3935" s="360">
        <v>2015</v>
      </c>
      <c r="V3935" s="360" t="s">
        <v>17</v>
      </c>
      <c r="W3935" s="360" t="s">
        <v>18</v>
      </c>
      <c r="X3935" s="360">
        <v>23</v>
      </c>
      <c r="Y3935" s="360" t="s">
        <v>45</v>
      </c>
      <c r="Z3935" s="360">
        <v>2</v>
      </c>
      <c r="AA3935" s="360">
        <v>54</v>
      </c>
      <c r="AB3935" s="360">
        <v>3.7</v>
      </c>
    </row>
    <row r="3936" spans="10:28" x14ac:dyDescent="0.2">
      <c r="J3936" s="358" t="str">
        <f t="shared" si="168"/>
        <v>2015FemaleMaori223</v>
      </c>
      <c r="K3936" s="359">
        <v>2015</v>
      </c>
      <c r="L3936" t="s">
        <v>8</v>
      </c>
      <c r="M3936" t="s">
        <v>18</v>
      </c>
      <c r="N3936">
        <v>22</v>
      </c>
      <c r="O3936">
        <v>3</v>
      </c>
      <c r="P3936">
        <v>0</v>
      </c>
      <c r="Q3936">
        <v>0</v>
      </c>
      <c r="T3936" s="358" t="str">
        <f t="shared" si="169"/>
        <v>2015AllSexMaori24Other</v>
      </c>
      <c r="U3936" s="360">
        <v>2015</v>
      </c>
      <c r="V3936" s="360" t="s">
        <v>17</v>
      </c>
      <c r="W3936" s="360" t="s">
        <v>18</v>
      </c>
      <c r="X3936" s="360">
        <v>24</v>
      </c>
      <c r="Y3936" s="360" t="s">
        <v>45</v>
      </c>
      <c r="Z3936" s="360">
        <v>1</v>
      </c>
      <c r="AA3936" s="360">
        <v>18</v>
      </c>
      <c r="AB3936" s="360">
        <v>5.6</v>
      </c>
    </row>
    <row r="3937" spans="10:28" x14ac:dyDescent="0.2">
      <c r="J3937" s="358" t="str">
        <f t="shared" si="168"/>
        <v>2015FemaleMaori224</v>
      </c>
      <c r="K3937" s="359">
        <v>2015</v>
      </c>
      <c r="L3937" t="s">
        <v>8</v>
      </c>
      <c r="M3937" t="s">
        <v>18</v>
      </c>
      <c r="N3937">
        <v>22</v>
      </c>
      <c r="O3937">
        <v>4</v>
      </c>
      <c r="P3937">
        <v>9</v>
      </c>
      <c r="Q3937">
        <v>57.399041721063099</v>
      </c>
      <c r="R3937">
        <v>37.5</v>
      </c>
      <c r="T3937" s="358" t="str">
        <f t="shared" si="169"/>
        <v>2015AllSexMaori22Poisoning by gases and vapours</v>
      </c>
      <c r="U3937" s="360">
        <v>2015</v>
      </c>
      <c r="V3937" s="360" t="s">
        <v>17</v>
      </c>
      <c r="W3937" s="360" t="s">
        <v>18</v>
      </c>
      <c r="X3937" s="360">
        <v>22</v>
      </c>
      <c r="Y3937" s="360" t="s">
        <v>46</v>
      </c>
      <c r="Z3937" s="360">
        <v>2</v>
      </c>
      <c r="AA3937" s="360">
        <v>42</v>
      </c>
      <c r="AB3937" s="360">
        <v>4.8</v>
      </c>
    </row>
    <row r="3938" spans="10:28" x14ac:dyDescent="0.2">
      <c r="J3938" s="358" t="str">
        <f t="shared" si="168"/>
        <v>2015FemaleMaori225</v>
      </c>
      <c r="K3938" s="359">
        <v>2015</v>
      </c>
      <c r="L3938" t="s">
        <v>8</v>
      </c>
      <c r="M3938" t="s">
        <v>18</v>
      </c>
      <c r="N3938">
        <v>22</v>
      </c>
      <c r="O3938">
        <v>5</v>
      </c>
      <c r="P3938">
        <v>10</v>
      </c>
      <c r="Q3938">
        <v>35.9129011154319</v>
      </c>
      <c r="R3938">
        <v>22.3</v>
      </c>
      <c r="T3938" s="358" t="str">
        <f t="shared" si="169"/>
        <v>2015AllSexMaori23Poisoning by gases and vapours</v>
      </c>
      <c r="U3938" s="360">
        <v>2015</v>
      </c>
      <c r="V3938" s="360" t="s">
        <v>17</v>
      </c>
      <c r="W3938" s="360" t="s">
        <v>18</v>
      </c>
      <c r="X3938" s="360">
        <v>23</v>
      </c>
      <c r="Y3938" s="360" t="s">
        <v>46</v>
      </c>
      <c r="Z3938" s="360">
        <v>1</v>
      </c>
      <c r="AA3938" s="360">
        <v>54</v>
      </c>
      <c r="AB3938" s="360">
        <v>1.9</v>
      </c>
    </row>
    <row r="3939" spans="10:28" x14ac:dyDescent="0.2">
      <c r="J3939" s="358" t="str">
        <f t="shared" si="168"/>
        <v>2015FemaleMaori231</v>
      </c>
      <c r="K3939" s="359">
        <v>2015</v>
      </c>
      <c r="L3939" t="s">
        <v>8</v>
      </c>
      <c r="M3939" t="s">
        <v>18</v>
      </c>
      <c r="N3939">
        <v>23</v>
      </c>
      <c r="O3939">
        <v>1</v>
      </c>
      <c r="P3939">
        <v>0</v>
      </c>
      <c r="Q3939">
        <v>0</v>
      </c>
      <c r="T3939" s="358" t="str">
        <f t="shared" si="169"/>
        <v>2015AllSexMaori24Poisoning by gases and vapours</v>
      </c>
      <c r="U3939" s="360">
        <v>2015</v>
      </c>
      <c r="V3939" s="360" t="s">
        <v>17</v>
      </c>
      <c r="W3939" s="360" t="s">
        <v>18</v>
      </c>
      <c r="X3939" s="360">
        <v>24</v>
      </c>
      <c r="Y3939" s="360" t="s">
        <v>46</v>
      </c>
      <c r="Z3939" s="360">
        <v>1</v>
      </c>
      <c r="AA3939" s="360">
        <v>18</v>
      </c>
      <c r="AB3939" s="360">
        <v>5.6</v>
      </c>
    </row>
    <row r="3940" spans="10:28" x14ac:dyDescent="0.2">
      <c r="J3940" s="358" t="str">
        <f t="shared" si="168"/>
        <v>2015FemaleMaori232</v>
      </c>
      <c r="K3940" s="359">
        <v>2015</v>
      </c>
      <c r="L3940" t="s">
        <v>8</v>
      </c>
      <c r="M3940" t="s">
        <v>18</v>
      </c>
      <c r="N3940">
        <v>23</v>
      </c>
      <c r="O3940">
        <v>2</v>
      </c>
      <c r="P3940">
        <v>3</v>
      </c>
      <c r="Q3940">
        <v>27.263813269352202</v>
      </c>
      <c r="R3940">
        <v>30.9</v>
      </c>
      <c r="T3940" s="358" t="str">
        <f t="shared" si="169"/>
        <v>2015AllSexMaori23Poisoning by solids and liquids</v>
      </c>
      <c r="U3940" s="360">
        <v>2015</v>
      </c>
      <c r="V3940" s="360" t="s">
        <v>17</v>
      </c>
      <c r="W3940" s="360" t="s">
        <v>18</v>
      </c>
      <c r="X3940" s="360">
        <v>23</v>
      </c>
      <c r="Y3940" s="360" t="s">
        <v>47</v>
      </c>
      <c r="Z3940" s="360">
        <v>2</v>
      </c>
      <c r="AA3940" s="360">
        <v>54</v>
      </c>
      <c r="AB3940" s="360">
        <v>3.7</v>
      </c>
    </row>
    <row r="3941" spans="10:28" x14ac:dyDescent="0.2">
      <c r="J3941" s="358" t="str">
        <f t="shared" si="168"/>
        <v>2015FemaleMaori233</v>
      </c>
      <c r="K3941" s="359">
        <v>2015</v>
      </c>
      <c r="L3941" t="s">
        <v>8</v>
      </c>
      <c r="M3941" t="s">
        <v>18</v>
      </c>
      <c r="N3941">
        <v>23</v>
      </c>
      <c r="O3941">
        <v>3</v>
      </c>
      <c r="P3941">
        <v>2</v>
      </c>
      <c r="Q3941">
        <v>13.0082023162164</v>
      </c>
      <c r="R3941">
        <v>18</v>
      </c>
      <c r="T3941" s="358" t="str">
        <f t="shared" si="169"/>
        <v>2015AllSexMaori24Submersion (drowning)</v>
      </c>
      <c r="U3941" s="360">
        <v>2015</v>
      </c>
      <c r="V3941" s="360" t="s">
        <v>17</v>
      </c>
      <c r="W3941" s="360" t="s">
        <v>18</v>
      </c>
      <c r="X3941" s="360">
        <v>24</v>
      </c>
      <c r="Y3941" s="360" t="s">
        <v>49</v>
      </c>
      <c r="Z3941" s="360">
        <v>1</v>
      </c>
      <c r="AA3941" s="360">
        <v>18</v>
      </c>
      <c r="AB3941" s="360">
        <v>5.6</v>
      </c>
    </row>
    <row r="3942" spans="10:28" x14ac:dyDescent="0.2">
      <c r="J3942" s="358" t="str">
        <f t="shared" si="168"/>
        <v>2015FemaleMaori234</v>
      </c>
      <c r="K3942" s="359">
        <v>2015</v>
      </c>
      <c r="L3942" t="s">
        <v>8</v>
      </c>
      <c r="M3942" t="s">
        <v>18</v>
      </c>
      <c r="N3942">
        <v>23</v>
      </c>
      <c r="O3942">
        <v>4</v>
      </c>
      <c r="P3942">
        <v>1</v>
      </c>
      <c r="Q3942">
        <v>4.6351003698696003</v>
      </c>
      <c r="R3942">
        <v>9.1</v>
      </c>
      <c r="T3942" s="358" t="str">
        <f t="shared" si="169"/>
        <v>2015AllSexNon-Maori22Firearms and explosives</v>
      </c>
      <c r="U3942" s="360">
        <v>2015</v>
      </c>
      <c r="V3942" s="360" t="s">
        <v>17</v>
      </c>
      <c r="W3942" s="360" t="s">
        <v>19</v>
      </c>
      <c r="X3942" s="360">
        <v>22</v>
      </c>
      <c r="Y3942" s="360" t="s">
        <v>42</v>
      </c>
      <c r="Z3942" s="360">
        <v>3</v>
      </c>
      <c r="AA3942" s="360">
        <v>69</v>
      </c>
      <c r="AB3942" s="360">
        <v>4.3</v>
      </c>
    </row>
    <row r="3943" spans="10:28" x14ac:dyDescent="0.2">
      <c r="J3943" s="358" t="str">
        <f t="shared" si="168"/>
        <v>2015FemaleMaori235</v>
      </c>
      <c r="K3943" s="359">
        <v>2015</v>
      </c>
      <c r="L3943" t="s">
        <v>8</v>
      </c>
      <c r="M3943" t="s">
        <v>18</v>
      </c>
      <c r="N3943">
        <v>23</v>
      </c>
      <c r="O3943">
        <v>5</v>
      </c>
      <c r="P3943">
        <v>8</v>
      </c>
      <c r="Q3943">
        <v>21.4179381833607</v>
      </c>
      <c r="R3943">
        <v>14.8</v>
      </c>
      <c r="T3943" s="358" t="str">
        <f t="shared" si="169"/>
        <v>2015AllSexNon-Maori23Firearms and explosives</v>
      </c>
      <c r="U3943" s="360">
        <v>2015</v>
      </c>
      <c r="V3943" s="360" t="s">
        <v>17</v>
      </c>
      <c r="W3943" s="360" t="s">
        <v>19</v>
      </c>
      <c r="X3943" s="360">
        <v>23</v>
      </c>
      <c r="Y3943" s="360" t="s">
        <v>42</v>
      </c>
      <c r="Z3943" s="360">
        <v>8</v>
      </c>
      <c r="AA3943" s="360">
        <v>117</v>
      </c>
      <c r="AB3943" s="360">
        <v>6.8</v>
      </c>
    </row>
    <row r="3944" spans="10:28" x14ac:dyDescent="0.2">
      <c r="J3944" s="358" t="str">
        <f t="shared" si="168"/>
        <v>2015FemaleMaori241</v>
      </c>
      <c r="K3944" s="359">
        <v>2015</v>
      </c>
      <c r="L3944" t="s">
        <v>8</v>
      </c>
      <c r="M3944" t="s">
        <v>18</v>
      </c>
      <c r="N3944">
        <v>24</v>
      </c>
      <c r="O3944">
        <v>1</v>
      </c>
      <c r="P3944">
        <v>0</v>
      </c>
      <c r="Q3944">
        <v>0</v>
      </c>
      <c r="T3944" s="358" t="str">
        <f t="shared" si="169"/>
        <v>2015AllSexNon-Maori24Firearms and explosives</v>
      </c>
      <c r="U3944" s="360">
        <v>2015</v>
      </c>
      <c r="V3944" s="360" t="s">
        <v>17</v>
      </c>
      <c r="W3944" s="360" t="s">
        <v>19</v>
      </c>
      <c r="X3944" s="360">
        <v>24</v>
      </c>
      <c r="Y3944" s="360" t="s">
        <v>42</v>
      </c>
      <c r="Z3944" s="360">
        <v>14</v>
      </c>
      <c r="AA3944" s="360">
        <v>151</v>
      </c>
      <c r="AB3944" s="360">
        <v>9.3000000000000007</v>
      </c>
    </row>
    <row r="3945" spans="10:28" x14ac:dyDescent="0.2">
      <c r="J3945" s="358" t="str">
        <f t="shared" si="168"/>
        <v>2015FemaleMaori242</v>
      </c>
      <c r="K3945" s="359">
        <v>2015</v>
      </c>
      <c r="L3945" t="s">
        <v>8</v>
      </c>
      <c r="M3945" t="s">
        <v>18</v>
      </c>
      <c r="N3945">
        <v>24</v>
      </c>
      <c r="O3945">
        <v>2</v>
      </c>
      <c r="P3945">
        <v>0</v>
      </c>
      <c r="Q3945">
        <v>0</v>
      </c>
      <c r="T3945" s="358" t="str">
        <f t="shared" si="169"/>
        <v>2015AllSexNon-Maori25Firearms and explosives</v>
      </c>
      <c r="U3945" s="360">
        <v>2015</v>
      </c>
      <c r="V3945" s="360" t="s">
        <v>17</v>
      </c>
      <c r="W3945" s="360" t="s">
        <v>19</v>
      </c>
      <c r="X3945" s="360">
        <v>25</v>
      </c>
      <c r="Y3945" s="360" t="s">
        <v>42</v>
      </c>
      <c r="Z3945" s="360">
        <v>15</v>
      </c>
      <c r="AA3945" s="360">
        <v>64</v>
      </c>
      <c r="AB3945" s="360">
        <v>23.4</v>
      </c>
    </row>
    <row r="3946" spans="10:28" x14ac:dyDescent="0.2">
      <c r="J3946" s="358" t="str">
        <f t="shared" si="168"/>
        <v>2015FemaleMaori243</v>
      </c>
      <c r="K3946" s="359">
        <v>2015</v>
      </c>
      <c r="L3946" t="s">
        <v>8</v>
      </c>
      <c r="M3946" t="s">
        <v>18</v>
      </c>
      <c r="N3946">
        <v>24</v>
      </c>
      <c r="O3946">
        <v>3</v>
      </c>
      <c r="P3946">
        <v>2</v>
      </c>
      <c r="Q3946">
        <v>17.812832375079299</v>
      </c>
      <c r="R3946">
        <v>24.7</v>
      </c>
      <c r="T3946" s="358" t="str">
        <f t="shared" si="169"/>
        <v>2015AllSexNon-Maori21Hanging, strangulation and suffocation</v>
      </c>
      <c r="U3946" s="360">
        <v>2015</v>
      </c>
      <c r="V3946" s="360" t="s">
        <v>17</v>
      </c>
      <c r="W3946" s="360" t="s">
        <v>19</v>
      </c>
      <c r="X3946" s="360">
        <v>21</v>
      </c>
      <c r="Y3946" s="360" t="s">
        <v>43</v>
      </c>
      <c r="Z3946" s="360">
        <v>6</v>
      </c>
      <c r="AA3946" s="360">
        <v>6</v>
      </c>
      <c r="AB3946" s="360">
        <v>100</v>
      </c>
    </row>
    <row r="3947" spans="10:28" x14ac:dyDescent="0.2">
      <c r="J3947" s="358" t="str">
        <f t="shared" si="168"/>
        <v>2015FemaleMaori244</v>
      </c>
      <c r="K3947" s="359">
        <v>2015</v>
      </c>
      <c r="L3947" t="s">
        <v>8</v>
      </c>
      <c r="M3947" t="s">
        <v>18</v>
      </c>
      <c r="N3947">
        <v>24</v>
      </c>
      <c r="O3947">
        <v>4</v>
      </c>
      <c r="P3947">
        <v>0</v>
      </c>
      <c r="Q3947">
        <v>0</v>
      </c>
      <c r="T3947" s="358" t="str">
        <f t="shared" si="169"/>
        <v>2015AllSexNon-Maori22Hanging, strangulation and suffocation</v>
      </c>
      <c r="U3947" s="360">
        <v>2015</v>
      </c>
      <c r="V3947" s="360" t="s">
        <v>17</v>
      </c>
      <c r="W3947" s="360" t="s">
        <v>19</v>
      </c>
      <c r="X3947" s="360">
        <v>22</v>
      </c>
      <c r="Y3947" s="360" t="s">
        <v>43</v>
      </c>
      <c r="Z3947" s="360">
        <v>52</v>
      </c>
      <c r="AA3947" s="360">
        <v>69</v>
      </c>
      <c r="AB3947" s="360">
        <v>75.400000000000006</v>
      </c>
    </row>
    <row r="3948" spans="10:28" x14ac:dyDescent="0.2">
      <c r="J3948" s="358" t="str">
        <f t="shared" si="168"/>
        <v>2015FemaleMaori245</v>
      </c>
      <c r="K3948" s="359">
        <v>2015</v>
      </c>
      <c r="L3948" t="s">
        <v>8</v>
      </c>
      <c r="M3948" t="s">
        <v>18</v>
      </c>
      <c r="N3948">
        <v>24</v>
      </c>
      <c r="O3948">
        <v>5</v>
      </c>
      <c r="P3948">
        <v>1</v>
      </c>
      <c r="Q3948">
        <v>3.4333814255359099</v>
      </c>
      <c r="R3948">
        <v>6.7</v>
      </c>
      <c r="T3948" s="358" t="str">
        <f t="shared" si="169"/>
        <v>2015AllSexNon-Maori23Hanging, strangulation and suffocation</v>
      </c>
      <c r="U3948" s="360">
        <v>2015</v>
      </c>
      <c r="V3948" s="360" t="s">
        <v>17</v>
      </c>
      <c r="W3948" s="360" t="s">
        <v>19</v>
      </c>
      <c r="X3948" s="360">
        <v>23</v>
      </c>
      <c r="Y3948" s="360" t="s">
        <v>43</v>
      </c>
      <c r="Z3948" s="360">
        <v>75</v>
      </c>
      <c r="AA3948" s="360">
        <v>117</v>
      </c>
      <c r="AB3948" s="360">
        <v>64.099999999999994</v>
      </c>
    </row>
    <row r="3949" spans="10:28" x14ac:dyDescent="0.2">
      <c r="J3949" s="358" t="str">
        <f t="shared" si="168"/>
        <v>2015FemaleMaori251</v>
      </c>
      <c r="K3949" s="359">
        <v>2015</v>
      </c>
      <c r="L3949" t="s">
        <v>8</v>
      </c>
      <c r="M3949" t="s">
        <v>18</v>
      </c>
      <c r="N3949">
        <v>25</v>
      </c>
      <c r="O3949">
        <v>1</v>
      </c>
      <c r="P3949">
        <v>0</v>
      </c>
      <c r="Q3949">
        <v>0</v>
      </c>
      <c r="T3949" s="358" t="str">
        <f t="shared" si="169"/>
        <v>2015AllSexNon-Maori24Hanging, strangulation and suffocation</v>
      </c>
      <c r="U3949" s="360">
        <v>2015</v>
      </c>
      <c r="V3949" s="360" t="s">
        <v>17</v>
      </c>
      <c r="W3949" s="360" t="s">
        <v>19</v>
      </c>
      <c r="X3949" s="360">
        <v>24</v>
      </c>
      <c r="Y3949" s="360" t="s">
        <v>43</v>
      </c>
      <c r="Z3949" s="360">
        <v>70</v>
      </c>
      <c r="AA3949" s="360">
        <v>151</v>
      </c>
      <c r="AB3949" s="360">
        <v>46.4</v>
      </c>
    </row>
    <row r="3950" spans="10:28" x14ac:dyDescent="0.2">
      <c r="J3950" s="358" t="str">
        <f t="shared" si="168"/>
        <v>2015FemaleMaori252</v>
      </c>
      <c r="K3950" s="359">
        <v>2015</v>
      </c>
      <c r="L3950" t="s">
        <v>8</v>
      </c>
      <c r="M3950" t="s">
        <v>18</v>
      </c>
      <c r="N3950">
        <v>25</v>
      </c>
      <c r="O3950">
        <v>2</v>
      </c>
      <c r="P3950">
        <v>0</v>
      </c>
      <c r="Q3950">
        <v>0</v>
      </c>
      <c r="T3950" s="358" t="str">
        <f t="shared" si="169"/>
        <v>2015AllSexNon-Maori25Hanging, strangulation and suffocation</v>
      </c>
      <c r="U3950" s="360">
        <v>2015</v>
      </c>
      <c r="V3950" s="360" t="s">
        <v>17</v>
      </c>
      <c r="W3950" s="360" t="s">
        <v>19</v>
      </c>
      <c r="X3950" s="360">
        <v>25</v>
      </c>
      <c r="Y3950" s="360" t="s">
        <v>43</v>
      </c>
      <c r="Z3950" s="360">
        <v>19</v>
      </c>
      <c r="AA3950" s="360">
        <v>64</v>
      </c>
      <c r="AB3950" s="360">
        <v>29.7</v>
      </c>
    </row>
    <row r="3951" spans="10:28" x14ac:dyDescent="0.2">
      <c r="J3951" s="358" t="str">
        <f t="shared" si="168"/>
        <v>2015FemaleMaori253</v>
      </c>
      <c r="K3951" s="359">
        <v>2015</v>
      </c>
      <c r="L3951" t="s">
        <v>8</v>
      </c>
      <c r="M3951" t="s">
        <v>18</v>
      </c>
      <c r="N3951">
        <v>25</v>
      </c>
      <c r="O3951">
        <v>3</v>
      </c>
      <c r="P3951">
        <v>0</v>
      </c>
      <c r="Q3951">
        <v>0</v>
      </c>
      <c r="T3951" s="358" t="str">
        <f t="shared" si="169"/>
        <v>2015AllSexNon-Maori22Jumping from a high place</v>
      </c>
      <c r="U3951" s="360">
        <v>2015</v>
      </c>
      <c r="V3951" s="360" t="s">
        <v>17</v>
      </c>
      <c r="W3951" s="360" t="s">
        <v>19</v>
      </c>
      <c r="X3951" s="360">
        <v>22</v>
      </c>
      <c r="Y3951" s="360" t="s">
        <v>44</v>
      </c>
      <c r="Z3951" s="360">
        <v>3</v>
      </c>
      <c r="AA3951" s="360">
        <v>69</v>
      </c>
      <c r="AB3951" s="360">
        <v>4.3</v>
      </c>
    </row>
    <row r="3952" spans="10:28" x14ac:dyDescent="0.2">
      <c r="J3952" s="358" t="str">
        <f t="shared" si="168"/>
        <v>2015FemaleMaori254</v>
      </c>
      <c r="K3952" s="359">
        <v>2015</v>
      </c>
      <c r="L3952" t="s">
        <v>8</v>
      </c>
      <c r="M3952" t="s">
        <v>18</v>
      </c>
      <c r="N3952">
        <v>25</v>
      </c>
      <c r="O3952">
        <v>4</v>
      </c>
      <c r="P3952">
        <v>0</v>
      </c>
      <c r="Q3952">
        <v>0</v>
      </c>
      <c r="T3952" s="358" t="str">
        <f t="shared" si="169"/>
        <v>2015AllSexNon-Maori23Jumping from a high place</v>
      </c>
      <c r="U3952" s="360">
        <v>2015</v>
      </c>
      <c r="V3952" s="360" t="s">
        <v>17</v>
      </c>
      <c r="W3952" s="360" t="s">
        <v>19</v>
      </c>
      <c r="X3952" s="360">
        <v>23</v>
      </c>
      <c r="Y3952" s="360" t="s">
        <v>44</v>
      </c>
      <c r="Z3952" s="360">
        <v>5</v>
      </c>
      <c r="AA3952" s="360">
        <v>117</v>
      </c>
      <c r="AB3952" s="360">
        <v>4.3</v>
      </c>
    </row>
    <row r="3953" spans="10:28" x14ac:dyDescent="0.2">
      <c r="J3953" s="358" t="str">
        <f t="shared" si="168"/>
        <v>2015FemaleMaori255</v>
      </c>
      <c r="K3953" s="359">
        <v>2015</v>
      </c>
      <c r="L3953" t="s">
        <v>8</v>
      </c>
      <c r="M3953" t="s">
        <v>18</v>
      </c>
      <c r="N3953">
        <v>25</v>
      </c>
      <c r="O3953">
        <v>5</v>
      </c>
      <c r="P3953">
        <v>0</v>
      </c>
      <c r="Q3953">
        <v>0</v>
      </c>
      <c r="T3953" s="358" t="str">
        <f t="shared" si="169"/>
        <v>2015AllSexNon-Maori24Jumping from a high place</v>
      </c>
      <c r="U3953" s="360">
        <v>2015</v>
      </c>
      <c r="V3953" s="360" t="s">
        <v>17</v>
      </c>
      <c r="W3953" s="360" t="s">
        <v>19</v>
      </c>
      <c r="X3953" s="360">
        <v>24</v>
      </c>
      <c r="Y3953" s="360" t="s">
        <v>44</v>
      </c>
      <c r="Z3953" s="360">
        <v>8</v>
      </c>
      <c r="AA3953" s="360">
        <v>151</v>
      </c>
      <c r="AB3953" s="360">
        <v>5.3</v>
      </c>
    </row>
    <row r="3954" spans="10:28" x14ac:dyDescent="0.2">
      <c r="J3954" s="358" t="str">
        <f t="shared" si="168"/>
        <v>2015FemaleNon-Maori211</v>
      </c>
      <c r="K3954" s="359">
        <v>2015</v>
      </c>
      <c r="L3954" t="s">
        <v>8</v>
      </c>
      <c r="M3954" t="s">
        <v>19</v>
      </c>
      <c r="N3954">
        <v>21</v>
      </c>
      <c r="O3954">
        <v>1</v>
      </c>
      <c r="P3954">
        <v>0</v>
      </c>
      <c r="T3954" s="358" t="str">
        <f t="shared" si="169"/>
        <v>2015AllSexNon-Maori25Jumping from a high place</v>
      </c>
      <c r="U3954" s="360">
        <v>2015</v>
      </c>
      <c r="V3954" s="360" t="s">
        <v>17</v>
      </c>
      <c r="W3954" s="360" t="s">
        <v>19</v>
      </c>
      <c r="X3954" s="360">
        <v>25</v>
      </c>
      <c r="Y3954" s="360" t="s">
        <v>44</v>
      </c>
      <c r="Z3954" s="360">
        <v>3</v>
      </c>
      <c r="AA3954" s="360">
        <v>64</v>
      </c>
      <c r="AB3954" s="360">
        <v>4.7</v>
      </c>
    </row>
    <row r="3955" spans="10:28" x14ac:dyDescent="0.2">
      <c r="J3955" s="358" t="str">
        <f t="shared" si="168"/>
        <v>2015FemaleNon-Maori212</v>
      </c>
      <c r="K3955" s="359">
        <v>2015</v>
      </c>
      <c r="L3955" t="s">
        <v>8</v>
      </c>
      <c r="M3955" t="s">
        <v>19</v>
      </c>
      <c r="N3955">
        <v>21</v>
      </c>
      <c r="O3955">
        <v>2</v>
      </c>
      <c r="P3955">
        <v>0</v>
      </c>
      <c r="T3955" s="358" t="str">
        <f t="shared" si="169"/>
        <v>2015AllSexNon-Maori22Other</v>
      </c>
      <c r="U3955" s="360">
        <v>2015</v>
      </c>
      <c r="V3955" s="360" t="s">
        <v>17</v>
      </c>
      <c r="W3955" s="360" t="s">
        <v>19</v>
      </c>
      <c r="X3955" s="360">
        <v>22</v>
      </c>
      <c r="Y3955" s="360" t="s">
        <v>45</v>
      </c>
      <c r="Z3955" s="360">
        <v>4</v>
      </c>
      <c r="AA3955" s="360">
        <v>69</v>
      </c>
      <c r="AB3955" s="360">
        <v>5.8</v>
      </c>
    </row>
    <row r="3956" spans="10:28" x14ac:dyDescent="0.2">
      <c r="J3956" s="358" t="str">
        <f t="shared" si="168"/>
        <v>2015FemaleNon-Maori213</v>
      </c>
      <c r="K3956" s="359">
        <v>2015</v>
      </c>
      <c r="L3956" t="s">
        <v>8</v>
      </c>
      <c r="M3956" t="s">
        <v>19</v>
      </c>
      <c r="N3956">
        <v>21</v>
      </c>
      <c r="O3956">
        <v>3</v>
      </c>
      <c r="P3956">
        <v>2</v>
      </c>
      <c r="T3956" s="358" t="str">
        <f t="shared" si="169"/>
        <v>2015AllSexNon-Maori23Other</v>
      </c>
      <c r="U3956" s="360">
        <v>2015</v>
      </c>
      <c r="V3956" s="360" t="s">
        <v>17</v>
      </c>
      <c r="W3956" s="360" t="s">
        <v>19</v>
      </c>
      <c r="X3956" s="360">
        <v>23</v>
      </c>
      <c r="Y3956" s="360" t="s">
        <v>45</v>
      </c>
      <c r="Z3956" s="360">
        <v>3</v>
      </c>
      <c r="AA3956" s="360">
        <v>117</v>
      </c>
      <c r="AB3956" s="360">
        <v>2.6</v>
      </c>
    </row>
    <row r="3957" spans="10:28" x14ac:dyDescent="0.2">
      <c r="J3957" s="358" t="str">
        <f t="shared" si="168"/>
        <v>2015FemaleNon-Maori214</v>
      </c>
      <c r="K3957" s="359">
        <v>2015</v>
      </c>
      <c r="L3957" t="s">
        <v>8</v>
      </c>
      <c r="M3957" t="s">
        <v>19</v>
      </c>
      <c r="N3957">
        <v>21</v>
      </c>
      <c r="O3957">
        <v>4</v>
      </c>
      <c r="P3957">
        <v>0</v>
      </c>
      <c r="T3957" s="358" t="str">
        <f t="shared" si="169"/>
        <v>2015AllSexNon-Maori24Other</v>
      </c>
      <c r="U3957" s="360">
        <v>2015</v>
      </c>
      <c r="V3957" s="360" t="s">
        <v>17</v>
      </c>
      <c r="W3957" s="360" t="s">
        <v>19</v>
      </c>
      <c r="X3957" s="360">
        <v>24</v>
      </c>
      <c r="Y3957" s="360" t="s">
        <v>45</v>
      </c>
      <c r="Z3957" s="360">
        <v>8</v>
      </c>
      <c r="AA3957" s="360">
        <v>151</v>
      </c>
      <c r="AB3957" s="360">
        <v>5.3</v>
      </c>
    </row>
    <row r="3958" spans="10:28" x14ac:dyDescent="0.2">
      <c r="J3958" s="358" t="str">
        <f t="shared" si="168"/>
        <v>2015FemaleNon-Maori215</v>
      </c>
      <c r="K3958" s="359">
        <v>2015</v>
      </c>
      <c r="L3958" t="s">
        <v>8</v>
      </c>
      <c r="M3958" t="s">
        <v>19</v>
      </c>
      <c r="N3958">
        <v>21</v>
      </c>
      <c r="O3958">
        <v>5</v>
      </c>
      <c r="P3958">
        <v>1</v>
      </c>
      <c r="T3958" s="358" t="str">
        <f t="shared" si="169"/>
        <v>2015AllSexNon-Maori25Other</v>
      </c>
      <c r="U3958" s="360">
        <v>2015</v>
      </c>
      <c r="V3958" s="360" t="s">
        <v>17</v>
      </c>
      <c r="W3958" s="360" t="s">
        <v>19</v>
      </c>
      <c r="X3958" s="360">
        <v>25</v>
      </c>
      <c r="Y3958" s="360" t="s">
        <v>45</v>
      </c>
      <c r="Z3958" s="360">
        <v>5</v>
      </c>
      <c r="AA3958" s="360">
        <v>64</v>
      </c>
      <c r="AB3958" s="360">
        <v>7.8</v>
      </c>
    </row>
    <row r="3959" spans="10:28" x14ac:dyDescent="0.2">
      <c r="J3959" s="358" t="str">
        <f t="shared" si="168"/>
        <v>2015FemaleNon-Maori221</v>
      </c>
      <c r="K3959" s="359">
        <v>2015</v>
      </c>
      <c r="L3959" t="s">
        <v>8</v>
      </c>
      <c r="M3959" t="s">
        <v>19</v>
      </c>
      <c r="N3959">
        <v>22</v>
      </c>
      <c r="O3959">
        <v>1</v>
      </c>
      <c r="P3959">
        <v>3</v>
      </c>
      <c r="Q3959">
        <v>6.0901344139360001</v>
      </c>
      <c r="R3959">
        <v>6.9</v>
      </c>
      <c r="T3959" s="358" t="str">
        <f t="shared" si="169"/>
        <v>2015AllSexNon-Maori22Poisoning by gases and vapours</v>
      </c>
      <c r="U3959" s="360">
        <v>2015</v>
      </c>
      <c r="V3959" s="360" t="s">
        <v>17</v>
      </c>
      <c r="W3959" s="360" t="s">
        <v>19</v>
      </c>
      <c r="X3959" s="360">
        <v>22</v>
      </c>
      <c r="Y3959" s="360" t="s">
        <v>46</v>
      </c>
      <c r="Z3959" s="360">
        <v>1</v>
      </c>
      <c r="AA3959" s="360">
        <v>69</v>
      </c>
      <c r="AB3959" s="360">
        <v>1.4</v>
      </c>
    </row>
    <row r="3960" spans="10:28" x14ac:dyDescent="0.2">
      <c r="J3960" s="358" t="str">
        <f t="shared" si="168"/>
        <v>2015FemaleNon-Maori222</v>
      </c>
      <c r="K3960" s="359">
        <v>2015</v>
      </c>
      <c r="L3960" t="s">
        <v>8</v>
      </c>
      <c r="M3960" t="s">
        <v>19</v>
      </c>
      <c r="N3960">
        <v>22</v>
      </c>
      <c r="O3960">
        <v>2</v>
      </c>
      <c r="P3960">
        <v>3</v>
      </c>
      <c r="Q3960">
        <v>6.1907271048291097</v>
      </c>
      <c r="R3960">
        <v>7</v>
      </c>
      <c r="T3960" s="358" t="str">
        <f t="shared" si="169"/>
        <v>2015AllSexNon-Maori23Poisoning by gases and vapours</v>
      </c>
      <c r="U3960" s="360">
        <v>2015</v>
      </c>
      <c r="V3960" s="360" t="s">
        <v>17</v>
      </c>
      <c r="W3960" s="360" t="s">
        <v>19</v>
      </c>
      <c r="X3960" s="360">
        <v>23</v>
      </c>
      <c r="Y3960" s="360" t="s">
        <v>46</v>
      </c>
      <c r="Z3960" s="360">
        <v>15</v>
      </c>
      <c r="AA3960" s="360">
        <v>117</v>
      </c>
      <c r="AB3960" s="360">
        <v>12.8</v>
      </c>
    </row>
    <row r="3961" spans="10:28" x14ac:dyDescent="0.2">
      <c r="J3961" s="358" t="str">
        <f t="shared" si="168"/>
        <v>2015FemaleNon-Maori223</v>
      </c>
      <c r="K3961" s="359">
        <v>2015</v>
      </c>
      <c r="L3961" t="s">
        <v>8</v>
      </c>
      <c r="M3961" t="s">
        <v>19</v>
      </c>
      <c r="N3961">
        <v>22</v>
      </c>
      <c r="O3961">
        <v>3</v>
      </c>
      <c r="P3961">
        <v>3</v>
      </c>
      <c r="Q3961">
        <v>6.1320357562888104</v>
      </c>
      <c r="R3961">
        <v>6.9</v>
      </c>
      <c r="T3961" s="358" t="str">
        <f t="shared" si="169"/>
        <v>2015AllSexNon-Maori24Poisoning by gases and vapours</v>
      </c>
      <c r="U3961" s="360">
        <v>2015</v>
      </c>
      <c r="V3961" s="360" t="s">
        <v>17</v>
      </c>
      <c r="W3961" s="360" t="s">
        <v>19</v>
      </c>
      <c r="X3961" s="360">
        <v>24</v>
      </c>
      <c r="Y3961" s="360" t="s">
        <v>46</v>
      </c>
      <c r="Z3961" s="360">
        <v>23</v>
      </c>
      <c r="AA3961" s="360">
        <v>151</v>
      </c>
      <c r="AB3961" s="360">
        <v>15.2</v>
      </c>
    </row>
    <row r="3962" spans="10:28" x14ac:dyDescent="0.2">
      <c r="J3962" s="358" t="str">
        <f t="shared" si="168"/>
        <v>2015FemaleNon-Maori224</v>
      </c>
      <c r="K3962" s="359">
        <v>2015</v>
      </c>
      <c r="L3962" t="s">
        <v>8</v>
      </c>
      <c r="M3962" t="s">
        <v>19</v>
      </c>
      <c r="N3962">
        <v>22</v>
      </c>
      <c r="O3962">
        <v>4</v>
      </c>
      <c r="P3962">
        <v>4</v>
      </c>
      <c r="Q3962">
        <v>7.5658459777673501</v>
      </c>
      <c r="R3962">
        <v>7.4</v>
      </c>
      <c r="T3962" s="358" t="str">
        <f t="shared" si="169"/>
        <v>2015AllSexNon-Maori25Poisoning by gases and vapours</v>
      </c>
      <c r="U3962" s="360">
        <v>2015</v>
      </c>
      <c r="V3962" s="360" t="s">
        <v>17</v>
      </c>
      <c r="W3962" s="360" t="s">
        <v>19</v>
      </c>
      <c r="X3962" s="360">
        <v>25</v>
      </c>
      <c r="Y3962" s="360" t="s">
        <v>46</v>
      </c>
      <c r="Z3962" s="360">
        <v>3</v>
      </c>
      <c r="AA3962" s="360">
        <v>64</v>
      </c>
      <c r="AB3962" s="360">
        <v>4.7</v>
      </c>
    </row>
    <row r="3963" spans="10:28" x14ac:dyDescent="0.2">
      <c r="J3963" s="358" t="str">
        <f t="shared" si="168"/>
        <v>2015FemaleNon-Maori225</v>
      </c>
      <c r="K3963" s="359">
        <v>2015</v>
      </c>
      <c r="L3963" t="s">
        <v>8</v>
      </c>
      <c r="M3963" t="s">
        <v>19</v>
      </c>
      <c r="N3963">
        <v>22</v>
      </c>
      <c r="O3963">
        <v>5</v>
      </c>
      <c r="P3963">
        <v>6</v>
      </c>
      <c r="Q3963">
        <v>11.603392476659</v>
      </c>
      <c r="R3963">
        <v>9.3000000000000007</v>
      </c>
      <c r="T3963" s="358" t="str">
        <f t="shared" si="169"/>
        <v>2015AllSexNon-Maori22Poisoning by solids and liquids</v>
      </c>
      <c r="U3963" s="360">
        <v>2015</v>
      </c>
      <c r="V3963" s="360" t="s">
        <v>17</v>
      </c>
      <c r="W3963" s="360" t="s">
        <v>19</v>
      </c>
      <c r="X3963" s="360">
        <v>22</v>
      </c>
      <c r="Y3963" s="360" t="s">
        <v>47</v>
      </c>
      <c r="Z3963" s="360">
        <v>5</v>
      </c>
      <c r="AA3963" s="360">
        <v>69</v>
      </c>
      <c r="AB3963" s="360">
        <v>7.2</v>
      </c>
    </row>
    <row r="3964" spans="10:28" x14ac:dyDescent="0.2">
      <c r="J3964" s="358" t="str">
        <f t="shared" si="168"/>
        <v>2015FemaleNon-Maori231</v>
      </c>
      <c r="K3964" s="359">
        <v>2015</v>
      </c>
      <c r="L3964" t="s">
        <v>8</v>
      </c>
      <c r="M3964" t="s">
        <v>19</v>
      </c>
      <c r="N3964">
        <v>23</v>
      </c>
      <c r="O3964">
        <v>1</v>
      </c>
      <c r="P3964">
        <v>4</v>
      </c>
      <c r="Q3964">
        <v>3.6863126465479099</v>
      </c>
      <c r="R3964">
        <v>3.6</v>
      </c>
      <c r="T3964" s="358" t="str">
        <f t="shared" si="169"/>
        <v>2015AllSexNon-Maori23Poisoning by solids and liquids</v>
      </c>
      <c r="U3964" s="360">
        <v>2015</v>
      </c>
      <c r="V3964" s="360" t="s">
        <v>17</v>
      </c>
      <c r="W3964" s="360" t="s">
        <v>19</v>
      </c>
      <c r="X3964" s="360">
        <v>23</v>
      </c>
      <c r="Y3964" s="360" t="s">
        <v>47</v>
      </c>
      <c r="Z3964" s="360">
        <v>8</v>
      </c>
      <c r="AA3964" s="360">
        <v>117</v>
      </c>
      <c r="AB3964" s="360">
        <v>6.8</v>
      </c>
    </row>
    <row r="3965" spans="10:28" x14ac:dyDescent="0.2">
      <c r="J3965" s="358" t="str">
        <f t="shared" si="168"/>
        <v>2015FemaleNon-Maori232</v>
      </c>
      <c r="K3965" s="359">
        <v>2015</v>
      </c>
      <c r="L3965" t="s">
        <v>8</v>
      </c>
      <c r="M3965" t="s">
        <v>19</v>
      </c>
      <c r="N3965">
        <v>23</v>
      </c>
      <c r="O3965">
        <v>2</v>
      </c>
      <c r="P3965">
        <v>3</v>
      </c>
      <c r="Q3965">
        <v>2.6225282557269201</v>
      </c>
      <c r="R3965">
        <v>3</v>
      </c>
      <c r="T3965" s="358" t="str">
        <f t="shared" si="169"/>
        <v>2015AllSexNon-Maori24Poisoning by solids and liquids</v>
      </c>
      <c r="U3965" s="360">
        <v>2015</v>
      </c>
      <c r="V3965" s="360" t="s">
        <v>17</v>
      </c>
      <c r="W3965" s="360" t="s">
        <v>19</v>
      </c>
      <c r="X3965" s="360">
        <v>24</v>
      </c>
      <c r="Y3965" s="360" t="s">
        <v>47</v>
      </c>
      <c r="Z3965" s="360">
        <v>23</v>
      </c>
      <c r="AA3965" s="360">
        <v>151</v>
      </c>
      <c r="AB3965" s="360">
        <v>15.2</v>
      </c>
    </row>
    <row r="3966" spans="10:28" x14ac:dyDescent="0.2">
      <c r="J3966" s="358" t="str">
        <f t="shared" si="168"/>
        <v>2015FemaleNon-Maori233</v>
      </c>
      <c r="K3966" s="359">
        <v>2015</v>
      </c>
      <c r="L3966" t="s">
        <v>8</v>
      </c>
      <c r="M3966" t="s">
        <v>19</v>
      </c>
      <c r="N3966">
        <v>23</v>
      </c>
      <c r="O3966">
        <v>3</v>
      </c>
      <c r="P3966">
        <v>5</v>
      </c>
      <c r="Q3966">
        <v>4.47419262237766</v>
      </c>
      <c r="R3966">
        <v>3.9</v>
      </c>
      <c r="T3966" s="358" t="str">
        <f t="shared" si="169"/>
        <v>2015AllSexNon-Maori25Poisoning by solids and liquids</v>
      </c>
      <c r="U3966" s="360">
        <v>2015</v>
      </c>
      <c r="V3966" s="360" t="s">
        <v>17</v>
      </c>
      <c r="W3966" s="360" t="s">
        <v>19</v>
      </c>
      <c r="X3966" s="360">
        <v>25</v>
      </c>
      <c r="Y3966" s="360" t="s">
        <v>47</v>
      </c>
      <c r="Z3966" s="360">
        <v>11</v>
      </c>
      <c r="AA3966" s="360">
        <v>64</v>
      </c>
      <c r="AB3966" s="360">
        <v>17.2</v>
      </c>
    </row>
    <row r="3967" spans="10:28" x14ac:dyDescent="0.2">
      <c r="J3967" s="358" t="str">
        <f t="shared" si="168"/>
        <v>2015FemaleNon-Maori234</v>
      </c>
      <c r="K3967" s="359">
        <v>2015</v>
      </c>
      <c r="L3967" t="s">
        <v>8</v>
      </c>
      <c r="M3967" t="s">
        <v>19</v>
      </c>
      <c r="N3967">
        <v>23</v>
      </c>
      <c r="O3967">
        <v>4</v>
      </c>
      <c r="P3967">
        <v>6</v>
      </c>
      <c r="Q3967">
        <v>5.8127105110493096</v>
      </c>
      <c r="R3967">
        <v>4.7</v>
      </c>
      <c r="T3967" s="358" t="str">
        <f t="shared" si="169"/>
        <v>2015AllSexNon-Maori22Sharp object</v>
      </c>
      <c r="U3967" s="360">
        <v>2015</v>
      </c>
      <c r="V3967" s="360" t="s">
        <v>17</v>
      </c>
      <c r="W3967" s="360" t="s">
        <v>19</v>
      </c>
      <c r="X3967" s="360">
        <v>22</v>
      </c>
      <c r="Y3967" s="360" t="s">
        <v>48</v>
      </c>
      <c r="Z3967" s="360">
        <v>1</v>
      </c>
      <c r="AA3967" s="360">
        <v>69</v>
      </c>
      <c r="AB3967" s="360">
        <v>1.4</v>
      </c>
    </row>
    <row r="3968" spans="10:28" x14ac:dyDescent="0.2">
      <c r="J3968" s="358" t="str">
        <f t="shared" si="168"/>
        <v>2015FemaleNon-Maori235</v>
      </c>
      <c r="K3968" s="359">
        <v>2015</v>
      </c>
      <c r="L3968" t="s">
        <v>8</v>
      </c>
      <c r="M3968" t="s">
        <v>19</v>
      </c>
      <c r="N3968">
        <v>23</v>
      </c>
      <c r="O3968">
        <v>5</v>
      </c>
      <c r="P3968">
        <v>3</v>
      </c>
      <c r="Q3968">
        <v>3.5871570041157299</v>
      </c>
      <c r="R3968">
        <v>4.0999999999999996</v>
      </c>
      <c r="T3968" s="358" t="str">
        <f t="shared" si="169"/>
        <v>2015AllSexNon-Maori23Sharp object</v>
      </c>
      <c r="U3968" s="360">
        <v>2015</v>
      </c>
      <c r="V3968" s="360" t="s">
        <v>17</v>
      </c>
      <c r="W3968" s="360" t="s">
        <v>19</v>
      </c>
      <c r="X3968" s="360">
        <v>23</v>
      </c>
      <c r="Y3968" s="360" t="s">
        <v>48</v>
      </c>
      <c r="Z3968" s="360">
        <v>2</v>
      </c>
      <c r="AA3968" s="360">
        <v>117</v>
      </c>
      <c r="AB3968" s="360">
        <v>1.7</v>
      </c>
    </row>
    <row r="3969" spans="10:28" x14ac:dyDescent="0.2">
      <c r="J3969" s="358" t="str">
        <f t="shared" si="168"/>
        <v>2015FemaleNon-Maori241</v>
      </c>
      <c r="K3969" s="359">
        <v>2015</v>
      </c>
      <c r="L3969" t="s">
        <v>8</v>
      </c>
      <c r="M3969" t="s">
        <v>19</v>
      </c>
      <c r="N3969">
        <v>24</v>
      </c>
      <c r="O3969">
        <v>1</v>
      </c>
      <c r="P3969">
        <v>6</v>
      </c>
      <c r="Q3969">
        <v>4.3710181150421104</v>
      </c>
      <c r="R3969">
        <v>3.5</v>
      </c>
      <c r="T3969" s="358" t="str">
        <f t="shared" si="169"/>
        <v>2015AllSexNon-Maori24Sharp object</v>
      </c>
      <c r="U3969" s="360">
        <v>2015</v>
      </c>
      <c r="V3969" s="360" t="s">
        <v>17</v>
      </c>
      <c r="W3969" s="360" t="s">
        <v>19</v>
      </c>
      <c r="X3969" s="360">
        <v>24</v>
      </c>
      <c r="Y3969" s="360" t="s">
        <v>48</v>
      </c>
      <c r="Z3969" s="360">
        <v>3</v>
      </c>
      <c r="AA3969" s="360">
        <v>151</v>
      </c>
      <c r="AB3969" s="360">
        <v>2</v>
      </c>
    </row>
    <row r="3970" spans="10:28" x14ac:dyDescent="0.2">
      <c r="J3970" s="358" t="str">
        <f t="shared" si="168"/>
        <v>2015FemaleNon-Maori242</v>
      </c>
      <c r="K3970" s="359">
        <v>2015</v>
      </c>
      <c r="L3970" t="s">
        <v>8</v>
      </c>
      <c r="M3970" t="s">
        <v>19</v>
      </c>
      <c r="N3970">
        <v>24</v>
      </c>
      <c r="O3970">
        <v>2</v>
      </c>
      <c r="P3970">
        <v>10</v>
      </c>
      <c r="Q3970">
        <v>8.2282227126976899</v>
      </c>
      <c r="R3970">
        <v>5.0999999999999996</v>
      </c>
      <c r="T3970" s="358" t="str">
        <f t="shared" si="169"/>
        <v>2015AllSexNon-Maori25Sharp object</v>
      </c>
      <c r="U3970" s="360">
        <v>2015</v>
      </c>
      <c r="V3970" s="360" t="s">
        <v>17</v>
      </c>
      <c r="W3970" s="360" t="s">
        <v>19</v>
      </c>
      <c r="X3970" s="360">
        <v>25</v>
      </c>
      <c r="Y3970" s="360" t="s">
        <v>48</v>
      </c>
      <c r="Z3970" s="360">
        <v>2</v>
      </c>
      <c r="AA3970" s="360">
        <v>64</v>
      </c>
      <c r="AB3970" s="360">
        <v>3.1</v>
      </c>
    </row>
    <row r="3971" spans="10:28" x14ac:dyDescent="0.2">
      <c r="J3971" s="358" t="str">
        <f t="shared" si="168"/>
        <v>2015FemaleNon-Maori243</v>
      </c>
      <c r="K3971" s="359">
        <v>2015</v>
      </c>
      <c r="L3971" t="s">
        <v>8</v>
      </c>
      <c r="M3971" t="s">
        <v>19</v>
      </c>
      <c r="N3971">
        <v>24</v>
      </c>
      <c r="O3971">
        <v>3</v>
      </c>
      <c r="P3971">
        <v>11</v>
      </c>
      <c r="Q3971">
        <v>10.258041221736899</v>
      </c>
      <c r="R3971">
        <v>6.1</v>
      </c>
      <c r="T3971" s="358" t="str">
        <f t="shared" si="169"/>
        <v>2015AllSexNon-Maori23Submersion (drowning)</v>
      </c>
      <c r="U3971" s="360">
        <v>2015</v>
      </c>
      <c r="V3971" s="360" t="s">
        <v>17</v>
      </c>
      <c r="W3971" s="360" t="s">
        <v>19</v>
      </c>
      <c r="X3971" s="360">
        <v>23</v>
      </c>
      <c r="Y3971" s="360" t="s">
        <v>49</v>
      </c>
      <c r="Z3971" s="360">
        <v>1</v>
      </c>
      <c r="AA3971" s="360">
        <v>117</v>
      </c>
      <c r="AB3971" s="360">
        <v>0.9</v>
      </c>
    </row>
    <row r="3972" spans="10:28" x14ac:dyDescent="0.2">
      <c r="J3972" s="358" t="str">
        <f t="shared" ref="J3972:J4035" si="170">K3972&amp;L3972&amp;M3972&amp;N3972&amp;O3972</f>
        <v>2015FemaleNon-Maori244</v>
      </c>
      <c r="K3972" s="359">
        <v>2015</v>
      </c>
      <c r="L3972" t="s">
        <v>8</v>
      </c>
      <c r="M3972" t="s">
        <v>19</v>
      </c>
      <c r="N3972">
        <v>24</v>
      </c>
      <c r="O3972">
        <v>4</v>
      </c>
      <c r="P3972">
        <v>6</v>
      </c>
      <c r="Q3972">
        <v>6.5068389053736801</v>
      </c>
      <c r="R3972">
        <v>5.2</v>
      </c>
      <c r="T3972" s="358" t="str">
        <f t="shared" si="169"/>
        <v>2015AllSexNon-Maori24Submersion (drowning)</v>
      </c>
      <c r="U3972" s="360">
        <v>2015</v>
      </c>
      <c r="V3972" s="360" t="s">
        <v>17</v>
      </c>
      <c r="W3972" s="360" t="s">
        <v>19</v>
      </c>
      <c r="X3972" s="360">
        <v>24</v>
      </c>
      <c r="Y3972" s="360" t="s">
        <v>49</v>
      </c>
      <c r="Z3972" s="360">
        <v>2</v>
      </c>
      <c r="AA3972" s="360">
        <v>151</v>
      </c>
      <c r="AB3972" s="360">
        <v>1.3</v>
      </c>
    </row>
    <row r="3973" spans="10:28" x14ac:dyDescent="0.2">
      <c r="J3973" s="358" t="str">
        <f t="shared" si="170"/>
        <v>2015FemaleNon-Maori245</v>
      </c>
      <c r="K3973" s="359">
        <v>2015</v>
      </c>
      <c r="L3973" t="s">
        <v>8</v>
      </c>
      <c r="M3973" t="s">
        <v>19</v>
      </c>
      <c r="N3973">
        <v>24</v>
      </c>
      <c r="O3973">
        <v>5</v>
      </c>
      <c r="P3973">
        <v>9</v>
      </c>
      <c r="Q3973">
        <v>12.493927836754301</v>
      </c>
      <c r="R3973">
        <v>8.1999999999999993</v>
      </c>
      <c r="T3973" s="358" t="str">
        <f t="shared" ref="T3973:T4036" si="171">U3973&amp;V3973&amp;W3973&amp;X3973&amp;Y3973</f>
        <v>2015AllSexNon-Maori25Submersion (drowning)</v>
      </c>
      <c r="U3973" s="360">
        <v>2015</v>
      </c>
      <c r="V3973" s="360" t="s">
        <v>17</v>
      </c>
      <c r="W3973" s="360" t="s">
        <v>19</v>
      </c>
      <c r="X3973" s="360">
        <v>25</v>
      </c>
      <c r="Y3973" s="360" t="s">
        <v>49</v>
      </c>
      <c r="Z3973" s="360">
        <v>6</v>
      </c>
      <c r="AA3973" s="360">
        <v>64</v>
      </c>
      <c r="AB3973" s="360">
        <v>9.4</v>
      </c>
    </row>
    <row r="3974" spans="10:28" x14ac:dyDescent="0.2">
      <c r="J3974" s="358" t="str">
        <f t="shared" si="170"/>
        <v>2015FemaleNon-Maori251</v>
      </c>
      <c r="K3974" s="359">
        <v>2015</v>
      </c>
      <c r="L3974" t="s">
        <v>8</v>
      </c>
      <c r="M3974" t="s">
        <v>19</v>
      </c>
      <c r="N3974">
        <v>25</v>
      </c>
      <c r="O3974">
        <v>1</v>
      </c>
      <c r="P3974">
        <v>7</v>
      </c>
      <c r="Q3974">
        <v>10.0289316868986</v>
      </c>
      <c r="R3974">
        <v>7.4</v>
      </c>
      <c r="T3974" s="358" t="str">
        <f t="shared" si="171"/>
        <v>2015FemaleAllEth22Firearms and explosives</v>
      </c>
      <c r="U3974" s="360">
        <v>2015</v>
      </c>
      <c r="V3974" s="360" t="s">
        <v>8</v>
      </c>
      <c r="W3974" s="360" t="s">
        <v>27</v>
      </c>
      <c r="X3974" s="360">
        <v>22</v>
      </c>
      <c r="Y3974" s="360" t="s">
        <v>42</v>
      </c>
      <c r="Z3974" s="360">
        <v>1</v>
      </c>
      <c r="AA3974" s="360">
        <v>42</v>
      </c>
      <c r="AB3974" s="360">
        <v>2.4</v>
      </c>
    </row>
    <row r="3975" spans="10:28" x14ac:dyDescent="0.2">
      <c r="J3975" s="358" t="str">
        <f t="shared" si="170"/>
        <v>2015FemaleNon-Maori252</v>
      </c>
      <c r="K3975" s="359">
        <v>2015</v>
      </c>
      <c r="L3975" t="s">
        <v>8</v>
      </c>
      <c r="M3975" t="s">
        <v>19</v>
      </c>
      <c r="N3975">
        <v>25</v>
      </c>
      <c r="O3975">
        <v>2</v>
      </c>
      <c r="P3975">
        <v>1</v>
      </c>
      <c r="Q3975">
        <v>1.4014525236198501</v>
      </c>
      <c r="R3975">
        <v>2.7</v>
      </c>
      <c r="T3975" s="358" t="str">
        <f t="shared" si="171"/>
        <v>2015FemaleAllEth23Firearms and explosives</v>
      </c>
      <c r="U3975" s="360">
        <v>2015</v>
      </c>
      <c r="V3975" s="360" t="s">
        <v>8</v>
      </c>
      <c r="W3975" s="360" t="s">
        <v>27</v>
      </c>
      <c r="X3975" s="360">
        <v>23</v>
      </c>
      <c r="Y3975" s="360" t="s">
        <v>42</v>
      </c>
      <c r="Z3975" s="360">
        <v>1</v>
      </c>
      <c r="AA3975" s="360">
        <v>35</v>
      </c>
      <c r="AB3975" s="360">
        <v>2.9</v>
      </c>
    </row>
    <row r="3976" spans="10:28" x14ac:dyDescent="0.2">
      <c r="J3976" s="358" t="str">
        <f t="shared" si="170"/>
        <v>2015FemaleNon-Maori253</v>
      </c>
      <c r="K3976" s="359">
        <v>2015</v>
      </c>
      <c r="L3976" t="s">
        <v>8</v>
      </c>
      <c r="M3976" t="s">
        <v>19</v>
      </c>
      <c r="N3976">
        <v>25</v>
      </c>
      <c r="O3976">
        <v>3</v>
      </c>
      <c r="P3976">
        <v>4</v>
      </c>
      <c r="Q3976">
        <v>5.6492477915452</v>
      </c>
      <c r="R3976">
        <v>5.5</v>
      </c>
      <c r="T3976" s="358" t="str">
        <f t="shared" si="171"/>
        <v>2015FemaleAllEth24Firearms and explosives</v>
      </c>
      <c r="U3976" s="360">
        <v>2015</v>
      </c>
      <c r="V3976" s="360" t="s">
        <v>8</v>
      </c>
      <c r="W3976" s="360" t="s">
        <v>27</v>
      </c>
      <c r="X3976" s="360">
        <v>24</v>
      </c>
      <c r="Y3976" s="360" t="s">
        <v>42</v>
      </c>
      <c r="Z3976" s="360">
        <v>1</v>
      </c>
      <c r="AA3976" s="360">
        <v>45</v>
      </c>
      <c r="AB3976" s="360">
        <v>2.2000000000000002</v>
      </c>
    </row>
    <row r="3977" spans="10:28" x14ac:dyDescent="0.2">
      <c r="J3977" s="358" t="str">
        <f t="shared" si="170"/>
        <v>2015FemaleNon-Maori254</v>
      </c>
      <c r="K3977" s="359">
        <v>2015</v>
      </c>
      <c r="L3977" t="s">
        <v>8</v>
      </c>
      <c r="M3977" t="s">
        <v>19</v>
      </c>
      <c r="N3977">
        <v>25</v>
      </c>
      <c r="O3977">
        <v>4</v>
      </c>
      <c r="P3977">
        <v>3</v>
      </c>
      <c r="Q3977">
        <v>4.1626294760558498</v>
      </c>
      <c r="R3977">
        <v>4.7</v>
      </c>
      <c r="T3977" s="358" t="str">
        <f t="shared" si="171"/>
        <v>2015FemaleAllEth21Hanging, strangulation and suffocation</v>
      </c>
      <c r="U3977" s="360">
        <v>2015</v>
      </c>
      <c r="V3977" s="360" t="s">
        <v>8</v>
      </c>
      <c r="W3977" s="360" t="s">
        <v>27</v>
      </c>
      <c r="X3977" s="360">
        <v>21</v>
      </c>
      <c r="Y3977" s="360" t="s">
        <v>43</v>
      </c>
      <c r="Z3977" s="360">
        <v>4</v>
      </c>
      <c r="AA3977" s="360">
        <v>4</v>
      </c>
      <c r="AB3977" s="360">
        <v>100</v>
      </c>
    </row>
    <row r="3978" spans="10:28" x14ac:dyDescent="0.2">
      <c r="J3978" s="358" t="str">
        <f t="shared" si="170"/>
        <v>2015FemaleNon-Maori255</v>
      </c>
      <c r="K3978" s="359">
        <v>2015</v>
      </c>
      <c r="L3978" t="s">
        <v>8</v>
      </c>
      <c r="M3978" t="s">
        <v>19</v>
      </c>
      <c r="N3978">
        <v>25</v>
      </c>
      <c r="O3978">
        <v>5</v>
      </c>
      <c r="P3978">
        <v>1</v>
      </c>
      <c r="Q3978">
        <v>1.9014514907978599</v>
      </c>
      <c r="R3978">
        <v>3.7</v>
      </c>
      <c r="T3978" s="358" t="str">
        <f t="shared" si="171"/>
        <v>2015FemaleAllEth22Hanging, strangulation and suffocation</v>
      </c>
      <c r="U3978" s="360">
        <v>2015</v>
      </c>
      <c r="V3978" s="360" t="s">
        <v>8</v>
      </c>
      <c r="W3978" s="360" t="s">
        <v>27</v>
      </c>
      <c r="X3978" s="360">
        <v>22</v>
      </c>
      <c r="Y3978" s="360" t="s">
        <v>43</v>
      </c>
      <c r="Z3978" s="360">
        <v>34</v>
      </c>
      <c r="AA3978" s="360">
        <v>42</v>
      </c>
      <c r="AB3978" s="360">
        <v>81</v>
      </c>
    </row>
    <row r="3979" spans="10:28" x14ac:dyDescent="0.2">
      <c r="J3979" s="358" t="str">
        <f t="shared" si="170"/>
        <v>2015MaleAllEth211</v>
      </c>
      <c r="K3979" s="359">
        <v>2015</v>
      </c>
      <c r="L3979" t="s">
        <v>20</v>
      </c>
      <c r="M3979" t="s">
        <v>27</v>
      </c>
      <c r="N3979">
        <v>21</v>
      </c>
      <c r="O3979">
        <v>1</v>
      </c>
      <c r="P3979">
        <v>0</v>
      </c>
      <c r="T3979" s="358" t="str">
        <f t="shared" si="171"/>
        <v>2015FemaleAllEth23Hanging, strangulation and suffocation</v>
      </c>
      <c r="U3979" s="360">
        <v>2015</v>
      </c>
      <c r="V3979" s="360" t="s">
        <v>8</v>
      </c>
      <c r="W3979" s="360" t="s">
        <v>27</v>
      </c>
      <c r="X3979" s="360">
        <v>23</v>
      </c>
      <c r="Y3979" s="360" t="s">
        <v>43</v>
      </c>
      <c r="Z3979" s="360">
        <v>25</v>
      </c>
      <c r="AA3979" s="360">
        <v>35</v>
      </c>
      <c r="AB3979" s="360">
        <v>71.400000000000006</v>
      </c>
    </row>
    <row r="3980" spans="10:28" x14ac:dyDescent="0.2">
      <c r="J3980" s="358" t="str">
        <f t="shared" si="170"/>
        <v>2015MaleAllEth212</v>
      </c>
      <c r="K3980" s="359">
        <v>2015</v>
      </c>
      <c r="L3980" t="s">
        <v>20</v>
      </c>
      <c r="M3980" t="s">
        <v>27</v>
      </c>
      <c r="N3980">
        <v>21</v>
      </c>
      <c r="O3980">
        <v>2</v>
      </c>
      <c r="P3980">
        <v>0</v>
      </c>
      <c r="T3980" s="358" t="str">
        <f t="shared" si="171"/>
        <v>2015FemaleAllEth24Hanging, strangulation and suffocation</v>
      </c>
      <c r="U3980" s="360">
        <v>2015</v>
      </c>
      <c r="V3980" s="360" t="s">
        <v>8</v>
      </c>
      <c r="W3980" s="360" t="s">
        <v>27</v>
      </c>
      <c r="X3980" s="360">
        <v>24</v>
      </c>
      <c r="Y3980" s="360" t="s">
        <v>43</v>
      </c>
      <c r="Z3980" s="360">
        <v>16</v>
      </c>
      <c r="AA3980" s="360">
        <v>45</v>
      </c>
      <c r="AB3980" s="360">
        <v>35.6</v>
      </c>
    </row>
    <row r="3981" spans="10:28" x14ac:dyDescent="0.2">
      <c r="J3981" s="358" t="str">
        <f t="shared" si="170"/>
        <v>2015MaleAllEth213</v>
      </c>
      <c r="K3981" s="359">
        <v>2015</v>
      </c>
      <c r="L3981" t="s">
        <v>20</v>
      </c>
      <c r="M3981" t="s">
        <v>27</v>
      </c>
      <c r="N3981">
        <v>21</v>
      </c>
      <c r="O3981">
        <v>3</v>
      </c>
      <c r="P3981">
        <v>1</v>
      </c>
      <c r="T3981" s="358" t="str">
        <f t="shared" si="171"/>
        <v>2015FemaleAllEth25Hanging, strangulation and suffocation</v>
      </c>
      <c r="U3981" s="360">
        <v>2015</v>
      </c>
      <c r="V3981" s="360" t="s">
        <v>8</v>
      </c>
      <c r="W3981" s="360" t="s">
        <v>27</v>
      </c>
      <c r="X3981" s="360">
        <v>25</v>
      </c>
      <c r="Y3981" s="360" t="s">
        <v>43</v>
      </c>
      <c r="Z3981" s="360">
        <v>5</v>
      </c>
      <c r="AA3981" s="360">
        <v>16</v>
      </c>
      <c r="AB3981" s="360">
        <v>31.2</v>
      </c>
    </row>
    <row r="3982" spans="10:28" x14ac:dyDescent="0.2">
      <c r="J3982" s="358" t="str">
        <f t="shared" si="170"/>
        <v>2015MaleAllEth214</v>
      </c>
      <c r="K3982" s="359">
        <v>2015</v>
      </c>
      <c r="L3982" t="s">
        <v>20</v>
      </c>
      <c r="M3982" t="s">
        <v>27</v>
      </c>
      <c r="N3982">
        <v>21</v>
      </c>
      <c r="O3982">
        <v>4</v>
      </c>
      <c r="P3982">
        <v>1</v>
      </c>
      <c r="T3982" s="358" t="str">
        <f t="shared" si="171"/>
        <v>2015FemaleAllEth22Jumping from a high place</v>
      </c>
      <c r="U3982" s="360">
        <v>2015</v>
      </c>
      <c r="V3982" s="360" t="s">
        <v>8</v>
      </c>
      <c r="W3982" s="360" t="s">
        <v>27</v>
      </c>
      <c r="X3982" s="360">
        <v>22</v>
      </c>
      <c r="Y3982" s="360" t="s">
        <v>44</v>
      </c>
      <c r="Z3982" s="360">
        <v>1</v>
      </c>
      <c r="AA3982" s="360">
        <v>42</v>
      </c>
      <c r="AB3982" s="360">
        <v>2.4</v>
      </c>
    </row>
    <row r="3983" spans="10:28" x14ac:dyDescent="0.2">
      <c r="J3983" s="358" t="str">
        <f t="shared" si="170"/>
        <v>2015MaleAllEth215</v>
      </c>
      <c r="K3983" s="359">
        <v>2015</v>
      </c>
      <c r="L3983" t="s">
        <v>20</v>
      </c>
      <c r="M3983" t="s">
        <v>27</v>
      </c>
      <c r="N3983">
        <v>21</v>
      </c>
      <c r="O3983">
        <v>5</v>
      </c>
      <c r="P3983">
        <v>4</v>
      </c>
      <c r="T3983" s="358" t="str">
        <f t="shared" si="171"/>
        <v>2015FemaleAllEth23Jumping from a high place</v>
      </c>
      <c r="U3983" s="360">
        <v>2015</v>
      </c>
      <c r="V3983" s="360" t="s">
        <v>8</v>
      </c>
      <c r="W3983" s="360" t="s">
        <v>27</v>
      </c>
      <c r="X3983" s="360">
        <v>23</v>
      </c>
      <c r="Y3983" s="360" t="s">
        <v>44</v>
      </c>
      <c r="Z3983" s="360">
        <v>1</v>
      </c>
      <c r="AA3983" s="360">
        <v>35</v>
      </c>
      <c r="AB3983" s="360">
        <v>2.9</v>
      </c>
    </row>
    <row r="3984" spans="10:28" x14ac:dyDescent="0.2">
      <c r="J3984" s="358" t="str">
        <f t="shared" si="170"/>
        <v>2015MaleAllEth221</v>
      </c>
      <c r="K3984" s="359">
        <v>2015</v>
      </c>
      <c r="L3984" t="s">
        <v>20</v>
      </c>
      <c r="M3984" t="s">
        <v>27</v>
      </c>
      <c r="N3984">
        <v>22</v>
      </c>
      <c r="O3984">
        <v>1</v>
      </c>
      <c r="P3984">
        <v>13</v>
      </c>
      <c r="Q3984">
        <v>21.429062857032999</v>
      </c>
      <c r="R3984">
        <v>11.6</v>
      </c>
      <c r="T3984" s="358" t="str">
        <f t="shared" si="171"/>
        <v>2015FemaleAllEth24Jumping from a high place</v>
      </c>
      <c r="U3984" s="360">
        <v>2015</v>
      </c>
      <c r="V3984" s="360" t="s">
        <v>8</v>
      </c>
      <c r="W3984" s="360" t="s">
        <v>27</v>
      </c>
      <c r="X3984" s="360">
        <v>24</v>
      </c>
      <c r="Y3984" s="360" t="s">
        <v>44</v>
      </c>
      <c r="Z3984" s="360">
        <v>1</v>
      </c>
      <c r="AA3984" s="360">
        <v>45</v>
      </c>
      <c r="AB3984" s="360">
        <v>2.2000000000000002</v>
      </c>
    </row>
    <row r="3985" spans="10:28" x14ac:dyDescent="0.2">
      <c r="J3985" s="358" t="str">
        <f t="shared" si="170"/>
        <v>2015MaleAllEth222</v>
      </c>
      <c r="K3985" s="359">
        <v>2015</v>
      </c>
      <c r="L3985" t="s">
        <v>20</v>
      </c>
      <c r="M3985" t="s">
        <v>27</v>
      </c>
      <c r="N3985">
        <v>22</v>
      </c>
      <c r="O3985">
        <v>2</v>
      </c>
      <c r="P3985">
        <v>9</v>
      </c>
      <c r="Q3985">
        <v>14.615930254724599</v>
      </c>
      <c r="R3985">
        <v>9.5</v>
      </c>
      <c r="T3985" s="358" t="str">
        <f t="shared" si="171"/>
        <v>2015FemaleAllEth22Other</v>
      </c>
      <c r="U3985" s="360">
        <v>2015</v>
      </c>
      <c r="V3985" s="360" t="s">
        <v>8</v>
      </c>
      <c r="W3985" s="360" t="s">
        <v>27</v>
      </c>
      <c r="X3985" s="360">
        <v>22</v>
      </c>
      <c r="Y3985" s="360" t="s">
        <v>45</v>
      </c>
      <c r="Z3985" s="360">
        <v>2</v>
      </c>
      <c r="AA3985" s="360">
        <v>42</v>
      </c>
      <c r="AB3985" s="360">
        <v>4.8</v>
      </c>
    </row>
    <row r="3986" spans="10:28" x14ac:dyDescent="0.2">
      <c r="J3986" s="358" t="str">
        <f t="shared" si="170"/>
        <v>2015MaleAllEth223</v>
      </c>
      <c r="K3986" s="359">
        <v>2015</v>
      </c>
      <c r="L3986" t="s">
        <v>20</v>
      </c>
      <c r="M3986" t="s">
        <v>27</v>
      </c>
      <c r="N3986">
        <v>22</v>
      </c>
      <c r="O3986">
        <v>3</v>
      </c>
      <c r="P3986">
        <v>11</v>
      </c>
      <c r="Q3986">
        <v>16.910120819653201</v>
      </c>
      <c r="R3986">
        <v>10</v>
      </c>
      <c r="T3986" s="358" t="str">
        <f t="shared" si="171"/>
        <v>2015FemaleAllEth24Other</v>
      </c>
      <c r="U3986" s="360">
        <v>2015</v>
      </c>
      <c r="V3986" s="360" t="s">
        <v>8</v>
      </c>
      <c r="W3986" s="360" t="s">
        <v>27</v>
      </c>
      <c r="X3986" s="360">
        <v>24</v>
      </c>
      <c r="Y3986" s="360" t="s">
        <v>45</v>
      </c>
      <c r="Z3986" s="360">
        <v>4</v>
      </c>
      <c r="AA3986" s="360">
        <v>45</v>
      </c>
      <c r="AB3986" s="360">
        <v>8.9</v>
      </c>
    </row>
    <row r="3987" spans="10:28" x14ac:dyDescent="0.2">
      <c r="J3987" s="358" t="str">
        <f t="shared" si="170"/>
        <v>2015MaleAllEth224</v>
      </c>
      <c r="K3987" s="359">
        <v>2015</v>
      </c>
      <c r="L3987" t="s">
        <v>20</v>
      </c>
      <c r="M3987" t="s">
        <v>27</v>
      </c>
      <c r="N3987">
        <v>22</v>
      </c>
      <c r="O3987">
        <v>4</v>
      </c>
      <c r="P3987">
        <v>15</v>
      </c>
      <c r="Q3987">
        <v>20.916113691672098</v>
      </c>
      <c r="R3987">
        <v>10.6</v>
      </c>
      <c r="T3987" s="358" t="str">
        <f t="shared" si="171"/>
        <v>2015FemaleAllEth25Other</v>
      </c>
      <c r="U3987" s="360">
        <v>2015</v>
      </c>
      <c r="V3987" s="360" t="s">
        <v>8</v>
      </c>
      <c r="W3987" s="360" t="s">
        <v>27</v>
      </c>
      <c r="X3987" s="360">
        <v>25</v>
      </c>
      <c r="Y3987" s="360" t="s">
        <v>45</v>
      </c>
      <c r="Z3987" s="360">
        <v>2</v>
      </c>
      <c r="AA3987" s="360">
        <v>16</v>
      </c>
      <c r="AB3987" s="360">
        <v>12.5</v>
      </c>
    </row>
    <row r="3988" spans="10:28" x14ac:dyDescent="0.2">
      <c r="J3988" s="358" t="str">
        <f t="shared" si="170"/>
        <v>2015MaleAllEth225</v>
      </c>
      <c r="K3988" s="359">
        <v>2015</v>
      </c>
      <c r="L3988" t="s">
        <v>20</v>
      </c>
      <c r="M3988" t="s">
        <v>27</v>
      </c>
      <c r="N3988">
        <v>22</v>
      </c>
      <c r="O3988">
        <v>5</v>
      </c>
      <c r="P3988">
        <v>19</v>
      </c>
      <c r="Q3988">
        <v>23.7790683894955</v>
      </c>
      <c r="R3988">
        <v>10.7</v>
      </c>
      <c r="T3988" s="358" t="str">
        <f t="shared" si="171"/>
        <v>2015FemaleAllEth24Poisoning by gases and vapours</v>
      </c>
      <c r="U3988" s="360">
        <v>2015</v>
      </c>
      <c r="V3988" s="360" t="s">
        <v>8</v>
      </c>
      <c r="W3988" s="360" t="s">
        <v>27</v>
      </c>
      <c r="X3988" s="360">
        <v>24</v>
      </c>
      <c r="Y3988" s="360" t="s">
        <v>46</v>
      </c>
      <c r="Z3988" s="360">
        <v>6</v>
      </c>
      <c r="AA3988" s="360">
        <v>45</v>
      </c>
      <c r="AB3988" s="360">
        <v>13.3</v>
      </c>
    </row>
    <row r="3989" spans="10:28" x14ac:dyDescent="0.2">
      <c r="J3989" s="358" t="str">
        <f t="shared" si="170"/>
        <v>2015MaleAllEth231</v>
      </c>
      <c r="K3989" s="359">
        <v>2015</v>
      </c>
      <c r="L3989" t="s">
        <v>20</v>
      </c>
      <c r="M3989" t="s">
        <v>27</v>
      </c>
      <c r="N3989">
        <v>23</v>
      </c>
      <c r="O3989">
        <v>1</v>
      </c>
      <c r="P3989">
        <v>17</v>
      </c>
      <c r="Q3989">
        <v>16.041042192189199</v>
      </c>
      <c r="R3989">
        <v>7.6</v>
      </c>
      <c r="T3989" s="358" t="str">
        <f t="shared" si="171"/>
        <v>2015FemaleAllEth25Poisoning by gases and vapours</v>
      </c>
      <c r="U3989" s="360">
        <v>2015</v>
      </c>
      <c r="V3989" s="360" t="s">
        <v>8</v>
      </c>
      <c r="W3989" s="360" t="s">
        <v>27</v>
      </c>
      <c r="X3989" s="360">
        <v>25</v>
      </c>
      <c r="Y3989" s="360" t="s">
        <v>46</v>
      </c>
      <c r="Z3989" s="360">
        <v>2</v>
      </c>
      <c r="AA3989" s="360">
        <v>16</v>
      </c>
      <c r="AB3989" s="360">
        <v>12.5</v>
      </c>
    </row>
    <row r="3990" spans="10:28" x14ac:dyDescent="0.2">
      <c r="J3990" s="358" t="str">
        <f t="shared" si="170"/>
        <v>2015MaleAllEth232</v>
      </c>
      <c r="K3990" s="359">
        <v>2015</v>
      </c>
      <c r="L3990" t="s">
        <v>20</v>
      </c>
      <c r="M3990" t="s">
        <v>27</v>
      </c>
      <c r="N3990">
        <v>23</v>
      </c>
      <c r="O3990">
        <v>2</v>
      </c>
      <c r="P3990">
        <v>22</v>
      </c>
      <c r="Q3990">
        <v>18.870359453023699</v>
      </c>
      <c r="R3990">
        <v>7.9</v>
      </c>
      <c r="T3990" s="358" t="str">
        <f t="shared" si="171"/>
        <v>2015FemaleAllEth22Poisoning by solids and liquids</v>
      </c>
      <c r="U3990" s="360">
        <v>2015</v>
      </c>
      <c r="V3990" s="360" t="s">
        <v>8</v>
      </c>
      <c r="W3990" s="360" t="s">
        <v>27</v>
      </c>
      <c r="X3990" s="360">
        <v>22</v>
      </c>
      <c r="Y3990" s="360" t="s">
        <v>47</v>
      </c>
      <c r="Z3990" s="360">
        <v>4</v>
      </c>
      <c r="AA3990" s="360">
        <v>42</v>
      </c>
      <c r="AB3990" s="360">
        <v>9.5</v>
      </c>
    </row>
    <row r="3991" spans="10:28" x14ac:dyDescent="0.2">
      <c r="J3991" s="358" t="str">
        <f t="shared" si="170"/>
        <v>2015MaleAllEth233</v>
      </c>
      <c r="K3991" s="359">
        <v>2015</v>
      </c>
      <c r="L3991" t="s">
        <v>20</v>
      </c>
      <c r="M3991" t="s">
        <v>27</v>
      </c>
      <c r="N3991">
        <v>23</v>
      </c>
      <c r="O3991">
        <v>3</v>
      </c>
      <c r="P3991">
        <v>22</v>
      </c>
      <c r="Q3991">
        <v>18.212088287754799</v>
      </c>
      <c r="R3991">
        <v>7.6</v>
      </c>
      <c r="T3991" s="358" t="str">
        <f t="shared" si="171"/>
        <v>2015FemaleAllEth23Poisoning by solids and liquids</v>
      </c>
      <c r="U3991" s="360">
        <v>2015</v>
      </c>
      <c r="V3991" s="360" t="s">
        <v>8</v>
      </c>
      <c r="W3991" s="360" t="s">
        <v>27</v>
      </c>
      <c r="X3991" s="360">
        <v>23</v>
      </c>
      <c r="Y3991" s="360" t="s">
        <v>47</v>
      </c>
      <c r="Z3991" s="360">
        <v>8</v>
      </c>
      <c r="AA3991" s="360">
        <v>35</v>
      </c>
      <c r="AB3991" s="360">
        <v>22.9</v>
      </c>
    </row>
    <row r="3992" spans="10:28" x14ac:dyDescent="0.2">
      <c r="J3992" s="358" t="str">
        <f t="shared" si="170"/>
        <v>2015MaleAllEth234</v>
      </c>
      <c r="K3992" s="359">
        <v>2015</v>
      </c>
      <c r="L3992" t="s">
        <v>20</v>
      </c>
      <c r="M3992" t="s">
        <v>27</v>
      </c>
      <c r="N3992">
        <v>23</v>
      </c>
      <c r="O3992">
        <v>4</v>
      </c>
      <c r="P3992">
        <v>31</v>
      </c>
      <c r="Q3992">
        <v>26.0289919069672</v>
      </c>
      <c r="R3992">
        <v>9.1999999999999993</v>
      </c>
      <c r="T3992" s="358" t="str">
        <f t="shared" si="171"/>
        <v>2015FemaleAllEth24Poisoning by solids and liquids</v>
      </c>
      <c r="U3992" s="360">
        <v>2015</v>
      </c>
      <c r="V3992" s="360" t="s">
        <v>8</v>
      </c>
      <c r="W3992" s="360" t="s">
        <v>27</v>
      </c>
      <c r="X3992" s="360">
        <v>24</v>
      </c>
      <c r="Y3992" s="360" t="s">
        <v>47</v>
      </c>
      <c r="Z3992" s="360">
        <v>15</v>
      </c>
      <c r="AA3992" s="360">
        <v>45</v>
      </c>
      <c r="AB3992" s="360">
        <v>33.299999999999997</v>
      </c>
    </row>
    <row r="3993" spans="10:28" x14ac:dyDescent="0.2">
      <c r="J3993" s="358" t="str">
        <f t="shared" si="170"/>
        <v>2015MaleAllEth235</v>
      </c>
      <c r="K3993" s="359">
        <v>2015</v>
      </c>
      <c r="L3993" t="s">
        <v>20</v>
      </c>
      <c r="M3993" t="s">
        <v>27</v>
      </c>
      <c r="N3993">
        <v>23</v>
      </c>
      <c r="O3993">
        <v>5</v>
      </c>
      <c r="P3993">
        <v>42</v>
      </c>
      <c r="Q3993">
        <v>38.414942229626298</v>
      </c>
      <c r="R3993">
        <v>11.6</v>
      </c>
      <c r="T3993" s="358" t="str">
        <f t="shared" si="171"/>
        <v>2015FemaleAllEth25Poisoning by solids and liquids</v>
      </c>
      <c r="U3993" s="360">
        <v>2015</v>
      </c>
      <c r="V3993" s="360" t="s">
        <v>8</v>
      </c>
      <c r="W3993" s="360" t="s">
        <v>27</v>
      </c>
      <c r="X3993" s="360">
        <v>25</v>
      </c>
      <c r="Y3993" s="360" t="s">
        <v>47</v>
      </c>
      <c r="Z3993" s="360">
        <v>6</v>
      </c>
      <c r="AA3993" s="360">
        <v>16</v>
      </c>
      <c r="AB3993" s="360">
        <v>37.5</v>
      </c>
    </row>
    <row r="3994" spans="10:28" x14ac:dyDescent="0.2">
      <c r="J3994" s="358" t="str">
        <f t="shared" si="170"/>
        <v>2015MaleAllEth241</v>
      </c>
      <c r="K3994" s="359">
        <v>2015</v>
      </c>
      <c r="L3994" t="s">
        <v>20</v>
      </c>
      <c r="M3994" t="s">
        <v>27</v>
      </c>
      <c r="N3994">
        <v>24</v>
      </c>
      <c r="O3994">
        <v>1</v>
      </c>
      <c r="P3994">
        <v>18</v>
      </c>
      <c r="Q3994">
        <v>12.9787287269089</v>
      </c>
      <c r="R3994">
        <v>6</v>
      </c>
      <c r="T3994" s="358" t="str">
        <f t="shared" si="171"/>
        <v>2015FemaleAllEth24Submersion (drowning)</v>
      </c>
      <c r="U3994" s="360">
        <v>2015</v>
      </c>
      <c r="V3994" s="360" t="s">
        <v>8</v>
      </c>
      <c r="W3994" s="360" t="s">
        <v>27</v>
      </c>
      <c r="X3994" s="360">
        <v>24</v>
      </c>
      <c r="Y3994" s="360" t="s">
        <v>49</v>
      </c>
      <c r="Z3994" s="360">
        <v>2</v>
      </c>
      <c r="AA3994" s="360">
        <v>45</v>
      </c>
      <c r="AB3994" s="360">
        <v>4.4000000000000004</v>
      </c>
    </row>
    <row r="3995" spans="10:28" x14ac:dyDescent="0.2">
      <c r="J3995" s="358" t="str">
        <f t="shared" si="170"/>
        <v>2015MaleAllEth242</v>
      </c>
      <c r="K3995" s="359">
        <v>2015</v>
      </c>
      <c r="L3995" t="s">
        <v>20</v>
      </c>
      <c r="M3995" t="s">
        <v>27</v>
      </c>
      <c r="N3995">
        <v>24</v>
      </c>
      <c r="O3995">
        <v>2</v>
      </c>
      <c r="P3995">
        <v>28</v>
      </c>
      <c r="Q3995">
        <v>22.7542873051163</v>
      </c>
      <c r="R3995">
        <v>8.4</v>
      </c>
      <c r="T3995" s="358" t="str">
        <f t="shared" si="171"/>
        <v>2015FemaleAllEth25Submersion (drowning)</v>
      </c>
      <c r="U3995" s="360">
        <v>2015</v>
      </c>
      <c r="V3995" s="360" t="s">
        <v>8</v>
      </c>
      <c r="W3995" s="360" t="s">
        <v>27</v>
      </c>
      <c r="X3995" s="360">
        <v>25</v>
      </c>
      <c r="Y3995" s="360" t="s">
        <v>49</v>
      </c>
      <c r="Z3995" s="360">
        <v>1</v>
      </c>
      <c r="AA3995" s="360">
        <v>16</v>
      </c>
      <c r="AB3995" s="360">
        <v>6.2</v>
      </c>
    </row>
    <row r="3996" spans="10:28" x14ac:dyDescent="0.2">
      <c r="J3996" s="358" t="str">
        <f t="shared" si="170"/>
        <v>2015MaleAllEth243</v>
      </c>
      <c r="K3996" s="359">
        <v>2015</v>
      </c>
      <c r="L3996" t="s">
        <v>20</v>
      </c>
      <c r="M3996" t="s">
        <v>27</v>
      </c>
      <c r="N3996">
        <v>24</v>
      </c>
      <c r="O3996">
        <v>3</v>
      </c>
      <c r="P3996">
        <v>19</v>
      </c>
      <c r="Q3996">
        <v>17.143467475351301</v>
      </c>
      <c r="R3996">
        <v>7.7</v>
      </c>
      <c r="T3996" s="358" t="str">
        <f t="shared" si="171"/>
        <v>2015FemaleMaori21Hanging, strangulation and suffocation</v>
      </c>
      <c r="U3996" s="360">
        <v>2015</v>
      </c>
      <c r="V3996" s="360" t="s">
        <v>8</v>
      </c>
      <c r="W3996" s="360" t="s">
        <v>18</v>
      </c>
      <c r="X3996" s="360">
        <v>21</v>
      </c>
      <c r="Y3996" s="360" t="s">
        <v>43</v>
      </c>
      <c r="Z3996" s="360">
        <v>1</v>
      </c>
      <c r="AA3996" s="360">
        <v>1</v>
      </c>
      <c r="AB3996" s="360">
        <v>100</v>
      </c>
    </row>
    <row r="3997" spans="10:28" x14ac:dyDescent="0.2">
      <c r="J3997" s="358" t="str">
        <f t="shared" si="170"/>
        <v>2015MaleAllEth244</v>
      </c>
      <c r="K3997" s="359">
        <v>2015</v>
      </c>
      <c r="L3997" t="s">
        <v>20</v>
      </c>
      <c r="M3997" t="s">
        <v>27</v>
      </c>
      <c r="N3997">
        <v>24</v>
      </c>
      <c r="O3997">
        <v>4</v>
      </c>
      <c r="P3997">
        <v>29</v>
      </c>
      <c r="Q3997">
        <v>28.816496705830499</v>
      </c>
      <c r="R3997">
        <v>10.5</v>
      </c>
      <c r="T3997" s="358" t="str">
        <f t="shared" si="171"/>
        <v>2015FemaleMaori22Hanging, strangulation and suffocation</v>
      </c>
      <c r="U3997" s="360">
        <v>2015</v>
      </c>
      <c r="V3997" s="360" t="s">
        <v>8</v>
      </c>
      <c r="W3997" s="360" t="s">
        <v>18</v>
      </c>
      <c r="X3997" s="360">
        <v>22</v>
      </c>
      <c r="Y3997" s="360" t="s">
        <v>43</v>
      </c>
      <c r="Z3997" s="360">
        <v>22</v>
      </c>
      <c r="AA3997" s="360">
        <v>23</v>
      </c>
      <c r="AB3997" s="360">
        <v>95.7</v>
      </c>
    </row>
    <row r="3998" spans="10:28" x14ac:dyDescent="0.2">
      <c r="J3998" s="358" t="str">
        <f t="shared" si="170"/>
        <v>2015MaleAllEth245</v>
      </c>
      <c r="K3998" s="359">
        <v>2015</v>
      </c>
      <c r="L3998" t="s">
        <v>20</v>
      </c>
      <c r="M3998" t="s">
        <v>27</v>
      </c>
      <c r="N3998">
        <v>24</v>
      </c>
      <c r="O3998">
        <v>5</v>
      </c>
      <c r="P3998">
        <v>27</v>
      </c>
      <c r="Q3998">
        <v>29.395382771030398</v>
      </c>
      <c r="R3998">
        <v>11.1</v>
      </c>
      <c r="T3998" s="358" t="str">
        <f t="shared" si="171"/>
        <v>2015FemaleMaori23Hanging, strangulation and suffocation</v>
      </c>
      <c r="U3998" s="360">
        <v>2015</v>
      </c>
      <c r="V3998" s="360" t="s">
        <v>8</v>
      </c>
      <c r="W3998" s="360" t="s">
        <v>18</v>
      </c>
      <c r="X3998" s="360">
        <v>23</v>
      </c>
      <c r="Y3998" s="360" t="s">
        <v>43</v>
      </c>
      <c r="Z3998" s="360">
        <v>12</v>
      </c>
      <c r="AA3998" s="360">
        <v>14</v>
      </c>
      <c r="AB3998" s="360">
        <v>85.7</v>
      </c>
    </row>
    <row r="3999" spans="10:28" x14ac:dyDescent="0.2">
      <c r="J3999" s="358" t="str">
        <f t="shared" si="170"/>
        <v>2015MaleAllEth251</v>
      </c>
      <c r="K3999" s="359">
        <v>2015</v>
      </c>
      <c r="L3999" t="s">
        <v>20</v>
      </c>
      <c r="M3999" t="s">
        <v>27</v>
      </c>
      <c r="N3999">
        <v>25</v>
      </c>
      <c r="O3999">
        <v>1</v>
      </c>
      <c r="P3999">
        <v>11</v>
      </c>
      <c r="Q3999">
        <v>16.212071360919399</v>
      </c>
      <c r="R3999">
        <v>9.6</v>
      </c>
      <c r="T3999" s="358" t="str">
        <f t="shared" si="171"/>
        <v>2015FemaleMaori24Hanging, strangulation and suffocation</v>
      </c>
      <c r="U3999" s="360">
        <v>2015</v>
      </c>
      <c r="V3999" s="360" t="s">
        <v>8</v>
      </c>
      <c r="W3999" s="360" t="s">
        <v>18</v>
      </c>
      <c r="X3999" s="360">
        <v>24</v>
      </c>
      <c r="Y3999" s="360" t="s">
        <v>43</v>
      </c>
      <c r="Z3999" s="360">
        <v>2</v>
      </c>
      <c r="AA3999" s="360">
        <v>3</v>
      </c>
      <c r="AB3999" s="360">
        <v>66.7</v>
      </c>
    </row>
    <row r="4000" spans="10:28" x14ac:dyDescent="0.2">
      <c r="J4000" s="358" t="str">
        <f t="shared" si="170"/>
        <v>2015MaleAllEth252</v>
      </c>
      <c r="K4000" s="359">
        <v>2015</v>
      </c>
      <c r="L4000" t="s">
        <v>20</v>
      </c>
      <c r="M4000" t="s">
        <v>27</v>
      </c>
      <c r="N4000">
        <v>25</v>
      </c>
      <c r="O4000">
        <v>2</v>
      </c>
      <c r="P4000">
        <v>11</v>
      </c>
      <c r="Q4000">
        <v>16.4675302364682</v>
      </c>
      <c r="R4000">
        <v>9.6999999999999993</v>
      </c>
      <c r="T4000" s="358" t="str">
        <f t="shared" si="171"/>
        <v>2015FemaleMaori22Other</v>
      </c>
      <c r="U4000" s="360">
        <v>2015</v>
      </c>
      <c r="V4000" s="360" t="s">
        <v>8</v>
      </c>
      <c r="W4000" s="360" t="s">
        <v>18</v>
      </c>
      <c r="X4000" s="360">
        <v>22</v>
      </c>
      <c r="Y4000" s="360" t="s">
        <v>45</v>
      </c>
      <c r="Z4000" s="360">
        <v>1</v>
      </c>
      <c r="AA4000" s="360">
        <v>23</v>
      </c>
      <c r="AB4000" s="360">
        <v>4.3</v>
      </c>
    </row>
    <row r="4001" spans="10:28" x14ac:dyDescent="0.2">
      <c r="J4001" s="358" t="str">
        <f t="shared" si="170"/>
        <v>2015MaleAllEth253</v>
      </c>
      <c r="K4001" s="359">
        <v>2015</v>
      </c>
      <c r="L4001" t="s">
        <v>20</v>
      </c>
      <c r="M4001" t="s">
        <v>27</v>
      </c>
      <c r="N4001">
        <v>25</v>
      </c>
      <c r="O4001">
        <v>3</v>
      </c>
      <c r="P4001">
        <v>7</v>
      </c>
      <c r="Q4001">
        <v>10.893007239920101</v>
      </c>
      <c r="R4001">
        <v>8.1</v>
      </c>
      <c r="T4001" s="358" t="str">
        <f t="shared" si="171"/>
        <v>2015FemaleMaori24Other</v>
      </c>
      <c r="U4001" s="360">
        <v>2015</v>
      </c>
      <c r="V4001" s="360" t="s">
        <v>8</v>
      </c>
      <c r="W4001" s="360" t="s">
        <v>18</v>
      </c>
      <c r="X4001" s="360">
        <v>24</v>
      </c>
      <c r="Y4001" s="360" t="s">
        <v>45</v>
      </c>
      <c r="Z4001" s="360">
        <v>1</v>
      </c>
      <c r="AA4001" s="360">
        <v>3</v>
      </c>
      <c r="AB4001" s="360">
        <v>33.299999999999997</v>
      </c>
    </row>
    <row r="4002" spans="10:28" x14ac:dyDescent="0.2">
      <c r="J4002" s="358" t="str">
        <f t="shared" si="170"/>
        <v>2015MaleAllEth254</v>
      </c>
      <c r="K4002" s="359">
        <v>2015</v>
      </c>
      <c r="L4002" t="s">
        <v>20</v>
      </c>
      <c r="M4002" t="s">
        <v>27</v>
      </c>
      <c r="N4002">
        <v>25</v>
      </c>
      <c r="O4002">
        <v>4</v>
      </c>
      <c r="P4002">
        <v>13</v>
      </c>
      <c r="Q4002">
        <v>20.864127535481298</v>
      </c>
      <c r="R4002">
        <v>11.3</v>
      </c>
      <c r="T4002" s="358" t="str">
        <f t="shared" si="171"/>
        <v>2015FemaleMaori23Poisoning by solids and liquids</v>
      </c>
      <c r="U4002" s="360">
        <v>2015</v>
      </c>
      <c r="V4002" s="360" t="s">
        <v>8</v>
      </c>
      <c r="W4002" s="360" t="s">
        <v>18</v>
      </c>
      <c r="X4002" s="360">
        <v>23</v>
      </c>
      <c r="Y4002" s="360" t="s">
        <v>47</v>
      </c>
      <c r="Z4002" s="360">
        <v>2</v>
      </c>
      <c r="AA4002" s="360">
        <v>14</v>
      </c>
      <c r="AB4002" s="360">
        <v>14.3</v>
      </c>
    </row>
    <row r="4003" spans="10:28" x14ac:dyDescent="0.2">
      <c r="J4003" s="358" t="str">
        <f t="shared" si="170"/>
        <v>2015MaleAllEth255</v>
      </c>
      <c r="K4003" s="359">
        <v>2015</v>
      </c>
      <c r="L4003" t="s">
        <v>20</v>
      </c>
      <c r="M4003" t="s">
        <v>27</v>
      </c>
      <c r="N4003">
        <v>25</v>
      </c>
      <c r="O4003">
        <v>5</v>
      </c>
      <c r="P4003">
        <v>6</v>
      </c>
      <c r="Q4003">
        <v>11.6518455890584</v>
      </c>
      <c r="R4003">
        <v>9.3000000000000007</v>
      </c>
      <c r="T4003" s="358" t="str">
        <f t="shared" si="171"/>
        <v>2015FemaleNon-Maori22Firearms and explosives</v>
      </c>
      <c r="U4003" s="360">
        <v>2015</v>
      </c>
      <c r="V4003" s="360" t="s">
        <v>8</v>
      </c>
      <c r="W4003" s="360" t="s">
        <v>19</v>
      </c>
      <c r="X4003" s="360">
        <v>22</v>
      </c>
      <c r="Y4003" s="360" t="s">
        <v>42</v>
      </c>
      <c r="Z4003" s="360">
        <v>1</v>
      </c>
      <c r="AA4003" s="360">
        <v>19</v>
      </c>
      <c r="AB4003" s="360">
        <v>5.3</v>
      </c>
    </row>
    <row r="4004" spans="10:28" x14ac:dyDescent="0.2">
      <c r="J4004" s="358" t="str">
        <f t="shared" si="170"/>
        <v>2015MaleMaori211</v>
      </c>
      <c r="K4004" s="359">
        <v>2015</v>
      </c>
      <c r="L4004" t="s">
        <v>20</v>
      </c>
      <c r="M4004" t="s">
        <v>18</v>
      </c>
      <c r="N4004">
        <v>21</v>
      </c>
      <c r="O4004">
        <v>1</v>
      </c>
      <c r="P4004">
        <v>0</v>
      </c>
      <c r="T4004" s="358" t="str">
        <f t="shared" si="171"/>
        <v>2015FemaleNon-Maori23Firearms and explosives</v>
      </c>
      <c r="U4004" s="360">
        <v>2015</v>
      </c>
      <c r="V4004" s="360" t="s">
        <v>8</v>
      </c>
      <c r="W4004" s="360" t="s">
        <v>19</v>
      </c>
      <c r="X4004" s="360">
        <v>23</v>
      </c>
      <c r="Y4004" s="360" t="s">
        <v>42</v>
      </c>
      <c r="Z4004" s="360">
        <v>1</v>
      </c>
      <c r="AA4004" s="360">
        <v>21</v>
      </c>
      <c r="AB4004" s="360">
        <v>4.8</v>
      </c>
    </row>
    <row r="4005" spans="10:28" x14ac:dyDescent="0.2">
      <c r="J4005" s="358" t="str">
        <f t="shared" si="170"/>
        <v>2015MaleMaori212</v>
      </c>
      <c r="K4005" s="359">
        <v>2015</v>
      </c>
      <c r="L4005" t="s">
        <v>20</v>
      </c>
      <c r="M4005" t="s">
        <v>18</v>
      </c>
      <c r="N4005">
        <v>21</v>
      </c>
      <c r="O4005">
        <v>2</v>
      </c>
      <c r="P4005">
        <v>0</v>
      </c>
      <c r="T4005" s="358" t="str">
        <f t="shared" si="171"/>
        <v>2015FemaleNon-Maori24Firearms and explosives</v>
      </c>
      <c r="U4005" s="360">
        <v>2015</v>
      </c>
      <c r="V4005" s="360" t="s">
        <v>8</v>
      </c>
      <c r="W4005" s="360" t="s">
        <v>19</v>
      </c>
      <c r="X4005" s="360">
        <v>24</v>
      </c>
      <c r="Y4005" s="360" t="s">
        <v>42</v>
      </c>
      <c r="Z4005" s="360">
        <v>1</v>
      </c>
      <c r="AA4005" s="360">
        <v>42</v>
      </c>
      <c r="AB4005" s="360">
        <v>2.4</v>
      </c>
    </row>
    <row r="4006" spans="10:28" x14ac:dyDescent="0.2">
      <c r="J4006" s="358" t="str">
        <f t="shared" si="170"/>
        <v>2015MaleMaori213</v>
      </c>
      <c r="K4006" s="359">
        <v>2015</v>
      </c>
      <c r="L4006" t="s">
        <v>20</v>
      </c>
      <c r="M4006" t="s">
        <v>18</v>
      </c>
      <c r="N4006">
        <v>21</v>
      </c>
      <c r="O4006">
        <v>3</v>
      </c>
      <c r="P4006">
        <v>1</v>
      </c>
      <c r="T4006" s="358" t="str">
        <f t="shared" si="171"/>
        <v>2015FemaleNon-Maori21Hanging, strangulation and suffocation</v>
      </c>
      <c r="U4006" s="360">
        <v>2015</v>
      </c>
      <c r="V4006" s="360" t="s">
        <v>8</v>
      </c>
      <c r="W4006" s="360" t="s">
        <v>19</v>
      </c>
      <c r="X4006" s="360">
        <v>21</v>
      </c>
      <c r="Y4006" s="360" t="s">
        <v>43</v>
      </c>
      <c r="Z4006" s="360">
        <v>3</v>
      </c>
      <c r="AA4006" s="360">
        <v>3</v>
      </c>
      <c r="AB4006" s="360">
        <v>100</v>
      </c>
    </row>
    <row r="4007" spans="10:28" x14ac:dyDescent="0.2">
      <c r="J4007" s="358" t="str">
        <f t="shared" si="170"/>
        <v>2015MaleMaori214</v>
      </c>
      <c r="K4007" s="359">
        <v>2015</v>
      </c>
      <c r="L4007" t="s">
        <v>20</v>
      </c>
      <c r="M4007" t="s">
        <v>18</v>
      </c>
      <c r="N4007">
        <v>21</v>
      </c>
      <c r="O4007">
        <v>4</v>
      </c>
      <c r="P4007">
        <v>1</v>
      </c>
      <c r="T4007" s="358" t="str">
        <f t="shared" si="171"/>
        <v>2015FemaleNon-Maori22Hanging, strangulation and suffocation</v>
      </c>
      <c r="U4007" s="360">
        <v>2015</v>
      </c>
      <c r="V4007" s="360" t="s">
        <v>8</v>
      </c>
      <c r="W4007" s="360" t="s">
        <v>19</v>
      </c>
      <c r="X4007" s="360">
        <v>22</v>
      </c>
      <c r="Y4007" s="360" t="s">
        <v>43</v>
      </c>
      <c r="Z4007" s="360">
        <v>12</v>
      </c>
      <c r="AA4007" s="360">
        <v>19</v>
      </c>
      <c r="AB4007" s="360">
        <v>63.2</v>
      </c>
    </row>
    <row r="4008" spans="10:28" x14ac:dyDescent="0.2">
      <c r="J4008" s="358" t="str">
        <f t="shared" si="170"/>
        <v>2015MaleMaori215</v>
      </c>
      <c r="K4008" s="359">
        <v>2015</v>
      </c>
      <c r="L4008" t="s">
        <v>20</v>
      </c>
      <c r="M4008" t="s">
        <v>18</v>
      </c>
      <c r="N4008">
        <v>21</v>
      </c>
      <c r="O4008">
        <v>5</v>
      </c>
      <c r="P4008">
        <v>1</v>
      </c>
      <c r="T4008" s="358" t="str">
        <f t="shared" si="171"/>
        <v>2015FemaleNon-Maori23Hanging, strangulation and suffocation</v>
      </c>
      <c r="U4008" s="360">
        <v>2015</v>
      </c>
      <c r="V4008" s="360" t="s">
        <v>8</v>
      </c>
      <c r="W4008" s="360" t="s">
        <v>19</v>
      </c>
      <c r="X4008" s="360">
        <v>23</v>
      </c>
      <c r="Y4008" s="360" t="s">
        <v>43</v>
      </c>
      <c r="Z4008" s="360">
        <v>13</v>
      </c>
      <c r="AA4008" s="360">
        <v>21</v>
      </c>
      <c r="AB4008" s="360">
        <v>61.9</v>
      </c>
    </row>
    <row r="4009" spans="10:28" x14ac:dyDescent="0.2">
      <c r="J4009" s="358" t="str">
        <f t="shared" si="170"/>
        <v>2015MaleMaori221</v>
      </c>
      <c r="K4009" s="359">
        <v>2015</v>
      </c>
      <c r="L4009" t="s">
        <v>20</v>
      </c>
      <c r="M4009" t="s">
        <v>18</v>
      </c>
      <c r="N4009">
        <v>22</v>
      </c>
      <c r="O4009">
        <v>1</v>
      </c>
      <c r="P4009">
        <v>1</v>
      </c>
      <c r="Q4009">
        <v>16.733040012730601</v>
      </c>
      <c r="R4009">
        <v>32.799999999999997</v>
      </c>
      <c r="T4009" s="358" t="str">
        <f t="shared" si="171"/>
        <v>2015FemaleNon-Maori24Hanging, strangulation and suffocation</v>
      </c>
      <c r="U4009" s="360">
        <v>2015</v>
      </c>
      <c r="V4009" s="360" t="s">
        <v>8</v>
      </c>
      <c r="W4009" s="360" t="s">
        <v>19</v>
      </c>
      <c r="X4009" s="360">
        <v>24</v>
      </c>
      <c r="Y4009" s="360" t="s">
        <v>43</v>
      </c>
      <c r="Z4009" s="360">
        <v>14</v>
      </c>
      <c r="AA4009" s="360">
        <v>42</v>
      </c>
      <c r="AB4009" s="360">
        <v>33.299999999999997</v>
      </c>
    </row>
    <row r="4010" spans="10:28" x14ac:dyDescent="0.2">
      <c r="J4010" s="358" t="str">
        <f t="shared" si="170"/>
        <v>2015MaleMaori222</v>
      </c>
      <c r="K4010" s="359">
        <v>2015</v>
      </c>
      <c r="L4010" t="s">
        <v>20</v>
      </c>
      <c r="M4010" t="s">
        <v>18</v>
      </c>
      <c r="N4010">
        <v>22</v>
      </c>
      <c r="O4010">
        <v>2</v>
      </c>
      <c r="P4010">
        <v>3</v>
      </c>
      <c r="Q4010">
        <v>37.526175940870701</v>
      </c>
      <c r="R4010">
        <v>42.5</v>
      </c>
      <c r="T4010" s="358" t="str">
        <f t="shared" si="171"/>
        <v>2015FemaleNon-Maori25Hanging, strangulation and suffocation</v>
      </c>
      <c r="U4010" s="360">
        <v>2015</v>
      </c>
      <c r="V4010" s="360" t="s">
        <v>8</v>
      </c>
      <c r="W4010" s="360" t="s">
        <v>19</v>
      </c>
      <c r="X4010" s="360">
        <v>25</v>
      </c>
      <c r="Y4010" s="360" t="s">
        <v>43</v>
      </c>
      <c r="Z4010" s="360">
        <v>5</v>
      </c>
      <c r="AA4010" s="360">
        <v>16</v>
      </c>
      <c r="AB4010" s="360">
        <v>31.2</v>
      </c>
    </row>
    <row r="4011" spans="10:28" x14ac:dyDescent="0.2">
      <c r="J4011" s="358" t="str">
        <f t="shared" si="170"/>
        <v>2015MaleMaori223</v>
      </c>
      <c r="K4011" s="359">
        <v>2015</v>
      </c>
      <c r="L4011" t="s">
        <v>20</v>
      </c>
      <c r="M4011" t="s">
        <v>18</v>
      </c>
      <c r="N4011">
        <v>22</v>
      </c>
      <c r="O4011">
        <v>3</v>
      </c>
      <c r="P4011">
        <v>5</v>
      </c>
      <c r="Q4011">
        <v>43.656282156378602</v>
      </c>
      <c r="R4011">
        <v>38.299999999999997</v>
      </c>
      <c r="T4011" s="358" t="str">
        <f t="shared" si="171"/>
        <v>2015FemaleNon-Maori22Jumping from a high place</v>
      </c>
      <c r="U4011" s="360">
        <v>2015</v>
      </c>
      <c r="V4011" s="360" t="s">
        <v>8</v>
      </c>
      <c r="W4011" s="360" t="s">
        <v>19</v>
      </c>
      <c r="X4011" s="360">
        <v>22</v>
      </c>
      <c r="Y4011" s="360" t="s">
        <v>44</v>
      </c>
      <c r="Z4011" s="360">
        <v>1</v>
      </c>
      <c r="AA4011" s="360">
        <v>19</v>
      </c>
      <c r="AB4011" s="360">
        <v>5.3</v>
      </c>
    </row>
    <row r="4012" spans="10:28" x14ac:dyDescent="0.2">
      <c r="J4012" s="358" t="str">
        <f t="shared" si="170"/>
        <v>2015MaleMaori224</v>
      </c>
      <c r="K4012" s="359">
        <v>2015</v>
      </c>
      <c r="L4012" t="s">
        <v>20</v>
      </c>
      <c r="M4012" t="s">
        <v>18</v>
      </c>
      <c r="N4012">
        <v>22</v>
      </c>
      <c r="O4012">
        <v>4</v>
      </c>
      <c r="P4012">
        <v>3</v>
      </c>
      <c r="Q4012">
        <v>18.5496741252243</v>
      </c>
      <c r="R4012">
        <v>21</v>
      </c>
      <c r="T4012" s="358" t="str">
        <f t="shared" si="171"/>
        <v>2015FemaleNon-Maori23Jumping from a high place</v>
      </c>
      <c r="U4012" s="360">
        <v>2015</v>
      </c>
      <c r="V4012" s="360" t="s">
        <v>8</v>
      </c>
      <c r="W4012" s="360" t="s">
        <v>19</v>
      </c>
      <c r="X4012" s="360">
        <v>23</v>
      </c>
      <c r="Y4012" s="360" t="s">
        <v>44</v>
      </c>
      <c r="Z4012" s="360">
        <v>1</v>
      </c>
      <c r="AA4012" s="360">
        <v>21</v>
      </c>
      <c r="AB4012" s="360">
        <v>4.8</v>
      </c>
    </row>
    <row r="4013" spans="10:28" x14ac:dyDescent="0.2">
      <c r="J4013" s="358" t="str">
        <f t="shared" si="170"/>
        <v>2015MaleMaori225</v>
      </c>
      <c r="K4013" s="359">
        <v>2015</v>
      </c>
      <c r="L4013" t="s">
        <v>20</v>
      </c>
      <c r="M4013" t="s">
        <v>18</v>
      </c>
      <c r="N4013">
        <v>22</v>
      </c>
      <c r="O4013">
        <v>5</v>
      </c>
      <c r="P4013">
        <v>7</v>
      </c>
      <c r="Q4013">
        <v>26.062016873679301</v>
      </c>
      <c r="R4013">
        <v>19.3</v>
      </c>
      <c r="T4013" s="358" t="str">
        <f t="shared" si="171"/>
        <v>2015FemaleNon-Maori24Jumping from a high place</v>
      </c>
      <c r="U4013" s="360">
        <v>2015</v>
      </c>
      <c r="V4013" s="360" t="s">
        <v>8</v>
      </c>
      <c r="W4013" s="360" t="s">
        <v>19</v>
      </c>
      <c r="X4013" s="360">
        <v>24</v>
      </c>
      <c r="Y4013" s="360" t="s">
        <v>44</v>
      </c>
      <c r="Z4013" s="360">
        <v>1</v>
      </c>
      <c r="AA4013" s="360">
        <v>42</v>
      </c>
      <c r="AB4013" s="360">
        <v>2.4</v>
      </c>
    </row>
    <row r="4014" spans="10:28" x14ac:dyDescent="0.2">
      <c r="J4014" s="358" t="str">
        <f t="shared" si="170"/>
        <v>2015MaleMaori231</v>
      </c>
      <c r="K4014" s="359">
        <v>2015</v>
      </c>
      <c r="L4014" t="s">
        <v>20</v>
      </c>
      <c r="M4014" t="s">
        <v>18</v>
      </c>
      <c r="N4014">
        <v>23</v>
      </c>
      <c r="O4014">
        <v>1</v>
      </c>
      <c r="P4014">
        <v>0</v>
      </c>
      <c r="Q4014">
        <v>0</v>
      </c>
      <c r="T4014" s="358" t="str">
        <f t="shared" si="171"/>
        <v>2015FemaleNon-Maori22Other</v>
      </c>
      <c r="U4014" s="360">
        <v>2015</v>
      </c>
      <c r="V4014" s="360" t="s">
        <v>8</v>
      </c>
      <c r="W4014" s="360" t="s">
        <v>19</v>
      </c>
      <c r="X4014" s="360">
        <v>22</v>
      </c>
      <c r="Y4014" s="360" t="s">
        <v>45</v>
      </c>
      <c r="Z4014" s="360">
        <v>1</v>
      </c>
      <c r="AA4014" s="360">
        <v>19</v>
      </c>
      <c r="AB4014" s="360">
        <v>5.3</v>
      </c>
    </row>
    <row r="4015" spans="10:28" x14ac:dyDescent="0.2">
      <c r="J4015" s="358" t="str">
        <f t="shared" si="170"/>
        <v>2015MaleMaori232</v>
      </c>
      <c r="K4015" s="359">
        <v>2015</v>
      </c>
      <c r="L4015" t="s">
        <v>20</v>
      </c>
      <c r="M4015" t="s">
        <v>18</v>
      </c>
      <c r="N4015">
        <v>23</v>
      </c>
      <c r="O4015">
        <v>2</v>
      </c>
      <c r="P4015">
        <v>2</v>
      </c>
      <c r="Q4015">
        <v>19.772682336383699</v>
      </c>
      <c r="R4015">
        <v>27.4</v>
      </c>
      <c r="T4015" s="358" t="str">
        <f t="shared" si="171"/>
        <v>2015FemaleNon-Maori24Other</v>
      </c>
      <c r="U4015" s="360">
        <v>2015</v>
      </c>
      <c r="V4015" s="360" t="s">
        <v>8</v>
      </c>
      <c r="W4015" s="360" t="s">
        <v>19</v>
      </c>
      <c r="X4015" s="360">
        <v>24</v>
      </c>
      <c r="Y4015" s="360" t="s">
        <v>45</v>
      </c>
      <c r="Z4015" s="360">
        <v>3</v>
      </c>
      <c r="AA4015" s="360">
        <v>42</v>
      </c>
      <c r="AB4015" s="360">
        <v>7.1</v>
      </c>
    </row>
    <row r="4016" spans="10:28" x14ac:dyDescent="0.2">
      <c r="J4016" s="358" t="str">
        <f t="shared" si="170"/>
        <v>2015MaleMaori233</v>
      </c>
      <c r="K4016" s="359">
        <v>2015</v>
      </c>
      <c r="L4016" t="s">
        <v>20</v>
      </c>
      <c r="M4016" t="s">
        <v>18</v>
      </c>
      <c r="N4016">
        <v>23</v>
      </c>
      <c r="O4016">
        <v>3</v>
      </c>
      <c r="P4016">
        <v>5</v>
      </c>
      <c r="Q4016">
        <v>35.510893696238803</v>
      </c>
      <c r="R4016">
        <v>31.1</v>
      </c>
      <c r="T4016" s="358" t="str">
        <f t="shared" si="171"/>
        <v>2015FemaleNon-Maori25Other</v>
      </c>
      <c r="U4016" s="360">
        <v>2015</v>
      </c>
      <c r="V4016" s="360" t="s">
        <v>8</v>
      </c>
      <c r="W4016" s="360" t="s">
        <v>19</v>
      </c>
      <c r="X4016" s="360">
        <v>25</v>
      </c>
      <c r="Y4016" s="360" t="s">
        <v>45</v>
      </c>
      <c r="Z4016" s="360">
        <v>2</v>
      </c>
      <c r="AA4016" s="360">
        <v>16</v>
      </c>
      <c r="AB4016" s="360">
        <v>12.5</v>
      </c>
    </row>
    <row r="4017" spans="10:28" x14ac:dyDescent="0.2">
      <c r="J4017" s="358" t="str">
        <f t="shared" si="170"/>
        <v>2015MaleMaori234</v>
      </c>
      <c r="K4017" s="359">
        <v>2015</v>
      </c>
      <c r="L4017" t="s">
        <v>20</v>
      </c>
      <c r="M4017" t="s">
        <v>18</v>
      </c>
      <c r="N4017">
        <v>23</v>
      </c>
      <c r="O4017">
        <v>4</v>
      </c>
      <c r="P4017">
        <v>12</v>
      </c>
      <c r="Q4017">
        <v>62.8273574709822</v>
      </c>
      <c r="R4017">
        <v>35.5</v>
      </c>
      <c r="T4017" s="358" t="str">
        <f t="shared" si="171"/>
        <v>2015FemaleNon-Maori24Poisoning by gases and vapours</v>
      </c>
      <c r="U4017" s="360">
        <v>2015</v>
      </c>
      <c r="V4017" s="360" t="s">
        <v>8</v>
      </c>
      <c r="W4017" s="360" t="s">
        <v>19</v>
      </c>
      <c r="X4017" s="360">
        <v>24</v>
      </c>
      <c r="Y4017" s="360" t="s">
        <v>46</v>
      </c>
      <c r="Z4017" s="360">
        <v>6</v>
      </c>
      <c r="AA4017" s="360">
        <v>42</v>
      </c>
      <c r="AB4017" s="360">
        <v>14.3</v>
      </c>
    </row>
    <row r="4018" spans="10:28" x14ac:dyDescent="0.2">
      <c r="J4018" s="358" t="str">
        <f t="shared" si="170"/>
        <v>2015MaleMaori235</v>
      </c>
      <c r="K4018" s="359">
        <v>2015</v>
      </c>
      <c r="L4018" t="s">
        <v>20</v>
      </c>
      <c r="M4018" t="s">
        <v>18</v>
      </c>
      <c r="N4018">
        <v>23</v>
      </c>
      <c r="O4018">
        <v>5</v>
      </c>
      <c r="P4018">
        <v>21</v>
      </c>
      <c r="Q4018">
        <v>73.604394589469607</v>
      </c>
      <c r="R4018">
        <v>31.5</v>
      </c>
      <c r="T4018" s="358" t="str">
        <f t="shared" si="171"/>
        <v>2015FemaleNon-Maori25Poisoning by gases and vapours</v>
      </c>
      <c r="U4018" s="360">
        <v>2015</v>
      </c>
      <c r="V4018" s="360" t="s">
        <v>8</v>
      </c>
      <c r="W4018" s="360" t="s">
        <v>19</v>
      </c>
      <c r="X4018" s="360">
        <v>25</v>
      </c>
      <c r="Y4018" s="360" t="s">
        <v>46</v>
      </c>
      <c r="Z4018" s="360">
        <v>2</v>
      </c>
      <c r="AA4018" s="360">
        <v>16</v>
      </c>
      <c r="AB4018" s="360">
        <v>12.5</v>
      </c>
    </row>
    <row r="4019" spans="10:28" x14ac:dyDescent="0.2">
      <c r="J4019" s="358" t="str">
        <f t="shared" si="170"/>
        <v>2015MaleMaori241</v>
      </c>
      <c r="K4019" s="359">
        <v>2015</v>
      </c>
      <c r="L4019" t="s">
        <v>20</v>
      </c>
      <c r="M4019" t="s">
        <v>18</v>
      </c>
      <c r="N4019">
        <v>24</v>
      </c>
      <c r="O4019">
        <v>1</v>
      </c>
      <c r="P4019">
        <v>0</v>
      </c>
      <c r="Q4019">
        <v>0</v>
      </c>
      <c r="T4019" s="358" t="str">
        <f t="shared" si="171"/>
        <v>2015FemaleNon-Maori22Poisoning by solids and liquids</v>
      </c>
      <c r="U4019" s="360">
        <v>2015</v>
      </c>
      <c r="V4019" s="360" t="s">
        <v>8</v>
      </c>
      <c r="W4019" s="360" t="s">
        <v>19</v>
      </c>
      <c r="X4019" s="360">
        <v>22</v>
      </c>
      <c r="Y4019" s="360" t="s">
        <v>47</v>
      </c>
      <c r="Z4019" s="360">
        <v>4</v>
      </c>
      <c r="AA4019" s="360">
        <v>19</v>
      </c>
      <c r="AB4019" s="360">
        <v>21.1</v>
      </c>
    </row>
    <row r="4020" spans="10:28" x14ac:dyDescent="0.2">
      <c r="J4020" s="358" t="str">
        <f t="shared" si="170"/>
        <v>2015MaleMaori242</v>
      </c>
      <c r="K4020" s="359">
        <v>2015</v>
      </c>
      <c r="L4020" t="s">
        <v>20</v>
      </c>
      <c r="M4020" t="s">
        <v>18</v>
      </c>
      <c r="N4020">
        <v>24</v>
      </c>
      <c r="O4020">
        <v>2</v>
      </c>
      <c r="P4020">
        <v>3</v>
      </c>
      <c r="Q4020">
        <v>37.106463790579703</v>
      </c>
      <c r="R4020">
        <v>42</v>
      </c>
      <c r="T4020" s="358" t="str">
        <f t="shared" si="171"/>
        <v>2015FemaleNon-Maori23Poisoning by solids and liquids</v>
      </c>
      <c r="U4020" s="360">
        <v>2015</v>
      </c>
      <c r="V4020" s="360" t="s">
        <v>8</v>
      </c>
      <c r="W4020" s="360" t="s">
        <v>19</v>
      </c>
      <c r="X4020" s="360">
        <v>23</v>
      </c>
      <c r="Y4020" s="360" t="s">
        <v>47</v>
      </c>
      <c r="Z4020" s="360">
        <v>6</v>
      </c>
      <c r="AA4020" s="360">
        <v>21</v>
      </c>
      <c r="AB4020" s="360">
        <v>28.6</v>
      </c>
    </row>
    <row r="4021" spans="10:28" x14ac:dyDescent="0.2">
      <c r="J4021" s="358" t="str">
        <f t="shared" si="170"/>
        <v>2015MaleMaori243</v>
      </c>
      <c r="K4021" s="359">
        <v>2015</v>
      </c>
      <c r="L4021" t="s">
        <v>20</v>
      </c>
      <c r="M4021" t="s">
        <v>18</v>
      </c>
      <c r="N4021">
        <v>24</v>
      </c>
      <c r="O4021">
        <v>3</v>
      </c>
      <c r="P4021">
        <v>2</v>
      </c>
      <c r="Q4021">
        <v>19.167226838588299</v>
      </c>
      <c r="R4021">
        <v>26.6</v>
      </c>
      <c r="T4021" s="358" t="str">
        <f t="shared" si="171"/>
        <v>2015FemaleNon-Maori24Poisoning by solids and liquids</v>
      </c>
      <c r="U4021" s="360">
        <v>2015</v>
      </c>
      <c r="V4021" s="360" t="s">
        <v>8</v>
      </c>
      <c r="W4021" s="360" t="s">
        <v>19</v>
      </c>
      <c r="X4021" s="360">
        <v>24</v>
      </c>
      <c r="Y4021" s="360" t="s">
        <v>47</v>
      </c>
      <c r="Z4021" s="360">
        <v>15</v>
      </c>
      <c r="AA4021" s="360">
        <v>42</v>
      </c>
      <c r="AB4021" s="360">
        <v>35.700000000000003</v>
      </c>
    </row>
    <row r="4022" spans="10:28" x14ac:dyDescent="0.2">
      <c r="J4022" s="358" t="str">
        <f t="shared" si="170"/>
        <v>2015MaleMaori244</v>
      </c>
      <c r="K4022" s="359">
        <v>2015</v>
      </c>
      <c r="L4022" t="s">
        <v>20</v>
      </c>
      <c r="M4022" t="s">
        <v>18</v>
      </c>
      <c r="N4022">
        <v>24</v>
      </c>
      <c r="O4022">
        <v>4</v>
      </c>
      <c r="P4022">
        <v>3</v>
      </c>
      <c r="Q4022">
        <v>21.127544961301801</v>
      </c>
      <c r="R4022">
        <v>23.9</v>
      </c>
      <c r="T4022" s="358" t="str">
        <f t="shared" si="171"/>
        <v>2015FemaleNon-Maori25Poisoning by solids and liquids</v>
      </c>
      <c r="U4022" s="360">
        <v>2015</v>
      </c>
      <c r="V4022" s="360" t="s">
        <v>8</v>
      </c>
      <c r="W4022" s="360" t="s">
        <v>19</v>
      </c>
      <c r="X4022" s="360">
        <v>25</v>
      </c>
      <c r="Y4022" s="360" t="s">
        <v>47</v>
      </c>
      <c r="Z4022" s="360">
        <v>6</v>
      </c>
      <c r="AA4022" s="360">
        <v>16</v>
      </c>
      <c r="AB4022" s="360">
        <v>37.5</v>
      </c>
    </row>
    <row r="4023" spans="10:28" x14ac:dyDescent="0.2">
      <c r="J4023" s="358" t="str">
        <f t="shared" si="170"/>
        <v>2015MaleMaori245</v>
      </c>
      <c r="K4023" s="359">
        <v>2015</v>
      </c>
      <c r="L4023" t="s">
        <v>20</v>
      </c>
      <c r="M4023" t="s">
        <v>18</v>
      </c>
      <c r="N4023">
        <v>24</v>
      </c>
      <c r="O4023">
        <v>5</v>
      </c>
      <c r="P4023">
        <v>7</v>
      </c>
      <c r="Q4023">
        <v>29.6797262163197</v>
      </c>
      <c r="R4023">
        <v>22</v>
      </c>
      <c r="T4023" s="358" t="str">
        <f t="shared" si="171"/>
        <v>2015FemaleNon-Maori24Submersion (drowning)</v>
      </c>
      <c r="U4023" s="360">
        <v>2015</v>
      </c>
      <c r="V4023" s="360" t="s">
        <v>8</v>
      </c>
      <c r="W4023" s="360" t="s">
        <v>19</v>
      </c>
      <c r="X4023" s="360">
        <v>24</v>
      </c>
      <c r="Y4023" s="360" t="s">
        <v>49</v>
      </c>
      <c r="Z4023" s="360">
        <v>2</v>
      </c>
      <c r="AA4023" s="360">
        <v>42</v>
      </c>
      <c r="AB4023" s="360">
        <v>4.8</v>
      </c>
    </row>
    <row r="4024" spans="10:28" x14ac:dyDescent="0.2">
      <c r="J4024" s="358" t="str">
        <f t="shared" si="170"/>
        <v>2015MaleMaori251</v>
      </c>
      <c r="K4024" s="359">
        <v>2015</v>
      </c>
      <c r="L4024" t="s">
        <v>20</v>
      </c>
      <c r="M4024" t="s">
        <v>18</v>
      </c>
      <c r="N4024">
        <v>25</v>
      </c>
      <c r="O4024">
        <v>1</v>
      </c>
      <c r="P4024">
        <v>0</v>
      </c>
      <c r="Q4024">
        <v>0</v>
      </c>
      <c r="T4024" s="358" t="str">
        <f t="shared" si="171"/>
        <v>2015FemaleNon-Maori25Submersion (drowning)</v>
      </c>
      <c r="U4024" s="360">
        <v>2015</v>
      </c>
      <c r="V4024" s="360" t="s">
        <v>8</v>
      </c>
      <c r="W4024" s="360" t="s">
        <v>19</v>
      </c>
      <c r="X4024" s="360">
        <v>25</v>
      </c>
      <c r="Y4024" s="360" t="s">
        <v>49</v>
      </c>
      <c r="Z4024" s="360">
        <v>1</v>
      </c>
      <c r="AA4024" s="360">
        <v>16</v>
      </c>
      <c r="AB4024" s="360">
        <v>6.2</v>
      </c>
    </row>
    <row r="4025" spans="10:28" x14ac:dyDescent="0.2">
      <c r="J4025" s="358" t="str">
        <f t="shared" si="170"/>
        <v>2015MaleMaori252</v>
      </c>
      <c r="K4025" s="359">
        <v>2015</v>
      </c>
      <c r="L4025" t="s">
        <v>20</v>
      </c>
      <c r="M4025" t="s">
        <v>18</v>
      </c>
      <c r="N4025">
        <v>25</v>
      </c>
      <c r="O4025">
        <v>2</v>
      </c>
      <c r="P4025">
        <v>0</v>
      </c>
      <c r="Q4025">
        <v>0</v>
      </c>
      <c r="T4025" s="358" t="str">
        <f t="shared" si="171"/>
        <v>2015MaleAllEth22Firearms and explosives</v>
      </c>
      <c r="U4025" s="360">
        <v>2015</v>
      </c>
      <c r="V4025" s="360" t="s">
        <v>20</v>
      </c>
      <c r="W4025" s="360" t="s">
        <v>27</v>
      </c>
      <c r="X4025" s="360">
        <v>22</v>
      </c>
      <c r="Y4025" s="360" t="s">
        <v>42</v>
      </c>
      <c r="Z4025" s="360">
        <v>2</v>
      </c>
      <c r="AA4025" s="360">
        <v>69</v>
      </c>
      <c r="AB4025" s="360">
        <v>2.9</v>
      </c>
    </row>
    <row r="4026" spans="10:28" x14ac:dyDescent="0.2">
      <c r="J4026" s="358" t="str">
        <f t="shared" si="170"/>
        <v>2015MaleMaori253</v>
      </c>
      <c r="K4026" s="359">
        <v>2015</v>
      </c>
      <c r="L4026" t="s">
        <v>20</v>
      </c>
      <c r="M4026" t="s">
        <v>18</v>
      </c>
      <c r="N4026">
        <v>25</v>
      </c>
      <c r="O4026">
        <v>3</v>
      </c>
      <c r="P4026">
        <v>0</v>
      </c>
      <c r="Q4026">
        <v>0</v>
      </c>
      <c r="T4026" s="358" t="str">
        <f t="shared" si="171"/>
        <v>2015MaleAllEth23Firearms and explosives</v>
      </c>
      <c r="U4026" s="360">
        <v>2015</v>
      </c>
      <c r="V4026" s="360" t="s">
        <v>20</v>
      </c>
      <c r="W4026" s="360" t="s">
        <v>27</v>
      </c>
      <c r="X4026" s="360">
        <v>23</v>
      </c>
      <c r="Y4026" s="360" t="s">
        <v>42</v>
      </c>
      <c r="Z4026" s="360">
        <v>8</v>
      </c>
      <c r="AA4026" s="360">
        <v>136</v>
      </c>
      <c r="AB4026" s="360">
        <v>5.9</v>
      </c>
    </row>
    <row r="4027" spans="10:28" x14ac:dyDescent="0.2">
      <c r="J4027" s="358" t="str">
        <f t="shared" si="170"/>
        <v>2015MaleMaori254</v>
      </c>
      <c r="K4027" s="359">
        <v>2015</v>
      </c>
      <c r="L4027" t="s">
        <v>20</v>
      </c>
      <c r="M4027" t="s">
        <v>18</v>
      </c>
      <c r="N4027">
        <v>25</v>
      </c>
      <c r="O4027">
        <v>4</v>
      </c>
      <c r="P4027">
        <v>0</v>
      </c>
      <c r="Q4027">
        <v>0</v>
      </c>
      <c r="T4027" s="358" t="str">
        <f t="shared" si="171"/>
        <v>2015MaleAllEth24Firearms and explosives</v>
      </c>
      <c r="U4027" s="360">
        <v>2015</v>
      </c>
      <c r="V4027" s="360" t="s">
        <v>20</v>
      </c>
      <c r="W4027" s="360" t="s">
        <v>27</v>
      </c>
      <c r="X4027" s="360">
        <v>24</v>
      </c>
      <c r="Y4027" s="360" t="s">
        <v>42</v>
      </c>
      <c r="Z4027" s="360">
        <v>13</v>
      </c>
      <c r="AA4027" s="360">
        <v>124</v>
      </c>
      <c r="AB4027" s="360">
        <v>10.5</v>
      </c>
    </row>
    <row r="4028" spans="10:28" x14ac:dyDescent="0.2">
      <c r="J4028" s="358" t="str">
        <f t="shared" si="170"/>
        <v>2015MaleMaori255</v>
      </c>
      <c r="K4028" s="359">
        <v>2015</v>
      </c>
      <c r="L4028" t="s">
        <v>20</v>
      </c>
      <c r="M4028" t="s">
        <v>18</v>
      </c>
      <c r="N4028">
        <v>25</v>
      </c>
      <c r="O4028">
        <v>5</v>
      </c>
      <c r="P4028">
        <v>0</v>
      </c>
      <c r="Q4028">
        <v>0</v>
      </c>
      <c r="T4028" s="358" t="str">
        <f t="shared" si="171"/>
        <v>2015MaleAllEth25Firearms and explosives</v>
      </c>
      <c r="U4028" s="360">
        <v>2015</v>
      </c>
      <c r="V4028" s="360" t="s">
        <v>20</v>
      </c>
      <c r="W4028" s="360" t="s">
        <v>27</v>
      </c>
      <c r="X4028" s="360">
        <v>25</v>
      </c>
      <c r="Y4028" s="360" t="s">
        <v>42</v>
      </c>
      <c r="Z4028" s="360">
        <v>15</v>
      </c>
      <c r="AA4028" s="360">
        <v>48</v>
      </c>
      <c r="AB4028" s="360">
        <v>31.2</v>
      </c>
    </row>
    <row r="4029" spans="10:28" x14ac:dyDescent="0.2">
      <c r="J4029" s="358" t="str">
        <f t="shared" si="170"/>
        <v>2015MaleNon-Maori211</v>
      </c>
      <c r="K4029" s="359">
        <v>2015</v>
      </c>
      <c r="L4029" t="s">
        <v>20</v>
      </c>
      <c r="M4029" t="s">
        <v>19</v>
      </c>
      <c r="N4029">
        <v>21</v>
      </c>
      <c r="O4029">
        <v>1</v>
      </c>
      <c r="P4029">
        <v>0</v>
      </c>
      <c r="T4029" s="358" t="str">
        <f t="shared" si="171"/>
        <v>2015MaleAllEth21Hanging, strangulation and suffocation</v>
      </c>
      <c r="U4029" s="360">
        <v>2015</v>
      </c>
      <c r="V4029" s="360" t="s">
        <v>20</v>
      </c>
      <c r="W4029" s="360" t="s">
        <v>27</v>
      </c>
      <c r="X4029" s="360">
        <v>21</v>
      </c>
      <c r="Y4029" s="360" t="s">
        <v>43</v>
      </c>
      <c r="Z4029" s="360">
        <v>6</v>
      </c>
      <c r="AA4029" s="360">
        <v>6</v>
      </c>
      <c r="AB4029" s="360">
        <v>100</v>
      </c>
    </row>
    <row r="4030" spans="10:28" x14ac:dyDescent="0.2">
      <c r="J4030" s="358" t="str">
        <f t="shared" si="170"/>
        <v>2015MaleNon-Maori212</v>
      </c>
      <c r="K4030" s="359">
        <v>2015</v>
      </c>
      <c r="L4030" t="s">
        <v>20</v>
      </c>
      <c r="M4030" t="s">
        <v>19</v>
      </c>
      <c r="N4030">
        <v>21</v>
      </c>
      <c r="O4030">
        <v>2</v>
      </c>
      <c r="P4030">
        <v>0</v>
      </c>
      <c r="T4030" s="358" t="str">
        <f t="shared" si="171"/>
        <v>2015MaleAllEth22Hanging, strangulation and suffocation</v>
      </c>
      <c r="U4030" s="360">
        <v>2015</v>
      </c>
      <c r="V4030" s="360" t="s">
        <v>20</v>
      </c>
      <c r="W4030" s="360" t="s">
        <v>27</v>
      </c>
      <c r="X4030" s="360">
        <v>22</v>
      </c>
      <c r="Y4030" s="360" t="s">
        <v>43</v>
      </c>
      <c r="Z4030" s="360">
        <v>57</v>
      </c>
      <c r="AA4030" s="360">
        <v>69</v>
      </c>
      <c r="AB4030" s="360">
        <v>82.6</v>
      </c>
    </row>
    <row r="4031" spans="10:28" x14ac:dyDescent="0.2">
      <c r="J4031" s="358" t="str">
        <f t="shared" si="170"/>
        <v>2015MaleNon-Maori213</v>
      </c>
      <c r="K4031" s="359">
        <v>2015</v>
      </c>
      <c r="L4031" t="s">
        <v>20</v>
      </c>
      <c r="M4031" t="s">
        <v>19</v>
      </c>
      <c r="N4031">
        <v>21</v>
      </c>
      <c r="O4031">
        <v>3</v>
      </c>
      <c r="P4031">
        <v>0</v>
      </c>
      <c r="T4031" s="358" t="str">
        <f t="shared" si="171"/>
        <v>2015MaleAllEth23Hanging, strangulation and suffocation</v>
      </c>
      <c r="U4031" s="360">
        <v>2015</v>
      </c>
      <c r="V4031" s="360" t="s">
        <v>20</v>
      </c>
      <c r="W4031" s="360" t="s">
        <v>27</v>
      </c>
      <c r="X4031" s="360">
        <v>23</v>
      </c>
      <c r="Y4031" s="360" t="s">
        <v>43</v>
      </c>
      <c r="Z4031" s="360">
        <v>98</v>
      </c>
      <c r="AA4031" s="360">
        <v>136</v>
      </c>
      <c r="AB4031" s="360">
        <v>72.099999999999994</v>
      </c>
    </row>
    <row r="4032" spans="10:28" x14ac:dyDescent="0.2">
      <c r="J4032" s="358" t="str">
        <f t="shared" si="170"/>
        <v>2015MaleNon-Maori214</v>
      </c>
      <c r="K4032" s="359">
        <v>2015</v>
      </c>
      <c r="L4032" t="s">
        <v>20</v>
      </c>
      <c r="M4032" t="s">
        <v>19</v>
      </c>
      <c r="N4032">
        <v>21</v>
      </c>
      <c r="O4032">
        <v>4</v>
      </c>
      <c r="P4032">
        <v>0</v>
      </c>
      <c r="T4032" s="358" t="str">
        <f t="shared" si="171"/>
        <v>2015MaleAllEth24Hanging, strangulation and suffocation</v>
      </c>
      <c r="U4032" s="360">
        <v>2015</v>
      </c>
      <c r="V4032" s="360" t="s">
        <v>20</v>
      </c>
      <c r="W4032" s="360" t="s">
        <v>27</v>
      </c>
      <c r="X4032" s="360">
        <v>24</v>
      </c>
      <c r="Y4032" s="360" t="s">
        <v>43</v>
      </c>
      <c r="Z4032" s="360">
        <v>69</v>
      </c>
      <c r="AA4032" s="360">
        <v>124</v>
      </c>
      <c r="AB4032" s="360">
        <v>55.6</v>
      </c>
    </row>
    <row r="4033" spans="10:28" x14ac:dyDescent="0.2">
      <c r="J4033" s="358" t="str">
        <f t="shared" si="170"/>
        <v>2015MaleNon-Maori215</v>
      </c>
      <c r="K4033" s="359">
        <v>2015</v>
      </c>
      <c r="L4033" t="s">
        <v>20</v>
      </c>
      <c r="M4033" t="s">
        <v>19</v>
      </c>
      <c r="N4033">
        <v>21</v>
      </c>
      <c r="O4033">
        <v>5</v>
      </c>
      <c r="P4033">
        <v>3</v>
      </c>
      <c r="T4033" s="358" t="str">
        <f t="shared" si="171"/>
        <v>2015MaleAllEth25Hanging, strangulation and suffocation</v>
      </c>
      <c r="U4033" s="360">
        <v>2015</v>
      </c>
      <c r="V4033" s="360" t="s">
        <v>20</v>
      </c>
      <c r="W4033" s="360" t="s">
        <v>27</v>
      </c>
      <c r="X4033" s="360">
        <v>25</v>
      </c>
      <c r="Y4033" s="360" t="s">
        <v>43</v>
      </c>
      <c r="Z4033" s="360">
        <v>14</v>
      </c>
      <c r="AA4033" s="360">
        <v>48</v>
      </c>
      <c r="AB4033" s="360">
        <v>29.2</v>
      </c>
    </row>
    <row r="4034" spans="10:28" x14ac:dyDescent="0.2">
      <c r="J4034" s="358" t="str">
        <f t="shared" si="170"/>
        <v>2015MaleNon-Maori221</v>
      </c>
      <c r="K4034" s="359">
        <v>2015</v>
      </c>
      <c r="L4034" t="s">
        <v>20</v>
      </c>
      <c r="M4034" t="s">
        <v>19</v>
      </c>
      <c r="N4034">
        <v>22</v>
      </c>
      <c r="O4034">
        <v>1</v>
      </c>
      <c r="P4034">
        <v>12</v>
      </c>
      <c r="Q4034">
        <v>21.8854877066148</v>
      </c>
      <c r="R4034">
        <v>12.4</v>
      </c>
      <c r="T4034" s="358" t="str">
        <f t="shared" si="171"/>
        <v>2015MaleAllEth22Jumping from a high place</v>
      </c>
      <c r="U4034" s="360">
        <v>2015</v>
      </c>
      <c r="V4034" s="360" t="s">
        <v>20</v>
      </c>
      <c r="W4034" s="360" t="s">
        <v>27</v>
      </c>
      <c r="X4034" s="360">
        <v>22</v>
      </c>
      <c r="Y4034" s="360" t="s">
        <v>44</v>
      </c>
      <c r="Z4034" s="360">
        <v>2</v>
      </c>
      <c r="AA4034" s="360">
        <v>69</v>
      </c>
      <c r="AB4034" s="360">
        <v>2.9</v>
      </c>
    </row>
    <row r="4035" spans="10:28" x14ac:dyDescent="0.2">
      <c r="J4035" s="358" t="str">
        <f t="shared" si="170"/>
        <v>2015MaleNon-Maori222</v>
      </c>
      <c r="K4035" s="359">
        <v>2015</v>
      </c>
      <c r="L4035" t="s">
        <v>20</v>
      </c>
      <c r="M4035" t="s">
        <v>19</v>
      </c>
      <c r="N4035">
        <v>22</v>
      </c>
      <c r="O4035">
        <v>2</v>
      </c>
      <c r="P4035">
        <v>6</v>
      </c>
      <c r="Q4035">
        <v>11.1520972350483</v>
      </c>
      <c r="R4035">
        <v>8.9</v>
      </c>
      <c r="T4035" s="358" t="str">
        <f t="shared" si="171"/>
        <v>2015MaleAllEth23Jumping from a high place</v>
      </c>
      <c r="U4035" s="360">
        <v>2015</v>
      </c>
      <c r="V4035" s="360" t="s">
        <v>20</v>
      </c>
      <c r="W4035" s="360" t="s">
        <v>27</v>
      </c>
      <c r="X4035" s="360">
        <v>23</v>
      </c>
      <c r="Y4035" s="360" t="s">
        <v>44</v>
      </c>
      <c r="Z4035" s="360">
        <v>4</v>
      </c>
      <c r="AA4035" s="360">
        <v>136</v>
      </c>
      <c r="AB4035" s="360">
        <v>2.9</v>
      </c>
    </row>
    <row r="4036" spans="10:28" x14ac:dyDescent="0.2">
      <c r="J4036" s="358" t="str">
        <f t="shared" ref="J4036:J4053" si="172">K4036&amp;L4036&amp;M4036&amp;N4036&amp;O4036</f>
        <v>2015MaleNon-Maori223</v>
      </c>
      <c r="K4036" s="359">
        <v>2015</v>
      </c>
      <c r="L4036" t="s">
        <v>20</v>
      </c>
      <c r="M4036" t="s">
        <v>19</v>
      </c>
      <c r="N4036">
        <v>22</v>
      </c>
      <c r="O4036">
        <v>3</v>
      </c>
      <c r="P4036">
        <v>6</v>
      </c>
      <c r="Q4036">
        <v>11.122716286763501</v>
      </c>
      <c r="R4036">
        <v>8.9</v>
      </c>
      <c r="T4036" s="358" t="str">
        <f t="shared" si="171"/>
        <v>2015MaleAllEth24Jumping from a high place</v>
      </c>
      <c r="U4036" s="360">
        <v>2015</v>
      </c>
      <c r="V4036" s="360" t="s">
        <v>20</v>
      </c>
      <c r="W4036" s="360" t="s">
        <v>27</v>
      </c>
      <c r="X4036" s="360">
        <v>24</v>
      </c>
      <c r="Y4036" s="360" t="s">
        <v>44</v>
      </c>
      <c r="Z4036" s="360">
        <v>7</v>
      </c>
      <c r="AA4036" s="360">
        <v>124</v>
      </c>
      <c r="AB4036" s="360">
        <v>5.6</v>
      </c>
    </row>
    <row r="4037" spans="10:28" x14ac:dyDescent="0.2">
      <c r="J4037" s="358" t="str">
        <f t="shared" si="172"/>
        <v>2015MaleNon-Maori224</v>
      </c>
      <c r="K4037" s="359">
        <v>2015</v>
      </c>
      <c r="L4037" t="s">
        <v>20</v>
      </c>
      <c r="M4037" t="s">
        <v>19</v>
      </c>
      <c r="N4037">
        <v>22</v>
      </c>
      <c r="O4037">
        <v>4</v>
      </c>
      <c r="P4037">
        <v>12</v>
      </c>
      <c r="Q4037">
        <v>21.454431222190799</v>
      </c>
      <c r="R4037">
        <v>12.1</v>
      </c>
      <c r="T4037" s="358" t="str">
        <f t="shared" ref="T4037:T4100" si="173">U4037&amp;V4037&amp;W4037&amp;X4037&amp;Y4037</f>
        <v>2015MaleAllEth25Jumping from a high place</v>
      </c>
      <c r="U4037" s="360">
        <v>2015</v>
      </c>
      <c r="V4037" s="360" t="s">
        <v>20</v>
      </c>
      <c r="W4037" s="360" t="s">
        <v>27</v>
      </c>
      <c r="X4037" s="360">
        <v>25</v>
      </c>
      <c r="Y4037" s="360" t="s">
        <v>44</v>
      </c>
      <c r="Z4037" s="360">
        <v>3</v>
      </c>
      <c r="AA4037" s="360">
        <v>48</v>
      </c>
      <c r="AB4037" s="360">
        <v>6.2</v>
      </c>
    </row>
    <row r="4038" spans="10:28" x14ac:dyDescent="0.2">
      <c r="J4038" s="358" t="str">
        <f t="shared" si="172"/>
        <v>2015MaleNon-Maori225</v>
      </c>
      <c r="K4038" s="359">
        <v>2015</v>
      </c>
      <c r="L4038" t="s">
        <v>20</v>
      </c>
      <c r="M4038" t="s">
        <v>19</v>
      </c>
      <c r="N4038">
        <v>22</v>
      </c>
      <c r="O4038">
        <v>5</v>
      </c>
      <c r="P4038">
        <v>12</v>
      </c>
      <c r="Q4038">
        <v>22.395595163525499</v>
      </c>
      <c r="R4038">
        <v>12.7</v>
      </c>
      <c r="T4038" s="358" t="str">
        <f t="shared" si="173"/>
        <v>2015MaleAllEth22Other</v>
      </c>
      <c r="U4038" s="360">
        <v>2015</v>
      </c>
      <c r="V4038" s="360" t="s">
        <v>20</v>
      </c>
      <c r="W4038" s="360" t="s">
        <v>27</v>
      </c>
      <c r="X4038" s="360">
        <v>22</v>
      </c>
      <c r="Y4038" s="360" t="s">
        <v>45</v>
      </c>
      <c r="Z4038" s="360">
        <v>3</v>
      </c>
      <c r="AA4038" s="360">
        <v>69</v>
      </c>
      <c r="AB4038" s="360">
        <v>4.3</v>
      </c>
    </row>
    <row r="4039" spans="10:28" x14ac:dyDescent="0.2">
      <c r="J4039" s="358" t="str">
        <f t="shared" si="172"/>
        <v>2015MaleNon-Maori231</v>
      </c>
      <c r="K4039" s="359">
        <v>2015</v>
      </c>
      <c r="L4039" t="s">
        <v>20</v>
      </c>
      <c r="M4039" t="s">
        <v>19</v>
      </c>
      <c r="N4039">
        <v>23</v>
      </c>
      <c r="O4039">
        <v>1</v>
      </c>
      <c r="P4039">
        <v>17</v>
      </c>
      <c r="Q4039">
        <v>17.2380151307276</v>
      </c>
      <c r="R4039">
        <v>8.1999999999999993</v>
      </c>
      <c r="T4039" s="358" t="str">
        <f t="shared" si="173"/>
        <v>2015MaleAllEth23Other</v>
      </c>
      <c r="U4039" s="360">
        <v>2015</v>
      </c>
      <c r="V4039" s="360" t="s">
        <v>20</v>
      </c>
      <c r="W4039" s="360" t="s">
        <v>27</v>
      </c>
      <c r="X4039" s="360">
        <v>23</v>
      </c>
      <c r="Y4039" s="360" t="s">
        <v>45</v>
      </c>
      <c r="Z4039" s="360">
        <v>5</v>
      </c>
      <c r="AA4039" s="360">
        <v>136</v>
      </c>
      <c r="AB4039" s="360">
        <v>3.7</v>
      </c>
    </row>
    <row r="4040" spans="10:28" x14ac:dyDescent="0.2">
      <c r="J4040" s="358" t="str">
        <f t="shared" si="172"/>
        <v>2015MaleNon-Maori232</v>
      </c>
      <c r="K4040" s="359">
        <v>2015</v>
      </c>
      <c r="L4040" t="s">
        <v>20</v>
      </c>
      <c r="M4040" t="s">
        <v>19</v>
      </c>
      <c r="N4040">
        <v>23</v>
      </c>
      <c r="O4040">
        <v>2</v>
      </c>
      <c r="P4040">
        <v>20</v>
      </c>
      <c r="Q4040">
        <v>18.6603874519902</v>
      </c>
      <c r="R4040">
        <v>8.1999999999999993</v>
      </c>
      <c r="T4040" s="358" t="str">
        <f t="shared" si="173"/>
        <v>2015MaleAllEth24Other</v>
      </c>
      <c r="U4040" s="360">
        <v>2015</v>
      </c>
      <c r="V4040" s="360" t="s">
        <v>20</v>
      </c>
      <c r="W4040" s="360" t="s">
        <v>27</v>
      </c>
      <c r="X4040" s="360">
        <v>24</v>
      </c>
      <c r="Y4040" s="360" t="s">
        <v>45</v>
      </c>
      <c r="Z4040" s="360">
        <v>5</v>
      </c>
      <c r="AA4040" s="360">
        <v>124</v>
      </c>
      <c r="AB4040" s="360">
        <v>4</v>
      </c>
    </row>
    <row r="4041" spans="10:28" x14ac:dyDescent="0.2">
      <c r="J4041" s="358" t="str">
        <f t="shared" si="172"/>
        <v>2015MaleNon-Maori233</v>
      </c>
      <c r="K4041" s="359">
        <v>2015</v>
      </c>
      <c r="L4041" t="s">
        <v>20</v>
      </c>
      <c r="M4041" t="s">
        <v>19</v>
      </c>
      <c r="N4041">
        <v>23</v>
      </c>
      <c r="O4041">
        <v>3</v>
      </c>
      <c r="P4041">
        <v>17</v>
      </c>
      <c r="Q4041">
        <v>15.775806144944299</v>
      </c>
      <c r="R4041">
        <v>7.5</v>
      </c>
      <c r="T4041" s="358" t="str">
        <f t="shared" si="173"/>
        <v>2015MaleAllEth25Other</v>
      </c>
      <c r="U4041" s="360">
        <v>2015</v>
      </c>
      <c r="V4041" s="360" t="s">
        <v>20</v>
      </c>
      <c r="W4041" s="360" t="s">
        <v>27</v>
      </c>
      <c r="X4041" s="360">
        <v>25</v>
      </c>
      <c r="Y4041" s="360" t="s">
        <v>45</v>
      </c>
      <c r="Z4041" s="360">
        <v>3</v>
      </c>
      <c r="AA4041" s="360">
        <v>48</v>
      </c>
      <c r="AB4041" s="360">
        <v>6.2</v>
      </c>
    </row>
    <row r="4042" spans="10:28" x14ac:dyDescent="0.2">
      <c r="J4042" s="358" t="str">
        <f t="shared" si="172"/>
        <v>2015MaleNon-Maori234</v>
      </c>
      <c r="K4042" s="359">
        <v>2015</v>
      </c>
      <c r="L4042" t="s">
        <v>20</v>
      </c>
      <c r="M4042" t="s">
        <v>19</v>
      </c>
      <c r="N4042">
        <v>23</v>
      </c>
      <c r="O4042">
        <v>4</v>
      </c>
      <c r="P4042">
        <v>19</v>
      </c>
      <c r="Q4042">
        <v>18.7588323809183</v>
      </c>
      <c r="R4042">
        <v>8.4</v>
      </c>
      <c r="T4042" s="358" t="str">
        <f t="shared" si="173"/>
        <v>2015MaleAllEth22Poisoning by gases and vapours</v>
      </c>
      <c r="U4042" s="360">
        <v>2015</v>
      </c>
      <c r="V4042" s="360" t="s">
        <v>20</v>
      </c>
      <c r="W4042" s="360" t="s">
        <v>27</v>
      </c>
      <c r="X4042" s="360">
        <v>22</v>
      </c>
      <c r="Y4042" s="360" t="s">
        <v>46</v>
      </c>
      <c r="Z4042" s="360">
        <v>3</v>
      </c>
      <c r="AA4042" s="360">
        <v>69</v>
      </c>
      <c r="AB4042" s="360">
        <v>4.3</v>
      </c>
    </row>
    <row r="4043" spans="10:28" x14ac:dyDescent="0.2">
      <c r="J4043" s="358" t="str">
        <f t="shared" si="172"/>
        <v>2015MaleNon-Maori235</v>
      </c>
      <c r="K4043" s="359">
        <v>2015</v>
      </c>
      <c r="L4043" t="s">
        <v>20</v>
      </c>
      <c r="M4043" t="s">
        <v>19</v>
      </c>
      <c r="N4043">
        <v>23</v>
      </c>
      <c r="O4043">
        <v>5</v>
      </c>
      <c r="P4043">
        <v>21</v>
      </c>
      <c r="Q4043">
        <v>25.734213584915601</v>
      </c>
      <c r="R4043">
        <v>11</v>
      </c>
      <c r="T4043" s="358" t="str">
        <f t="shared" si="173"/>
        <v>2015MaleAllEth23Poisoning by gases and vapours</v>
      </c>
      <c r="U4043" s="360">
        <v>2015</v>
      </c>
      <c r="V4043" s="360" t="s">
        <v>20</v>
      </c>
      <c r="W4043" s="360" t="s">
        <v>27</v>
      </c>
      <c r="X4043" s="360">
        <v>23</v>
      </c>
      <c r="Y4043" s="360" t="s">
        <v>46</v>
      </c>
      <c r="Z4043" s="360">
        <v>16</v>
      </c>
      <c r="AA4043" s="360">
        <v>136</v>
      </c>
      <c r="AB4043" s="360">
        <v>11.8</v>
      </c>
    </row>
    <row r="4044" spans="10:28" x14ac:dyDescent="0.2">
      <c r="J4044" s="358" t="str">
        <f t="shared" si="172"/>
        <v>2015MaleNon-Maori241</v>
      </c>
      <c r="K4044" s="359">
        <v>2015</v>
      </c>
      <c r="L4044" t="s">
        <v>20</v>
      </c>
      <c r="M4044" t="s">
        <v>19</v>
      </c>
      <c r="N4044">
        <v>24</v>
      </c>
      <c r="O4044">
        <v>1</v>
      </c>
      <c r="P4044">
        <v>18</v>
      </c>
      <c r="Q4044">
        <v>13.771209822719101</v>
      </c>
      <c r="R4044">
        <v>6.4</v>
      </c>
      <c r="T4044" s="358" t="str">
        <f t="shared" si="173"/>
        <v>2015MaleAllEth24Poisoning by gases and vapours</v>
      </c>
      <c r="U4044" s="360">
        <v>2015</v>
      </c>
      <c r="V4044" s="360" t="s">
        <v>20</v>
      </c>
      <c r="W4044" s="360" t="s">
        <v>27</v>
      </c>
      <c r="X4044" s="360">
        <v>24</v>
      </c>
      <c r="Y4044" s="360" t="s">
        <v>46</v>
      </c>
      <c r="Z4044" s="360">
        <v>18</v>
      </c>
      <c r="AA4044" s="360">
        <v>124</v>
      </c>
      <c r="AB4044" s="360">
        <v>14.5</v>
      </c>
    </row>
    <row r="4045" spans="10:28" x14ac:dyDescent="0.2">
      <c r="J4045" s="358" t="str">
        <f t="shared" si="172"/>
        <v>2015MaleNon-Maori242</v>
      </c>
      <c r="K4045" s="359">
        <v>2015</v>
      </c>
      <c r="L4045" t="s">
        <v>20</v>
      </c>
      <c r="M4045" t="s">
        <v>19</v>
      </c>
      <c r="N4045">
        <v>24</v>
      </c>
      <c r="O4045">
        <v>2</v>
      </c>
      <c r="P4045">
        <v>25</v>
      </c>
      <c r="Q4045">
        <v>21.903119951304099</v>
      </c>
      <c r="R4045">
        <v>8.6</v>
      </c>
      <c r="T4045" s="358" t="str">
        <f t="shared" si="173"/>
        <v>2015MaleAllEth25Poisoning by gases and vapours</v>
      </c>
      <c r="U4045" s="360">
        <v>2015</v>
      </c>
      <c r="V4045" s="360" t="s">
        <v>20</v>
      </c>
      <c r="W4045" s="360" t="s">
        <v>27</v>
      </c>
      <c r="X4045" s="360">
        <v>25</v>
      </c>
      <c r="Y4045" s="360" t="s">
        <v>46</v>
      </c>
      <c r="Z4045" s="360">
        <v>1</v>
      </c>
      <c r="AA4045" s="360">
        <v>48</v>
      </c>
      <c r="AB4045" s="360">
        <v>2.1</v>
      </c>
    </row>
    <row r="4046" spans="10:28" x14ac:dyDescent="0.2">
      <c r="J4046" s="358" t="str">
        <f t="shared" si="172"/>
        <v>2015MaleNon-Maori243</v>
      </c>
      <c r="K4046" s="359">
        <v>2015</v>
      </c>
      <c r="L4046" t="s">
        <v>20</v>
      </c>
      <c r="M4046" t="s">
        <v>19</v>
      </c>
      <c r="N4046">
        <v>24</v>
      </c>
      <c r="O4046">
        <v>3</v>
      </c>
      <c r="P4046">
        <v>17</v>
      </c>
      <c r="Q4046">
        <v>17.016677236346201</v>
      </c>
      <c r="R4046">
        <v>8.1</v>
      </c>
      <c r="T4046" s="358" t="str">
        <f t="shared" si="173"/>
        <v>2015MaleAllEth22Poisoning by solids and liquids</v>
      </c>
      <c r="U4046" s="360">
        <v>2015</v>
      </c>
      <c r="V4046" s="360" t="s">
        <v>20</v>
      </c>
      <c r="W4046" s="360" t="s">
        <v>27</v>
      </c>
      <c r="X4046" s="360">
        <v>22</v>
      </c>
      <c r="Y4046" s="360" t="s">
        <v>47</v>
      </c>
      <c r="Z4046" s="360">
        <v>1</v>
      </c>
      <c r="AA4046" s="360">
        <v>69</v>
      </c>
      <c r="AB4046" s="360">
        <v>1.4</v>
      </c>
    </row>
    <row r="4047" spans="10:28" x14ac:dyDescent="0.2">
      <c r="J4047" s="358" t="str">
        <f t="shared" si="172"/>
        <v>2015MaleNon-Maori244</v>
      </c>
      <c r="K4047" s="359">
        <v>2015</v>
      </c>
      <c r="L4047" t="s">
        <v>20</v>
      </c>
      <c r="M4047" t="s">
        <v>19</v>
      </c>
      <c r="N4047">
        <v>24</v>
      </c>
      <c r="O4047">
        <v>4</v>
      </c>
      <c r="P4047">
        <v>26</v>
      </c>
      <c r="Q4047">
        <v>30.090732785584599</v>
      </c>
      <c r="R4047">
        <v>11.6</v>
      </c>
      <c r="T4047" s="358" t="str">
        <f t="shared" si="173"/>
        <v>2015MaleAllEth23Poisoning by solids and liquids</v>
      </c>
      <c r="U4047" s="360">
        <v>2015</v>
      </c>
      <c r="V4047" s="360" t="s">
        <v>20</v>
      </c>
      <c r="W4047" s="360" t="s">
        <v>27</v>
      </c>
      <c r="X4047" s="360">
        <v>23</v>
      </c>
      <c r="Y4047" s="360" t="s">
        <v>47</v>
      </c>
      <c r="Z4047" s="360">
        <v>2</v>
      </c>
      <c r="AA4047" s="360">
        <v>136</v>
      </c>
      <c r="AB4047" s="360">
        <v>1.5</v>
      </c>
    </row>
    <row r="4048" spans="10:28" x14ac:dyDescent="0.2">
      <c r="J4048" s="358" t="str">
        <f t="shared" si="172"/>
        <v>2015MaleNon-Maori245</v>
      </c>
      <c r="K4048" s="359">
        <v>2015</v>
      </c>
      <c r="L4048" t="s">
        <v>20</v>
      </c>
      <c r="M4048" t="s">
        <v>19</v>
      </c>
      <c r="N4048">
        <v>24</v>
      </c>
      <c r="O4048">
        <v>5</v>
      </c>
      <c r="P4048">
        <v>20</v>
      </c>
      <c r="Q4048">
        <v>28.931996443989998</v>
      </c>
      <c r="R4048">
        <v>12.7</v>
      </c>
      <c r="T4048" s="358" t="str">
        <f t="shared" si="173"/>
        <v>2015MaleAllEth24Poisoning by solids and liquids</v>
      </c>
      <c r="U4048" s="360">
        <v>2015</v>
      </c>
      <c r="V4048" s="360" t="s">
        <v>20</v>
      </c>
      <c r="W4048" s="360" t="s">
        <v>27</v>
      </c>
      <c r="X4048" s="360">
        <v>24</v>
      </c>
      <c r="Y4048" s="360" t="s">
        <v>47</v>
      </c>
      <c r="Z4048" s="360">
        <v>8</v>
      </c>
      <c r="AA4048" s="360">
        <v>124</v>
      </c>
      <c r="AB4048" s="360">
        <v>6.5</v>
      </c>
    </row>
    <row r="4049" spans="10:28" x14ac:dyDescent="0.2">
      <c r="J4049" s="358" t="str">
        <f t="shared" si="172"/>
        <v>2015MaleNon-Maori251</v>
      </c>
      <c r="K4049" s="359">
        <v>2015</v>
      </c>
      <c r="L4049" t="s">
        <v>20</v>
      </c>
      <c r="M4049" t="s">
        <v>19</v>
      </c>
      <c r="N4049">
        <v>25</v>
      </c>
      <c r="O4049">
        <v>1</v>
      </c>
      <c r="P4049">
        <v>11</v>
      </c>
      <c r="Q4049">
        <v>16.777628132716199</v>
      </c>
      <c r="R4049">
        <v>9.9</v>
      </c>
      <c r="T4049" s="358" t="str">
        <f t="shared" si="173"/>
        <v>2015MaleAllEth25Poisoning by solids and liquids</v>
      </c>
      <c r="U4049" s="360">
        <v>2015</v>
      </c>
      <c r="V4049" s="360" t="s">
        <v>20</v>
      </c>
      <c r="W4049" s="360" t="s">
        <v>27</v>
      </c>
      <c r="X4049" s="360">
        <v>25</v>
      </c>
      <c r="Y4049" s="360" t="s">
        <v>47</v>
      </c>
      <c r="Z4049" s="360">
        <v>5</v>
      </c>
      <c r="AA4049" s="360">
        <v>48</v>
      </c>
      <c r="AB4049" s="360">
        <v>10.4</v>
      </c>
    </row>
    <row r="4050" spans="10:28" x14ac:dyDescent="0.2">
      <c r="J4050" s="358" t="str">
        <f t="shared" si="172"/>
        <v>2015MaleNon-Maori252</v>
      </c>
      <c r="K4050" s="359">
        <v>2015</v>
      </c>
      <c r="L4050" t="s">
        <v>20</v>
      </c>
      <c r="M4050" t="s">
        <v>19</v>
      </c>
      <c r="N4050">
        <v>25</v>
      </c>
      <c r="O4050">
        <v>2</v>
      </c>
      <c r="P4050">
        <v>11</v>
      </c>
      <c r="Q4050">
        <v>17.168387787096002</v>
      </c>
      <c r="R4050">
        <v>10.1</v>
      </c>
      <c r="T4050" s="358" t="str">
        <f t="shared" si="173"/>
        <v>2015MaleAllEth22Sharp object</v>
      </c>
      <c r="U4050" s="360">
        <v>2015</v>
      </c>
      <c r="V4050" s="360" t="s">
        <v>20</v>
      </c>
      <c r="W4050" s="360" t="s">
        <v>27</v>
      </c>
      <c r="X4050" s="360">
        <v>22</v>
      </c>
      <c r="Y4050" s="360" t="s">
        <v>48</v>
      </c>
      <c r="Z4050" s="360">
        <v>1</v>
      </c>
      <c r="AA4050" s="360">
        <v>69</v>
      </c>
      <c r="AB4050" s="360">
        <v>1.4</v>
      </c>
    </row>
    <row r="4051" spans="10:28" x14ac:dyDescent="0.2">
      <c r="J4051" s="358" t="str">
        <f t="shared" si="172"/>
        <v>2015MaleNon-Maori253</v>
      </c>
      <c r="K4051" s="359">
        <v>2015</v>
      </c>
      <c r="L4051" t="s">
        <v>20</v>
      </c>
      <c r="M4051" t="s">
        <v>19</v>
      </c>
      <c r="N4051">
        <v>25</v>
      </c>
      <c r="O4051">
        <v>3</v>
      </c>
      <c r="P4051">
        <v>7</v>
      </c>
      <c r="Q4051">
        <v>11.517548990042</v>
      </c>
      <c r="R4051">
        <v>8.5</v>
      </c>
      <c r="T4051" s="358" t="str">
        <f t="shared" si="173"/>
        <v>2015MaleAllEth23Sharp object</v>
      </c>
      <c r="U4051" s="360">
        <v>2015</v>
      </c>
      <c r="V4051" s="360" t="s">
        <v>20</v>
      </c>
      <c r="W4051" s="360" t="s">
        <v>27</v>
      </c>
      <c r="X4051" s="360">
        <v>23</v>
      </c>
      <c r="Y4051" s="360" t="s">
        <v>48</v>
      </c>
      <c r="Z4051" s="360">
        <v>2</v>
      </c>
      <c r="AA4051" s="360">
        <v>136</v>
      </c>
      <c r="AB4051" s="360">
        <v>1.5</v>
      </c>
    </row>
    <row r="4052" spans="10:28" x14ac:dyDescent="0.2">
      <c r="J4052" s="358" t="str">
        <f t="shared" si="172"/>
        <v>2015MaleNon-Maori254</v>
      </c>
      <c r="K4052" s="359">
        <v>2015</v>
      </c>
      <c r="L4052" t="s">
        <v>20</v>
      </c>
      <c r="M4052" t="s">
        <v>19</v>
      </c>
      <c r="N4052">
        <v>25</v>
      </c>
      <c r="O4052">
        <v>4</v>
      </c>
      <c r="P4052">
        <v>13</v>
      </c>
      <c r="Q4052">
        <v>22.606804355484101</v>
      </c>
      <c r="R4052">
        <v>12.3</v>
      </c>
      <c r="T4052" s="358" t="str">
        <f t="shared" si="173"/>
        <v>2015MaleAllEth24Sharp object</v>
      </c>
      <c r="U4052" s="360">
        <v>2015</v>
      </c>
      <c r="V4052" s="360" t="s">
        <v>20</v>
      </c>
      <c r="W4052" s="360" t="s">
        <v>27</v>
      </c>
      <c r="X4052" s="360">
        <v>24</v>
      </c>
      <c r="Y4052" s="360" t="s">
        <v>48</v>
      </c>
      <c r="Z4052" s="360">
        <v>3</v>
      </c>
      <c r="AA4052" s="360">
        <v>124</v>
      </c>
      <c r="AB4052" s="360">
        <v>2.4</v>
      </c>
    </row>
    <row r="4053" spans="10:28" x14ac:dyDescent="0.2">
      <c r="J4053" s="358" t="str">
        <f t="shared" si="172"/>
        <v>2015MaleNon-Maori255</v>
      </c>
      <c r="K4053" s="359">
        <v>2015</v>
      </c>
      <c r="L4053" t="s">
        <v>20</v>
      </c>
      <c r="M4053" t="s">
        <v>19</v>
      </c>
      <c r="N4053">
        <v>25</v>
      </c>
      <c r="O4053">
        <v>5</v>
      </c>
      <c r="P4053">
        <v>6</v>
      </c>
      <c r="Q4053">
        <v>13.735986953919801</v>
      </c>
      <c r="R4053">
        <v>11</v>
      </c>
      <c r="T4053" s="358" t="str">
        <f t="shared" si="173"/>
        <v>2015MaleAllEth25Sharp object</v>
      </c>
      <c r="U4053" s="360">
        <v>2015</v>
      </c>
      <c r="V4053" s="360" t="s">
        <v>20</v>
      </c>
      <c r="W4053" s="360" t="s">
        <v>27</v>
      </c>
      <c r="X4053" s="360">
        <v>25</v>
      </c>
      <c r="Y4053" s="360" t="s">
        <v>48</v>
      </c>
      <c r="Z4053" s="360">
        <v>2</v>
      </c>
      <c r="AA4053" s="360">
        <v>48</v>
      </c>
      <c r="AB4053" s="360">
        <v>4.2</v>
      </c>
    </row>
    <row r="4054" spans="10:28" x14ac:dyDescent="0.2">
      <c r="T4054" s="358" t="str">
        <f t="shared" si="173"/>
        <v>2015MaleAllEth23Submersion (drowning)</v>
      </c>
      <c r="U4054" s="360">
        <v>2015</v>
      </c>
      <c r="V4054" s="360" t="s">
        <v>20</v>
      </c>
      <c r="W4054" s="360" t="s">
        <v>27</v>
      </c>
      <c r="X4054" s="360">
        <v>23</v>
      </c>
      <c r="Y4054" s="360" t="s">
        <v>49</v>
      </c>
      <c r="Z4054" s="360">
        <v>1</v>
      </c>
      <c r="AA4054" s="360">
        <v>136</v>
      </c>
      <c r="AB4054" s="360">
        <v>0.7</v>
      </c>
    </row>
    <row r="4055" spans="10:28" x14ac:dyDescent="0.2">
      <c r="T4055" s="358" t="str">
        <f t="shared" si="173"/>
        <v>2015MaleAllEth24Submersion (drowning)</v>
      </c>
      <c r="U4055" s="360">
        <v>2015</v>
      </c>
      <c r="V4055" s="360" t="s">
        <v>20</v>
      </c>
      <c r="W4055" s="360" t="s">
        <v>27</v>
      </c>
      <c r="X4055" s="360">
        <v>24</v>
      </c>
      <c r="Y4055" s="360" t="s">
        <v>49</v>
      </c>
      <c r="Z4055" s="360">
        <v>1</v>
      </c>
      <c r="AA4055" s="360">
        <v>124</v>
      </c>
      <c r="AB4055" s="360">
        <v>0.8</v>
      </c>
    </row>
    <row r="4056" spans="10:28" x14ac:dyDescent="0.2">
      <c r="T4056" s="358" t="str">
        <f t="shared" si="173"/>
        <v>2015MaleAllEth25Submersion (drowning)</v>
      </c>
      <c r="U4056" s="360">
        <v>2015</v>
      </c>
      <c r="V4056" s="360" t="s">
        <v>20</v>
      </c>
      <c r="W4056" s="360" t="s">
        <v>27</v>
      </c>
      <c r="X4056" s="360">
        <v>25</v>
      </c>
      <c r="Y4056" s="360" t="s">
        <v>49</v>
      </c>
      <c r="Z4056" s="360">
        <v>5</v>
      </c>
      <c r="AA4056" s="360">
        <v>48</v>
      </c>
      <c r="AB4056" s="360">
        <v>10.4</v>
      </c>
    </row>
    <row r="4057" spans="10:28" x14ac:dyDescent="0.2">
      <c r="T4057" s="358" t="str">
        <f t="shared" si="173"/>
        <v>2015MaleMaori23Firearms and explosives</v>
      </c>
      <c r="U4057" s="360">
        <v>2015</v>
      </c>
      <c r="V4057" s="360" t="s">
        <v>20</v>
      </c>
      <c r="W4057" s="360" t="s">
        <v>18</v>
      </c>
      <c r="X4057" s="360">
        <v>23</v>
      </c>
      <c r="Y4057" s="360" t="s">
        <v>42</v>
      </c>
      <c r="Z4057" s="360">
        <v>1</v>
      </c>
      <c r="AA4057" s="360">
        <v>40</v>
      </c>
      <c r="AB4057" s="360">
        <v>2.5</v>
      </c>
    </row>
    <row r="4058" spans="10:28" x14ac:dyDescent="0.2">
      <c r="T4058" s="358" t="str">
        <f t="shared" si="173"/>
        <v>2015MaleMaori21Hanging, strangulation and suffocation</v>
      </c>
      <c r="U4058" s="360">
        <v>2015</v>
      </c>
      <c r="V4058" s="360" t="s">
        <v>20</v>
      </c>
      <c r="W4058" s="360" t="s">
        <v>18</v>
      </c>
      <c r="X4058" s="360">
        <v>21</v>
      </c>
      <c r="Y4058" s="360" t="s">
        <v>43</v>
      </c>
      <c r="Z4058" s="360">
        <v>3</v>
      </c>
      <c r="AA4058" s="360">
        <v>3</v>
      </c>
      <c r="AB4058" s="360">
        <v>100</v>
      </c>
    </row>
    <row r="4059" spans="10:28" x14ac:dyDescent="0.2">
      <c r="T4059" s="358" t="str">
        <f t="shared" si="173"/>
        <v>2015MaleMaori22Hanging, strangulation and suffocation</v>
      </c>
      <c r="U4059" s="360">
        <v>2015</v>
      </c>
      <c r="V4059" s="360" t="s">
        <v>20</v>
      </c>
      <c r="W4059" s="360" t="s">
        <v>18</v>
      </c>
      <c r="X4059" s="360">
        <v>22</v>
      </c>
      <c r="Y4059" s="360" t="s">
        <v>43</v>
      </c>
      <c r="Z4059" s="360">
        <v>17</v>
      </c>
      <c r="AA4059" s="360">
        <v>19</v>
      </c>
      <c r="AB4059" s="360">
        <v>89.5</v>
      </c>
    </row>
    <row r="4060" spans="10:28" x14ac:dyDescent="0.2">
      <c r="T4060" s="358" t="str">
        <f t="shared" si="173"/>
        <v>2015MaleMaori23Hanging, strangulation and suffocation</v>
      </c>
      <c r="U4060" s="360">
        <v>2015</v>
      </c>
      <c r="V4060" s="360" t="s">
        <v>20</v>
      </c>
      <c r="W4060" s="360" t="s">
        <v>18</v>
      </c>
      <c r="X4060" s="360">
        <v>23</v>
      </c>
      <c r="Y4060" s="360" t="s">
        <v>43</v>
      </c>
      <c r="Z4060" s="360">
        <v>36</v>
      </c>
      <c r="AA4060" s="360">
        <v>40</v>
      </c>
      <c r="AB4060" s="360">
        <v>90</v>
      </c>
    </row>
    <row r="4061" spans="10:28" x14ac:dyDescent="0.2">
      <c r="T4061" s="358" t="str">
        <f t="shared" si="173"/>
        <v>2015MaleMaori24Hanging, strangulation and suffocation</v>
      </c>
      <c r="U4061" s="360">
        <v>2015</v>
      </c>
      <c r="V4061" s="360" t="s">
        <v>20</v>
      </c>
      <c r="W4061" s="360" t="s">
        <v>18</v>
      </c>
      <c r="X4061" s="360">
        <v>24</v>
      </c>
      <c r="Y4061" s="360" t="s">
        <v>43</v>
      </c>
      <c r="Z4061" s="360">
        <v>13</v>
      </c>
      <c r="AA4061" s="360">
        <v>15</v>
      </c>
      <c r="AB4061" s="360">
        <v>86.7</v>
      </c>
    </row>
    <row r="4062" spans="10:28" x14ac:dyDescent="0.2">
      <c r="T4062" s="358" t="str">
        <f t="shared" si="173"/>
        <v>2015MaleMaori23Other</v>
      </c>
      <c r="U4062" s="360">
        <v>2015</v>
      </c>
      <c r="V4062" s="360" t="s">
        <v>20</v>
      </c>
      <c r="W4062" s="360" t="s">
        <v>18</v>
      </c>
      <c r="X4062" s="360">
        <v>23</v>
      </c>
      <c r="Y4062" s="360" t="s">
        <v>45</v>
      </c>
      <c r="Z4062" s="360">
        <v>2</v>
      </c>
      <c r="AA4062" s="360">
        <v>40</v>
      </c>
      <c r="AB4062" s="360">
        <v>5</v>
      </c>
    </row>
    <row r="4063" spans="10:28" x14ac:dyDescent="0.2">
      <c r="T4063" s="358" t="str">
        <f t="shared" si="173"/>
        <v>2015MaleMaori22Poisoning by gases and vapours</v>
      </c>
      <c r="U4063" s="360">
        <v>2015</v>
      </c>
      <c r="V4063" s="360" t="s">
        <v>20</v>
      </c>
      <c r="W4063" s="360" t="s">
        <v>18</v>
      </c>
      <c r="X4063" s="360">
        <v>22</v>
      </c>
      <c r="Y4063" s="360" t="s">
        <v>46</v>
      </c>
      <c r="Z4063" s="360">
        <v>2</v>
      </c>
      <c r="AA4063" s="360">
        <v>19</v>
      </c>
      <c r="AB4063" s="360">
        <v>10.5</v>
      </c>
    </row>
    <row r="4064" spans="10:28" x14ac:dyDescent="0.2">
      <c r="T4064" s="358" t="str">
        <f t="shared" si="173"/>
        <v>2015MaleMaori23Poisoning by gases and vapours</v>
      </c>
      <c r="U4064" s="360">
        <v>2015</v>
      </c>
      <c r="V4064" s="360" t="s">
        <v>20</v>
      </c>
      <c r="W4064" s="360" t="s">
        <v>18</v>
      </c>
      <c r="X4064" s="360">
        <v>23</v>
      </c>
      <c r="Y4064" s="360" t="s">
        <v>46</v>
      </c>
      <c r="Z4064" s="360">
        <v>1</v>
      </c>
      <c r="AA4064" s="360">
        <v>40</v>
      </c>
      <c r="AB4064" s="360">
        <v>2.5</v>
      </c>
    </row>
    <row r="4065" spans="20:28" x14ac:dyDescent="0.2">
      <c r="T4065" s="358" t="str">
        <f t="shared" si="173"/>
        <v>2015MaleMaori24Poisoning by gases and vapours</v>
      </c>
      <c r="U4065" s="360">
        <v>2015</v>
      </c>
      <c r="V4065" s="360" t="s">
        <v>20</v>
      </c>
      <c r="W4065" s="360" t="s">
        <v>18</v>
      </c>
      <c r="X4065" s="360">
        <v>24</v>
      </c>
      <c r="Y4065" s="360" t="s">
        <v>46</v>
      </c>
      <c r="Z4065" s="360">
        <v>1</v>
      </c>
      <c r="AA4065" s="360">
        <v>15</v>
      </c>
      <c r="AB4065" s="360">
        <v>6.7</v>
      </c>
    </row>
    <row r="4066" spans="20:28" x14ac:dyDescent="0.2">
      <c r="T4066" s="358" t="str">
        <f t="shared" si="173"/>
        <v>2015MaleMaori24Submersion (drowning)</v>
      </c>
      <c r="U4066" s="360">
        <v>2015</v>
      </c>
      <c r="V4066" s="360" t="s">
        <v>20</v>
      </c>
      <c r="W4066" s="360" t="s">
        <v>18</v>
      </c>
      <c r="X4066" s="360">
        <v>24</v>
      </c>
      <c r="Y4066" s="360" t="s">
        <v>49</v>
      </c>
      <c r="Z4066" s="360">
        <v>1</v>
      </c>
      <c r="AA4066" s="360">
        <v>15</v>
      </c>
      <c r="AB4066" s="360">
        <v>6.7</v>
      </c>
    </row>
    <row r="4067" spans="20:28" x14ac:dyDescent="0.2">
      <c r="T4067" s="358" t="str">
        <f t="shared" si="173"/>
        <v>2015MaleNon-Maori22Firearms and explosives</v>
      </c>
      <c r="U4067" s="360">
        <v>2015</v>
      </c>
      <c r="V4067" s="360" t="s">
        <v>20</v>
      </c>
      <c r="W4067" s="360" t="s">
        <v>19</v>
      </c>
      <c r="X4067" s="360">
        <v>22</v>
      </c>
      <c r="Y4067" s="360" t="s">
        <v>42</v>
      </c>
      <c r="Z4067" s="360">
        <v>2</v>
      </c>
      <c r="AA4067" s="360">
        <v>50</v>
      </c>
      <c r="AB4067" s="360">
        <v>4</v>
      </c>
    </row>
    <row r="4068" spans="20:28" x14ac:dyDescent="0.2">
      <c r="T4068" s="358" t="str">
        <f t="shared" si="173"/>
        <v>2015MaleNon-Maori23Firearms and explosives</v>
      </c>
      <c r="U4068" s="360">
        <v>2015</v>
      </c>
      <c r="V4068" s="360" t="s">
        <v>20</v>
      </c>
      <c r="W4068" s="360" t="s">
        <v>19</v>
      </c>
      <c r="X4068" s="360">
        <v>23</v>
      </c>
      <c r="Y4068" s="360" t="s">
        <v>42</v>
      </c>
      <c r="Z4068" s="360">
        <v>7</v>
      </c>
      <c r="AA4068" s="360">
        <v>96</v>
      </c>
      <c r="AB4068" s="360">
        <v>7.3</v>
      </c>
    </row>
    <row r="4069" spans="20:28" x14ac:dyDescent="0.2">
      <c r="T4069" s="358" t="str">
        <f t="shared" si="173"/>
        <v>2015MaleNon-Maori24Firearms and explosives</v>
      </c>
      <c r="U4069" s="360">
        <v>2015</v>
      </c>
      <c r="V4069" s="360" t="s">
        <v>20</v>
      </c>
      <c r="W4069" s="360" t="s">
        <v>19</v>
      </c>
      <c r="X4069" s="360">
        <v>24</v>
      </c>
      <c r="Y4069" s="360" t="s">
        <v>42</v>
      </c>
      <c r="Z4069" s="360">
        <v>13</v>
      </c>
      <c r="AA4069" s="360">
        <v>109</v>
      </c>
      <c r="AB4069" s="360">
        <v>11.9</v>
      </c>
    </row>
    <row r="4070" spans="20:28" x14ac:dyDescent="0.2">
      <c r="T4070" s="358" t="str">
        <f t="shared" si="173"/>
        <v>2015MaleNon-Maori25Firearms and explosives</v>
      </c>
      <c r="U4070" s="360">
        <v>2015</v>
      </c>
      <c r="V4070" s="360" t="s">
        <v>20</v>
      </c>
      <c r="W4070" s="360" t="s">
        <v>19</v>
      </c>
      <c r="X4070" s="360">
        <v>25</v>
      </c>
      <c r="Y4070" s="360" t="s">
        <v>42</v>
      </c>
      <c r="Z4070" s="360">
        <v>15</v>
      </c>
      <c r="AA4070" s="360">
        <v>48</v>
      </c>
      <c r="AB4070" s="360">
        <v>31.2</v>
      </c>
    </row>
    <row r="4071" spans="20:28" x14ac:dyDescent="0.2">
      <c r="T4071" s="358" t="str">
        <f t="shared" si="173"/>
        <v>2015MaleNon-Maori21Hanging, strangulation and suffocation</v>
      </c>
      <c r="U4071" s="360">
        <v>2015</v>
      </c>
      <c r="V4071" s="360" t="s">
        <v>20</v>
      </c>
      <c r="W4071" s="360" t="s">
        <v>19</v>
      </c>
      <c r="X4071" s="360">
        <v>21</v>
      </c>
      <c r="Y4071" s="360" t="s">
        <v>43</v>
      </c>
      <c r="Z4071" s="360">
        <v>3</v>
      </c>
      <c r="AA4071" s="360">
        <v>3</v>
      </c>
      <c r="AB4071" s="360">
        <v>100</v>
      </c>
    </row>
    <row r="4072" spans="20:28" x14ac:dyDescent="0.2">
      <c r="T4072" s="358" t="str">
        <f t="shared" si="173"/>
        <v>2015MaleNon-Maori22Hanging, strangulation and suffocation</v>
      </c>
      <c r="U4072" s="360">
        <v>2015</v>
      </c>
      <c r="V4072" s="360" t="s">
        <v>20</v>
      </c>
      <c r="W4072" s="360" t="s">
        <v>19</v>
      </c>
      <c r="X4072" s="360">
        <v>22</v>
      </c>
      <c r="Y4072" s="360" t="s">
        <v>43</v>
      </c>
      <c r="Z4072" s="360">
        <v>40</v>
      </c>
      <c r="AA4072" s="360">
        <v>50</v>
      </c>
      <c r="AB4072" s="360">
        <v>80</v>
      </c>
    </row>
    <row r="4073" spans="20:28" x14ac:dyDescent="0.2">
      <c r="T4073" s="358" t="str">
        <f t="shared" si="173"/>
        <v>2015MaleNon-Maori23Hanging, strangulation and suffocation</v>
      </c>
      <c r="U4073" s="360">
        <v>2015</v>
      </c>
      <c r="V4073" s="360" t="s">
        <v>20</v>
      </c>
      <c r="W4073" s="360" t="s">
        <v>19</v>
      </c>
      <c r="X4073" s="360">
        <v>23</v>
      </c>
      <c r="Y4073" s="360" t="s">
        <v>43</v>
      </c>
      <c r="Z4073" s="360">
        <v>62</v>
      </c>
      <c r="AA4073" s="360">
        <v>96</v>
      </c>
      <c r="AB4073" s="360">
        <v>64.599999999999994</v>
      </c>
    </row>
    <row r="4074" spans="20:28" x14ac:dyDescent="0.2">
      <c r="T4074" s="358" t="str">
        <f t="shared" si="173"/>
        <v>2015MaleNon-Maori24Hanging, strangulation and suffocation</v>
      </c>
      <c r="U4074" s="360">
        <v>2015</v>
      </c>
      <c r="V4074" s="360" t="s">
        <v>20</v>
      </c>
      <c r="W4074" s="360" t="s">
        <v>19</v>
      </c>
      <c r="X4074" s="360">
        <v>24</v>
      </c>
      <c r="Y4074" s="360" t="s">
        <v>43</v>
      </c>
      <c r="Z4074" s="360">
        <v>56</v>
      </c>
      <c r="AA4074" s="360">
        <v>109</v>
      </c>
      <c r="AB4074" s="360">
        <v>51.4</v>
      </c>
    </row>
    <row r="4075" spans="20:28" x14ac:dyDescent="0.2">
      <c r="T4075" s="358" t="str">
        <f t="shared" si="173"/>
        <v>2015MaleNon-Maori25Hanging, strangulation and suffocation</v>
      </c>
      <c r="U4075" s="360">
        <v>2015</v>
      </c>
      <c r="V4075" s="360" t="s">
        <v>20</v>
      </c>
      <c r="W4075" s="360" t="s">
        <v>19</v>
      </c>
      <c r="X4075" s="360">
        <v>25</v>
      </c>
      <c r="Y4075" s="360" t="s">
        <v>43</v>
      </c>
      <c r="Z4075" s="360">
        <v>14</v>
      </c>
      <c r="AA4075" s="360">
        <v>48</v>
      </c>
      <c r="AB4075" s="360">
        <v>29.2</v>
      </c>
    </row>
    <row r="4076" spans="20:28" x14ac:dyDescent="0.2">
      <c r="T4076" s="358" t="str">
        <f t="shared" si="173"/>
        <v>2015MaleNon-Maori22Jumping from a high place</v>
      </c>
      <c r="U4076" s="360">
        <v>2015</v>
      </c>
      <c r="V4076" s="360" t="s">
        <v>20</v>
      </c>
      <c r="W4076" s="360" t="s">
        <v>19</v>
      </c>
      <c r="X4076" s="360">
        <v>22</v>
      </c>
      <c r="Y4076" s="360" t="s">
        <v>44</v>
      </c>
      <c r="Z4076" s="360">
        <v>2</v>
      </c>
      <c r="AA4076" s="360">
        <v>50</v>
      </c>
      <c r="AB4076" s="360">
        <v>4</v>
      </c>
    </row>
    <row r="4077" spans="20:28" x14ac:dyDescent="0.2">
      <c r="T4077" s="358" t="str">
        <f t="shared" si="173"/>
        <v>2015MaleNon-Maori23Jumping from a high place</v>
      </c>
      <c r="U4077" s="360">
        <v>2015</v>
      </c>
      <c r="V4077" s="360" t="s">
        <v>20</v>
      </c>
      <c r="W4077" s="360" t="s">
        <v>19</v>
      </c>
      <c r="X4077" s="360">
        <v>23</v>
      </c>
      <c r="Y4077" s="360" t="s">
        <v>44</v>
      </c>
      <c r="Z4077" s="360">
        <v>4</v>
      </c>
      <c r="AA4077" s="360">
        <v>96</v>
      </c>
      <c r="AB4077" s="360">
        <v>4.2</v>
      </c>
    </row>
    <row r="4078" spans="20:28" x14ac:dyDescent="0.2">
      <c r="T4078" s="358" t="str">
        <f t="shared" si="173"/>
        <v>2015MaleNon-Maori24Jumping from a high place</v>
      </c>
      <c r="U4078" s="360">
        <v>2015</v>
      </c>
      <c r="V4078" s="360" t="s">
        <v>20</v>
      </c>
      <c r="W4078" s="360" t="s">
        <v>19</v>
      </c>
      <c r="X4078" s="360">
        <v>24</v>
      </c>
      <c r="Y4078" s="360" t="s">
        <v>44</v>
      </c>
      <c r="Z4078" s="360">
        <v>7</v>
      </c>
      <c r="AA4078" s="360">
        <v>109</v>
      </c>
      <c r="AB4078" s="360">
        <v>6.4</v>
      </c>
    </row>
    <row r="4079" spans="20:28" x14ac:dyDescent="0.2">
      <c r="T4079" s="358" t="str">
        <f t="shared" si="173"/>
        <v>2015MaleNon-Maori25Jumping from a high place</v>
      </c>
      <c r="U4079" s="360">
        <v>2015</v>
      </c>
      <c r="V4079" s="360" t="s">
        <v>20</v>
      </c>
      <c r="W4079" s="360" t="s">
        <v>19</v>
      </c>
      <c r="X4079" s="360">
        <v>25</v>
      </c>
      <c r="Y4079" s="360" t="s">
        <v>44</v>
      </c>
      <c r="Z4079" s="360">
        <v>3</v>
      </c>
      <c r="AA4079" s="360">
        <v>48</v>
      </c>
      <c r="AB4079" s="360">
        <v>6.2</v>
      </c>
    </row>
    <row r="4080" spans="20:28" x14ac:dyDescent="0.2">
      <c r="T4080" s="358" t="str">
        <f t="shared" si="173"/>
        <v>2015MaleNon-Maori22Other</v>
      </c>
      <c r="U4080" s="360">
        <v>2015</v>
      </c>
      <c r="V4080" s="360" t="s">
        <v>20</v>
      </c>
      <c r="W4080" s="360" t="s">
        <v>19</v>
      </c>
      <c r="X4080" s="360">
        <v>22</v>
      </c>
      <c r="Y4080" s="360" t="s">
        <v>45</v>
      </c>
      <c r="Z4080" s="360">
        <v>3</v>
      </c>
      <c r="AA4080" s="360">
        <v>50</v>
      </c>
      <c r="AB4080" s="360">
        <v>6</v>
      </c>
    </row>
    <row r="4081" spans="20:28" x14ac:dyDescent="0.2">
      <c r="T4081" s="358" t="str">
        <f t="shared" si="173"/>
        <v>2015MaleNon-Maori23Other</v>
      </c>
      <c r="U4081" s="360">
        <v>2015</v>
      </c>
      <c r="V4081" s="360" t="s">
        <v>20</v>
      </c>
      <c r="W4081" s="360" t="s">
        <v>19</v>
      </c>
      <c r="X4081" s="360">
        <v>23</v>
      </c>
      <c r="Y4081" s="360" t="s">
        <v>45</v>
      </c>
      <c r="Z4081" s="360">
        <v>3</v>
      </c>
      <c r="AA4081" s="360">
        <v>96</v>
      </c>
      <c r="AB4081" s="360">
        <v>3.1</v>
      </c>
    </row>
    <row r="4082" spans="20:28" x14ac:dyDescent="0.2">
      <c r="T4082" s="358" t="str">
        <f t="shared" si="173"/>
        <v>2015MaleNon-Maori24Other</v>
      </c>
      <c r="U4082" s="360">
        <v>2015</v>
      </c>
      <c r="V4082" s="360" t="s">
        <v>20</v>
      </c>
      <c r="W4082" s="360" t="s">
        <v>19</v>
      </c>
      <c r="X4082" s="360">
        <v>24</v>
      </c>
      <c r="Y4082" s="360" t="s">
        <v>45</v>
      </c>
      <c r="Z4082" s="360">
        <v>5</v>
      </c>
      <c r="AA4082" s="360">
        <v>109</v>
      </c>
      <c r="AB4082" s="360">
        <v>4.5999999999999996</v>
      </c>
    </row>
    <row r="4083" spans="20:28" x14ac:dyDescent="0.2">
      <c r="T4083" s="358" t="str">
        <f t="shared" si="173"/>
        <v>2015MaleNon-Maori25Other</v>
      </c>
      <c r="U4083" s="360">
        <v>2015</v>
      </c>
      <c r="V4083" s="360" t="s">
        <v>20</v>
      </c>
      <c r="W4083" s="360" t="s">
        <v>19</v>
      </c>
      <c r="X4083" s="360">
        <v>25</v>
      </c>
      <c r="Y4083" s="360" t="s">
        <v>45</v>
      </c>
      <c r="Z4083" s="360">
        <v>3</v>
      </c>
      <c r="AA4083" s="360">
        <v>48</v>
      </c>
      <c r="AB4083" s="360">
        <v>6.2</v>
      </c>
    </row>
    <row r="4084" spans="20:28" x14ac:dyDescent="0.2">
      <c r="T4084" s="358" t="str">
        <f t="shared" si="173"/>
        <v>2015MaleNon-Maori22Poisoning by gases and vapours</v>
      </c>
      <c r="U4084" s="360">
        <v>2015</v>
      </c>
      <c r="V4084" s="360" t="s">
        <v>20</v>
      </c>
      <c r="W4084" s="360" t="s">
        <v>19</v>
      </c>
      <c r="X4084" s="360">
        <v>22</v>
      </c>
      <c r="Y4084" s="360" t="s">
        <v>46</v>
      </c>
      <c r="Z4084" s="360">
        <v>1</v>
      </c>
      <c r="AA4084" s="360">
        <v>50</v>
      </c>
      <c r="AB4084" s="360">
        <v>2</v>
      </c>
    </row>
    <row r="4085" spans="20:28" x14ac:dyDescent="0.2">
      <c r="T4085" s="358" t="str">
        <f t="shared" si="173"/>
        <v>2015MaleNon-Maori23Poisoning by gases and vapours</v>
      </c>
      <c r="U4085" s="360">
        <v>2015</v>
      </c>
      <c r="V4085" s="360" t="s">
        <v>20</v>
      </c>
      <c r="W4085" s="360" t="s">
        <v>19</v>
      </c>
      <c r="X4085" s="360">
        <v>23</v>
      </c>
      <c r="Y4085" s="360" t="s">
        <v>46</v>
      </c>
      <c r="Z4085" s="360">
        <v>15</v>
      </c>
      <c r="AA4085" s="360">
        <v>96</v>
      </c>
      <c r="AB4085" s="360">
        <v>15.6</v>
      </c>
    </row>
    <row r="4086" spans="20:28" x14ac:dyDescent="0.2">
      <c r="T4086" s="358" t="str">
        <f t="shared" si="173"/>
        <v>2015MaleNon-Maori24Poisoning by gases and vapours</v>
      </c>
      <c r="U4086" s="360">
        <v>2015</v>
      </c>
      <c r="V4086" s="360" t="s">
        <v>20</v>
      </c>
      <c r="W4086" s="360" t="s">
        <v>19</v>
      </c>
      <c r="X4086" s="360">
        <v>24</v>
      </c>
      <c r="Y4086" s="360" t="s">
        <v>46</v>
      </c>
      <c r="Z4086" s="360">
        <v>17</v>
      </c>
      <c r="AA4086" s="360">
        <v>109</v>
      </c>
      <c r="AB4086" s="360">
        <v>15.6</v>
      </c>
    </row>
    <row r="4087" spans="20:28" x14ac:dyDescent="0.2">
      <c r="T4087" s="358" t="str">
        <f t="shared" si="173"/>
        <v>2015MaleNon-Maori25Poisoning by gases and vapours</v>
      </c>
      <c r="U4087" s="360">
        <v>2015</v>
      </c>
      <c r="V4087" s="360" t="s">
        <v>20</v>
      </c>
      <c r="W4087" s="360" t="s">
        <v>19</v>
      </c>
      <c r="X4087" s="360">
        <v>25</v>
      </c>
      <c r="Y4087" s="360" t="s">
        <v>46</v>
      </c>
      <c r="Z4087" s="360">
        <v>1</v>
      </c>
      <c r="AA4087" s="360">
        <v>48</v>
      </c>
      <c r="AB4087" s="360">
        <v>2.1</v>
      </c>
    </row>
    <row r="4088" spans="20:28" x14ac:dyDescent="0.2">
      <c r="T4088" s="358" t="str">
        <f t="shared" si="173"/>
        <v>2015MaleNon-Maori22Poisoning by solids and liquids</v>
      </c>
      <c r="U4088" s="360">
        <v>2015</v>
      </c>
      <c r="V4088" s="360" t="s">
        <v>20</v>
      </c>
      <c r="W4088" s="360" t="s">
        <v>19</v>
      </c>
      <c r="X4088" s="360">
        <v>22</v>
      </c>
      <c r="Y4088" s="360" t="s">
        <v>47</v>
      </c>
      <c r="Z4088" s="360">
        <v>1</v>
      </c>
      <c r="AA4088" s="360">
        <v>50</v>
      </c>
      <c r="AB4088" s="360">
        <v>2</v>
      </c>
    </row>
    <row r="4089" spans="20:28" x14ac:dyDescent="0.2">
      <c r="T4089" s="358" t="str">
        <f t="shared" si="173"/>
        <v>2015MaleNon-Maori23Poisoning by solids and liquids</v>
      </c>
      <c r="U4089" s="360">
        <v>2015</v>
      </c>
      <c r="V4089" s="360" t="s">
        <v>20</v>
      </c>
      <c r="W4089" s="360" t="s">
        <v>19</v>
      </c>
      <c r="X4089" s="360">
        <v>23</v>
      </c>
      <c r="Y4089" s="360" t="s">
        <v>47</v>
      </c>
      <c r="Z4089" s="360">
        <v>2</v>
      </c>
      <c r="AA4089" s="360">
        <v>96</v>
      </c>
      <c r="AB4089" s="360">
        <v>2.1</v>
      </c>
    </row>
    <row r="4090" spans="20:28" x14ac:dyDescent="0.2">
      <c r="T4090" s="358" t="str">
        <f t="shared" si="173"/>
        <v>2015MaleNon-Maori24Poisoning by solids and liquids</v>
      </c>
      <c r="U4090" s="360">
        <v>2015</v>
      </c>
      <c r="V4090" s="360" t="s">
        <v>20</v>
      </c>
      <c r="W4090" s="360" t="s">
        <v>19</v>
      </c>
      <c r="X4090" s="360">
        <v>24</v>
      </c>
      <c r="Y4090" s="360" t="s">
        <v>47</v>
      </c>
      <c r="Z4090" s="360">
        <v>8</v>
      </c>
      <c r="AA4090" s="360">
        <v>109</v>
      </c>
      <c r="AB4090" s="360">
        <v>7.3</v>
      </c>
    </row>
    <row r="4091" spans="20:28" x14ac:dyDescent="0.2">
      <c r="T4091" s="358" t="str">
        <f t="shared" si="173"/>
        <v>2015MaleNon-Maori25Poisoning by solids and liquids</v>
      </c>
      <c r="U4091" s="360">
        <v>2015</v>
      </c>
      <c r="V4091" s="360" t="s">
        <v>20</v>
      </c>
      <c r="W4091" s="360" t="s">
        <v>19</v>
      </c>
      <c r="X4091" s="360">
        <v>25</v>
      </c>
      <c r="Y4091" s="360" t="s">
        <v>47</v>
      </c>
      <c r="Z4091" s="360">
        <v>5</v>
      </c>
      <c r="AA4091" s="360">
        <v>48</v>
      </c>
      <c r="AB4091" s="360">
        <v>10.4</v>
      </c>
    </row>
    <row r="4092" spans="20:28" x14ac:dyDescent="0.2">
      <c r="T4092" s="358" t="str">
        <f t="shared" si="173"/>
        <v>2015MaleNon-Maori22Sharp object</v>
      </c>
      <c r="U4092" s="360">
        <v>2015</v>
      </c>
      <c r="V4092" s="360" t="s">
        <v>20</v>
      </c>
      <c r="W4092" s="360" t="s">
        <v>19</v>
      </c>
      <c r="X4092" s="360">
        <v>22</v>
      </c>
      <c r="Y4092" s="360" t="s">
        <v>48</v>
      </c>
      <c r="Z4092" s="360">
        <v>1</v>
      </c>
      <c r="AA4092" s="360">
        <v>50</v>
      </c>
      <c r="AB4092" s="360">
        <v>2</v>
      </c>
    </row>
    <row r="4093" spans="20:28" x14ac:dyDescent="0.2">
      <c r="T4093" s="358" t="str">
        <f t="shared" si="173"/>
        <v>2015MaleNon-Maori23Sharp object</v>
      </c>
      <c r="U4093" s="360">
        <v>2015</v>
      </c>
      <c r="V4093" s="360" t="s">
        <v>20</v>
      </c>
      <c r="W4093" s="360" t="s">
        <v>19</v>
      </c>
      <c r="X4093" s="360">
        <v>23</v>
      </c>
      <c r="Y4093" s="360" t="s">
        <v>48</v>
      </c>
      <c r="Z4093" s="360">
        <v>2</v>
      </c>
      <c r="AA4093" s="360">
        <v>96</v>
      </c>
      <c r="AB4093" s="360">
        <v>2.1</v>
      </c>
    </row>
    <row r="4094" spans="20:28" x14ac:dyDescent="0.2">
      <c r="T4094" s="358" t="str">
        <f t="shared" si="173"/>
        <v>2015MaleNon-Maori24Sharp object</v>
      </c>
      <c r="U4094" s="360">
        <v>2015</v>
      </c>
      <c r="V4094" s="360" t="s">
        <v>20</v>
      </c>
      <c r="W4094" s="360" t="s">
        <v>19</v>
      </c>
      <c r="X4094" s="360">
        <v>24</v>
      </c>
      <c r="Y4094" s="360" t="s">
        <v>48</v>
      </c>
      <c r="Z4094" s="360">
        <v>3</v>
      </c>
      <c r="AA4094" s="360">
        <v>109</v>
      </c>
      <c r="AB4094" s="360">
        <v>2.8</v>
      </c>
    </row>
    <row r="4095" spans="20:28" x14ac:dyDescent="0.2">
      <c r="T4095" s="358" t="str">
        <f t="shared" si="173"/>
        <v>2015MaleNon-Maori25Sharp object</v>
      </c>
      <c r="U4095" s="360">
        <v>2015</v>
      </c>
      <c r="V4095" s="360" t="s">
        <v>20</v>
      </c>
      <c r="W4095" s="360" t="s">
        <v>19</v>
      </c>
      <c r="X4095" s="360">
        <v>25</v>
      </c>
      <c r="Y4095" s="360" t="s">
        <v>48</v>
      </c>
      <c r="Z4095" s="360">
        <v>2</v>
      </c>
      <c r="AA4095" s="360">
        <v>48</v>
      </c>
      <c r="AB4095" s="360">
        <v>4.2</v>
      </c>
    </row>
    <row r="4096" spans="20:28" x14ac:dyDescent="0.2">
      <c r="T4096" s="358" t="str">
        <f t="shared" si="173"/>
        <v>2015MaleNon-Maori23Submersion (drowning)</v>
      </c>
      <c r="U4096" s="360">
        <v>2015</v>
      </c>
      <c r="V4096" s="360" t="s">
        <v>20</v>
      </c>
      <c r="W4096" s="360" t="s">
        <v>19</v>
      </c>
      <c r="X4096" s="360">
        <v>23</v>
      </c>
      <c r="Y4096" s="360" t="s">
        <v>49</v>
      </c>
      <c r="Z4096" s="360">
        <v>1</v>
      </c>
      <c r="AA4096" s="360">
        <v>96</v>
      </c>
      <c r="AB4096" s="360">
        <v>1</v>
      </c>
    </row>
    <row r="4097" spans="20:28" x14ac:dyDescent="0.2">
      <c r="T4097" s="358" t="str">
        <f t="shared" si="173"/>
        <v>2015MaleNon-Maori25Submersion (drowning)</v>
      </c>
      <c r="U4097" s="360">
        <v>2015</v>
      </c>
      <c r="V4097" s="360" t="s">
        <v>20</v>
      </c>
      <c r="W4097" s="360" t="s">
        <v>19</v>
      </c>
      <c r="X4097" s="360">
        <v>25</v>
      </c>
      <c r="Y4097" s="360" t="s">
        <v>49</v>
      </c>
      <c r="Z4097" s="360">
        <v>5</v>
      </c>
      <c r="AA4097" s="360">
        <v>48</v>
      </c>
      <c r="AB4097" s="360">
        <v>10.4</v>
      </c>
    </row>
    <row r="4098" spans="20:28" x14ac:dyDescent="0.2">
      <c r="T4098" s="358" t="str">
        <f t="shared" si="173"/>
        <v>1996AllSexAllEth19Firearms and explosives</v>
      </c>
      <c r="U4098" s="360">
        <v>1996</v>
      </c>
      <c r="V4098" s="360" t="s">
        <v>17</v>
      </c>
      <c r="W4098" s="360" t="s">
        <v>27</v>
      </c>
      <c r="X4098" s="360">
        <v>19</v>
      </c>
      <c r="Y4098" s="360" t="s">
        <v>42</v>
      </c>
      <c r="Z4098" s="360">
        <v>47</v>
      </c>
      <c r="AA4098" s="360">
        <v>540</v>
      </c>
      <c r="AB4098" s="360">
        <v>8.6999999999999993</v>
      </c>
    </row>
    <row r="4099" spans="20:28" x14ac:dyDescent="0.2">
      <c r="T4099" s="358" t="str">
        <f t="shared" si="173"/>
        <v>1996AllSexAllEth19Hanging, strangulation and suffocation</v>
      </c>
      <c r="U4099" s="360">
        <v>1996</v>
      </c>
      <c r="V4099" s="360" t="s">
        <v>17</v>
      </c>
      <c r="W4099" s="360" t="s">
        <v>27</v>
      </c>
      <c r="X4099" s="360">
        <v>19</v>
      </c>
      <c r="Y4099" s="360" t="s">
        <v>43</v>
      </c>
      <c r="Z4099" s="360">
        <v>230</v>
      </c>
      <c r="AA4099" s="360">
        <v>540</v>
      </c>
      <c r="AB4099" s="360">
        <v>42.6</v>
      </c>
    </row>
    <row r="4100" spans="20:28" x14ac:dyDescent="0.2">
      <c r="T4100" s="358" t="str">
        <f t="shared" si="173"/>
        <v>1996AllSexAllEth19Jumping from a high place</v>
      </c>
      <c r="U4100" s="360">
        <v>1996</v>
      </c>
      <c r="V4100" s="360" t="s">
        <v>17</v>
      </c>
      <c r="W4100" s="360" t="s">
        <v>27</v>
      </c>
      <c r="X4100" s="360">
        <v>19</v>
      </c>
      <c r="Y4100" s="360" t="s">
        <v>44</v>
      </c>
      <c r="Z4100" s="360">
        <v>12</v>
      </c>
      <c r="AA4100" s="360">
        <v>540</v>
      </c>
      <c r="AB4100" s="360">
        <v>2.2000000000000002</v>
      </c>
    </row>
    <row r="4101" spans="20:28" x14ac:dyDescent="0.2">
      <c r="T4101" s="358" t="str">
        <f t="shared" ref="T4101:T4164" si="174">U4101&amp;V4101&amp;W4101&amp;X4101&amp;Y4101</f>
        <v>1996AllSexAllEth19Other</v>
      </c>
      <c r="U4101" s="360">
        <v>1996</v>
      </c>
      <c r="V4101" s="360" t="s">
        <v>17</v>
      </c>
      <c r="W4101" s="360" t="s">
        <v>27</v>
      </c>
      <c r="X4101" s="360">
        <v>19</v>
      </c>
      <c r="Y4101" s="360" t="s">
        <v>45</v>
      </c>
      <c r="Z4101" s="360">
        <v>17</v>
      </c>
      <c r="AA4101" s="360">
        <v>540</v>
      </c>
      <c r="AB4101" s="360">
        <v>3.1</v>
      </c>
    </row>
    <row r="4102" spans="20:28" x14ac:dyDescent="0.2">
      <c r="T4102" s="358" t="str">
        <f t="shared" si="174"/>
        <v>1996AllSexAllEth19Poisoning by gases and vapours</v>
      </c>
      <c r="U4102" s="360">
        <v>1996</v>
      </c>
      <c r="V4102" s="360" t="s">
        <v>17</v>
      </c>
      <c r="W4102" s="360" t="s">
        <v>27</v>
      </c>
      <c r="X4102" s="360">
        <v>19</v>
      </c>
      <c r="Y4102" s="360" t="s">
        <v>46</v>
      </c>
      <c r="Z4102" s="360">
        <v>157</v>
      </c>
      <c r="AA4102" s="360">
        <v>540</v>
      </c>
      <c r="AB4102" s="360">
        <v>29.1</v>
      </c>
    </row>
    <row r="4103" spans="20:28" x14ac:dyDescent="0.2">
      <c r="T4103" s="358" t="str">
        <f t="shared" si="174"/>
        <v>1996AllSexAllEth19Poisoning by solids and liquids</v>
      </c>
      <c r="U4103" s="360">
        <v>1996</v>
      </c>
      <c r="V4103" s="360" t="s">
        <v>17</v>
      </c>
      <c r="W4103" s="360" t="s">
        <v>27</v>
      </c>
      <c r="X4103" s="360">
        <v>19</v>
      </c>
      <c r="Y4103" s="360" t="s">
        <v>47</v>
      </c>
      <c r="Z4103" s="360">
        <v>59</v>
      </c>
      <c r="AA4103" s="360">
        <v>540</v>
      </c>
      <c r="AB4103" s="360">
        <v>10.9</v>
      </c>
    </row>
    <row r="4104" spans="20:28" x14ac:dyDescent="0.2">
      <c r="T4104" s="358" t="str">
        <f t="shared" si="174"/>
        <v>1996AllSexAllEth19Sharp object</v>
      </c>
      <c r="U4104" s="360">
        <v>1996</v>
      </c>
      <c r="V4104" s="360" t="s">
        <v>17</v>
      </c>
      <c r="W4104" s="360" t="s">
        <v>27</v>
      </c>
      <c r="X4104" s="360">
        <v>19</v>
      </c>
      <c r="Y4104" s="360" t="s">
        <v>48</v>
      </c>
      <c r="Z4104" s="360">
        <v>7</v>
      </c>
      <c r="AA4104" s="360">
        <v>540</v>
      </c>
      <c r="AB4104" s="360">
        <v>1.3</v>
      </c>
    </row>
    <row r="4105" spans="20:28" x14ac:dyDescent="0.2">
      <c r="T4105" s="358" t="str">
        <f t="shared" si="174"/>
        <v>1996AllSexAllEth19Submersion (drowning)</v>
      </c>
      <c r="U4105" s="360">
        <v>1996</v>
      </c>
      <c r="V4105" s="360" t="s">
        <v>17</v>
      </c>
      <c r="W4105" s="360" t="s">
        <v>27</v>
      </c>
      <c r="X4105" s="360">
        <v>19</v>
      </c>
      <c r="Y4105" s="360" t="s">
        <v>49</v>
      </c>
      <c r="Z4105" s="360">
        <v>11</v>
      </c>
      <c r="AA4105" s="360">
        <v>540</v>
      </c>
      <c r="AB4105" s="360">
        <v>2</v>
      </c>
    </row>
    <row r="4106" spans="20:28" x14ac:dyDescent="0.2">
      <c r="T4106" s="358" t="str">
        <f t="shared" si="174"/>
        <v>1996AllSexMaori19Firearms and explosives</v>
      </c>
      <c r="U4106" s="360">
        <v>1996</v>
      </c>
      <c r="V4106" s="360" t="s">
        <v>17</v>
      </c>
      <c r="W4106" s="360" t="s">
        <v>18</v>
      </c>
      <c r="X4106" s="360">
        <v>19</v>
      </c>
      <c r="Y4106" s="360" t="s">
        <v>42</v>
      </c>
      <c r="Z4106" s="360">
        <v>4</v>
      </c>
      <c r="AA4106" s="360">
        <v>97</v>
      </c>
      <c r="AB4106" s="360">
        <v>4.0999999999999996</v>
      </c>
    </row>
    <row r="4107" spans="20:28" x14ac:dyDescent="0.2">
      <c r="T4107" s="358" t="str">
        <f t="shared" si="174"/>
        <v>1996AllSexMaori19Hanging, strangulation and suffocation</v>
      </c>
      <c r="U4107" s="360">
        <v>1996</v>
      </c>
      <c r="V4107" s="360" t="s">
        <v>17</v>
      </c>
      <c r="W4107" s="360" t="s">
        <v>18</v>
      </c>
      <c r="X4107" s="360">
        <v>19</v>
      </c>
      <c r="Y4107" s="360" t="s">
        <v>43</v>
      </c>
      <c r="Z4107" s="360">
        <v>66</v>
      </c>
      <c r="AA4107" s="360">
        <v>97</v>
      </c>
      <c r="AB4107" s="360">
        <v>68</v>
      </c>
    </row>
    <row r="4108" spans="20:28" x14ac:dyDescent="0.2">
      <c r="T4108" s="358" t="str">
        <f t="shared" si="174"/>
        <v>1996AllSexMaori19Jumping from a high place</v>
      </c>
      <c r="U4108" s="360">
        <v>1996</v>
      </c>
      <c r="V4108" s="360" t="s">
        <v>17</v>
      </c>
      <c r="W4108" s="360" t="s">
        <v>18</v>
      </c>
      <c r="X4108" s="360">
        <v>19</v>
      </c>
      <c r="Y4108" s="360" t="s">
        <v>44</v>
      </c>
      <c r="Z4108" s="360">
        <v>1</v>
      </c>
      <c r="AA4108" s="360">
        <v>97</v>
      </c>
      <c r="AB4108" s="360">
        <v>1</v>
      </c>
    </row>
    <row r="4109" spans="20:28" x14ac:dyDescent="0.2">
      <c r="T4109" s="358" t="str">
        <f t="shared" si="174"/>
        <v>1996AllSexMaori19Other</v>
      </c>
      <c r="U4109" s="360">
        <v>1996</v>
      </c>
      <c r="V4109" s="360" t="s">
        <v>17</v>
      </c>
      <c r="W4109" s="360" t="s">
        <v>18</v>
      </c>
      <c r="X4109" s="360">
        <v>19</v>
      </c>
      <c r="Y4109" s="360" t="s">
        <v>45</v>
      </c>
      <c r="Z4109" s="360">
        <v>2</v>
      </c>
      <c r="AA4109" s="360">
        <v>97</v>
      </c>
      <c r="AB4109" s="360">
        <v>2.1</v>
      </c>
    </row>
    <row r="4110" spans="20:28" x14ac:dyDescent="0.2">
      <c r="T4110" s="358" t="str">
        <f t="shared" si="174"/>
        <v>1996AllSexMaori19Poisoning by gases and vapours</v>
      </c>
      <c r="U4110" s="360">
        <v>1996</v>
      </c>
      <c r="V4110" s="360" t="s">
        <v>17</v>
      </c>
      <c r="W4110" s="360" t="s">
        <v>18</v>
      </c>
      <c r="X4110" s="360">
        <v>19</v>
      </c>
      <c r="Y4110" s="360" t="s">
        <v>46</v>
      </c>
      <c r="Z4110" s="360">
        <v>10</v>
      </c>
      <c r="AA4110" s="360">
        <v>97</v>
      </c>
      <c r="AB4110" s="360">
        <v>10.3</v>
      </c>
    </row>
    <row r="4111" spans="20:28" x14ac:dyDescent="0.2">
      <c r="T4111" s="358" t="str">
        <f t="shared" si="174"/>
        <v>1996AllSexMaori19Poisoning by solids and liquids</v>
      </c>
      <c r="U4111" s="360">
        <v>1996</v>
      </c>
      <c r="V4111" s="360" t="s">
        <v>17</v>
      </c>
      <c r="W4111" s="360" t="s">
        <v>18</v>
      </c>
      <c r="X4111" s="360">
        <v>19</v>
      </c>
      <c r="Y4111" s="360" t="s">
        <v>47</v>
      </c>
      <c r="Z4111" s="360">
        <v>11</v>
      </c>
      <c r="AA4111" s="360">
        <v>97</v>
      </c>
      <c r="AB4111" s="360">
        <v>11.3</v>
      </c>
    </row>
    <row r="4112" spans="20:28" x14ac:dyDescent="0.2">
      <c r="T4112" s="358" t="str">
        <f t="shared" si="174"/>
        <v>1996AllSexMaori19Sharp object</v>
      </c>
      <c r="U4112" s="360">
        <v>1996</v>
      </c>
      <c r="V4112" s="360" t="s">
        <v>17</v>
      </c>
      <c r="W4112" s="360" t="s">
        <v>18</v>
      </c>
      <c r="X4112" s="360">
        <v>19</v>
      </c>
      <c r="Y4112" s="360" t="s">
        <v>48</v>
      </c>
      <c r="Z4112" s="360">
        <v>3</v>
      </c>
      <c r="AA4112" s="360">
        <v>97</v>
      </c>
      <c r="AB4112" s="360">
        <v>3.1</v>
      </c>
    </row>
    <row r="4113" spans="20:28" x14ac:dyDescent="0.2">
      <c r="T4113" s="358" t="str">
        <f t="shared" si="174"/>
        <v>1996AllSexNon-Maori19Firearms and explosives</v>
      </c>
      <c r="U4113" s="360">
        <v>1996</v>
      </c>
      <c r="V4113" s="360" t="s">
        <v>17</v>
      </c>
      <c r="W4113" s="360" t="s">
        <v>19</v>
      </c>
      <c r="X4113" s="360">
        <v>19</v>
      </c>
      <c r="Y4113" s="360" t="s">
        <v>42</v>
      </c>
      <c r="Z4113" s="360">
        <v>43</v>
      </c>
      <c r="AA4113" s="360">
        <v>443</v>
      </c>
      <c r="AB4113" s="360">
        <v>9.6999999999999993</v>
      </c>
    </row>
    <row r="4114" spans="20:28" x14ac:dyDescent="0.2">
      <c r="T4114" s="358" t="str">
        <f t="shared" si="174"/>
        <v>1996AllSexNon-Maori19Hanging, strangulation and suffocation</v>
      </c>
      <c r="U4114" s="360">
        <v>1996</v>
      </c>
      <c r="V4114" s="360" t="s">
        <v>17</v>
      </c>
      <c r="W4114" s="360" t="s">
        <v>19</v>
      </c>
      <c r="X4114" s="360">
        <v>19</v>
      </c>
      <c r="Y4114" s="360" t="s">
        <v>43</v>
      </c>
      <c r="Z4114" s="360">
        <v>164</v>
      </c>
      <c r="AA4114" s="360">
        <v>443</v>
      </c>
      <c r="AB4114" s="360">
        <v>37</v>
      </c>
    </row>
    <row r="4115" spans="20:28" x14ac:dyDescent="0.2">
      <c r="T4115" s="358" t="str">
        <f t="shared" si="174"/>
        <v>1996AllSexNon-Maori19Jumping from a high place</v>
      </c>
      <c r="U4115" s="360">
        <v>1996</v>
      </c>
      <c r="V4115" s="360" t="s">
        <v>17</v>
      </c>
      <c r="W4115" s="360" t="s">
        <v>19</v>
      </c>
      <c r="X4115" s="360">
        <v>19</v>
      </c>
      <c r="Y4115" s="360" t="s">
        <v>44</v>
      </c>
      <c r="Z4115" s="360">
        <v>11</v>
      </c>
      <c r="AA4115" s="360">
        <v>443</v>
      </c>
      <c r="AB4115" s="360">
        <v>2.5</v>
      </c>
    </row>
    <row r="4116" spans="20:28" x14ac:dyDescent="0.2">
      <c r="T4116" s="358" t="str">
        <f t="shared" si="174"/>
        <v>1996AllSexNon-Maori19Other</v>
      </c>
      <c r="U4116" s="360">
        <v>1996</v>
      </c>
      <c r="V4116" s="360" t="s">
        <v>17</v>
      </c>
      <c r="W4116" s="360" t="s">
        <v>19</v>
      </c>
      <c r="X4116" s="360">
        <v>19</v>
      </c>
      <c r="Y4116" s="360" t="s">
        <v>45</v>
      </c>
      <c r="Z4116" s="360">
        <v>15</v>
      </c>
      <c r="AA4116" s="360">
        <v>443</v>
      </c>
      <c r="AB4116" s="360">
        <v>3.4</v>
      </c>
    </row>
    <row r="4117" spans="20:28" x14ac:dyDescent="0.2">
      <c r="T4117" s="358" t="str">
        <f t="shared" si="174"/>
        <v>1996AllSexNon-Maori19Poisoning by gases and vapours</v>
      </c>
      <c r="U4117" s="360">
        <v>1996</v>
      </c>
      <c r="V4117" s="360" t="s">
        <v>17</v>
      </c>
      <c r="W4117" s="360" t="s">
        <v>19</v>
      </c>
      <c r="X4117" s="360">
        <v>19</v>
      </c>
      <c r="Y4117" s="360" t="s">
        <v>46</v>
      </c>
      <c r="Z4117" s="360">
        <v>147</v>
      </c>
      <c r="AA4117" s="360">
        <v>443</v>
      </c>
      <c r="AB4117" s="360">
        <v>33.200000000000003</v>
      </c>
    </row>
    <row r="4118" spans="20:28" x14ac:dyDescent="0.2">
      <c r="T4118" s="358" t="str">
        <f t="shared" si="174"/>
        <v>1996AllSexNon-Maori19Poisoning by solids and liquids</v>
      </c>
      <c r="U4118" s="360">
        <v>1996</v>
      </c>
      <c r="V4118" s="360" t="s">
        <v>17</v>
      </c>
      <c r="W4118" s="360" t="s">
        <v>19</v>
      </c>
      <c r="X4118" s="360">
        <v>19</v>
      </c>
      <c r="Y4118" s="360" t="s">
        <v>47</v>
      </c>
      <c r="Z4118" s="360">
        <v>48</v>
      </c>
      <c r="AA4118" s="360">
        <v>443</v>
      </c>
      <c r="AB4118" s="360">
        <v>10.8</v>
      </c>
    </row>
    <row r="4119" spans="20:28" x14ac:dyDescent="0.2">
      <c r="T4119" s="358" t="str">
        <f t="shared" si="174"/>
        <v>1996AllSexNon-Maori19Sharp object</v>
      </c>
      <c r="U4119" s="360">
        <v>1996</v>
      </c>
      <c r="V4119" s="360" t="s">
        <v>17</v>
      </c>
      <c r="W4119" s="360" t="s">
        <v>19</v>
      </c>
      <c r="X4119" s="360">
        <v>19</v>
      </c>
      <c r="Y4119" s="360" t="s">
        <v>48</v>
      </c>
      <c r="Z4119" s="360">
        <v>4</v>
      </c>
      <c r="AA4119" s="360">
        <v>443</v>
      </c>
      <c r="AB4119" s="360">
        <v>0.9</v>
      </c>
    </row>
    <row r="4120" spans="20:28" x14ac:dyDescent="0.2">
      <c r="T4120" s="358" t="str">
        <f t="shared" si="174"/>
        <v>1996AllSexNon-Maori19Submersion (drowning)</v>
      </c>
      <c r="U4120" s="360">
        <v>1996</v>
      </c>
      <c r="V4120" s="360" t="s">
        <v>17</v>
      </c>
      <c r="W4120" s="360" t="s">
        <v>19</v>
      </c>
      <c r="X4120" s="360">
        <v>19</v>
      </c>
      <c r="Y4120" s="360" t="s">
        <v>49</v>
      </c>
      <c r="Z4120" s="360">
        <v>11</v>
      </c>
      <c r="AA4120" s="360">
        <v>443</v>
      </c>
      <c r="AB4120" s="360">
        <v>2.5</v>
      </c>
    </row>
    <row r="4121" spans="20:28" x14ac:dyDescent="0.2">
      <c r="T4121" s="358" t="str">
        <f t="shared" si="174"/>
        <v>1996FemaleAllEth19Firearms and explosives</v>
      </c>
      <c r="U4121" s="360">
        <v>1996</v>
      </c>
      <c r="V4121" s="360" t="s">
        <v>8</v>
      </c>
      <c r="W4121" s="360" t="s">
        <v>27</v>
      </c>
      <c r="X4121" s="360">
        <v>19</v>
      </c>
      <c r="Y4121" s="360" t="s">
        <v>42</v>
      </c>
      <c r="Z4121" s="360">
        <v>1</v>
      </c>
      <c r="AA4121" s="360">
        <v>111</v>
      </c>
      <c r="AB4121" s="360">
        <v>0.9</v>
      </c>
    </row>
    <row r="4122" spans="20:28" x14ac:dyDescent="0.2">
      <c r="T4122" s="358" t="str">
        <f t="shared" si="174"/>
        <v>1996FemaleAllEth19Hanging, strangulation and suffocation</v>
      </c>
      <c r="U4122" s="360">
        <v>1996</v>
      </c>
      <c r="V4122" s="360" t="s">
        <v>8</v>
      </c>
      <c r="W4122" s="360" t="s">
        <v>27</v>
      </c>
      <c r="X4122" s="360">
        <v>19</v>
      </c>
      <c r="Y4122" s="360" t="s">
        <v>43</v>
      </c>
      <c r="Z4122" s="360">
        <v>40</v>
      </c>
      <c r="AA4122" s="360">
        <v>111</v>
      </c>
      <c r="AB4122" s="360">
        <v>36</v>
      </c>
    </row>
    <row r="4123" spans="20:28" x14ac:dyDescent="0.2">
      <c r="T4123" s="358" t="str">
        <f t="shared" si="174"/>
        <v>1996FemaleAllEth19Jumping from a high place</v>
      </c>
      <c r="U4123" s="360">
        <v>1996</v>
      </c>
      <c r="V4123" s="360" t="s">
        <v>8</v>
      </c>
      <c r="W4123" s="360" t="s">
        <v>27</v>
      </c>
      <c r="X4123" s="360">
        <v>19</v>
      </c>
      <c r="Y4123" s="360" t="s">
        <v>44</v>
      </c>
      <c r="Z4123" s="360">
        <v>1</v>
      </c>
      <c r="AA4123" s="360">
        <v>111</v>
      </c>
      <c r="AB4123" s="360">
        <v>0.9</v>
      </c>
    </row>
    <row r="4124" spans="20:28" x14ac:dyDescent="0.2">
      <c r="T4124" s="358" t="str">
        <f t="shared" si="174"/>
        <v>1996FemaleAllEth19Other</v>
      </c>
      <c r="U4124" s="360">
        <v>1996</v>
      </c>
      <c r="V4124" s="360" t="s">
        <v>8</v>
      </c>
      <c r="W4124" s="360" t="s">
        <v>27</v>
      </c>
      <c r="X4124" s="360">
        <v>19</v>
      </c>
      <c r="Y4124" s="360" t="s">
        <v>45</v>
      </c>
      <c r="Z4124" s="360">
        <v>4</v>
      </c>
      <c r="AA4124" s="360">
        <v>111</v>
      </c>
      <c r="AB4124" s="360">
        <v>3.6</v>
      </c>
    </row>
    <row r="4125" spans="20:28" x14ac:dyDescent="0.2">
      <c r="T4125" s="358" t="str">
        <f t="shared" si="174"/>
        <v>1996FemaleAllEth19Poisoning by gases and vapours</v>
      </c>
      <c r="U4125" s="360">
        <v>1996</v>
      </c>
      <c r="V4125" s="360" t="s">
        <v>8</v>
      </c>
      <c r="W4125" s="360" t="s">
        <v>27</v>
      </c>
      <c r="X4125" s="360">
        <v>19</v>
      </c>
      <c r="Y4125" s="360" t="s">
        <v>46</v>
      </c>
      <c r="Z4125" s="360">
        <v>31</v>
      </c>
      <c r="AA4125" s="360">
        <v>111</v>
      </c>
      <c r="AB4125" s="360">
        <v>27.9</v>
      </c>
    </row>
    <row r="4126" spans="20:28" x14ac:dyDescent="0.2">
      <c r="T4126" s="358" t="str">
        <f t="shared" si="174"/>
        <v>1996FemaleAllEth19Poisoning by solids and liquids</v>
      </c>
      <c r="U4126" s="360">
        <v>1996</v>
      </c>
      <c r="V4126" s="360" t="s">
        <v>8</v>
      </c>
      <c r="W4126" s="360" t="s">
        <v>27</v>
      </c>
      <c r="X4126" s="360">
        <v>19</v>
      </c>
      <c r="Y4126" s="360" t="s">
        <v>47</v>
      </c>
      <c r="Z4126" s="360">
        <v>29</v>
      </c>
      <c r="AA4126" s="360">
        <v>111</v>
      </c>
      <c r="AB4126" s="360">
        <v>26.1</v>
      </c>
    </row>
    <row r="4127" spans="20:28" x14ac:dyDescent="0.2">
      <c r="T4127" s="358" t="str">
        <f t="shared" si="174"/>
        <v>1996FemaleAllEth19Sharp object</v>
      </c>
      <c r="U4127" s="360">
        <v>1996</v>
      </c>
      <c r="V4127" s="360" t="s">
        <v>8</v>
      </c>
      <c r="W4127" s="360" t="s">
        <v>27</v>
      </c>
      <c r="X4127" s="360">
        <v>19</v>
      </c>
      <c r="Y4127" s="360" t="s">
        <v>48</v>
      </c>
      <c r="Z4127" s="360">
        <v>2</v>
      </c>
      <c r="AA4127" s="360">
        <v>111</v>
      </c>
      <c r="AB4127" s="360">
        <v>1.8</v>
      </c>
    </row>
    <row r="4128" spans="20:28" x14ac:dyDescent="0.2">
      <c r="T4128" s="358" t="str">
        <f t="shared" si="174"/>
        <v>1996FemaleAllEth19Submersion (drowning)</v>
      </c>
      <c r="U4128" s="360">
        <v>1996</v>
      </c>
      <c r="V4128" s="360" t="s">
        <v>8</v>
      </c>
      <c r="W4128" s="360" t="s">
        <v>27</v>
      </c>
      <c r="X4128" s="360">
        <v>19</v>
      </c>
      <c r="Y4128" s="360" t="s">
        <v>49</v>
      </c>
      <c r="Z4128" s="360">
        <v>3</v>
      </c>
      <c r="AA4128" s="360">
        <v>111</v>
      </c>
      <c r="AB4128" s="360">
        <v>2.7</v>
      </c>
    </row>
    <row r="4129" spans="20:28" x14ac:dyDescent="0.2">
      <c r="T4129" s="358" t="str">
        <f t="shared" si="174"/>
        <v>1996FemaleMaori19Firearms and explosives</v>
      </c>
      <c r="U4129" s="360">
        <v>1996</v>
      </c>
      <c r="V4129" s="360" t="s">
        <v>8</v>
      </c>
      <c r="W4129" s="360" t="s">
        <v>18</v>
      </c>
      <c r="X4129" s="360">
        <v>19</v>
      </c>
      <c r="Y4129" s="360" t="s">
        <v>42</v>
      </c>
      <c r="Z4129" s="360">
        <v>1</v>
      </c>
      <c r="AA4129" s="360">
        <v>24</v>
      </c>
      <c r="AB4129" s="360">
        <v>4.2</v>
      </c>
    </row>
    <row r="4130" spans="20:28" x14ac:dyDescent="0.2">
      <c r="T4130" s="358" t="str">
        <f t="shared" si="174"/>
        <v>1996FemaleMaori19Hanging, strangulation and suffocation</v>
      </c>
      <c r="U4130" s="360">
        <v>1996</v>
      </c>
      <c r="V4130" s="360" t="s">
        <v>8</v>
      </c>
      <c r="W4130" s="360" t="s">
        <v>18</v>
      </c>
      <c r="X4130" s="360">
        <v>19</v>
      </c>
      <c r="Y4130" s="360" t="s">
        <v>43</v>
      </c>
      <c r="Z4130" s="360">
        <v>14</v>
      </c>
      <c r="AA4130" s="360">
        <v>24</v>
      </c>
      <c r="AB4130" s="360">
        <v>58.3</v>
      </c>
    </row>
    <row r="4131" spans="20:28" x14ac:dyDescent="0.2">
      <c r="T4131" s="358" t="str">
        <f t="shared" si="174"/>
        <v>1996FemaleMaori19Poisoning by gases and vapours</v>
      </c>
      <c r="U4131" s="360">
        <v>1996</v>
      </c>
      <c r="V4131" s="360" t="s">
        <v>8</v>
      </c>
      <c r="W4131" s="360" t="s">
        <v>18</v>
      </c>
      <c r="X4131" s="360">
        <v>19</v>
      </c>
      <c r="Y4131" s="360" t="s">
        <v>46</v>
      </c>
      <c r="Z4131" s="360">
        <v>1</v>
      </c>
      <c r="AA4131" s="360">
        <v>24</v>
      </c>
      <c r="AB4131" s="360">
        <v>4.2</v>
      </c>
    </row>
    <row r="4132" spans="20:28" x14ac:dyDescent="0.2">
      <c r="T4132" s="358" t="str">
        <f t="shared" si="174"/>
        <v>1996FemaleMaori19Poisoning by solids and liquids</v>
      </c>
      <c r="U4132" s="360">
        <v>1996</v>
      </c>
      <c r="V4132" s="360" t="s">
        <v>8</v>
      </c>
      <c r="W4132" s="360" t="s">
        <v>18</v>
      </c>
      <c r="X4132" s="360">
        <v>19</v>
      </c>
      <c r="Y4132" s="360" t="s">
        <v>47</v>
      </c>
      <c r="Z4132" s="360">
        <v>7</v>
      </c>
      <c r="AA4132" s="360">
        <v>24</v>
      </c>
      <c r="AB4132" s="360">
        <v>29.2</v>
      </c>
    </row>
    <row r="4133" spans="20:28" x14ac:dyDescent="0.2">
      <c r="T4133" s="358" t="str">
        <f t="shared" si="174"/>
        <v>1996FemaleMaori19Sharp object</v>
      </c>
      <c r="U4133" s="360">
        <v>1996</v>
      </c>
      <c r="V4133" s="360" t="s">
        <v>8</v>
      </c>
      <c r="W4133" s="360" t="s">
        <v>18</v>
      </c>
      <c r="X4133" s="360">
        <v>19</v>
      </c>
      <c r="Y4133" s="360" t="s">
        <v>48</v>
      </c>
      <c r="Z4133" s="360">
        <v>1</v>
      </c>
      <c r="AA4133" s="360">
        <v>24</v>
      </c>
      <c r="AB4133" s="360">
        <v>4.2</v>
      </c>
    </row>
    <row r="4134" spans="20:28" x14ac:dyDescent="0.2">
      <c r="T4134" s="358" t="str">
        <f t="shared" si="174"/>
        <v>1996FemaleNon-Maori19Hanging, strangulation and suffocation</v>
      </c>
      <c r="U4134" s="360">
        <v>1996</v>
      </c>
      <c r="V4134" s="360" t="s">
        <v>8</v>
      </c>
      <c r="W4134" s="360" t="s">
        <v>19</v>
      </c>
      <c r="X4134" s="360">
        <v>19</v>
      </c>
      <c r="Y4134" s="360" t="s">
        <v>43</v>
      </c>
      <c r="Z4134" s="360">
        <v>26</v>
      </c>
      <c r="AA4134" s="360">
        <v>87</v>
      </c>
      <c r="AB4134" s="360">
        <v>29.9</v>
      </c>
    </row>
    <row r="4135" spans="20:28" x14ac:dyDescent="0.2">
      <c r="T4135" s="358" t="str">
        <f t="shared" si="174"/>
        <v>1996FemaleNon-Maori19Jumping from a high place</v>
      </c>
      <c r="U4135" s="360">
        <v>1996</v>
      </c>
      <c r="V4135" s="360" t="s">
        <v>8</v>
      </c>
      <c r="W4135" s="360" t="s">
        <v>19</v>
      </c>
      <c r="X4135" s="360">
        <v>19</v>
      </c>
      <c r="Y4135" s="360" t="s">
        <v>44</v>
      </c>
      <c r="Z4135" s="360">
        <v>1</v>
      </c>
      <c r="AA4135" s="360">
        <v>87</v>
      </c>
      <c r="AB4135" s="360">
        <v>1.1000000000000001</v>
      </c>
    </row>
    <row r="4136" spans="20:28" x14ac:dyDescent="0.2">
      <c r="T4136" s="358" t="str">
        <f t="shared" si="174"/>
        <v>1996FemaleNon-Maori19Other</v>
      </c>
      <c r="U4136" s="360">
        <v>1996</v>
      </c>
      <c r="V4136" s="360" t="s">
        <v>8</v>
      </c>
      <c r="W4136" s="360" t="s">
        <v>19</v>
      </c>
      <c r="X4136" s="360">
        <v>19</v>
      </c>
      <c r="Y4136" s="360" t="s">
        <v>45</v>
      </c>
      <c r="Z4136" s="360">
        <v>4</v>
      </c>
      <c r="AA4136" s="360">
        <v>87</v>
      </c>
      <c r="AB4136" s="360">
        <v>4.5999999999999996</v>
      </c>
    </row>
    <row r="4137" spans="20:28" x14ac:dyDescent="0.2">
      <c r="T4137" s="358" t="str">
        <f t="shared" si="174"/>
        <v>1996FemaleNon-Maori19Poisoning by gases and vapours</v>
      </c>
      <c r="U4137" s="360">
        <v>1996</v>
      </c>
      <c r="V4137" s="360" t="s">
        <v>8</v>
      </c>
      <c r="W4137" s="360" t="s">
        <v>19</v>
      </c>
      <c r="X4137" s="360">
        <v>19</v>
      </c>
      <c r="Y4137" s="360" t="s">
        <v>46</v>
      </c>
      <c r="Z4137" s="360">
        <v>30</v>
      </c>
      <c r="AA4137" s="360">
        <v>87</v>
      </c>
      <c r="AB4137" s="360">
        <v>34.5</v>
      </c>
    </row>
    <row r="4138" spans="20:28" x14ac:dyDescent="0.2">
      <c r="T4138" s="358" t="str">
        <f t="shared" si="174"/>
        <v>1996FemaleNon-Maori19Poisoning by solids and liquids</v>
      </c>
      <c r="U4138" s="360">
        <v>1996</v>
      </c>
      <c r="V4138" s="360" t="s">
        <v>8</v>
      </c>
      <c r="W4138" s="360" t="s">
        <v>19</v>
      </c>
      <c r="X4138" s="360">
        <v>19</v>
      </c>
      <c r="Y4138" s="360" t="s">
        <v>47</v>
      </c>
      <c r="Z4138" s="360">
        <v>22</v>
      </c>
      <c r="AA4138" s="360">
        <v>87</v>
      </c>
      <c r="AB4138" s="360">
        <v>25.3</v>
      </c>
    </row>
    <row r="4139" spans="20:28" x14ac:dyDescent="0.2">
      <c r="T4139" s="358" t="str">
        <f t="shared" si="174"/>
        <v>1996FemaleNon-Maori19Sharp object</v>
      </c>
      <c r="U4139" s="360">
        <v>1996</v>
      </c>
      <c r="V4139" s="360" t="s">
        <v>8</v>
      </c>
      <c r="W4139" s="360" t="s">
        <v>19</v>
      </c>
      <c r="X4139" s="360">
        <v>19</v>
      </c>
      <c r="Y4139" s="360" t="s">
        <v>48</v>
      </c>
      <c r="Z4139" s="360">
        <v>1</v>
      </c>
      <c r="AA4139" s="360">
        <v>87</v>
      </c>
      <c r="AB4139" s="360">
        <v>1.1000000000000001</v>
      </c>
    </row>
    <row r="4140" spans="20:28" x14ac:dyDescent="0.2">
      <c r="T4140" s="358" t="str">
        <f t="shared" si="174"/>
        <v>1996FemaleNon-Maori19Submersion (drowning)</v>
      </c>
      <c r="U4140" s="360">
        <v>1996</v>
      </c>
      <c r="V4140" s="360" t="s">
        <v>8</v>
      </c>
      <c r="W4140" s="360" t="s">
        <v>19</v>
      </c>
      <c r="X4140" s="360">
        <v>19</v>
      </c>
      <c r="Y4140" s="360" t="s">
        <v>49</v>
      </c>
      <c r="Z4140" s="360">
        <v>3</v>
      </c>
      <c r="AA4140" s="360">
        <v>87</v>
      </c>
      <c r="AB4140" s="360">
        <v>3.4</v>
      </c>
    </row>
    <row r="4141" spans="20:28" x14ac:dyDescent="0.2">
      <c r="T4141" s="358" t="str">
        <f t="shared" si="174"/>
        <v>1996MaleAllEth19Firearms and explosives</v>
      </c>
      <c r="U4141" s="360">
        <v>1996</v>
      </c>
      <c r="V4141" s="360" t="s">
        <v>20</v>
      </c>
      <c r="W4141" s="360" t="s">
        <v>27</v>
      </c>
      <c r="X4141" s="360">
        <v>19</v>
      </c>
      <c r="Y4141" s="360" t="s">
        <v>42</v>
      </c>
      <c r="Z4141" s="360">
        <v>46</v>
      </c>
      <c r="AA4141" s="360">
        <v>429</v>
      </c>
      <c r="AB4141" s="360">
        <v>10.7</v>
      </c>
    </row>
    <row r="4142" spans="20:28" x14ac:dyDescent="0.2">
      <c r="T4142" s="358" t="str">
        <f t="shared" si="174"/>
        <v>1996MaleAllEth19Hanging, strangulation and suffocation</v>
      </c>
      <c r="U4142" s="360">
        <v>1996</v>
      </c>
      <c r="V4142" s="360" t="s">
        <v>20</v>
      </c>
      <c r="W4142" s="360" t="s">
        <v>27</v>
      </c>
      <c r="X4142" s="360">
        <v>19</v>
      </c>
      <c r="Y4142" s="360" t="s">
        <v>43</v>
      </c>
      <c r="Z4142" s="360">
        <v>190</v>
      </c>
      <c r="AA4142" s="360">
        <v>429</v>
      </c>
      <c r="AB4142" s="360">
        <v>44.3</v>
      </c>
    </row>
    <row r="4143" spans="20:28" x14ac:dyDescent="0.2">
      <c r="T4143" s="358" t="str">
        <f t="shared" si="174"/>
        <v>1996MaleAllEth19Jumping from a high place</v>
      </c>
      <c r="U4143" s="360">
        <v>1996</v>
      </c>
      <c r="V4143" s="360" t="s">
        <v>20</v>
      </c>
      <c r="W4143" s="360" t="s">
        <v>27</v>
      </c>
      <c r="X4143" s="360">
        <v>19</v>
      </c>
      <c r="Y4143" s="360" t="s">
        <v>44</v>
      </c>
      <c r="Z4143" s="360">
        <v>11</v>
      </c>
      <c r="AA4143" s="360">
        <v>429</v>
      </c>
      <c r="AB4143" s="360">
        <v>2.6</v>
      </c>
    </row>
    <row r="4144" spans="20:28" x14ac:dyDescent="0.2">
      <c r="T4144" s="358" t="str">
        <f t="shared" si="174"/>
        <v>1996MaleAllEth19Other</v>
      </c>
      <c r="U4144" s="360">
        <v>1996</v>
      </c>
      <c r="V4144" s="360" t="s">
        <v>20</v>
      </c>
      <c r="W4144" s="360" t="s">
        <v>27</v>
      </c>
      <c r="X4144" s="360">
        <v>19</v>
      </c>
      <c r="Y4144" s="360" t="s">
        <v>45</v>
      </c>
      <c r="Z4144" s="360">
        <v>13</v>
      </c>
      <c r="AA4144" s="360">
        <v>429</v>
      </c>
      <c r="AB4144" s="360">
        <v>3</v>
      </c>
    </row>
    <row r="4145" spans="20:28" x14ac:dyDescent="0.2">
      <c r="T4145" s="358" t="str">
        <f t="shared" si="174"/>
        <v>1996MaleAllEth19Poisoning by gases and vapours</v>
      </c>
      <c r="U4145" s="360">
        <v>1996</v>
      </c>
      <c r="V4145" s="360" t="s">
        <v>20</v>
      </c>
      <c r="W4145" s="360" t="s">
        <v>27</v>
      </c>
      <c r="X4145" s="360">
        <v>19</v>
      </c>
      <c r="Y4145" s="360" t="s">
        <v>46</v>
      </c>
      <c r="Z4145" s="360">
        <v>126</v>
      </c>
      <c r="AA4145" s="360">
        <v>429</v>
      </c>
      <c r="AB4145" s="360">
        <v>29.4</v>
      </c>
    </row>
    <row r="4146" spans="20:28" x14ac:dyDescent="0.2">
      <c r="T4146" s="358" t="str">
        <f t="shared" si="174"/>
        <v>1996MaleAllEth19Poisoning by solids and liquids</v>
      </c>
      <c r="U4146" s="360">
        <v>1996</v>
      </c>
      <c r="V4146" s="360" t="s">
        <v>20</v>
      </c>
      <c r="W4146" s="360" t="s">
        <v>27</v>
      </c>
      <c r="X4146" s="360">
        <v>19</v>
      </c>
      <c r="Y4146" s="360" t="s">
        <v>47</v>
      </c>
      <c r="Z4146" s="360">
        <v>30</v>
      </c>
      <c r="AA4146" s="360">
        <v>429</v>
      </c>
      <c r="AB4146" s="360">
        <v>7</v>
      </c>
    </row>
    <row r="4147" spans="20:28" x14ac:dyDescent="0.2">
      <c r="T4147" s="358" t="str">
        <f t="shared" si="174"/>
        <v>1996MaleAllEth19Sharp object</v>
      </c>
      <c r="U4147" s="360">
        <v>1996</v>
      </c>
      <c r="V4147" s="360" t="s">
        <v>20</v>
      </c>
      <c r="W4147" s="360" t="s">
        <v>27</v>
      </c>
      <c r="X4147" s="360">
        <v>19</v>
      </c>
      <c r="Y4147" s="360" t="s">
        <v>48</v>
      </c>
      <c r="Z4147" s="360">
        <v>5</v>
      </c>
      <c r="AA4147" s="360">
        <v>429</v>
      </c>
      <c r="AB4147" s="360">
        <v>1.2</v>
      </c>
    </row>
    <row r="4148" spans="20:28" x14ac:dyDescent="0.2">
      <c r="T4148" s="358" t="str">
        <f t="shared" si="174"/>
        <v>1996MaleAllEth19Submersion (drowning)</v>
      </c>
      <c r="U4148" s="360">
        <v>1996</v>
      </c>
      <c r="V4148" s="360" t="s">
        <v>20</v>
      </c>
      <c r="W4148" s="360" t="s">
        <v>27</v>
      </c>
      <c r="X4148" s="360">
        <v>19</v>
      </c>
      <c r="Y4148" s="360" t="s">
        <v>49</v>
      </c>
      <c r="Z4148" s="360">
        <v>8</v>
      </c>
      <c r="AA4148" s="360">
        <v>429</v>
      </c>
      <c r="AB4148" s="360">
        <v>1.9</v>
      </c>
    </row>
    <row r="4149" spans="20:28" x14ac:dyDescent="0.2">
      <c r="T4149" s="358" t="str">
        <f t="shared" si="174"/>
        <v>1996MaleMaori19Firearms and explosives</v>
      </c>
      <c r="U4149" s="360">
        <v>1996</v>
      </c>
      <c r="V4149" s="360" t="s">
        <v>20</v>
      </c>
      <c r="W4149" s="360" t="s">
        <v>18</v>
      </c>
      <c r="X4149" s="360">
        <v>19</v>
      </c>
      <c r="Y4149" s="360" t="s">
        <v>42</v>
      </c>
      <c r="Z4149" s="360">
        <v>3</v>
      </c>
      <c r="AA4149" s="360">
        <v>73</v>
      </c>
      <c r="AB4149" s="360">
        <v>4.0999999999999996</v>
      </c>
    </row>
    <row r="4150" spans="20:28" x14ac:dyDescent="0.2">
      <c r="T4150" s="358" t="str">
        <f t="shared" si="174"/>
        <v>1996MaleMaori19Hanging, strangulation and suffocation</v>
      </c>
      <c r="U4150" s="360">
        <v>1996</v>
      </c>
      <c r="V4150" s="360" t="s">
        <v>20</v>
      </c>
      <c r="W4150" s="360" t="s">
        <v>18</v>
      </c>
      <c r="X4150" s="360">
        <v>19</v>
      </c>
      <c r="Y4150" s="360" t="s">
        <v>43</v>
      </c>
      <c r="Z4150" s="360">
        <v>52</v>
      </c>
      <c r="AA4150" s="360">
        <v>73</v>
      </c>
      <c r="AB4150" s="360">
        <v>71.2</v>
      </c>
    </row>
    <row r="4151" spans="20:28" x14ac:dyDescent="0.2">
      <c r="T4151" s="358" t="str">
        <f t="shared" si="174"/>
        <v>1996MaleMaori19Jumping from a high place</v>
      </c>
      <c r="U4151" s="360">
        <v>1996</v>
      </c>
      <c r="V4151" s="360" t="s">
        <v>20</v>
      </c>
      <c r="W4151" s="360" t="s">
        <v>18</v>
      </c>
      <c r="X4151" s="360">
        <v>19</v>
      </c>
      <c r="Y4151" s="360" t="s">
        <v>44</v>
      </c>
      <c r="Z4151" s="360">
        <v>1</v>
      </c>
      <c r="AA4151" s="360">
        <v>73</v>
      </c>
      <c r="AB4151" s="360">
        <v>1.4</v>
      </c>
    </row>
    <row r="4152" spans="20:28" x14ac:dyDescent="0.2">
      <c r="T4152" s="358" t="str">
        <f t="shared" si="174"/>
        <v>1996MaleMaori19Other</v>
      </c>
      <c r="U4152" s="360">
        <v>1996</v>
      </c>
      <c r="V4152" s="360" t="s">
        <v>20</v>
      </c>
      <c r="W4152" s="360" t="s">
        <v>18</v>
      </c>
      <c r="X4152" s="360">
        <v>19</v>
      </c>
      <c r="Y4152" s="360" t="s">
        <v>45</v>
      </c>
      <c r="Z4152" s="360">
        <v>2</v>
      </c>
      <c r="AA4152" s="360">
        <v>73</v>
      </c>
      <c r="AB4152" s="360">
        <v>2.7</v>
      </c>
    </row>
    <row r="4153" spans="20:28" x14ac:dyDescent="0.2">
      <c r="T4153" s="358" t="str">
        <f t="shared" si="174"/>
        <v>1996MaleMaori19Poisoning by gases and vapours</v>
      </c>
      <c r="U4153" s="360">
        <v>1996</v>
      </c>
      <c r="V4153" s="360" t="s">
        <v>20</v>
      </c>
      <c r="W4153" s="360" t="s">
        <v>18</v>
      </c>
      <c r="X4153" s="360">
        <v>19</v>
      </c>
      <c r="Y4153" s="360" t="s">
        <v>46</v>
      </c>
      <c r="Z4153" s="360">
        <v>9</v>
      </c>
      <c r="AA4153" s="360">
        <v>73</v>
      </c>
      <c r="AB4153" s="360">
        <v>12.3</v>
      </c>
    </row>
    <row r="4154" spans="20:28" x14ac:dyDescent="0.2">
      <c r="T4154" s="358" t="str">
        <f t="shared" si="174"/>
        <v>1996MaleMaori19Poisoning by solids and liquids</v>
      </c>
      <c r="U4154" s="360">
        <v>1996</v>
      </c>
      <c r="V4154" s="360" t="s">
        <v>20</v>
      </c>
      <c r="W4154" s="360" t="s">
        <v>18</v>
      </c>
      <c r="X4154" s="360">
        <v>19</v>
      </c>
      <c r="Y4154" s="360" t="s">
        <v>47</v>
      </c>
      <c r="Z4154" s="360">
        <v>4</v>
      </c>
      <c r="AA4154" s="360">
        <v>73</v>
      </c>
      <c r="AB4154" s="360">
        <v>5.5</v>
      </c>
    </row>
    <row r="4155" spans="20:28" x14ac:dyDescent="0.2">
      <c r="T4155" s="358" t="str">
        <f t="shared" si="174"/>
        <v>1996MaleMaori19Sharp object</v>
      </c>
      <c r="U4155" s="360">
        <v>1996</v>
      </c>
      <c r="V4155" s="360" t="s">
        <v>20</v>
      </c>
      <c r="W4155" s="360" t="s">
        <v>18</v>
      </c>
      <c r="X4155" s="360">
        <v>19</v>
      </c>
      <c r="Y4155" s="360" t="s">
        <v>48</v>
      </c>
      <c r="Z4155" s="360">
        <v>2</v>
      </c>
      <c r="AA4155" s="360">
        <v>73</v>
      </c>
      <c r="AB4155" s="360">
        <v>2.7</v>
      </c>
    </row>
    <row r="4156" spans="20:28" x14ac:dyDescent="0.2">
      <c r="T4156" s="358" t="str">
        <f t="shared" si="174"/>
        <v>1996MaleNon-Maori19Firearms and explosives</v>
      </c>
      <c r="U4156" s="360">
        <v>1996</v>
      </c>
      <c r="V4156" s="360" t="s">
        <v>20</v>
      </c>
      <c r="W4156" s="360" t="s">
        <v>19</v>
      </c>
      <c r="X4156" s="360">
        <v>19</v>
      </c>
      <c r="Y4156" s="360" t="s">
        <v>42</v>
      </c>
      <c r="Z4156" s="360">
        <v>43</v>
      </c>
      <c r="AA4156" s="360">
        <v>356</v>
      </c>
      <c r="AB4156" s="360">
        <v>12.1</v>
      </c>
    </row>
    <row r="4157" spans="20:28" x14ac:dyDescent="0.2">
      <c r="T4157" s="358" t="str">
        <f t="shared" si="174"/>
        <v>1996MaleNon-Maori19Hanging, strangulation and suffocation</v>
      </c>
      <c r="U4157" s="360">
        <v>1996</v>
      </c>
      <c r="V4157" s="360" t="s">
        <v>20</v>
      </c>
      <c r="W4157" s="360" t="s">
        <v>19</v>
      </c>
      <c r="X4157" s="360">
        <v>19</v>
      </c>
      <c r="Y4157" s="360" t="s">
        <v>43</v>
      </c>
      <c r="Z4157" s="360">
        <v>138</v>
      </c>
      <c r="AA4157" s="360">
        <v>356</v>
      </c>
      <c r="AB4157" s="360">
        <v>38.799999999999997</v>
      </c>
    </row>
    <row r="4158" spans="20:28" x14ac:dyDescent="0.2">
      <c r="T4158" s="358" t="str">
        <f t="shared" si="174"/>
        <v>1996MaleNon-Maori19Jumping from a high place</v>
      </c>
      <c r="U4158" s="360">
        <v>1996</v>
      </c>
      <c r="V4158" s="360" t="s">
        <v>20</v>
      </c>
      <c r="W4158" s="360" t="s">
        <v>19</v>
      </c>
      <c r="X4158" s="360">
        <v>19</v>
      </c>
      <c r="Y4158" s="360" t="s">
        <v>44</v>
      </c>
      <c r="Z4158" s="360">
        <v>10</v>
      </c>
      <c r="AA4158" s="360">
        <v>356</v>
      </c>
      <c r="AB4158" s="360">
        <v>2.8</v>
      </c>
    </row>
    <row r="4159" spans="20:28" x14ac:dyDescent="0.2">
      <c r="T4159" s="358" t="str">
        <f t="shared" si="174"/>
        <v>1996MaleNon-Maori19Other</v>
      </c>
      <c r="U4159" s="360">
        <v>1996</v>
      </c>
      <c r="V4159" s="360" t="s">
        <v>20</v>
      </c>
      <c r="W4159" s="360" t="s">
        <v>19</v>
      </c>
      <c r="X4159" s="360">
        <v>19</v>
      </c>
      <c r="Y4159" s="360" t="s">
        <v>45</v>
      </c>
      <c r="Z4159" s="360">
        <v>11</v>
      </c>
      <c r="AA4159" s="360">
        <v>356</v>
      </c>
      <c r="AB4159" s="360">
        <v>3.1</v>
      </c>
    </row>
    <row r="4160" spans="20:28" x14ac:dyDescent="0.2">
      <c r="T4160" s="358" t="str">
        <f t="shared" si="174"/>
        <v>1996MaleNon-Maori19Poisoning by gases and vapours</v>
      </c>
      <c r="U4160" s="360">
        <v>1996</v>
      </c>
      <c r="V4160" s="360" t="s">
        <v>20</v>
      </c>
      <c r="W4160" s="360" t="s">
        <v>19</v>
      </c>
      <c r="X4160" s="360">
        <v>19</v>
      </c>
      <c r="Y4160" s="360" t="s">
        <v>46</v>
      </c>
      <c r="Z4160" s="360">
        <v>117</v>
      </c>
      <c r="AA4160" s="360">
        <v>356</v>
      </c>
      <c r="AB4160" s="360">
        <v>32.9</v>
      </c>
    </row>
    <row r="4161" spans="20:28" x14ac:dyDescent="0.2">
      <c r="T4161" s="358" t="str">
        <f t="shared" si="174"/>
        <v>1996MaleNon-Maori19Poisoning by solids and liquids</v>
      </c>
      <c r="U4161" s="360">
        <v>1996</v>
      </c>
      <c r="V4161" s="360" t="s">
        <v>20</v>
      </c>
      <c r="W4161" s="360" t="s">
        <v>19</v>
      </c>
      <c r="X4161" s="360">
        <v>19</v>
      </c>
      <c r="Y4161" s="360" t="s">
        <v>47</v>
      </c>
      <c r="Z4161" s="360">
        <v>26</v>
      </c>
      <c r="AA4161" s="360">
        <v>356</v>
      </c>
      <c r="AB4161" s="360">
        <v>7.3</v>
      </c>
    </row>
    <row r="4162" spans="20:28" x14ac:dyDescent="0.2">
      <c r="T4162" s="358" t="str">
        <f t="shared" si="174"/>
        <v>1996MaleNon-Maori19Sharp object</v>
      </c>
      <c r="U4162" s="360">
        <v>1996</v>
      </c>
      <c r="V4162" s="360" t="s">
        <v>20</v>
      </c>
      <c r="W4162" s="360" t="s">
        <v>19</v>
      </c>
      <c r="X4162" s="360">
        <v>19</v>
      </c>
      <c r="Y4162" s="360" t="s">
        <v>48</v>
      </c>
      <c r="Z4162" s="360">
        <v>3</v>
      </c>
      <c r="AA4162" s="360">
        <v>356</v>
      </c>
      <c r="AB4162" s="360">
        <v>0.8</v>
      </c>
    </row>
    <row r="4163" spans="20:28" x14ac:dyDescent="0.2">
      <c r="T4163" s="358" t="str">
        <f t="shared" si="174"/>
        <v>1996MaleNon-Maori19Submersion (drowning)</v>
      </c>
      <c r="U4163" s="360">
        <v>1996</v>
      </c>
      <c r="V4163" s="360" t="s">
        <v>20</v>
      </c>
      <c r="W4163" s="360" t="s">
        <v>19</v>
      </c>
      <c r="X4163" s="360">
        <v>19</v>
      </c>
      <c r="Y4163" s="360" t="s">
        <v>49</v>
      </c>
      <c r="Z4163" s="360">
        <v>8</v>
      </c>
      <c r="AA4163" s="360">
        <v>356</v>
      </c>
      <c r="AB4163" s="360">
        <v>2.2000000000000002</v>
      </c>
    </row>
    <row r="4164" spans="20:28" x14ac:dyDescent="0.2">
      <c r="T4164" s="358" t="str">
        <f t="shared" si="174"/>
        <v>1997AllSexAllEth19Firearms and explosives</v>
      </c>
      <c r="U4164" s="360">
        <v>1997</v>
      </c>
      <c r="V4164" s="360" t="s">
        <v>17</v>
      </c>
      <c r="W4164" s="360" t="s">
        <v>27</v>
      </c>
      <c r="X4164" s="360">
        <v>19</v>
      </c>
      <c r="Y4164" s="360" t="s">
        <v>42</v>
      </c>
      <c r="Z4164" s="360">
        <v>56</v>
      </c>
      <c r="AA4164" s="360">
        <v>562</v>
      </c>
      <c r="AB4164" s="360">
        <v>10</v>
      </c>
    </row>
    <row r="4165" spans="20:28" x14ac:dyDescent="0.2">
      <c r="T4165" s="358" t="str">
        <f t="shared" ref="T4165:T4228" si="175">U4165&amp;V4165&amp;W4165&amp;X4165&amp;Y4165</f>
        <v>1997AllSexAllEth19Hanging, strangulation and suffocation</v>
      </c>
      <c r="U4165" s="360">
        <v>1997</v>
      </c>
      <c r="V4165" s="360" t="s">
        <v>17</v>
      </c>
      <c r="W4165" s="360" t="s">
        <v>27</v>
      </c>
      <c r="X4165" s="360">
        <v>19</v>
      </c>
      <c r="Y4165" s="360" t="s">
        <v>43</v>
      </c>
      <c r="Z4165" s="360">
        <v>232</v>
      </c>
      <c r="AA4165" s="360">
        <v>562</v>
      </c>
      <c r="AB4165" s="360">
        <v>41.3</v>
      </c>
    </row>
    <row r="4166" spans="20:28" x14ac:dyDescent="0.2">
      <c r="T4166" s="358" t="str">
        <f t="shared" si="175"/>
        <v>1997AllSexAllEth19Jumping from a high place</v>
      </c>
      <c r="U4166" s="360">
        <v>1997</v>
      </c>
      <c r="V4166" s="360" t="s">
        <v>17</v>
      </c>
      <c r="W4166" s="360" t="s">
        <v>27</v>
      </c>
      <c r="X4166" s="360">
        <v>19</v>
      </c>
      <c r="Y4166" s="360" t="s">
        <v>44</v>
      </c>
      <c r="Z4166" s="360">
        <v>11</v>
      </c>
      <c r="AA4166" s="360">
        <v>562</v>
      </c>
      <c r="AB4166" s="360">
        <v>2</v>
      </c>
    </row>
    <row r="4167" spans="20:28" x14ac:dyDescent="0.2">
      <c r="T4167" s="358" t="str">
        <f t="shared" si="175"/>
        <v>1997AllSexAllEth19Other</v>
      </c>
      <c r="U4167" s="360">
        <v>1997</v>
      </c>
      <c r="V4167" s="360" t="s">
        <v>17</v>
      </c>
      <c r="W4167" s="360" t="s">
        <v>27</v>
      </c>
      <c r="X4167" s="360">
        <v>19</v>
      </c>
      <c r="Y4167" s="360" t="s">
        <v>45</v>
      </c>
      <c r="Z4167" s="360">
        <v>16</v>
      </c>
      <c r="AA4167" s="360">
        <v>562</v>
      </c>
      <c r="AB4167" s="360">
        <v>2.8</v>
      </c>
    </row>
    <row r="4168" spans="20:28" x14ac:dyDescent="0.2">
      <c r="T4168" s="358" t="str">
        <f t="shared" si="175"/>
        <v>1997AllSexAllEth19Poisoning by gases and vapours</v>
      </c>
      <c r="U4168" s="360">
        <v>1997</v>
      </c>
      <c r="V4168" s="360" t="s">
        <v>17</v>
      </c>
      <c r="W4168" s="360" t="s">
        <v>27</v>
      </c>
      <c r="X4168" s="360">
        <v>19</v>
      </c>
      <c r="Y4168" s="360" t="s">
        <v>46</v>
      </c>
      <c r="Z4168" s="360">
        <v>157</v>
      </c>
      <c r="AA4168" s="360">
        <v>562</v>
      </c>
      <c r="AB4168" s="360">
        <v>27.9</v>
      </c>
    </row>
    <row r="4169" spans="20:28" x14ac:dyDescent="0.2">
      <c r="T4169" s="358" t="str">
        <f t="shared" si="175"/>
        <v>1997AllSexAllEth19Poisoning by solids and liquids</v>
      </c>
      <c r="U4169" s="360">
        <v>1997</v>
      </c>
      <c r="V4169" s="360" t="s">
        <v>17</v>
      </c>
      <c r="W4169" s="360" t="s">
        <v>27</v>
      </c>
      <c r="X4169" s="360">
        <v>19</v>
      </c>
      <c r="Y4169" s="360" t="s">
        <v>47</v>
      </c>
      <c r="Z4169" s="360">
        <v>59</v>
      </c>
      <c r="AA4169" s="360">
        <v>562</v>
      </c>
      <c r="AB4169" s="360">
        <v>10.5</v>
      </c>
    </row>
    <row r="4170" spans="20:28" x14ac:dyDescent="0.2">
      <c r="T4170" s="358" t="str">
        <f t="shared" si="175"/>
        <v>1997AllSexAllEth19Sharp object</v>
      </c>
      <c r="U4170" s="360">
        <v>1997</v>
      </c>
      <c r="V4170" s="360" t="s">
        <v>17</v>
      </c>
      <c r="W4170" s="360" t="s">
        <v>27</v>
      </c>
      <c r="X4170" s="360">
        <v>19</v>
      </c>
      <c r="Y4170" s="360" t="s">
        <v>48</v>
      </c>
      <c r="Z4170" s="360">
        <v>14</v>
      </c>
      <c r="AA4170" s="360">
        <v>562</v>
      </c>
      <c r="AB4170" s="360">
        <v>2.5</v>
      </c>
    </row>
    <row r="4171" spans="20:28" x14ac:dyDescent="0.2">
      <c r="T4171" s="358" t="str">
        <f t="shared" si="175"/>
        <v>1997AllSexAllEth19Submersion (drowning)</v>
      </c>
      <c r="U4171" s="360">
        <v>1997</v>
      </c>
      <c r="V4171" s="360" t="s">
        <v>17</v>
      </c>
      <c r="W4171" s="360" t="s">
        <v>27</v>
      </c>
      <c r="X4171" s="360">
        <v>19</v>
      </c>
      <c r="Y4171" s="360" t="s">
        <v>49</v>
      </c>
      <c r="Z4171" s="360">
        <v>17</v>
      </c>
      <c r="AA4171" s="360">
        <v>562</v>
      </c>
      <c r="AB4171" s="360">
        <v>3</v>
      </c>
    </row>
    <row r="4172" spans="20:28" x14ac:dyDescent="0.2">
      <c r="T4172" s="358" t="str">
        <f t="shared" si="175"/>
        <v>1997AllSexMaori19Firearms and explosives</v>
      </c>
      <c r="U4172" s="360">
        <v>1997</v>
      </c>
      <c r="V4172" s="360" t="s">
        <v>17</v>
      </c>
      <c r="W4172" s="360" t="s">
        <v>18</v>
      </c>
      <c r="X4172" s="360">
        <v>19</v>
      </c>
      <c r="Y4172" s="360" t="s">
        <v>42</v>
      </c>
      <c r="Z4172" s="360">
        <v>8</v>
      </c>
      <c r="AA4172" s="360">
        <v>106</v>
      </c>
      <c r="AB4172" s="360">
        <v>7.5</v>
      </c>
    </row>
    <row r="4173" spans="20:28" x14ac:dyDescent="0.2">
      <c r="T4173" s="358" t="str">
        <f t="shared" si="175"/>
        <v>1997AllSexMaori19Hanging, strangulation and suffocation</v>
      </c>
      <c r="U4173" s="360">
        <v>1997</v>
      </c>
      <c r="V4173" s="360" t="s">
        <v>17</v>
      </c>
      <c r="W4173" s="360" t="s">
        <v>18</v>
      </c>
      <c r="X4173" s="360">
        <v>19</v>
      </c>
      <c r="Y4173" s="360" t="s">
        <v>43</v>
      </c>
      <c r="Z4173" s="360">
        <v>70</v>
      </c>
      <c r="AA4173" s="360">
        <v>106</v>
      </c>
      <c r="AB4173" s="360">
        <v>66</v>
      </c>
    </row>
    <row r="4174" spans="20:28" x14ac:dyDescent="0.2">
      <c r="T4174" s="358" t="str">
        <f t="shared" si="175"/>
        <v>1997AllSexMaori19Jumping from a high place</v>
      </c>
      <c r="U4174" s="360">
        <v>1997</v>
      </c>
      <c r="V4174" s="360" t="s">
        <v>17</v>
      </c>
      <c r="W4174" s="360" t="s">
        <v>18</v>
      </c>
      <c r="X4174" s="360">
        <v>19</v>
      </c>
      <c r="Y4174" s="360" t="s">
        <v>44</v>
      </c>
      <c r="Z4174" s="360">
        <v>1</v>
      </c>
      <c r="AA4174" s="360">
        <v>106</v>
      </c>
      <c r="AB4174" s="360">
        <v>0.9</v>
      </c>
    </row>
    <row r="4175" spans="20:28" x14ac:dyDescent="0.2">
      <c r="T4175" s="358" t="str">
        <f t="shared" si="175"/>
        <v>1997AllSexMaori19Other</v>
      </c>
      <c r="U4175" s="360">
        <v>1997</v>
      </c>
      <c r="V4175" s="360" t="s">
        <v>17</v>
      </c>
      <c r="W4175" s="360" t="s">
        <v>18</v>
      </c>
      <c r="X4175" s="360">
        <v>19</v>
      </c>
      <c r="Y4175" s="360" t="s">
        <v>45</v>
      </c>
      <c r="Z4175" s="360">
        <v>5</v>
      </c>
      <c r="AA4175" s="360">
        <v>106</v>
      </c>
      <c r="AB4175" s="360">
        <v>4.7</v>
      </c>
    </row>
    <row r="4176" spans="20:28" x14ac:dyDescent="0.2">
      <c r="T4176" s="358" t="str">
        <f t="shared" si="175"/>
        <v>1997AllSexMaori19Poisoning by gases and vapours</v>
      </c>
      <c r="U4176" s="360">
        <v>1997</v>
      </c>
      <c r="V4176" s="360" t="s">
        <v>17</v>
      </c>
      <c r="W4176" s="360" t="s">
        <v>18</v>
      </c>
      <c r="X4176" s="360">
        <v>19</v>
      </c>
      <c r="Y4176" s="360" t="s">
        <v>46</v>
      </c>
      <c r="Z4176" s="360">
        <v>8</v>
      </c>
      <c r="AA4176" s="360">
        <v>106</v>
      </c>
      <c r="AB4176" s="360">
        <v>7.5</v>
      </c>
    </row>
    <row r="4177" spans="20:28" x14ac:dyDescent="0.2">
      <c r="T4177" s="358" t="str">
        <f t="shared" si="175"/>
        <v>1997AllSexMaori19Poisoning by solids and liquids</v>
      </c>
      <c r="U4177" s="360">
        <v>1997</v>
      </c>
      <c r="V4177" s="360" t="s">
        <v>17</v>
      </c>
      <c r="W4177" s="360" t="s">
        <v>18</v>
      </c>
      <c r="X4177" s="360">
        <v>19</v>
      </c>
      <c r="Y4177" s="360" t="s">
        <v>47</v>
      </c>
      <c r="Z4177" s="360">
        <v>11</v>
      </c>
      <c r="AA4177" s="360">
        <v>106</v>
      </c>
      <c r="AB4177" s="360">
        <v>10.4</v>
      </c>
    </row>
    <row r="4178" spans="20:28" x14ac:dyDescent="0.2">
      <c r="T4178" s="358" t="str">
        <f t="shared" si="175"/>
        <v>1997AllSexMaori19Sharp object</v>
      </c>
      <c r="U4178" s="360">
        <v>1997</v>
      </c>
      <c r="V4178" s="360" t="s">
        <v>17</v>
      </c>
      <c r="W4178" s="360" t="s">
        <v>18</v>
      </c>
      <c r="X4178" s="360">
        <v>19</v>
      </c>
      <c r="Y4178" s="360" t="s">
        <v>48</v>
      </c>
      <c r="Z4178" s="360">
        <v>1</v>
      </c>
      <c r="AA4178" s="360">
        <v>106</v>
      </c>
      <c r="AB4178" s="360">
        <v>0.9</v>
      </c>
    </row>
    <row r="4179" spans="20:28" x14ac:dyDescent="0.2">
      <c r="T4179" s="358" t="str">
        <f t="shared" si="175"/>
        <v>1997AllSexMaori19Submersion (drowning)</v>
      </c>
      <c r="U4179" s="360">
        <v>1997</v>
      </c>
      <c r="V4179" s="360" t="s">
        <v>17</v>
      </c>
      <c r="W4179" s="360" t="s">
        <v>18</v>
      </c>
      <c r="X4179" s="360">
        <v>19</v>
      </c>
      <c r="Y4179" s="360" t="s">
        <v>49</v>
      </c>
      <c r="Z4179" s="360">
        <v>2</v>
      </c>
      <c r="AA4179" s="360">
        <v>106</v>
      </c>
      <c r="AB4179" s="360">
        <v>1.9</v>
      </c>
    </row>
    <row r="4180" spans="20:28" x14ac:dyDescent="0.2">
      <c r="T4180" s="358" t="str">
        <f t="shared" si="175"/>
        <v>1997AllSexNon-Maori19Firearms and explosives</v>
      </c>
      <c r="U4180" s="360">
        <v>1997</v>
      </c>
      <c r="V4180" s="360" t="s">
        <v>17</v>
      </c>
      <c r="W4180" s="360" t="s">
        <v>19</v>
      </c>
      <c r="X4180" s="360">
        <v>19</v>
      </c>
      <c r="Y4180" s="360" t="s">
        <v>42</v>
      </c>
      <c r="Z4180" s="360">
        <v>48</v>
      </c>
      <c r="AA4180" s="360">
        <v>456</v>
      </c>
      <c r="AB4180" s="360">
        <v>10.5</v>
      </c>
    </row>
    <row r="4181" spans="20:28" x14ac:dyDescent="0.2">
      <c r="T4181" s="358" t="str">
        <f t="shared" si="175"/>
        <v>1997AllSexNon-Maori19Hanging, strangulation and suffocation</v>
      </c>
      <c r="U4181" s="360">
        <v>1997</v>
      </c>
      <c r="V4181" s="360" t="s">
        <v>17</v>
      </c>
      <c r="W4181" s="360" t="s">
        <v>19</v>
      </c>
      <c r="X4181" s="360">
        <v>19</v>
      </c>
      <c r="Y4181" s="360" t="s">
        <v>43</v>
      </c>
      <c r="Z4181" s="360">
        <v>162</v>
      </c>
      <c r="AA4181" s="360">
        <v>456</v>
      </c>
      <c r="AB4181" s="360">
        <v>35.5</v>
      </c>
    </row>
    <row r="4182" spans="20:28" x14ac:dyDescent="0.2">
      <c r="T4182" s="358" t="str">
        <f t="shared" si="175"/>
        <v>1997AllSexNon-Maori19Jumping from a high place</v>
      </c>
      <c r="U4182" s="360">
        <v>1997</v>
      </c>
      <c r="V4182" s="360" t="s">
        <v>17</v>
      </c>
      <c r="W4182" s="360" t="s">
        <v>19</v>
      </c>
      <c r="X4182" s="360">
        <v>19</v>
      </c>
      <c r="Y4182" s="360" t="s">
        <v>44</v>
      </c>
      <c r="Z4182" s="360">
        <v>10</v>
      </c>
      <c r="AA4182" s="360">
        <v>456</v>
      </c>
      <c r="AB4182" s="360">
        <v>2.2000000000000002</v>
      </c>
    </row>
    <row r="4183" spans="20:28" x14ac:dyDescent="0.2">
      <c r="T4183" s="358" t="str">
        <f t="shared" si="175"/>
        <v>1997AllSexNon-Maori19Other</v>
      </c>
      <c r="U4183" s="360">
        <v>1997</v>
      </c>
      <c r="V4183" s="360" t="s">
        <v>17</v>
      </c>
      <c r="W4183" s="360" t="s">
        <v>19</v>
      </c>
      <c r="X4183" s="360">
        <v>19</v>
      </c>
      <c r="Y4183" s="360" t="s">
        <v>45</v>
      </c>
      <c r="Z4183" s="360">
        <v>11</v>
      </c>
      <c r="AA4183" s="360">
        <v>456</v>
      </c>
      <c r="AB4183" s="360">
        <v>2.4</v>
      </c>
    </row>
    <row r="4184" spans="20:28" x14ac:dyDescent="0.2">
      <c r="T4184" s="358" t="str">
        <f t="shared" si="175"/>
        <v>1997AllSexNon-Maori19Poisoning by gases and vapours</v>
      </c>
      <c r="U4184" s="360">
        <v>1997</v>
      </c>
      <c r="V4184" s="360" t="s">
        <v>17</v>
      </c>
      <c r="W4184" s="360" t="s">
        <v>19</v>
      </c>
      <c r="X4184" s="360">
        <v>19</v>
      </c>
      <c r="Y4184" s="360" t="s">
        <v>46</v>
      </c>
      <c r="Z4184" s="360">
        <v>149</v>
      </c>
      <c r="AA4184" s="360">
        <v>456</v>
      </c>
      <c r="AB4184" s="360">
        <v>32.700000000000003</v>
      </c>
    </row>
    <row r="4185" spans="20:28" x14ac:dyDescent="0.2">
      <c r="T4185" s="358" t="str">
        <f t="shared" si="175"/>
        <v>1997AllSexNon-Maori19Poisoning by solids and liquids</v>
      </c>
      <c r="U4185" s="360">
        <v>1997</v>
      </c>
      <c r="V4185" s="360" t="s">
        <v>17</v>
      </c>
      <c r="W4185" s="360" t="s">
        <v>19</v>
      </c>
      <c r="X4185" s="360">
        <v>19</v>
      </c>
      <c r="Y4185" s="360" t="s">
        <v>47</v>
      </c>
      <c r="Z4185" s="360">
        <v>48</v>
      </c>
      <c r="AA4185" s="360">
        <v>456</v>
      </c>
      <c r="AB4185" s="360">
        <v>10.5</v>
      </c>
    </row>
    <row r="4186" spans="20:28" x14ac:dyDescent="0.2">
      <c r="T4186" s="358" t="str">
        <f t="shared" si="175"/>
        <v>1997AllSexNon-Maori19Sharp object</v>
      </c>
      <c r="U4186" s="360">
        <v>1997</v>
      </c>
      <c r="V4186" s="360" t="s">
        <v>17</v>
      </c>
      <c r="W4186" s="360" t="s">
        <v>19</v>
      </c>
      <c r="X4186" s="360">
        <v>19</v>
      </c>
      <c r="Y4186" s="360" t="s">
        <v>48</v>
      </c>
      <c r="Z4186" s="360">
        <v>13</v>
      </c>
      <c r="AA4186" s="360">
        <v>456</v>
      </c>
      <c r="AB4186" s="360">
        <v>2.9</v>
      </c>
    </row>
    <row r="4187" spans="20:28" x14ac:dyDescent="0.2">
      <c r="T4187" s="358" t="str">
        <f t="shared" si="175"/>
        <v>1997AllSexNon-Maori19Submersion (drowning)</v>
      </c>
      <c r="U4187" s="360">
        <v>1997</v>
      </c>
      <c r="V4187" s="360" t="s">
        <v>17</v>
      </c>
      <c r="W4187" s="360" t="s">
        <v>19</v>
      </c>
      <c r="X4187" s="360">
        <v>19</v>
      </c>
      <c r="Y4187" s="360" t="s">
        <v>49</v>
      </c>
      <c r="Z4187" s="360">
        <v>15</v>
      </c>
      <c r="AA4187" s="360">
        <v>456</v>
      </c>
      <c r="AB4187" s="360">
        <v>3.3</v>
      </c>
    </row>
    <row r="4188" spans="20:28" x14ac:dyDescent="0.2">
      <c r="T4188" s="358" t="str">
        <f t="shared" si="175"/>
        <v>1997FemaleAllEth19Firearms and explosives</v>
      </c>
      <c r="U4188" s="360">
        <v>1997</v>
      </c>
      <c r="V4188" s="360" t="s">
        <v>8</v>
      </c>
      <c r="W4188" s="360" t="s">
        <v>27</v>
      </c>
      <c r="X4188" s="360">
        <v>19</v>
      </c>
      <c r="Y4188" s="360" t="s">
        <v>42</v>
      </c>
      <c r="Z4188" s="360">
        <v>4</v>
      </c>
      <c r="AA4188" s="360">
        <v>121</v>
      </c>
      <c r="AB4188" s="360">
        <v>3.3</v>
      </c>
    </row>
    <row r="4189" spans="20:28" x14ac:dyDescent="0.2">
      <c r="T4189" s="358" t="str">
        <f t="shared" si="175"/>
        <v>1997FemaleAllEth19Hanging, strangulation and suffocation</v>
      </c>
      <c r="U4189" s="360">
        <v>1997</v>
      </c>
      <c r="V4189" s="360" t="s">
        <v>8</v>
      </c>
      <c r="W4189" s="360" t="s">
        <v>27</v>
      </c>
      <c r="X4189" s="360">
        <v>19</v>
      </c>
      <c r="Y4189" s="360" t="s">
        <v>43</v>
      </c>
      <c r="Z4189" s="360">
        <v>47</v>
      </c>
      <c r="AA4189" s="360">
        <v>121</v>
      </c>
      <c r="AB4189" s="360">
        <v>38.799999999999997</v>
      </c>
    </row>
    <row r="4190" spans="20:28" x14ac:dyDescent="0.2">
      <c r="T4190" s="358" t="str">
        <f t="shared" si="175"/>
        <v>1997FemaleAllEth19Jumping from a high place</v>
      </c>
      <c r="U4190" s="360">
        <v>1997</v>
      </c>
      <c r="V4190" s="360" t="s">
        <v>8</v>
      </c>
      <c r="W4190" s="360" t="s">
        <v>27</v>
      </c>
      <c r="X4190" s="360">
        <v>19</v>
      </c>
      <c r="Y4190" s="360" t="s">
        <v>44</v>
      </c>
      <c r="Z4190" s="360">
        <v>2</v>
      </c>
      <c r="AA4190" s="360">
        <v>121</v>
      </c>
      <c r="AB4190" s="360">
        <v>1.7</v>
      </c>
    </row>
    <row r="4191" spans="20:28" x14ac:dyDescent="0.2">
      <c r="T4191" s="358" t="str">
        <f t="shared" si="175"/>
        <v>1997FemaleAllEth19Other</v>
      </c>
      <c r="U4191" s="360">
        <v>1997</v>
      </c>
      <c r="V4191" s="360" t="s">
        <v>8</v>
      </c>
      <c r="W4191" s="360" t="s">
        <v>27</v>
      </c>
      <c r="X4191" s="360">
        <v>19</v>
      </c>
      <c r="Y4191" s="360" t="s">
        <v>45</v>
      </c>
      <c r="Z4191" s="360">
        <v>3</v>
      </c>
      <c r="AA4191" s="360">
        <v>121</v>
      </c>
      <c r="AB4191" s="360">
        <v>2.5</v>
      </c>
    </row>
    <row r="4192" spans="20:28" x14ac:dyDescent="0.2">
      <c r="T4192" s="358" t="str">
        <f t="shared" si="175"/>
        <v>1997FemaleAllEth19Poisoning by gases and vapours</v>
      </c>
      <c r="U4192" s="360">
        <v>1997</v>
      </c>
      <c r="V4192" s="360" t="s">
        <v>8</v>
      </c>
      <c r="W4192" s="360" t="s">
        <v>27</v>
      </c>
      <c r="X4192" s="360">
        <v>19</v>
      </c>
      <c r="Y4192" s="360" t="s">
        <v>46</v>
      </c>
      <c r="Z4192" s="360">
        <v>23</v>
      </c>
      <c r="AA4192" s="360">
        <v>121</v>
      </c>
      <c r="AB4192" s="360">
        <v>19</v>
      </c>
    </row>
    <row r="4193" spans="20:28" x14ac:dyDescent="0.2">
      <c r="T4193" s="358" t="str">
        <f t="shared" si="175"/>
        <v>1997FemaleAllEth19Poisoning by solids and liquids</v>
      </c>
      <c r="U4193" s="360">
        <v>1997</v>
      </c>
      <c r="V4193" s="360" t="s">
        <v>8</v>
      </c>
      <c r="W4193" s="360" t="s">
        <v>27</v>
      </c>
      <c r="X4193" s="360">
        <v>19</v>
      </c>
      <c r="Y4193" s="360" t="s">
        <v>47</v>
      </c>
      <c r="Z4193" s="360">
        <v>33</v>
      </c>
      <c r="AA4193" s="360">
        <v>121</v>
      </c>
      <c r="AB4193" s="360">
        <v>27.3</v>
      </c>
    </row>
    <row r="4194" spans="20:28" x14ac:dyDescent="0.2">
      <c r="T4194" s="358" t="str">
        <f t="shared" si="175"/>
        <v>1997FemaleAllEth19Sharp object</v>
      </c>
      <c r="U4194" s="360">
        <v>1997</v>
      </c>
      <c r="V4194" s="360" t="s">
        <v>8</v>
      </c>
      <c r="W4194" s="360" t="s">
        <v>27</v>
      </c>
      <c r="X4194" s="360">
        <v>19</v>
      </c>
      <c r="Y4194" s="360" t="s">
        <v>48</v>
      </c>
      <c r="Z4194" s="360">
        <v>3</v>
      </c>
      <c r="AA4194" s="360">
        <v>121</v>
      </c>
      <c r="AB4194" s="360">
        <v>2.5</v>
      </c>
    </row>
    <row r="4195" spans="20:28" x14ac:dyDescent="0.2">
      <c r="T4195" s="358" t="str">
        <f t="shared" si="175"/>
        <v>1997FemaleAllEth19Submersion (drowning)</v>
      </c>
      <c r="U4195" s="360">
        <v>1997</v>
      </c>
      <c r="V4195" s="360" t="s">
        <v>8</v>
      </c>
      <c r="W4195" s="360" t="s">
        <v>27</v>
      </c>
      <c r="X4195" s="360">
        <v>19</v>
      </c>
      <c r="Y4195" s="360" t="s">
        <v>49</v>
      </c>
      <c r="Z4195" s="360">
        <v>6</v>
      </c>
      <c r="AA4195" s="360">
        <v>121</v>
      </c>
      <c r="AB4195" s="360">
        <v>5</v>
      </c>
    </row>
    <row r="4196" spans="20:28" x14ac:dyDescent="0.2">
      <c r="T4196" s="358" t="str">
        <f t="shared" si="175"/>
        <v>1997FemaleMaori19Firearms and explosives</v>
      </c>
      <c r="U4196" s="360">
        <v>1997</v>
      </c>
      <c r="V4196" s="360" t="s">
        <v>8</v>
      </c>
      <c r="W4196" s="360" t="s">
        <v>18</v>
      </c>
      <c r="X4196" s="360">
        <v>19</v>
      </c>
      <c r="Y4196" s="360" t="s">
        <v>42</v>
      </c>
      <c r="Z4196" s="360">
        <v>1</v>
      </c>
      <c r="AA4196" s="360">
        <v>26</v>
      </c>
      <c r="AB4196" s="360">
        <v>3.8</v>
      </c>
    </row>
    <row r="4197" spans="20:28" x14ac:dyDescent="0.2">
      <c r="T4197" s="358" t="str">
        <f t="shared" si="175"/>
        <v>1997FemaleMaori19Hanging, strangulation and suffocation</v>
      </c>
      <c r="U4197" s="360">
        <v>1997</v>
      </c>
      <c r="V4197" s="360" t="s">
        <v>8</v>
      </c>
      <c r="W4197" s="360" t="s">
        <v>18</v>
      </c>
      <c r="X4197" s="360">
        <v>19</v>
      </c>
      <c r="Y4197" s="360" t="s">
        <v>43</v>
      </c>
      <c r="Z4197" s="360">
        <v>14</v>
      </c>
      <c r="AA4197" s="360">
        <v>26</v>
      </c>
      <c r="AB4197" s="360">
        <v>53.8</v>
      </c>
    </row>
    <row r="4198" spans="20:28" x14ac:dyDescent="0.2">
      <c r="T4198" s="358" t="str">
        <f t="shared" si="175"/>
        <v>1997FemaleMaori19Jumping from a high place</v>
      </c>
      <c r="U4198" s="360">
        <v>1997</v>
      </c>
      <c r="V4198" s="360" t="s">
        <v>8</v>
      </c>
      <c r="W4198" s="360" t="s">
        <v>18</v>
      </c>
      <c r="X4198" s="360">
        <v>19</v>
      </c>
      <c r="Y4198" s="360" t="s">
        <v>44</v>
      </c>
      <c r="Z4198" s="360">
        <v>1</v>
      </c>
      <c r="AA4198" s="360">
        <v>26</v>
      </c>
      <c r="AB4198" s="360">
        <v>3.8</v>
      </c>
    </row>
    <row r="4199" spans="20:28" x14ac:dyDescent="0.2">
      <c r="T4199" s="358" t="str">
        <f t="shared" si="175"/>
        <v>1997FemaleMaori19Other</v>
      </c>
      <c r="U4199" s="360">
        <v>1997</v>
      </c>
      <c r="V4199" s="360" t="s">
        <v>8</v>
      </c>
      <c r="W4199" s="360" t="s">
        <v>18</v>
      </c>
      <c r="X4199" s="360">
        <v>19</v>
      </c>
      <c r="Y4199" s="360" t="s">
        <v>45</v>
      </c>
      <c r="Z4199" s="360">
        <v>1</v>
      </c>
      <c r="AA4199" s="360">
        <v>26</v>
      </c>
      <c r="AB4199" s="360">
        <v>3.8</v>
      </c>
    </row>
    <row r="4200" spans="20:28" x14ac:dyDescent="0.2">
      <c r="T4200" s="358" t="str">
        <f t="shared" si="175"/>
        <v>1997FemaleMaori19Poisoning by gases and vapours</v>
      </c>
      <c r="U4200" s="360">
        <v>1997</v>
      </c>
      <c r="V4200" s="360" t="s">
        <v>8</v>
      </c>
      <c r="W4200" s="360" t="s">
        <v>18</v>
      </c>
      <c r="X4200" s="360">
        <v>19</v>
      </c>
      <c r="Y4200" s="360" t="s">
        <v>46</v>
      </c>
      <c r="Z4200" s="360">
        <v>3</v>
      </c>
      <c r="AA4200" s="360">
        <v>26</v>
      </c>
      <c r="AB4200" s="360">
        <v>11.5</v>
      </c>
    </row>
    <row r="4201" spans="20:28" x14ac:dyDescent="0.2">
      <c r="T4201" s="358" t="str">
        <f t="shared" si="175"/>
        <v>1997FemaleMaori19Poisoning by solids and liquids</v>
      </c>
      <c r="U4201" s="360">
        <v>1997</v>
      </c>
      <c r="V4201" s="360" t="s">
        <v>8</v>
      </c>
      <c r="W4201" s="360" t="s">
        <v>18</v>
      </c>
      <c r="X4201" s="360">
        <v>19</v>
      </c>
      <c r="Y4201" s="360" t="s">
        <v>47</v>
      </c>
      <c r="Z4201" s="360">
        <v>5</v>
      </c>
      <c r="AA4201" s="360">
        <v>26</v>
      </c>
      <c r="AB4201" s="360">
        <v>19.2</v>
      </c>
    </row>
    <row r="4202" spans="20:28" x14ac:dyDescent="0.2">
      <c r="T4202" s="358" t="str">
        <f t="shared" si="175"/>
        <v>1997FemaleMaori19Submersion (drowning)</v>
      </c>
      <c r="U4202" s="360">
        <v>1997</v>
      </c>
      <c r="V4202" s="360" t="s">
        <v>8</v>
      </c>
      <c r="W4202" s="360" t="s">
        <v>18</v>
      </c>
      <c r="X4202" s="360">
        <v>19</v>
      </c>
      <c r="Y4202" s="360" t="s">
        <v>49</v>
      </c>
      <c r="Z4202" s="360">
        <v>1</v>
      </c>
      <c r="AA4202" s="360">
        <v>26</v>
      </c>
      <c r="AB4202" s="360">
        <v>3.8</v>
      </c>
    </row>
    <row r="4203" spans="20:28" x14ac:dyDescent="0.2">
      <c r="T4203" s="358" t="str">
        <f t="shared" si="175"/>
        <v>1997FemaleNon-Maori19Firearms and explosives</v>
      </c>
      <c r="U4203" s="360">
        <v>1997</v>
      </c>
      <c r="V4203" s="360" t="s">
        <v>8</v>
      </c>
      <c r="W4203" s="360" t="s">
        <v>19</v>
      </c>
      <c r="X4203" s="360">
        <v>19</v>
      </c>
      <c r="Y4203" s="360" t="s">
        <v>42</v>
      </c>
      <c r="Z4203" s="360">
        <v>3</v>
      </c>
      <c r="AA4203" s="360">
        <v>95</v>
      </c>
      <c r="AB4203" s="360">
        <v>3.2</v>
      </c>
    </row>
    <row r="4204" spans="20:28" x14ac:dyDescent="0.2">
      <c r="T4204" s="358" t="str">
        <f t="shared" si="175"/>
        <v>1997FemaleNon-Maori19Hanging, strangulation and suffocation</v>
      </c>
      <c r="U4204" s="360">
        <v>1997</v>
      </c>
      <c r="V4204" s="360" t="s">
        <v>8</v>
      </c>
      <c r="W4204" s="360" t="s">
        <v>19</v>
      </c>
      <c r="X4204" s="360">
        <v>19</v>
      </c>
      <c r="Y4204" s="360" t="s">
        <v>43</v>
      </c>
      <c r="Z4204" s="360">
        <v>33</v>
      </c>
      <c r="AA4204" s="360">
        <v>95</v>
      </c>
      <c r="AB4204" s="360">
        <v>34.700000000000003</v>
      </c>
    </row>
    <row r="4205" spans="20:28" x14ac:dyDescent="0.2">
      <c r="T4205" s="358" t="str">
        <f t="shared" si="175"/>
        <v>1997FemaleNon-Maori19Jumping from a high place</v>
      </c>
      <c r="U4205" s="360">
        <v>1997</v>
      </c>
      <c r="V4205" s="360" t="s">
        <v>8</v>
      </c>
      <c r="W4205" s="360" t="s">
        <v>19</v>
      </c>
      <c r="X4205" s="360">
        <v>19</v>
      </c>
      <c r="Y4205" s="360" t="s">
        <v>44</v>
      </c>
      <c r="Z4205" s="360">
        <v>1</v>
      </c>
      <c r="AA4205" s="360">
        <v>95</v>
      </c>
      <c r="AB4205" s="360">
        <v>1.1000000000000001</v>
      </c>
    </row>
    <row r="4206" spans="20:28" x14ac:dyDescent="0.2">
      <c r="T4206" s="358" t="str">
        <f t="shared" si="175"/>
        <v>1997FemaleNon-Maori19Other</v>
      </c>
      <c r="U4206" s="360">
        <v>1997</v>
      </c>
      <c r="V4206" s="360" t="s">
        <v>8</v>
      </c>
      <c r="W4206" s="360" t="s">
        <v>19</v>
      </c>
      <c r="X4206" s="360">
        <v>19</v>
      </c>
      <c r="Y4206" s="360" t="s">
        <v>45</v>
      </c>
      <c r="Z4206" s="360">
        <v>2</v>
      </c>
      <c r="AA4206" s="360">
        <v>95</v>
      </c>
      <c r="AB4206" s="360">
        <v>2.1</v>
      </c>
    </row>
    <row r="4207" spans="20:28" x14ac:dyDescent="0.2">
      <c r="T4207" s="358" t="str">
        <f t="shared" si="175"/>
        <v>1997FemaleNon-Maori19Poisoning by gases and vapours</v>
      </c>
      <c r="U4207" s="360">
        <v>1997</v>
      </c>
      <c r="V4207" s="360" t="s">
        <v>8</v>
      </c>
      <c r="W4207" s="360" t="s">
        <v>19</v>
      </c>
      <c r="X4207" s="360">
        <v>19</v>
      </c>
      <c r="Y4207" s="360" t="s">
        <v>46</v>
      </c>
      <c r="Z4207" s="360">
        <v>20</v>
      </c>
      <c r="AA4207" s="360">
        <v>95</v>
      </c>
      <c r="AB4207" s="360">
        <v>21.1</v>
      </c>
    </row>
    <row r="4208" spans="20:28" x14ac:dyDescent="0.2">
      <c r="T4208" s="358" t="str">
        <f t="shared" si="175"/>
        <v>1997FemaleNon-Maori19Poisoning by solids and liquids</v>
      </c>
      <c r="U4208" s="360">
        <v>1997</v>
      </c>
      <c r="V4208" s="360" t="s">
        <v>8</v>
      </c>
      <c r="W4208" s="360" t="s">
        <v>19</v>
      </c>
      <c r="X4208" s="360">
        <v>19</v>
      </c>
      <c r="Y4208" s="360" t="s">
        <v>47</v>
      </c>
      <c r="Z4208" s="360">
        <v>28</v>
      </c>
      <c r="AA4208" s="360">
        <v>95</v>
      </c>
      <c r="AB4208" s="360">
        <v>29.5</v>
      </c>
    </row>
    <row r="4209" spans="20:28" x14ac:dyDescent="0.2">
      <c r="T4209" s="358" t="str">
        <f t="shared" si="175"/>
        <v>1997FemaleNon-Maori19Sharp object</v>
      </c>
      <c r="U4209" s="360">
        <v>1997</v>
      </c>
      <c r="V4209" s="360" t="s">
        <v>8</v>
      </c>
      <c r="W4209" s="360" t="s">
        <v>19</v>
      </c>
      <c r="X4209" s="360">
        <v>19</v>
      </c>
      <c r="Y4209" s="360" t="s">
        <v>48</v>
      </c>
      <c r="Z4209" s="360">
        <v>3</v>
      </c>
      <c r="AA4209" s="360">
        <v>95</v>
      </c>
      <c r="AB4209" s="360">
        <v>3.2</v>
      </c>
    </row>
    <row r="4210" spans="20:28" x14ac:dyDescent="0.2">
      <c r="T4210" s="358" t="str">
        <f t="shared" si="175"/>
        <v>1997FemaleNon-Maori19Submersion (drowning)</v>
      </c>
      <c r="U4210" s="360">
        <v>1997</v>
      </c>
      <c r="V4210" s="360" t="s">
        <v>8</v>
      </c>
      <c r="W4210" s="360" t="s">
        <v>19</v>
      </c>
      <c r="X4210" s="360">
        <v>19</v>
      </c>
      <c r="Y4210" s="360" t="s">
        <v>49</v>
      </c>
      <c r="Z4210" s="360">
        <v>5</v>
      </c>
      <c r="AA4210" s="360">
        <v>95</v>
      </c>
      <c r="AB4210" s="360">
        <v>5.3</v>
      </c>
    </row>
    <row r="4211" spans="20:28" x14ac:dyDescent="0.2">
      <c r="T4211" s="358" t="str">
        <f t="shared" si="175"/>
        <v>1997MaleAllEth19Firearms and explosives</v>
      </c>
      <c r="U4211" s="360">
        <v>1997</v>
      </c>
      <c r="V4211" s="360" t="s">
        <v>20</v>
      </c>
      <c r="W4211" s="360" t="s">
        <v>27</v>
      </c>
      <c r="X4211" s="360">
        <v>19</v>
      </c>
      <c r="Y4211" s="360" t="s">
        <v>42</v>
      </c>
      <c r="Z4211" s="360">
        <v>52</v>
      </c>
      <c r="AA4211" s="360">
        <v>441</v>
      </c>
      <c r="AB4211" s="360">
        <v>11.8</v>
      </c>
    </row>
    <row r="4212" spans="20:28" x14ac:dyDescent="0.2">
      <c r="T4212" s="358" t="str">
        <f t="shared" si="175"/>
        <v>1997MaleAllEth19Hanging, strangulation and suffocation</v>
      </c>
      <c r="U4212" s="360">
        <v>1997</v>
      </c>
      <c r="V4212" s="360" t="s">
        <v>20</v>
      </c>
      <c r="W4212" s="360" t="s">
        <v>27</v>
      </c>
      <c r="X4212" s="360">
        <v>19</v>
      </c>
      <c r="Y4212" s="360" t="s">
        <v>43</v>
      </c>
      <c r="Z4212" s="360">
        <v>185</v>
      </c>
      <c r="AA4212" s="360">
        <v>441</v>
      </c>
      <c r="AB4212" s="360">
        <v>42</v>
      </c>
    </row>
    <row r="4213" spans="20:28" x14ac:dyDescent="0.2">
      <c r="T4213" s="358" t="str">
        <f t="shared" si="175"/>
        <v>1997MaleAllEth19Jumping from a high place</v>
      </c>
      <c r="U4213" s="360">
        <v>1997</v>
      </c>
      <c r="V4213" s="360" t="s">
        <v>20</v>
      </c>
      <c r="W4213" s="360" t="s">
        <v>27</v>
      </c>
      <c r="X4213" s="360">
        <v>19</v>
      </c>
      <c r="Y4213" s="360" t="s">
        <v>44</v>
      </c>
      <c r="Z4213" s="360">
        <v>9</v>
      </c>
      <c r="AA4213" s="360">
        <v>441</v>
      </c>
      <c r="AB4213" s="360">
        <v>2</v>
      </c>
    </row>
    <row r="4214" spans="20:28" x14ac:dyDescent="0.2">
      <c r="T4214" s="358" t="str">
        <f t="shared" si="175"/>
        <v>1997MaleAllEth19Other</v>
      </c>
      <c r="U4214" s="360">
        <v>1997</v>
      </c>
      <c r="V4214" s="360" t="s">
        <v>20</v>
      </c>
      <c r="W4214" s="360" t="s">
        <v>27</v>
      </c>
      <c r="X4214" s="360">
        <v>19</v>
      </c>
      <c r="Y4214" s="360" t="s">
        <v>45</v>
      </c>
      <c r="Z4214" s="360">
        <v>13</v>
      </c>
      <c r="AA4214" s="360">
        <v>441</v>
      </c>
      <c r="AB4214" s="360">
        <v>2.9</v>
      </c>
    </row>
    <row r="4215" spans="20:28" x14ac:dyDescent="0.2">
      <c r="T4215" s="358" t="str">
        <f t="shared" si="175"/>
        <v>1997MaleAllEth19Poisoning by gases and vapours</v>
      </c>
      <c r="U4215" s="360">
        <v>1997</v>
      </c>
      <c r="V4215" s="360" t="s">
        <v>20</v>
      </c>
      <c r="W4215" s="360" t="s">
        <v>27</v>
      </c>
      <c r="X4215" s="360">
        <v>19</v>
      </c>
      <c r="Y4215" s="360" t="s">
        <v>46</v>
      </c>
      <c r="Z4215" s="360">
        <v>134</v>
      </c>
      <c r="AA4215" s="360">
        <v>441</v>
      </c>
      <c r="AB4215" s="360">
        <v>30.4</v>
      </c>
    </row>
    <row r="4216" spans="20:28" x14ac:dyDescent="0.2">
      <c r="T4216" s="358" t="str">
        <f t="shared" si="175"/>
        <v>1997MaleAllEth19Poisoning by solids and liquids</v>
      </c>
      <c r="U4216" s="360">
        <v>1997</v>
      </c>
      <c r="V4216" s="360" t="s">
        <v>20</v>
      </c>
      <c r="W4216" s="360" t="s">
        <v>27</v>
      </c>
      <c r="X4216" s="360">
        <v>19</v>
      </c>
      <c r="Y4216" s="360" t="s">
        <v>47</v>
      </c>
      <c r="Z4216" s="360">
        <v>26</v>
      </c>
      <c r="AA4216" s="360">
        <v>441</v>
      </c>
      <c r="AB4216" s="360">
        <v>5.9</v>
      </c>
    </row>
    <row r="4217" spans="20:28" x14ac:dyDescent="0.2">
      <c r="T4217" s="358" t="str">
        <f t="shared" si="175"/>
        <v>1997MaleAllEth19Sharp object</v>
      </c>
      <c r="U4217" s="360">
        <v>1997</v>
      </c>
      <c r="V4217" s="360" t="s">
        <v>20</v>
      </c>
      <c r="W4217" s="360" t="s">
        <v>27</v>
      </c>
      <c r="X4217" s="360">
        <v>19</v>
      </c>
      <c r="Y4217" s="360" t="s">
        <v>48</v>
      </c>
      <c r="Z4217" s="360">
        <v>11</v>
      </c>
      <c r="AA4217" s="360">
        <v>441</v>
      </c>
      <c r="AB4217" s="360">
        <v>2.5</v>
      </c>
    </row>
    <row r="4218" spans="20:28" x14ac:dyDescent="0.2">
      <c r="T4218" s="358" t="str">
        <f t="shared" si="175"/>
        <v>1997MaleAllEth19Submersion (drowning)</v>
      </c>
      <c r="U4218" s="360">
        <v>1997</v>
      </c>
      <c r="V4218" s="360" t="s">
        <v>20</v>
      </c>
      <c r="W4218" s="360" t="s">
        <v>27</v>
      </c>
      <c r="X4218" s="360">
        <v>19</v>
      </c>
      <c r="Y4218" s="360" t="s">
        <v>49</v>
      </c>
      <c r="Z4218" s="360">
        <v>11</v>
      </c>
      <c r="AA4218" s="360">
        <v>441</v>
      </c>
      <c r="AB4218" s="360">
        <v>2.5</v>
      </c>
    </row>
    <row r="4219" spans="20:28" x14ac:dyDescent="0.2">
      <c r="T4219" s="358" t="str">
        <f t="shared" si="175"/>
        <v>1997MaleMaori19Firearms and explosives</v>
      </c>
      <c r="U4219" s="360">
        <v>1997</v>
      </c>
      <c r="V4219" s="360" t="s">
        <v>20</v>
      </c>
      <c r="W4219" s="360" t="s">
        <v>18</v>
      </c>
      <c r="X4219" s="360">
        <v>19</v>
      </c>
      <c r="Y4219" s="360" t="s">
        <v>42</v>
      </c>
      <c r="Z4219" s="360">
        <v>7</v>
      </c>
      <c r="AA4219" s="360">
        <v>80</v>
      </c>
      <c r="AB4219" s="360">
        <v>8.8000000000000007</v>
      </c>
    </row>
    <row r="4220" spans="20:28" x14ac:dyDescent="0.2">
      <c r="T4220" s="358" t="str">
        <f t="shared" si="175"/>
        <v>1997MaleMaori19Hanging, strangulation and suffocation</v>
      </c>
      <c r="U4220" s="360">
        <v>1997</v>
      </c>
      <c r="V4220" s="360" t="s">
        <v>20</v>
      </c>
      <c r="W4220" s="360" t="s">
        <v>18</v>
      </c>
      <c r="X4220" s="360">
        <v>19</v>
      </c>
      <c r="Y4220" s="360" t="s">
        <v>43</v>
      </c>
      <c r="Z4220" s="360">
        <v>56</v>
      </c>
      <c r="AA4220" s="360">
        <v>80</v>
      </c>
      <c r="AB4220" s="360">
        <v>70</v>
      </c>
    </row>
    <row r="4221" spans="20:28" x14ac:dyDescent="0.2">
      <c r="T4221" s="358" t="str">
        <f t="shared" si="175"/>
        <v>1997MaleMaori19Other</v>
      </c>
      <c r="U4221" s="360">
        <v>1997</v>
      </c>
      <c r="V4221" s="360" t="s">
        <v>20</v>
      </c>
      <c r="W4221" s="360" t="s">
        <v>18</v>
      </c>
      <c r="X4221" s="360">
        <v>19</v>
      </c>
      <c r="Y4221" s="360" t="s">
        <v>45</v>
      </c>
      <c r="Z4221" s="360">
        <v>4</v>
      </c>
      <c r="AA4221" s="360">
        <v>80</v>
      </c>
      <c r="AB4221" s="360">
        <v>5</v>
      </c>
    </row>
    <row r="4222" spans="20:28" x14ac:dyDescent="0.2">
      <c r="T4222" s="358" t="str">
        <f t="shared" si="175"/>
        <v>1997MaleMaori19Poisoning by gases and vapours</v>
      </c>
      <c r="U4222" s="360">
        <v>1997</v>
      </c>
      <c r="V4222" s="360" t="s">
        <v>20</v>
      </c>
      <c r="W4222" s="360" t="s">
        <v>18</v>
      </c>
      <c r="X4222" s="360">
        <v>19</v>
      </c>
      <c r="Y4222" s="360" t="s">
        <v>46</v>
      </c>
      <c r="Z4222" s="360">
        <v>5</v>
      </c>
      <c r="AA4222" s="360">
        <v>80</v>
      </c>
      <c r="AB4222" s="360">
        <v>6.2</v>
      </c>
    </row>
    <row r="4223" spans="20:28" x14ac:dyDescent="0.2">
      <c r="T4223" s="358" t="str">
        <f t="shared" si="175"/>
        <v>1997MaleMaori19Poisoning by solids and liquids</v>
      </c>
      <c r="U4223" s="360">
        <v>1997</v>
      </c>
      <c r="V4223" s="360" t="s">
        <v>20</v>
      </c>
      <c r="W4223" s="360" t="s">
        <v>18</v>
      </c>
      <c r="X4223" s="360">
        <v>19</v>
      </c>
      <c r="Y4223" s="360" t="s">
        <v>47</v>
      </c>
      <c r="Z4223" s="360">
        <v>6</v>
      </c>
      <c r="AA4223" s="360">
        <v>80</v>
      </c>
      <c r="AB4223" s="360">
        <v>7.5</v>
      </c>
    </row>
    <row r="4224" spans="20:28" x14ac:dyDescent="0.2">
      <c r="T4224" s="358" t="str">
        <f t="shared" si="175"/>
        <v>1997MaleMaori19Sharp object</v>
      </c>
      <c r="U4224" s="360">
        <v>1997</v>
      </c>
      <c r="V4224" s="360" t="s">
        <v>20</v>
      </c>
      <c r="W4224" s="360" t="s">
        <v>18</v>
      </c>
      <c r="X4224" s="360">
        <v>19</v>
      </c>
      <c r="Y4224" s="360" t="s">
        <v>48</v>
      </c>
      <c r="Z4224" s="360">
        <v>1</v>
      </c>
      <c r="AA4224" s="360">
        <v>80</v>
      </c>
      <c r="AB4224" s="360">
        <v>1.2</v>
      </c>
    </row>
    <row r="4225" spans="20:28" x14ac:dyDescent="0.2">
      <c r="T4225" s="358" t="str">
        <f t="shared" si="175"/>
        <v>1997MaleMaori19Submersion (drowning)</v>
      </c>
      <c r="U4225" s="360">
        <v>1997</v>
      </c>
      <c r="V4225" s="360" t="s">
        <v>20</v>
      </c>
      <c r="W4225" s="360" t="s">
        <v>18</v>
      </c>
      <c r="X4225" s="360">
        <v>19</v>
      </c>
      <c r="Y4225" s="360" t="s">
        <v>49</v>
      </c>
      <c r="Z4225" s="360">
        <v>1</v>
      </c>
      <c r="AA4225" s="360">
        <v>80</v>
      </c>
      <c r="AB4225" s="360">
        <v>1.2</v>
      </c>
    </row>
    <row r="4226" spans="20:28" x14ac:dyDescent="0.2">
      <c r="T4226" s="358" t="str">
        <f t="shared" si="175"/>
        <v>1997MaleNon-Maori19Firearms and explosives</v>
      </c>
      <c r="U4226" s="360">
        <v>1997</v>
      </c>
      <c r="V4226" s="360" t="s">
        <v>20</v>
      </c>
      <c r="W4226" s="360" t="s">
        <v>19</v>
      </c>
      <c r="X4226" s="360">
        <v>19</v>
      </c>
      <c r="Y4226" s="360" t="s">
        <v>42</v>
      </c>
      <c r="Z4226" s="360">
        <v>45</v>
      </c>
      <c r="AA4226" s="360">
        <v>361</v>
      </c>
      <c r="AB4226" s="360">
        <v>12.5</v>
      </c>
    </row>
    <row r="4227" spans="20:28" x14ac:dyDescent="0.2">
      <c r="T4227" s="358" t="str">
        <f t="shared" si="175"/>
        <v>1997MaleNon-Maori19Hanging, strangulation and suffocation</v>
      </c>
      <c r="U4227" s="360">
        <v>1997</v>
      </c>
      <c r="V4227" s="360" t="s">
        <v>20</v>
      </c>
      <c r="W4227" s="360" t="s">
        <v>19</v>
      </c>
      <c r="X4227" s="360">
        <v>19</v>
      </c>
      <c r="Y4227" s="360" t="s">
        <v>43</v>
      </c>
      <c r="Z4227" s="360">
        <v>129</v>
      </c>
      <c r="AA4227" s="360">
        <v>361</v>
      </c>
      <c r="AB4227" s="360">
        <v>35.700000000000003</v>
      </c>
    </row>
    <row r="4228" spans="20:28" x14ac:dyDescent="0.2">
      <c r="T4228" s="358" t="str">
        <f t="shared" si="175"/>
        <v>1997MaleNon-Maori19Jumping from a high place</v>
      </c>
      <c r="U4228" s="360">
        <v>1997</v>
      </c>
      <c r="V4228" s="360" t="s">
        <v>20</v>
      </c>
      <c r="W4228" s="360" t="s">
        <v>19</v>
      </c>
      <c r="X4228" s="360">
        <v>19</v>
      </c>
      <c r="Y4228" s="360" t="s">
        <v>44</v>
      </c>
      <c r="Z4228" s="360">
        <v>9</v>
      </c>
      <c r="AA4228" s="360">
        <v>361</v>
      </c>
      <c r="AB4228" s="360">
        <v>2.5</v>
      </c>
    </row>
    <row r="4229" spans="20:28" x14ac:dyDescent="0.2">
      <c r="T4229" s="358" t="str">
        <f t="shared" ref="T4229:T4292" si="176">U4229&amp;V4229&amp;W4229&amp;X4229&amp;Y4229</f>
        <v>1997MaleNon-Maori19Other</v>
      </c>
      <c r="U4229" s="360">
        <v>1997</v>
      </c>
      <c r="V4229" s="360" t="s">
        <v>20</v>
      </c>
      <c r="W4229" s="360" t="s">
        <v>19</v>
      </c>
      <c r="X4229" s="360">
        <v>19</v>
      </c>
      <c r="Y4229" s="360" t="s">
        <v>45</v>
      </c>
      <c r="Z4229" s="360">
        <v>9</v>
      </c>
      <c r="AA4229" s="360">
        <v>361</v>
      </c>
      <c r="AB4229" s="360">
        <v>2.5</v>
      </c>
    </row>
    <row r="4230" spans="20:28" x14ac:dyDescent="0.2">
      <c r="T4230" s="358" t="str">
        <f t="shared" si="176"/>
        <v>1997MaleNon-Maori19Poisoning by gases and vapours</v>
      </c>
      <c r="U4230" s="360">
        <v>1997</v>
      </c>
      <c r="V4230" s="360" t="s">
        <v>20</v>
      </c>
      <c r="W4230" s="360" t="s">
        <v>19</v>
      </c>
      <c r="X4230" s="360">
        <v>19</v>
      </c>
      <c r="Y4230" s="360" t="s">
        <v>46</v>
      </c>
      <c r="Z4230" s="360">
        <v>129</v>
      </c>
      <c r="AA4230" s="360">
        <v>361</v>
      </c>
      <c r="AB4230" s="360">
        <v>35.700000000000003</v>
      </c>
    </row>
    <row r="4231" spans="20:28" x14ac:dyDescent="0.2">
      <c r="T4231" s="358" t="str">
        <f t="shared" si="176"/>
        <v>1997MaleNon-Maori19Poisoning by solids and liquids</v>
      </c>
      <c r="U4231" s="360">
        <v>1997</v>
      </c>
      <c r="V4231" s="360" t="s">
        <v>20</v>
      </c>
      <c r="W4231" s="360" t="s">
        <v>19</v>
      </c>
      <c r="X4231" s="360">
        <v>19</v>
      </c>
      <c r="Y4231" s="360" t="s">
        <v>47</v>
      </c>
      <c r="Z4231" s="360">
        <v>20</v>
      </c>
      <c r="AA4231" s="360">
        <v>361</v>
      </c>
      <c r="AB4231" s="360">
        <v>5.5</v>
      </c>
    </row>
    <row r="4232" spans="20:28" x14ac:dyDescent="0.2">
      <c r="T4232" s="358" t="str">
        <f t="shared" si="176"/>
        <v>1997MaleNon-Maori19Sharp object</v>
      </c>
      <c r="U4232" s="360">
        <v>1997</v>
      </c>
      <c r="V4232" s="360" t="s">
        <v>20</v>
      </c>
      <c r="W4232" s="360" t="s">
        <v>19</v>
      </c>
      <c r="X4232" s="360">
        <v>19</v>
      </c>
      <c r="Y4232" s="360" t="s">
        <v>48</v>
      </c>
      <c r="Z4232" s="360">
        <v>10</v>
      </c>
      <c r="AA4232" s="360">
        <v>361</v>
      </c>
      <c r="AB4232" s="360">
        <v>2.8</v>
      </c>
    </row>
    <row r="4233" spans="20:28" x14ac:dyDescent="0.2">
      <c r="T4233" s="358" t="str">
        <f t="shared" si="176"/>
        <v>1997MaleNon-Maori19Submersion (drowning)</v>
      </c>
      <c r="U4233" s="360">
        <v>1997</v>
      </c>
      <c r="V4233" s="360" t="s">
        <v>20</v>
      </c>
      <c r="W4233" s="360" t="s">
        <v>19</v>
      </c>
      <c r="X4233" s="360">
        <v>19</v>
      </c>
      <c r="Y4233" s="360" t="s">
        <v>49</v>
      </c>
      <c r="Z4233" s="360">
        <v>10</v>
      </c>
      <c r="AA4233" s="360">
        <v>361</v>
      </c>
      <c r="AB4233" s="360">
        <v>2.8</v>
      </c>
    </row>
    <row r="4234" spans="20:28" x14ac:dyDescent="0.2">
      <c r="T4234" s="358" t="str">
        <f t="shared" si="176"/>
        <v>1998AllSexAllEth19Firearms and explosives</v>
      </c>
      <c r="U4234" s="360">
        <v>1998</v>
      </c>
      <c r="V4234" s="360" t="s">
        <v>17</v>
      </c>
      <c r="W4234" s="360" t="s">
        <v>27</v>
      </c>
      <c r="X4234" s="360">
        <v>19</v>
      </c>
      <c r="Y4234" s="360" t="s">
        <v>42</v>
      </c>
      <c r="Z4234" s="360">
        <v>72</v>
      </c>
      <c r="AA4234" s="360">
        <v>579</v>
      </c>
      <c r="AB4234" s="360">
        <v>12.4</v>
      </c>
    </row>
    <row r="4235" spans="20:28" x14ac:dyDescent="0.2">
      <c r="T4235" s="358" t="str">
        <f t="shared" si="176"/>
        <v>1998AllSexAllEth19Hanging, strangulation and suffocation</v>
      </c>
      <c r="U4235" s="360">
        <v>1998</v>
      </c>
      <c r="V4235" s="360" t="s">
        <v>17</v>
      </c>
      <c r="W4235" s="360" t="s">
        <v>27</v>
      </c>
      <c r="X4235" s="360">
        <v>19</v>
      </c>
      <c r="Y4235" s="360" t="s">
        <v>43</v>
      </c>
      <c r="Z4235" s="360">
        <v>250</v>
      </c>
      <c r="AA4235" s="360">
        <v>579</v>
      </c>
      <c r="AB4235" s="360">
        <v>43.2</v>
      </c>
    </row>
    <row r="4236" spans="20:28" x14ac:dyDescent="0.2">
      <c r="T4236" s="358" t="str">
        <f t="shared" si="176"/>
        <v>1998AllSexAllEth19Jumping from a high place</v>
      </c>
      <c r="U4236" s="360">
        <v>1998</v>
      </c>
      <c r="V4236" s="360" t="s">
        <v>17</v>
      </c>
      <c r="W4236" s="360" t="s">
        <v>27</v>
      </c>
      <c r="X4236" s="360">
        <v>19</v>
      </c>
      <c r="Y4236" s="360" t="s">
        <v>44</v>
      </c>
      <c r="Z4236" s="360">
        <v>16</v>
      </c>
      <c r="AA4236" s="360">
        <v>579</v>
      </c>
      <c r="AB4236" s="360">
        <v>2.8</v>
      </c>
    </row>
    <row r="4237" spans="20:28" x14ac:dyDescent="0.2">
      <c r="T4237" s="358" t="str">
        <f t="shared" si="176"/>
        <v>1998AllSexAllEth19Other</v>
      </c>
      <c r="U4237" s="360">
        <v>1998</v>
      </c>
      <c r="V4237" s="360" t="s">
        <v>17</v>
      </c>
      <c r="W4237" s="360" t="s">
        <v>27</v>
      </c>
      <c r="X4237" s="360">
        <v>19</v>
      </c>
      <c r="Y4237" s="360" t="s">
        <v>45</v>
      </c>
      <c r="Z4237" s="360">
        <v>25</v>
      </c>
      <c r="AA4237" s="360">
        <v>579</v>
      </c>
      <c r="AB4237" s="360">
        <v>4.3</v>
      </c>
    </row>
    <row r="4238" spans="20:28" x14ac:dyDescent="0.2">
      <c r="T4238" s="358" t="str">
        <f t="shared" si="176"/>
        <v>1998AllSexAllEth19Poisoning by gases and vapours</v>
      </c>
      <c r="U4238" s="360">
        <v>1998</v>
      </c>
      <c r="V4238" s="360" t="s">
        <v>17</v>
      </c>
      <c r="W4238" s="360" t="s">
        <v>27</v>
      </c>
      <c r="X4238" s="360">
        <v>19</v>
      </c>
      <c r="Y4238" s="360" t="s">
        <v>46</v>
      </c>
      <c r="Z4238" s="360">
        <v>134</v>
      </c>
      <c r="AA4238" s="360">
        <v>579</v>
      </c>
      <c r="AB4238" s="360">
        <v>23.1</v>
      </c>
    </row>
    <row r="4239" spans="20:28" x14ac:dyDescent="0.2">
      <c r="T4239" s="358" t="str">
        <f t="shared" si="176"/>
        <v>1998AllSexAllEth19Poisoning by solids and liquids</v>
      </c>
      <c r="U4239" s="360">
        <v>1998</v>
      </c>
      <c r="V4239" s="360" t="s">
        <v>17</v>
      </c>
      <c r="W4239" s="360" t="s">
        <v>27</v>
      </c>
      <c r="X4239" s="360">
        <v>19</v>
      </c>
      <c r="Y4239" s="360" t="s">
        <v>47</v>
      </c>
      <c r="Z4239" s="360">
        <v>64</v>
      </c>
      <c r="AA4239" s="360">
        <v>579</v>
      </c>
      <c r="AB4239" s="360">
        <v>11.1</v>
      </c>
    </row>
    <row r="4240" spans="20:28" x14ac:dyDescent="0.2">
      <c r="T4240" s="358" t="str">
        <f t="shared" si="176"/>
        <v>1998AllSexAllEth19Sharp object</v>
      </c>
      <c r="U4240" s="360">
        <v>1998</v>
      </c>
      <c r="V4240" s="360" t="s">
        <v>17</v>
      </c>
      <c r="W4240" s="360" t="s">
        <v>27</v>
      </c>
      <c r="X4240" s="360">
        <v>19</v>
      </c>
      <c r="Y4240" s="360" t="s">
        <v>48</v>
      </c>
      <c r="Z4240" s="360">
        <v>8</v>
      </c>
      <c r="AA4240" s="360">
        <v>579</v>
      </c>
      <c r="AB4240" s="360">
        <v>1.4</v>
      </c>
    </row>
    <row r="4241" spans="20:28" x14ac:dyDescent="0.2">
      <c r="T4241" s="358" t="str">
        <f t="shared" si="176"/>
        <v>1998AllSexAllEth19Submersion (drowning)</v>
      </c>
      <c r="U4241" s="360">
        <v>1998</v>
      </c>
      <c r="V4241" s="360" t="s">
        <v>17</v>
      </c>
      <c r="W4241" s="360" t="s">
        <v>27</v>
      </c>
      <c r="X4241" s="360">
        <v>19</v>
      </c>
      <c r="Y4241" s="360" t="s">
        <v>49</v>
      </c>
      <c r="Z4241" s="360">
        <v>10</v>
      </c>
      <c r="AA4241" s="360">
        <v>579</v>
      </c>
      <c r="AB4241" s="360">
        <v>1.7</v>
      </c>
    </row>
    <row r="4242" spans="20:28" x14ac:dyDescent="0.2">
      <c r="T4242" s="358" t="str">
        <f t="shared" si="176"/>
        <v>1998AllSexMaori19Firearms and explosives</v>
      </c>
      <c r="U4242" s="360">
        <v>1998</v>
      </c>
      <c r="V4242" s="360" t="s">
        <v>17</v>
      </c>
      <c r="W4242" s="360" t="s">
        <v>18</v>
      </c>
      <c r="X4242" s="360">
        <v>19</v>
      </c>
      <c r="Y4242" s="360" t="s">
        <v>42</v>
      </c>
      <c r="Z4242" s="360">
        <v>10</v>
      </c>
      <c r="AA4242" s="360">
        <v>113</v>
      </c>
      <c r="AB4242" s="360">
        <v>8.8000000000000007</v>
      </c>
    </row>
    <row r="4243" spans="20:28" x14ac:dyDescent="0.2">
      <c r="T4243" s="358" t="str">
        <f t="shared" si="176"/>
        <v>1998AllSexMaori19Hanging, strangulation and suffocation</v>
      </c>
      <c r="U4243" s="360">
        <v>1998</v>
      </c>
      <c r="V4243" s="360" t="s">
        <v>17</v>
      </c>
      <c r="W4243" s="360" t="s">
        <v>18</v>
      </c>
      <c r="X4243" s="360">
        <v>19</v>
      </c>
      <c r="Y4243" s="360" t="s">
        <v>43</v>
      </c>
      <c r="Z4243" s="360">
        <v>74</v>
      </c>
      <c r="AA4243" s="360">
        <v>113</v>
      </c>
      <c r="AB4243" s="360">
        <v>65.5</v>
      </c>
    </row>
    <row r="4244" spans="20:28" x14ac:dyDescent="0.2">
      <c r="T4244" s="358" t="str">
        <f t="shared" si="176"/>
        <v>1998AllSexMaori19Jumping from a high place</v>
      </c>
      <c r="U4244" s="360">
        <v>1998</v>
      </c>
      <c r="V4244" s="360" t="s">
        <v>17</v>
      </c>
      <c r="W4244" s="360" t="s">
        <v>18</v>
      </c>
      <c r="X4244" s="360">
        <v>19</v>
      </c>
      <c r="Y4244" s="360" t="s">
        <v>44</v>
      </c>
      <c r="Z4244" s="360">
        <v>2</v>
      </c>
      <c r="AA4244" s="360">
        <v>113</v>
      </c>
      <c r="AB4244" s="360">
        <v>1.8</v>
      </c>
    </row>
    <row r="4245" spans="20:28" x14ac:dyDescent="0.2">
      <c r="T4245" s="358" t="str">
        <f t="shared" si="176"/>
        <v>1998AllSexMaori19Other</v>
      </c>
      <c r="U4245" s="360">
        <v>1998</v>
      </c>
      <c r="V4245" s="360" t="s">
        <v>17</v>
      </c>
      <c r="W4245" s="360" t="s">
        <v>18</v>
      </c>
      <c r="X4245" s="360">
        <v>19</v>
      </c>
      <c r="Y4245" s="360" t="s">
        <v>45</v>
      </c>
      <c r="Z4245" s="360">
        <v>7</v>
      </c>
      <c r="AA4245" s="360">
        <v>113</v>
      </c>
      <c r="AB4245" s="360">
        <v>6.2</v>
      </c>
    </row>
    <row r="4246" spans="20:28" x14ac:dyDescent="0.2">
      <c r="T4246" s="358" t="str">
        <f t="shared" si="176"/>
        <v>1998AllSexMaori19Poisoning by gases and vapours</v>
      </c>
      <c r="U4246" s="360">
        <v>1998</v>
      </c>
      <c r="V4246" s="360" t="s">
        <v>17</v>
      </c>
      <c r="W4246" s="360" t="s">
        <v>18</v>
      </c>
      <c r="X4246" s="360">
        <v>19</v>
      </c>
      <c r="Y4246" s="360" t="s">
        <v>46</v>
      </c>
      <c r="Z4246" s="360">
        <v>9</v>
      </c>
      <c r="AA4246" s="360">
        <v>113</v>
      </c>
      <c r="AB4246" s="360">
        <v>8</v>
      </c>
    </row>
    <row r="4247" spans="20:28" x14ac:dyDescent="0.2">
      <c r="T4247" s="358" t="str">
        <f t="shared" si="176"/>
        <v>1998AllSexMaori19Poisoning by solids and liquids</v>
      </c>
      <c r="U4247" s="360">
        <v>1998</v>
      </c>
      <c r="V4247" s="360" t="s">
        <v>17</v>
      </c>
      <c r="W4247" s="360" t="s">
        <v>18</v>
      </c>
      <c r="X4247" s="360">
        <v>19</v>
      </c>
      <c r="Y4247" s="360" t="s">
        <v>47</v>
      </c>
      <c r="Z4247" s="360">
        <v>10</v>
      </c>
      <c r="AA4247" s="360">
        <v>113</v>
      </c>
      <c r="AB4247" s="360">
        <v>8.8000000000000007</v>
      </c>
    </row>
    <row r="4248" spans="20:28" x14ac:dyDescent="0.2">
      <c r="T4248" s="358" t="str">
        <f t="shared" si="176"/>
        <v>1998AllSexMaori19Sharp object</v>
      </c>
      <c r="U4248" s="360">
        <v>1998</v>
      </c>
      <c r="V4248" s="360" t="s">
        <v>17</v>
      </c>
      <c r="W4248" s="360" t="s">
        <v>18</v>
      </c>
      <c r="X4248" s="360">
        <v>19</v>
      </c>
      <c r="Y4248" s="360" t="s">
        <v>48</v>
      </c>
      <c r="Z4248" s="360">
        <v>1</v>
      </c>
      <c r="AA4248" s="360">
        <v>113</v>
      </c>
      <c r="AB4248" s="360">
        <v>0.9</v>
      </c>
    </row>
    <row r="4249" spans="20:28" x14ac:dyDescent="0.2">
      <c r="T4249" s="358" t="str">
        <f t="shared" si="176"/>
        <v>1998AllSexNon-Maori19Firearms and explosives</v>
      </c>
      <c r="U4249" s="360">
        <v>1998</v>
      </c>
      <c r="V4249" s="360" t="s">
        <v>17</v>
      </c>
      <c r="W4249" s="360" t="s">
        <v>19</v>
      </c>
      <c r="X4249" s="360">
        <v>19</v>
      </c>
      <c r="Y4249" s="360" t="s">
        <v>42</v>
      </c>
      <c r="Z4249" s="360">
        <v>62</v>
      </c>
      <c r="AA4249" s="360">
        <v>466</v>
      </c>
      <c r="AB4249" s="360">
        <v>13.3</v>
      </c>
    </row>
    <row r="4250" spans="20:28" x14ac:dyDescent="0.2">
      <c r="T4250" s="358" t="str">
        <f t="shared" si="176"/>
        <v>1998AllSexNon-Maori19Hanging, strangulation and suffocation</v>
      </c>
      <c r="U4250" s="360">
        <v>1998</v>
      </c>
      <c r="V4250" s="360" t="s">
        <v>17</v>
      </c>
      <c r="W4250" s="360" t="s">
        <v>19</v>
      </c>
      <c r="X4250" s="360">
        <v>19</v>
      </c>
      <c r="Y4250" s="360" t="s">
        <v>43</v>
      </c>
      <c r="Z4250" s="360">
        <v>176</v>
      </c>
      <c r="AA4250" s="360">
        <v>466</v>
      </c>
      <c r="AB4250" s="360">
        <v>37.799999999999997</v>
      </c>
    </row>
    <row r="4251" spans="20:28" x14ac:dyDescent="0.2">
      <c r="T4251" s="358" t="str">
        <f t="shared" si="176"/>
        <v>1998AllSexNon-Maori19Jumping from a high place</v>
      </c>
      <c r="U4251" s="360">
        <v>1998</v>
      </c>
      <c r="V4251" s="360" t="s">
        <v>17</v>
      </c>
      <c r="W4251" s="360" t="s">
        <v>19</v>
      </c>
      <c r="X4251" s="360">
        <v>19</v>
      </c>
      <c r="Y4251" s="360" t="s">
        <v>44</v>
      </c>
      <c r="Z4251" s="360">
        <v>14</v>
      </c>
      <c r="AA4251" s="360">
        <v>466</v>
      </c>
      <c r="AB4251" s="360">
        <v>3</v>
      </c>
    </row>
    <row r="4252" spans="20:28" x14ac:dyDescent="0.2">
      <c r="T4252" s="358" t="str">
        <f t="shared" si="176"/>
        <v>1998AllSexNon-Maori19Other</v>
      </c>
      <c r="U4252" s="360">
        <v>1998</v>
      </c>
      <c r="V4252" s="360" t="s">
        <v>17</v>
      </c>
      <c r="W4252" s="360" t="s">
        <v>19</v>
      </c>
      <c r="X4252" s="360">
        <v>19</v>
      </c>
      <c r="Y4252" s="360" t="s">
        <v>45</v>
      </c>
      <c r="Z4252" s="360">
        <v>18</v>
      </c>
      <c r="AA4252" s="360">
        <v>466</v>
      </c>
      <c r="AB4252" s="360">
        <v>3.9</v>
      </c>
    </row>
    <row r="4253" spans="20:28" x14ac:dyDescent="0.2">
      <c r="T4253" s="358" t="str">
        <f t="shared" si="176"/>
        <v>1998AllSexNon-Maori19Poisoning by gases and vapours</v>
      </c>
      <c r="U4253" s="360">
        <v>1998</v>
      </c>
      <c r="V4253" s="360" t="s">
        <v>17</v>
      </c>
      <c r="W4253" s="360" t="s">
        <v>19</v>
      </c>
      <c r="X4253" s="360">
        <v>19</v>
      </c>
      <c r="Y4253" s="360" t="s">
        <v>46</v>
      </c>
      <c r="Z4253" s="360">
        <v>125</v>
      </c>
      <c r="AA4253" s="360">
        <v>466</v>
      </c>
      <c r="AB4253" s="360">
        <v>26.8</v>
      </c>
    </row>
    <row r="4254" spans="20:28" x14ac:dyDescent="0.2">
      <c r="T4254" s="358" t="str">
        <f t="shared" si="176"/>
        <v>1998AllSexNon-Maori19Poisoning by solids and liquids</v>
      </c>
      <c r="U4254" s="360">
        <v>1998</v>
      </c>
      <c r="V4254" s="360" t="s">
        <v>17</v>
      </c>
      <c r="W4254" s="360" t="s">
        <v>19</v>
      </c>
      <c r="X4254" s="360">
        <v>19</v>
      </c>
      <c r="Y4254" s="360" t="s">
        <v>47</v>
      </c>
      <c r="Z4254" s="360">
        <v>54</v>
      </c>
      <c r="AA4254" s="360">
        <v>466</v>
      </c>
      <c r="AB4254" s="360">
        <v>11.6</v>
      </c>
    </row>
    <row r="4255" spans="20:28" x14ac:dyDescent="0.2">
      <c r="T4255" s="358" t="str">
        <f t="shared" si="176"/>
        <v>1998AllSexNon-Maori19Sharp object</v>
      </c>
      <c r="U4255" s="360">
        <v>1998</v>
      </c>
      <c r="V4255" s="360" t="s">
        <v>17</v>
      </c>
      <c r="W4255" s="360" t="s">
        <v>19</v>
      </c>
      <c r="X4255" s="360">
        <v>19</v>
      </c>
      <c r="Y4255" s="360" t="s">
        <v>48</v>
      </c>
      <c r="Z4255" s="360">
        <v>7</v>
      </c>
      <c r="AA4255" s="360">
        <v>466</v>
      </c>
      <c r="AB4255" s="360">
        <v>1.5</v>
      </c>
    </row>
    <row r="4256" spans="20:28" x14ac:dyDescent="0.2">
      <c r="T4256" s="358" t="str">
        <f t="shared" si="176"/>
        <v>1998AllSexNon-Maori19Submersion (drowning)</v>
      </c>
      <c r="U4256" s="360">
        <v>1998</v>
      </c>
      <c r="V4256" s="360" t="s">
        <v>17</v>
      </c>
      <c r="W4256" s="360" t="s">
        <v>19</v>
      </c>
      <c r="X4256" s="360">
        <v>19</v>
      </c>
      <c r="Y4256" s="360" t="s">
        <v>49</v>
      </c>
      <c r="Z4256" s="360">
        <v>10</v>
      </c>
      <c r="AA4256" s="360">
        <v>466</v>
      </c>
      <c r="AB4256" s="360">
        <v>2.1</v>
      </c>
    </row>
    <row r="4257" spans="20:28" x14ac:dyDescent="0.2">
      <c r="T4257" s="358" t="str">
        <f t="shared" si="176"/>
        <v>1998FemaleAllEth19Firearms and explosives</v>
      </c>
      <c r="U4257" s="360">
        <v>1998</v>
      </c>
      <c r="V4257" s="360" t="s">
        <v>8</v>
      </c>
      <c r="W4257" s="360" t="s">
        <v>27</v>
      </c>
      <c r="X4257" s="360">
        <v>19</v>
      </c>
      <c r="Y4257" s="360" t="s">
        <v>42</v>
      </c>
      <c r="Z4257" s="360">
        <v>1</v>
      </c>
      <c r="AA4257" s="360">
        <v>133</v>
      </c>
      <c r="AB4257" s="360">
        <v>0.8</v>
      </c>
    </row>
    <row r="4258" spans="20:28" x14ac:dyDescent="0.2">
      <c r="T4258" s="358" t="str">
        <f t="shared" si="176"/>
        <v>1998FemaleAllEth19Hanging, strangulation and suffocation</v>
      </c>
      <c r="U4258" s="360">
        <v>1998</v>
      </c>
      <c r="V4258" s="360" t="s">
        <v>8</v>
      </c>
      <c r="W4258" s="360" t="s">
        <v>27</v>
      </c>
      <c r="X4258" s="360">
        <v>19</v>
      </c>
      <c r="Y4258" s="360" t="s">
        <v>43</v>
      </c>
      <c r="Z4258" s="360">
        <v>61</v>
      </c>
      <c r="AA4258" s="360">
        <v>133</v>
      </c>
      <c r="AB4258" s="360">
        <v>45.9</v>
      </c>
    </row>
    <row r="4259" spans="20:28" x14ac:dyDescent="0.2">
      <c r="T4259" s="358" t="str">
        <f t="shared" si="176"/>
        <v>1998FemaleAllEth19Jumping from a high place</v>
      </c>
      <c r="U4259" s="360">
        <v>1998</v>
      </c>
      <c r="V4259" s="360" t="s">
        <v>8</v>
      </c>
      <c r="W4259" s="360" t="s">
        <v>27</v>
      </c>
      <c r="X4259" s="360">
        <v>19</v>
      </c>
      <c r="Y4259" s="360" t="s">
        <v>44</v>
      </c>
      <c r="Z4259" s="360">
        <v>5</v>
      </c>
      <c r="AA4259" s="360">
        <v>133</v>
      </c>
      <c r="AB4259" s="360">
        <v>3.8</v>
      </c>
    </row>
    <row r="4260" spans="20:28" x14ac:dyDescent="0.2">
      <c r="T4260" s="358" t="str">
        <f t="shared" si="176"/>
        <v>1998FemaleAllEth19Other</v>
      </c>
      <c r="U4260" s="360">
        <v>1998</v>
      </c>
      <c r="V4260" s="360" t="s">
        <v>8</v>
      </c>
      <c r="W4260" s="360" t="s">
        <v>27</v>
      </c>
      <c r="X4260" s="360">
        <v>19</v>
      </c>
      <c r="Y4260" s="360" t="s">
        <v>45</v>
      </c>
      <c r="Z4260" s="360">
        <v>6</v>
      </c>
      <c r="AA4260" s="360">
        <v>133</v>
      </c>
      <c r="AB4260" s="360">
        <v>4.5</v>
      </c>
    </row>
    <row r="4261" spans="20:28" x14ac:dyDescent="0.2">
      <c r="T4261" s="358" t="str">
        <f t="shared" si="176"/>
        <v>1998FemaleAllEth19Poisoning by gases and vapours</v>
      </c>
      <c r="U4261" s="360">
        <v>1998</v>
      </c>
      <c r="V4261" s="360" t="s">
        <v>8</v>
      </c>
      <c r="W4261" s="360" t="s">
        <v>27</v>
      </c>
      <c r="X4261" s="360">
        <v>19</v>
      </c>
      <c r="Y4261" s="360" t="s">
        <v>46</v>
      </c>
      <c r="Z4261" s="360">
        <v>23</v>
      </c>
      <c r="AA4261" s="360">
        <v>133</v>
      </c>
      <c r="AB4261" s="360">
        <v>17.3</v>
      </c>
    </row>
    <row r="4262" spans="20:28" x14ac:dyDescent="0.2">
      <c r="T4262" s="358" t="str">
        <f t="shared" si="176"/>
        <v>1998FemaleAllEth19Poisoning by solids and liquids</v>
      </c>
      <c r="U4262" s="360">
        <v>1998</v>
      </c>
      <c r="V4262" s="360" t="s">
        <v>8</v>
      </c>
      <c r="W4262" s="360" t="s">
        <v>27</v>
      </c>
      <c r="X4262" s="360">
        <v>19</v>
      </c>
      <c r="Y4262" s="360" t="s">
        <v>47</v>
      </c>
      <c r="Z4262" s="360">
        <v>33</v>
      </c>
      <c r="AA4262" s="360">
        <v>133</v>
      </c>
      <c r="AB4262" s="360">
        <v>24.8</v>
      </c>
    </row>
    <row r="4263" spans="20:28" x14ac:dyDescent="0.2">
      <c r="T4263" s="358" t="str">
        <f t="shared" si="176"/>
        <v>1998FemaleAllEth19Sharp object</v>
      </c>
      <c r="U4263" s="360">
        <v>1998</v>
      </c>
      <c r="V4263" s="360" t="s">
        <v>8</v>
      </c>
      <c r="W4263" s="360" t="s">
        <v>27</v>
      </c>
      <c r="X4263" s="360">
        <v>19</v>
      </c>
      <c r="Y4263" s="360" t="s">
        <v>48</v>
      </c>
      <c r="Z4263" s="360">
        <v>1</v>
      </c>
      <c r="AA4263" s="360">
        <v>133</v>
      </c>
      <c r="AB4263" s="360">
        <v>0.8</v>
      </c>
    </row>
    <row r="4264" spans="20:28" x14ac:dyDescent="0.2">
      <c r="T4264" s="358" t="str">
        <f t="shared" si="176"/>
        <v>1998FemaleAllEth19Submersion (drowning)</v>
      </c>
      <c r="U4264" s="360">
        <v>1998</v>
      </c>
      <c r="V4264" s="360" t="s">
        <v>8</v>
      </c>
      <c r="W4264" s="360" t="s">
        <v>27</v>
      </c>
      <c r="X4264" s="360">
        <v>19</v>
      </c>
      <c r="Y4264" s="360" t="s">
        <v>49</v>
      </c>
      <c r="Z4264" s="360">
        <v>3</v>
      </c>
      <c r="AA4264" s="360">
        <v>133</v>
      </c>
      <c r="AB4264" s="360">
        <v>2.2999999999999998</v>
      </c>
    </row>
    <row r="4265" spans="20:28" x14ac:dyDescent="0.2">
      <c r="T4265" s="358" t="str">
        <f t="shared" si="176"/>
        <v>1998FemaleMaori19Hanging, strangulation and suffocation</v>
      </c>
      <c r="U4265" s="360">
        <v>1998</v>
      </c>
      <c r="V4265" s="360" t="s">
        <v>8</v>
      </c>
      <c r="W4265" s="360" t="s">
        <v>18</v>
      </c>
      <c r="X4265" s="360">
        <v>19</v>
      </c>
      <c r="Y4265" s="360" t="s">
        <v>43</v>
      </c>
      <c r="Z4265" s="360">
        <v>17</v>
      </c>
      <c r="AA4265" s="360">
        <v>25</v>
      </c>
      <c r="AB4265" s="360">
        <v>68</v>
      </c>
    </row>
    <row r="4266" spans="20:28" x14ac:dyDescent="0.2">
      <c r="T4266" s="358" t="str">
        <f t="shared" si="176"/>
        <v>1998FemaleMaori19Other</v>
      </c>
      <c r="U4266" s="360">
        <v>1998</v>
      </c>
      <c r="V4266" s="360" t="s">
        <v>8</v>
      </c>
      <c r="W4266" s="360" t="s">
        <v>18</v>
      </c>
      <c r="X4266" s="360">
        <v>19</v>
      </c>
      <c r="Y4266" s="360" t="s">
        <v>45</v>
      </c>
      <c r="Z4266" s="360">
        <v>1</v>
      </c>
      <c r="AA4266" s="360">
        <v>25</v>
      </c>
      <c r="AB4266" s="360">
        <v>4</v>
      </c>
    </row>
    <row r="4267" spans="20:28" x14ac:dyDescent="0.2">
      <c r="T4267" s="358" t="str">
        <f t="shared" si="176"/>
        <v>1998FemaleMaori19Poisoning by solids and liquids</v>
      </c>
      <c r="U4267" s="360">
        <v>1998</v>
      </c>
      <c r="V4267" s="360" t="s">
        <v>8</v>
      </c>
      <c r="W4267" s="360" t="s">
        <v>18</v>
      </c>
      <c r="X4267" s="360">
        <v>19</v>
      </c>
      <c r="Y4267" s="360" t="s">
        <v>47</v>
      </c>
      <c r="Z4267" s="360">
        <v>7</v>
      </c>
      <c r="AA4267" s="360">
        <v>25</v>
      </c>
      <c r="AB4267" s="360">
        <v>28</v>
      </c>
    </row>
    <row r="4268" spans="20:28" x14ac:dyDescent="0.2">
      <c r="T4268" s="358" t="str">
        <f t="shared" si="176"/>
        <v>1998FemaleNon-Maori19Firearms and explosives</v>
      </c>
      <c r="U4268" s="360">
        <v>1998</v>
      </c>
      <c r="V4268" s="360" t="s">
        <v>8</v>
      </c>
      <c r="W4268" s="360" t="s">
        <v>19</v>
      </c>
      <c r="X4268" s="360">
        <v>19</v>
      </c>
      <c r="Y4268" s="360" t="s">
        <v>42</v>
      </c>
      <c r="Z4268" s="360">
        <v>1</v>
      </c>
      <c r="AA4268" s="360">
        <v>108</v>
      </c>
      <c r="AB4268" s="360">
        <v>0.9</v>
      </c>
    </row>
    <row r="4269" spans="20:28" x14ac:dyDescent="0.2">
      <c r="T4269" s="358" t="str">
        <f t="shared" si="176"/>
        <v>1998FemaleNon-Maori19Hanging, strangulation and suffocation</v>
      </c>
      <c r="U4269" s="360">
        <v>1998</v>
      </c>
      <c r="V4269" s="360" t="s">
        <v>8</v>
      </c>
      <c r="W4269" s="360" t="s">
        <v>19</v>
      </c>
      <c r="X4269" s="360">
        <v>19</v>
      </c>
      <c r="Y4269" s="360" t="s">
        <v>43</v>
      </c>
      <c r="Z4269" s="360">
        <v>44</v>
      </c>
      <c r="AA4269" s="360">
        <v>108</v>
      </c>
      <c r="AB4269" s="360">
        <v>40.700000000000003</v>
      </c>
    </row>
    <row r="4270" spans="20:28" x14ac:dyDescent="0.2">
      <c r="T4270" s="358" t="str">
        <f t="shared" si="176"/>
        <v>1998FemaleNon-Maori19Jumping from a high place</v>
      </c>
      <c r="U4270" s="360">
        <v>1998</v>
      </c>
      <c r="V4270" s="360" t="s">
        <v>8</v>
      </c>
      <c r="W4270" s="360" t="s">
        <v>19</v>
      </c>
      <c r="X4270" s="360">
        <v>19</v>
      </c>
      <c r="Y4270" s="360" t="s">
        <v>44</v>
      </c>
      <c r="Z4270" s="360">
        <v>5</v>
      </c>
      <c r="AA4270" s="360">
        <v>108</v>
      </c>
      <c r="AB4270" s="360">
        <v>4.5999999999999996</v>
      </c>
    </row>
    <row r="4271" spans="20:28" x14ac:dyDescent="0.2">
      <c r="T4271" s="358" t="str">
        <f t="shared" si="176"/>
        <v>1998FemaleNon-Maori19Other</v>
      </c>
      <c r="U4271" s="360">
        <v>1998</v>
      </c>
      <c r="V4271" s="360" t="s">
        <v>8</v>
      </c>
      <c r="W4271" s="360" t="s">
        <v>19</v>
      </c>
      <c r="X4271" s="360">
        <v>19</v>
      </c>
      <c r="Y4271" s="360" t="s">
        <v>45</v>
      </c>
      <c r="Z4271" s="360">
        <v>5</v>
      </c>
      <c r="AA4271" s="360">
        <v>108</v>
      </c>
      <c r="AB4271" s="360">
        <v>4.5999999999999996</v>
      </c>
    </row>
    <row r="4272" spans="20:28" x14ac:dyDescent="0.2">
      <c r="T4272" s="358" t="str">
        <f t="shared" si="176"/>
        <v>1998FemaleNon-Maori19Poisoning by gases and vapours</v>
      </c>
      <c r="U4272" s="360">
        <v>1998</v>
      </c>
      <c r="V4272" s="360" t="s">
        <v>8</v>
      </c>
      <c r="W4272" s="360" t="s">
        <v>19</v>
      </c>
      <c r="X4272" s="360">
        <v>19</v>
      </c>
      <c r="Y4272" s="360" t="s">
        <v>46</v>
      </c>
      <c r="Z4272" s="360">
        <v>23</v>
      </c>
      <c r="AA4272" s="360">
        <v>108</v>
      </c>
      <c r="AB4272" s="360">
        <v>21.3</v>
      </c>
    </row>
    <row r="4273" spans="20:28" x14ac:dyDescent="0.2">
      <c r="T4273" s="358" t="str">
        <f t="shared" si="176"/>
        <v>1998FemaleNon-Maori19Poisoning by solids and liquids</v>
      </c>
      <c r="U4273" s="360">
        <v>1998</v>
      </c>
      <c r="V4273" s="360" t="s">
        <v>8</v>
      </c>
      <c r="W4273" s="360" t="s">
        <v>19</v>
      </c>
      <c r="X4273" s="360">
        <v>19</v>
      </c>
      <c r="Y4273" s="360" t="s">
        <v>47</v>
      </c>
      <c r="Z4273" s="360">
        <v>26</v>
      </c>
      <c r="AA4273" s="360">
        <v>108</v>
      </c>
      <c r="AB4273" s="360">
        <v>24.1</v>
      </c>
    </row>
    <row r="4274" spans="20:28" x14ac:dyDescent="0.2">
      <c r="T4274" s="358" t="str">
        <f t="shared" si="176"/>
        <v>1998FemaleNon-Maori19Sharp object</v>
      </c>
      <c r="U4274" s="360">
        <v>1998</v>
      </c>
      <c r="V4274" s="360" t="s">
        <v>8</v>
      </c>
      <c r="W4274" s="360" t="s">
        <v>19</v>
      </c>
      <c r="X4274" s="360">
        <v>19</v>
      </c>
      <c r="Y4274" s="360" t="s">
        <v>48</v>
      </c>
      <c r="Z4274" s="360">
        <v>1</v>
      </c>
      <c r="AA4274" s="360">
        <v>108</v>
      </c>
      <c r="AB4274" s="360">
        <v>0.9</v>
      </c>
    </row>
    <row r="4275" spans="20:28" x14ac:dyDescent="0.2">
      <c r="T4275" s="358" t="str">
        <f t="shared" si="176"/>
        <v>1998FemaleNon-Maori19Submersion (drowning)</v>
      </c>
      <c r="U4275" s="360">
        <v>1998</v>
      </c>
      <c r="V4275" s="360" t="s">
        <v>8</v>
      </c>
      <c r="W4275" s="360" t="s">
        <v>19</v>
      </c>
      <c r="X4275" s="360">
        <v>19</v>
      </c>
      <c r="Y4275" s="360" t="s">
        <v>49</v>
      </c>
      <c r="Z4275" s="360">
        <v>3</v>
      </c>
      <c r="AA4275" s="360">
        <v>108</v>
      </c>
      <c r="AB4275" s="360">
        <v>2.8</v>
      </c>
    </row>
    <row r="4276" spans="20:28" x14ac:dyDescent="0.2">
      <c r="T4276" s="358" t="str">
        <f t="shared" si="176"/>
        <v>1998MaleAllEth19Firearms and explosives</v>
      </c>
      <c r="U4276" s="360">
        <v>1998</v>
      </c>
      <c r="V4276" s="360" t="s">
        <v>20</v>
      </c>
      <c r="W4276" s="360" t="s">
        <v>27</v>
      </c>
      <c r="X4276" s="360">
        <v>19</v>
      </c>
      <c r="Y4276" s="360" t="s">
        <v>42</v>
      </c>
      <c r="Z4276" s="360">
        <v>71</v>
      </c>
      <c r="AA4276" s="360">
        <v>446</v>
      </c>
      <c r="AB4276" s="360">
        <v>15.9</v>
      </c>
    </row>
    <row r="4277" spans="20:28" x14ac:dyDescent="0.2">
      <c r="T4277" s="358" t="str">
        <f t="shared" si="176"/>
        <v>1998MaleAllEth19Hanging, strangulation and suffocation</v>
      </c>
      <c r="U4277" s="360">
        <v>1998</v>
      </c>
      <c r="V4277" s="360" t="s">
        <v>20</v>
      </c>
      <c r="W4277" s="360" t="s">
        <v>27</v>
      </c>
      <c r="X4277" s="360">
        <v>19</v>
      </c>
      <c r="Y4277" s="360" t="s">
        <v>43</v>
      </c>
      <c r="Z4277" s="360">
        <v>189</v>
      </c>
      <c r="AA4277" s="360">
        <v>446</v>
      </c>
      <c r="AB4277" s="360">
        <v>42.4</v>
      </c>
    </row>
    <row r="4278" spans="20:28" x14ac:dyDescent="0.2">
      <c r="T4278" s="358" t="str">
        <f t="shared" si="176"/>
        <v>1998MaleAllEth19Jumping from a high place</v>
      </c>
      <c r="U4278" s="360">
        <v>1998</v>
      </c>
      <c r="V4278" s="360" t="s">
        <v>20</v>
      </c>
      <c r="W4278" s="360" t="s">
        <v>27</v>
      </c>
      <c r="X4278" s="360">
        <v>19</v>
      </c>
      <c r="Y4278" s="360" t="s">
        <v>44</v>
      </c>
      <c r="Z4278" s="360">
        <v>11</v>
      </c>
      <c r="AA4278" s="360">
        <v>446</v>
      </c>
      <c r="AB4278" s="360">
        <v>2.5</v>
      </c>
    </row>
    <row r="4279" spans="20:28" x14ac:dyDescent="0.2">
      <c r="T4279" s="358" t="str">
        <f t="shared" si="176"/>
        <v>1998MaleAllEth19Other</v>
      </c>
      <c r="U4279" s="360">
        <v>1998</v>
      </c>
      <c r="V4279" s="360" t="s">
        <v>20</v>
      </c>
      <c r="W4279" s="360" t="s">
        <v>27</v>
      </c>
      <c r="X4279" s="360">
        <v>19</v>
      </c>
      <c r="Y4279" s="360" t="s">
        <v>45</v>
      </c>
      <c r="Z4279" s="360">
        <v>19</v>
      </c>
      <c r="AA4279" s="360">
        <v>446</v>
      </c>
      <c r="AB4279" s="360">
        <v>4.3</v>
      </c>
    </row>
    <row r="4280" spans="20:28" x14ac:dyDescent="0.2">
      <c r="T4280" s="358" t="str">
        <f t="shared" si="176"/>
        <v>1998MaleAllEth19Poisoning by gases and vapours</v>
      </c>
      <c r="U4280" s="360">
        <v>1998</v>
      </c>
      <c r="V4280" s="360" t="s">
        <v>20</v>
      </c>
      <c r="W4280" s="360" t="s">
        <v>27</v>
      </c>
      <c r="X4280" s="360">
        <v>19</v>
      </c>
      <c r="Y4280" s="360" t="s">
        <v>46</v>
      </c>
      <c r="Z4280" s="360">
        <v>111</v>
      </c>
      <c r="AA4280" s="360">
        <v>446</v>
      </c>
      <c r="AB4280" s="360">
        <v>24.9</v>
      </c>
    </row>
    <row r="4281" spans="20:28" x14ac:dyDescent="0.2">
      <c r="T4281" s="358" t="str">
        <f t="shared" si="176"/>
        <v>1998MaleAllEth19Poisoning by solids and liquids</v>
      </c>
      <c r="U4281" s="360">
        <v>1998</v>
      </c>
      <c r="V4281" s="360" t="s">
        <v>20</v>
      </c>
      <c r="W4281" s="360" t="s">
        <v>27</v>
      </c>
      <c r="X4281" s="360">
        <v>19</v>
      </c>
      <c r="Y4281" s="360" t="s">
        <v>47</v>
      </c>
      <c r="Z4281" s="360">
        <v>31</v>
      </c>
      <c r="AA4281" s="360">
        <v>446</v>
      </c>
      <c r="AB4281" s="360">
        <v>7</v>
      </c>
    </row>
    <row r="4282" spans="20:28" x14ac:dyDescent="0.2">
      <c r="T4282" s="358" t="str">
        <f t="shared" si="176"/>
        <v>1998MaleAllEth19Sharp object</v>
      </c>
      <c r="U4282" s="360">
        <v>1998</v>
      </c>
      <c r="V4282" s="360" t="s">
        <v>20</v>
      </c>
      <c r="W4282" s="360" t="s">
        <v>27</v>
      </c>
      <c r="X4282" s="360">
        <v>19</v>
      </c>
      <c r="Y4282" s="360" t="s">
        <v>48</v>
      </c>
      <c r="Z4282" s="360">
        <v>7</v>
      </c>
      <c r="AA4282" s="360">
        <v>446</v>
      </c>
      <c r="AB4282" s="360">
        <v>1.6</v>
      </c>
    </row>
    <row r="4283" spans="20:28" x14ac:dyDescent="0.2">
      <c r="T4283" s="358" t="str">
        <f t="shared" si="176"/>
        <v>1998MaleAllEth19Submersion (drowning)</v>
      </c>
      <c r="U4283" s="360">
        <v>1998</v>
      </c>
      <c r="V4283" s="360" t="s">
        <v>20</v>
      </c>
      <c r="W4283" s="360" t="s">
        <v>27</v>
      </c>
      <c r="X4283" s="360">
        <v>19</v>
      </c>
      <c r="Y4283" s="360" t="s">
        <v>49</v>
      </c>
      <c r="Z4283" s="360">
        <v>7</v>
      </c>
      <c r="AA4283" s="360">
        <v>446</v>
      </c>
      <c r="AB4283" s="360">
        <v>1.6</v>
      </c>
    </row>
    <row r="4284" spans="20:28" x14ac:dyDescent="0.2">
      <c r="T4284" s="358" t="str">
        <f t="shared" si="176"/>
        <v>1998MaleMaori19Firearms and explosives</v>
      </c>
      <c r="U4284" s="360">
        <v>1998</v>
      </c>
      <c r="V4284" s="360" t="s">
        <v>20</v>
      </c>
      <c r="W4284" s="360" t="s">
        <v>18</v>
      </c>
      <c r="X4284" s="360">
        <v>19</v>
      </c>
      <c r="Y4284" s="360" t="s">
        <v>42</v>
      </c>
      <c r="Z4284" s="360">
        <v>10</v>
      </c>
      <c r="AA4284" s="360">
        <v>88</v>
      </c>
      <c r="AB4284" s="360">
        <v>11.4</v>
      </c>
    </row>
    <row r="4285" spans="20:28" x14ac:dyDescent="0.2">
      <c r="T4285" s="358" t="str">
        <f t="shared" si="176"/>
        <v>1998MaleMaori19Hanging, strangulation and suffocation</v>
      </c>
      <c r="U4285" s="360">
        <v>1998</v>
      </c>
      <c r="V4285" s="360" t="s">
        <v>20</v>
      </c>
      <c r="W4285" s="360" t="s">
        <v>18</v>
      </c>
      <c r="X4285" s="360">
        <v>19</v>
      </c>
      <c r="Y4285" s="360" t="s">
        <v>43</v>
      </c>
      <c r="Z4285" s="360">
        <v>57</v>
      </c>
      <c r="AA4285" s="360">
        <v>88</v>
      </c>
      <c r="AB4285" s="360">
        <v>64.8</v>
      </c>
    </row>
    <row r="4286" spans="20:28" x14ac:dyDescent="0.2">
      <c r="T4286" s="358" t="str">
        <f t="shared" si="176"/>
        <v>1998MaleMaori19Jumping from a high place</v>
      </c>
      <c r="U4286" s="360">
        <v>1998</v>
      </c>
      <c r="V4286" s="360" t="s">
        <v>20</v>
      </c>
      <c r="W4286" s="360" t="s">
        <v>18</v>
      </c>
      <c r="X4286" s="360">
        <v>19</v>
      </c>
      <c r="Y4286" s="360" t="s">
        <v>44</v>
      </c>
      <c r="Z4286" s="360">
        <v>2</v>
      </c>
      <c r="AA4286" s="360">
        <v>88</v>
      </c>
      <c r="AB4286" s="360">
        <v>2.2999999999999998</v>
      </c>
    </row>
    <row r="4287" spans="20:28" x14ac:dyDescent="0.2">
      <c r="T4287" s="358" t="str">
        <f t="shared" si="176"/>
        <v>1998MaleMaori19Other</v>
      </c>
      <c r="U4287" s="360">
        <v>1998</v>
      </c>
      <c r="V4287" s="360" t="s">
        <v>20</v>
      </c>
      <c r="W4287" s="360" t="s">
        <v>18</v>
      </c>
      <c r="X4287" s="360">
        <v>19</v>
      </c>
      <c r="Y4287" s="360" t="s">
        <v>45</v>
      </c>
      <c r="Z4287" s="360">
        <v>6</v>
      </c>
      <c r="AA4287" s="360">
        <v>88</v>
      </c>
      <c r="AB4287" s="360">
        <v>6.8</v>
      </c>
    </row>
    <row r="4288" spans="20:28" x14ac:dyDescent="0.2">
      <c r="T4288" s="358" t="str">
        <f t="shared" si="176"/>
        <v>1998MaleMaori19Poisoning by gases and vapours</v>
      </c>
      <c r="U4288" s="360">
        <v>1998</v>
      </c>
      <c r="V4288" s="360" t="s">
        <v>20</v>
      </c>
      <c r="W4288" s="360" t="s">
        <v>18</v>
      </c>
      <c r="X4288" s="360">
        <v>19</v>
      </c>
      <c r="Y4288" s="360" t="s">
        <v>46</v>
      </c>
      <c r="Z4288" s="360">
        <v>9</v>
      </c>
      <c r="AA4288" s="360">
        <v>88</v>
      </c>
      <c r="AB4288" s="360">
        <v>10.199999999999999</v>
      </c>
    </row>
    <row r="4289" spans="20:28" x14ac:dyDescent="0.2">
      <c r="T4289" s="358" t="str">
        <f t="shared" si="176"/>
        <v>1998MaleMaori19Poisoning by solids and liquids</v>
      </c>
      <c r="U4289" s="360">
        <v>1998</v>
      </c>
      <c r="V4289" s="360" t="s">
        <v>20</v>
      </c>
      <c r="W4289" s="360" t="s">
        <v>18</v>
      </c>
      <c r="X4289" s="360">
        <v>19</v>
      </c>
      <c r="Y4289" s="360" t="s">
        <v>47</v>
      </c>
      <c r="Z4289" s="360">
        <v>3</v>
      </c>
      <c r="AA4289" s="360">
        <v>88</v>
      </c>
      <c r="AB4289" s="360">
        <v>3.4</v>
      </c>
    </row>
    <row r="4290" spans="20:28" x14ac:dyDescent="0.2">
      <c r="T4290" s="358" t="str">
        <f t="shared" si="176"/>
        <v>1998MaleMaori19Sharp object</v>
      </c>
      <c r="U4290" s="360">
        <v>1998</v>
      </c>
      <c r="V4290" s="360" t="s">
        <v>20</v>
      </c>
      <c r="W4290" s="360" t="s">
        <v>18</v>
      </c>
      <c r="X4290" s="360">
        <v>19</v>
      </c>
      <c r="Y4290" s="360" t="s">
        <v>48</v>
      </c>
      <c r="Z4290" s="360">
        <v>1</v>
      </c>
      <c r="AA4290" s="360">
        <v>88</v>
      </c>
      <c r="AB4290" s="360">
        <v>1.1000000000000001</v>
      </c>
    </row>
    <row r="4291" spans="20:28" x14ac:dyDescent="0.2">
      <c r="T4291" s="358" t="str">
        <f t="shared" si="176"/>
        <v>1998MaleNon-Maori19Firearms and explosives</v>
      </c>
      <c r="U4291" s="360">
        <v>1998</v>
      </c>
      <c r="V4291" s="360" t="s">
        <v>20</v>
      </c>
      <c r="W4291" s="360" t="s">
        <v>19</v>
      </c>
      <c r="X4291" s="360">
        <v>19</v>
      </c>
      <c r="Y4291" s="360" t="s">
        <v>42</v>
      </c>
      <c r="Z4291" s="360">
        <v>61</v>
      </c>
      <c r="AA4291" s="360">
        <v>358</v>
      </c>
      <c r="AB4291" s="360">
        <v>17</v>
      </c>
    </row>
    <row r="4292" spans="20:28" x14ac:dyDescent="0.2">
      <c r="T4292" s="358" t="str">
        <f t="shared" si="176"/>
        <v>1998MaleNon-Maori19Hanging, strangulation and suffocation</v>
      </c>
      <c r="U4292" s="360">
        <v>1998</v>
      </c>
      <c r="V4292" s="360" t="s">
        <v>20</v>
      </c>
      <c r="W4292" s="360" t="s">
        <v>19</v>
      </c>
      <c r="X4292" s="360">
        <v>19</v>
      </c>
      <c r="Y4292" s="360" t="s">
        <v>43</v>
      </c>
      <c r="Z4292" s="360">
        <v>132</v>
      </c>
      <c r="AA4292" s="360">
        <v>358</v>
      </c>
      <c r="AB4292" s="360">
        <v>36.9</v>
      </c>
    </row>
    <row r="4293" spans="20:28" x14ac:dyDescent="0.2">
      <c r="T4293" s="358" t="str">
        <f t="shared" ref="T4293:T4356" si="177">U4293&amp;V4293&amp;W4293&amp;X4293&amp;Y4293</f>
        <v>1998MaleNon-Maori19Jumping from a high place</v>
      </c>
      <c r="U4293" s="360">
        <v>1998</v>
      </c>
      <c r="V4293" s="360" t="s">
        <v>20</v>
      </c>
      <c r="W4293" s="360" t="s">
        <v>19</v>
      </c>
      <c r="X4293" s="360">
        <v>19</v>
      </c>
      <c r="Y4293" s="360" t="s">
        <v>44</v>
      </c>
      <c r="Z4293" s="360">
        <v>9</v>
      </c>
      <c r="AA4293" s="360">
        <v>358</v>
      </c>
      <c r="AB4293" s="360">
        <v>2.5</v>
      </c>
    </row>
    <row r="4294" spans="20:28" x14ac:dyDescent="0.2">
      <c r="T4294" s="358" t="str">
        <f t="shared" si="177"/>
        <v>1998MaleNon-Maori19Other</v>
      </c>
      <c r="U4294" s="360">
        <v>1998</v>
      </c>
      <c r="V4294" s="360" t="s">
        <v>20</v>
      </c>
      <c r="W4294" s="360" t="s">
        <v>19</v>
      </c>
      <c r="X4294" s="360">
        <v>19</v>
      </c>
      <c r="Y4294" s="360" t="s">
        <v>45</v>
      </c>
      <c r="Z4294" s="360">
        <v>13</v>
      </c>
      <c r="AA4294" s="360">
        <v>358</v>
      </c>
      <c r="AB4294" s="360">
        <v>3.6</v>
      </c>
    </row>
    <row r="4295" spans="20:28" x14ac:dyDescent="0.2">
      <c r="T4295" s="358" t="str">
        <f t="shared" si="177"/>
        <v>1998MaleNon-Maori19Poisoning by gases and vapours</v>
      </c>
      <c r="U4295" s="360">
        <v>1998</v>
      </c>
      <c r="V4295" s="360" t="s">
        <v>20</v>
      </c>
      <c r="W4295" s="360" t="s">
        <v>19</v>
      </c>
      <c r="X4295" s="360">
        <v>19</v>
      </c>
      <c r="Y4295" s="360" t="s">
        <v>46</v>
      </c>
      <c r="Z4295" s="360">
        <v>102</v>
      </c>
      <c r="AA4295" s="360">
        <v>358</v>
      </c>
      <c r="AB4295" s="360">
        <v>28.5</v>
      </c>
    </row>
    <row r="4296" spans="20:28" x14ac:dyDescent="0.2">
      <c r="T4296" s="358" t="str">
        <f t="shared" si="177"/>
        <v>1998MaleNon-Maori19Poisoning by solids and liquids</v>
      </c>
      <c r="U4296" s="360">
        <v>1998</v>
      </c>
      <c r="V4296" s="360" t="s">
        <v>20</v>
      </c>
      <c r="W4296" s="360" t="s">
        <v>19</v>
      </c>
      <c r="X4296" s="360">
        <v>19</v>
      </c>
      <c r="Y4296" s="360" t="s">
        <v>47</v>
      </c>
      <c r="Z4296" s="360">
        <v>28</v>
      </c>
      <c r="AA4296" s="360">
        <v>358</v>
      </c>
      <c r="AB4296" s="360">
        <v>7.8</v>
      </c>
    </row>
    <row r="4297" spans="20:28" x14ac:dyDescent="0.2">
      <c r="T4297" s="358" t="str">
        <f t="shared" si="177"/>
        <v>1998MaleNon-Maori19Sharp object</v>
      </c>
      <c r="U4297" s="360">
        <v>1998</v>
      </c>
      <c r="V4297" s="360" t="s">
        <v>20</v>
      </c>
      <c r="W4297" s="360" t="s">
        <v>19</v>
      </c>
      <c r="X4297" s="360">
        <v>19</v>
      </c>
      <c r="Y4297" s="360" t="s">
        <v>48</v>
      </c>
      <c r="Z4297" s="360">
        <v>6</v>
      </c>
      <c r="AA4297" s="360">
        <v>358</v>
      </c>
      <c r="AB4297" s="360">
        <v>1.7</v>
      </c>
    </row>
    <row r="4298" spans="20:28" x14ac:dyDescent="0.2">
      <c r="T4298" s="358" t="str">
        <f t="shared" si="177"/>
        <v>1998MaleNon-Maori19Submersion (drowning)</v>
      </c>
      <c r="U4298" s="360">
        <v>1998</v>
      </c>
      <c r="V4298" s="360" t="s">
        <v>20</v>
      </c>
      <c r="W4298" s="360" t="s">
        <v>19</v>
      </c>
      <c r="X4298" s="360">
        <v>19</v>
      </c>
      <c r="Y4298" s="360" t="s">
        <v>49</v>
      </c>
      <c r="Z4298" s="360">
        <v>7</v>
      </c>
      <c r="AA4298" s="360">
        <v>358</v>
      </c>
      <c r="AB4298" s="360">
        <v>2</v>
      </c>
    </row>
    <row r="4299" spans="20:28" x14ac:dyDescent="0.2">
      <c r="T4299" s="358" t="str">
        <f t="shared" si="177"/>
        <v>1999AllSexAllEth19Firearms and explosives</v>
      </c>
      <c r="U4299" s="360">
        <v>1999</v>
      </c>
      <c r="V4299" s="360" t="s">
        <v>17</v>
      </c>
      <c r="W4299" s="360" t="s">
        <v>27</v>
      </c>
      <c r="X4299" s="360">
        <v>19</v>
      </c>
      <c r="Y4299" s="360" t="s">
        <v>42</v>
      </c>
      <c r="Z4299" s="360">
        <v>47</v>
      </c>
      <c r="AA4299" s="360">
        <v>517</v>
      </c>
      <c r="AB4299" s="360">
        <v>9.1</v>
      </c>
    </row>
    <row r="4300" spans="20:28" x14ac:dyDescent="0.2">
      <c r="T4300" s="358" t="str">
        <f t="shared" si="177"/>
        <v>1999AllSexAllEth19Hanging, strangulation and suffocation</v>
      </c>
      <c r="U4300" s="360">
        <v>1999</v>
      </c>
      <c r="V4300" s="360" t="s">
        <v>17</v>
      </c>
      <c r="W4300" s="360" t="s">
        <v>27</v>
      </c>
      <c r="X4300" s="360">
        <v>19</v>
      </c>
      <c r="Y4300" s="360" t="s">
        <v>43</v>
      </c>
      <c r="Z4300" s="360">
        <v>242</v>
      </c>
      <c r="AA4300" s="360">
        <v>517</v>
      </c>
      <c r="AB4300" s="360">
        <v>46.8</v>
      </c>
    </row>
    <row r="4301" spans="20:28" x14ac:dyDescent="0.2">
      <c r="T4301" s="358" t="str">
        <f t="shared" si="177"/>
        <v>1999AllSexAllEth19Jumping from a high place</v>
      </c>
      <c r="U4301" s="360">
        <v>1999</v>
      </c>
      <c r="V4301" s="360" t="s">
        <v>17</v>
      </c>
      <c r="W4301" s="360" t="s">
        <v>27</v>
      </c>
      <c r="X4301" s="360">
        <v>19</v>
      </c>
      <c r="Y4301" s="360" t="s">
        <v>44</v>
      </c>
      <c r="Z4301" s="360">
        <v>17</v>
      </c>
      <c r="AA4301" s="360">
        <v>517</v>
      </c>
      <c r="AB4301" s="360">
        <v>3.3</v>
      </c>
    </row>
    <row r="4302" spans="20:28" x14ac:dyDescent="0.2">
      <c r="T4302" s="358" t="str">
        <f t="shared" si="177"/>
        <v>1999AllSexAllEth19Other</v>
      </c>
      <c r="U4302" s="360">
        <v>1999</v>
      </c>
      <c r="V4302" s="360" t="s">
        <v>17</v>
      </c>
      <c r="W4302" s="360" t="s">
        <v>27</v>
      </c>
      <c r="X4302" s="360">
        <v>19</v>
      </c>
      <c r="Y4302" s="360" t="s">
        <v>45</v>
      </c>
      <c r="Z4302" s="360">
        <v>18</v>
      </c>
      <c r="AA4302" s="360">
        <v>517</v>
      </c>
      <c r="AB4302" s="360">
        <v>3.5</v>
      </c>
    </row>
    <row r="4303" spans="20:28" x14ac:dyDescent="0.2">
      <c r="T4303" s="358" t="str">
        <f t="shared" si="177"/>
        <v>1999AllSexAllEth19Poisoning by gases and vapours</v>
      </c>
      <c r="U4303" s="360">
        <v>1999</v>
      </c>
      <c r="V4303" s="360" t="s">
        <v>17</v>
      </c>
      <c r="W4303" s="360" t="s">
        <v>27</v>
      </c>
      <c r="X4303" s="360">
        <v>19</v>
      </c>
      <c r="Y4303" s="360" t="s">
        <v>46</v>
      </c>
      <c r="Z4303" s="360">
        <v>117</v>
      </c>
      <c r="AA4303" s="360">
        <v>517</v>
      </c>
      <c r="AB4303" s="360">
        <v>22.6</v>
      </c>
    </row>
    <row r="4304" spans="20:28" x14ac:dyDescent="0.2">
      <c r="T4304" s="358" t="str">
        <f t="shared" si="177"/>
        <v>1999AllSexAllEth19Poisoning by solids and liquids</v>
      </c>
      <c r="U4304" s="360">
        <v>1999</v>
      </c>
      <c r="V4304" s="360" t="s">
        <v>17</v>
      </c>
      <c r="W4304" s="360" t="s">
        <v>27</v>
      </c>
      <c r="X4304" s="360">
        <v>19</v>
      </c>
      <c r="Y4304" s="360" t="s">
        <v>47</v>
      </c>
      <c r="Z4304" s="360">
        <v>52</v>
      </c>
      <c r="AA4304" s="360">
        <v>517</v>
      </c>
      <c r="AB4304" s="360">
        <v>10.1</v>
      </c>
    </row>
    <row r="4305" spans="20:28" x14ac:dyDescent="0.2">
      <c r="T4305" s="358" t="str">
        <f t="shared" si="177"/>
        <v>1999AllSexAllEth19Sharp object</v>
      </c>
      <c r="U4305" s="360">
        <v>1999</v>
      </c>
      <c r="V4305" s="360" t="s">
        <v>17</v>
      </c>
      <c r="W4305" s="360" t="s">
        <v>27</v>
      </c>
      <c r="X4305" s="360">
        <v>19</v>
      </c>
      <c r="Y4305" s="360" t="s">
        <v>48</v>
      </c>
      <c r="Z4305" s="360">
        <v>8</v>
      </c>
      <c r="AA4305" s="360">
        <v>517</v>
      </c>
      <c r="AB4305" s="360">
        <v>1.5</v>
      </c>
    </row>
    <row r="4306" spans="20:28" x14ac:dyDescent="0.2">
      <c r="T4306" s="358" t="str">
        <f t="shared" si="177"/>
        <v>1999AllSexAllEth19Submersion (drowning)</v>
      </c>
      <c r="U4306" s="360">
        <v>1999</v>
      </c>
      <c r="V4306" s="360" t="s">
        <v>17</v>
      </c>
      <c r="W4306" s="360" t="s">
        <v>27</v>
      </c>
      <c r="X4306" s="360">
        <v>19</v>
      </c>
      <c r="Y4306" s="360" t="s">
        <v>49</v>
      </c>
      <c r="Z4306" s="360">
        <v>16</v>
      </c>
      <c r="AA4306" s="360">
        <v>517</v>
      </c>
      <c r="AB4306" s="360">
        <v>3.1</v>
      </c>
    </row>
    <row r="4307" spans="20:28" x14ac:dyDescent="0.2">
      <c r="T4307" s="358" t="str">
        <f t="shared" si="177"/>
        <v>1999AllSexMaori19Firearms and explosives</v>
      </c>
      <c r="U4307" s="360">
        <v>1999</v>
      </c>
      <c r="V4307" s="360" t="s">
        <v>17</v>
      </c>
      <c r="W4307" s="360" t="s">
        <v>18</v>
      </c>
      <c r="X4307" s="360">
        <v>19</v>
      </c>
      <c r="Y4307" s="360" t="s">
        <v>42</v>
      </c>
      <c r="Z4307" s="360">
        <v>2</v>
      </c>
      <c r="AA4307" s="360">
        <v>79</v>
      </c>
      <c r="AB4307" s="360">
        <v>2.5</v>
      </c>
    </row>
    <row r="4308" spans="20:28" x14ac:dyDescent="0.2">
      <c r="T4308" s="358" t="str">
        <f t="shared" si="177"/>
        <v>1999AllSexMaori19Hanging, strangulation and suffocation</v>
      </c>
      <c r="U4308" s="360">
        <v>1999</v>
      </c>
      <c r="V4308" s="360" t="s">
        <v>17</v>
      </c>
      <c r="W4308" s="360" t="s">
        <v>18</v>
      </c>
      <c r="X4308" s="360">
        <v>19</v>
      </c>
      <c r="Y4308" s="360" t="s">
        <v>43</v>
      </c>
      <c r="Z4308" s="360">
        <v>59</v>
      </c>
      <c r="AA4308" s="360">
        <v>79</v>
      </c>
      <c r="AB4308" s="360">
        <v>74.7</v>
      </c>
    </row>
    <row r="4309" spans="20:28" x14ac:dyDescent="0.2">
      <c r="T4309" s="358" t="str">
        <f t="shared" si="177"/>
        <v>1999AllSexMaori19Jumping from a high place</v>
      </c>
      <c r="U4309" s="360">
        <v>1999</v>
      </c>
      <c r="V4309" s="360" t="s">
        <v>17</v>
      </c>
      <c r="W4309" s="360" t="s">
        <v>18</v>
      </c>
      <c r="X4309" s="360">
        <v>19</v>
      </c>
      <c r="Y4309" s="360" t="s">
        <v>44</v>
      </c>
      <c r="Z4309" s="360">
        <v>2</v>
      </c>
      <c r="AA4309" s="360">
        <v>79</v>
      </c>
      <c r="AB4309" s="360">
        <v>2.5</v>
      </c>
    </row>
    <row r="4310" spans="20:28" x14ac:dyDescent="0.2">
      <c r="T4310" s="358" t="str">
        <f t="shared" si="177"/>
        <v>1999AllSexMaori19Other</v>
      </c>
      <c r="U4310" s="360">
        <v>1999</v>
      </c>
      <c r="V4310" s="360" t="s">
        <v>17</v>
      </c>
      <c r="W4310" s="360" t="s">
        <v>18</v>
      </c>
      <c r="X4310" s="360">
        <v>19</v>
      </c>
      <c r="Y4310" s="360" t="s">
        <v>45</v>
      </c>
      <c r="Z4310" s="360">
        <v>6</v>
      </c>
      <c r="AA4310" s="360">
        <v>79</v>
      </c>
      <c r="AB4310" s="360">
        <v>7.6</v>
      </c>
    </row>
    <row r="4311" spans="20:28" x14ac:dyDescent="0.2">
      <c r="T4311" s="358" t="str">
        <f t="shared" si="177"/>
        <v>1999AllSexMaori19Poisoning by gases and vapours</v>
      </c>
      <c r="U4311" s="360">
        <v>1999</v>
      </c>
      <c r="V4311" s="360" t="s">
        <v>17</v>
      </c>
      <c r="W4311" s="360" t="s">
        <v>18</v>
      </c>
      <c r="X4311" s="360">
        <v>19</v>
      </c>
      <c r="Y4311" s="360" t="s">
        <v>46</v>
      </c>
      <c r="Z4311" s="360">
        <v>5</v>
      </c>
      <c r="AA4311" s="360">
        <v>79</v>
      </c>
      <c r="AB4311" s="360">
        <v>6.3</v>
      </c>
    </row>
    <row r="4312" spans="20:28" x14ac:dyDescent="0.2">
      <c r="T4312" s="358" t="str">
        <f t="shared" si="177"/>
        <v>1999AllSexMaori19Poisoning by solids and liquids</v>
      </c>
      <c r="U4312" s="360">
        <v>1999</v>
      </c>
      <c r="V4312" s="360" t="s">
        <v>17</v>
      </c>
      <c r="W4312" s="360" t="s">
        <v>18</v>
      </c>
      <c r="X4312" s="360">
        <v>19</v>
      </c>
      <c r="Y4312" s="360" t="s">
        <v>47</v>
      </c>
      <c r="Z4312" s="360">
        <v>5</v>
      </c>
      <c r="AA4312" s="360">
        <v>79</v>
      </c>
      <c r="AB4312" s="360">
        <v>6.3</v>
      </c>
    </row>
    <row r="4313" spans="20:28" x14ac:dyDescent="0.2">
      <c r="T4313" s="358" t="str">
        <f t="shared" si="177"/>
        <v>1999AllSexNon-Maori19Firearms and explosives</v>
      </c>
      <c r="U4313" s="360">
        <v>1999</v>
      </c>
      <c r="V4313" s="360" t="s">
        <v>17</v>
      </c>
      <c r="W4313" s="360" t="s">
        <v>19</v>
      </c>
      <c r="X4313" s="360">
        <v>19</v>
      </c>
      <c r="Y4313" s="360" t="s">
        <v>42</v>
      </c>
      <c r="Z4313" s="360">
        <v>45</v>
      </c>
      <c r="AA4313" s="360">
        <v>438</v>
      </c>
      <c r="AB4313" s="360">
        <v>10.3</v>
      </c>
    </row>
    <row r="4314" spans="20:28" x14ac:dyDescent="0.2">
      <c r="T4314" s="358" t="str">
        <f t="shared" si="177"/>
        <v>1999AllSexNon-Maori19Hanging, strangulation and suffocation</v>
      </c>
      <c r="U4314" s="360">
        <v>1999</v>
      </c>
      <c r="V4314" s="360" t="s">
        <v>17</v>
      </c>
      <c r="W4314" s="360" t="s">
        <v>19</v>
      </c>
      <c r="X4314" s="360">
        <v>19</v>
      </c>
      <c r="Y4314" s="360" t="s">
        <v>43</v>
      </c>
      <c r="Z4314" s="360">
        <v>183</v>
      </c>
      <c r="AA4314" s="360">
        <v>438</v>
      </c>
      <c r="AB4314" s="360">
        <v>41.8</v>
      </c>
    </row>
    <row r="4315" spans="20:28" x14ac:dyDescent="0.2">
      <c r="T4315" s="358" t="str">
        <f t="shared" si="177"/>
        <v>1999AllSexNon-Maori19Jumping from a high place</v>
      </c>
      <c r="U4315" s="360">
        <v>1999</v>
      </c>
      <c r="V4315" s="360" t="s">
        <v>17</v>
      </c>
      <c r="W4315" s="360" t="s">
        <v>19</v>
      </c>
      <c r="X4315" s="360">
        <v>19</v>
      </c>
      <c r="Y4315" s="360" t="s">
        <v>44</v>
      </c>
      <c r="Z4315" s="360">
        <v>15</v>
      </c>
      <c r="AA4315" s="360">
        <v>438</v>
      </c>
      <c r="AB4315" s="360">
        <v>3.4</v>
      </c>
    </row>
    <row r="4316" spans="20:28" x14ac:dyDescent="0.2">
      <c r="T4316" s="358" t="str">
        <f t="shared" si="177"/>
        <v>1999AllSexNon-Maori19Other</v>
      </c>
      <c r="U4316" s="360">
        <v>1999</v>
      </c>
      <c r="V4316" s="360" t="s">
        <v>17</v>
      </c>
      <c r="W4316" s="360" t="s">
        <v>19</v>
      </c>
      <c r="X4316" s="360">
        <v>19</v>
      </c>
      <c r="Y4316" s="360" t="s">
        <v>45</v>
      </c>
      <c r="Z4316" s="360">
        <v>12</v>
      </c>
      <c r="AA4316" s="360">
        <v>438</v>
      </c>
      <c r="AB4316" s="360">
        <v>2.7</v>
      </c>
    </row>
    <row r="4317" spans="20:28" x14ac:dyDescent="0.2">
      <c r="T4317" s="358" t="str">
        <f t="shared" si="177"/>
        <v>1999AllSexNon-Maori19Poisoning by gases and vapours</v>
      </c>
      <c r="U4317" s="360">
        <v>1999</v>
      </c>
      <c r="V4317" s="360" t="s">
        <v>17</v>
      </c>
      <c r="W4317" s="360" t="s">
        <v>19</v>
      </c>
      <c r="X4317" s="360">
        <v>19</v>
      </c>
      <c r="Y4317" s="360" t="s">
        <v>46</v>
      </c>
      <c r="Z4317" s="360">
        <v>112</v>
      </c>
      <c r="AA4317" s="360">
        <v>438</v>
      </c>
      <c r="AB4317" s="360">
        <v>25.6</v>
      </c>
    </row>
    <row r="4318" spans="20:28" x14ac:dyDescent="0.2">
      <c r="T4318" s="358" t="str">
        <f t="shared" si="177"/>
        <v>1999AllSexNon-Maori19Poisoning by solids and liquids</v>
      </c>
      <c r="U4318" s="360">
        <v>1999</v>
      </c>
      <c r="V4318" s="360" t="s">
        <v>17</v>
      </c>
      <c r="W4318" s="360" t="s">
        <v>19</v>
      </c>
      <c r="X4318" s="360">
        <v>19</v>
      </c>
      <c r="Y4318" s="360" t="s">
        <v>47</v>
      </c>
      <c r="Z4318" s="360">
        <v>47</v>
      </c>
      <c r="AA4318" s="360">
        <v>438</v>
      </c>
      <c r="AB4318" s="360">
        <v>10.7</v>
      </c>
    </row>
    <row r="4319" spans="20:28" x14ac:dyDescent="0.2">
      <c r="T4319" s="358" t="str">
        <f t="shared" si="177"/>
        <v>1999AllSexNon-Maori19Sharp object</v>
      </c>
      <c r="U4319" s="360">
        <v>1999</v>
      </c>
      <c r="V4319" s="360" t="s">
        <v>17</v>
      </c>
      <c r="W4319" s="360" t="s">
        <v>19</v>
      </c>
      <c r="X4319" s="360">
        <v>19</v>
      </c>
      <c r="Y4319" s="360" t="s">
        <v>48</v>
      </c>
      <c r="Z4319" s="360">
        <v>8</v>
      </c>
      <c r="AA4319" s="360">
        <v>438</v>
      </c>
      <c r="AB4319" s="360">
        <v>1.8</v>
      </c>
    </row>
    <row r="4320" spans="20:28" x14ac:dyDescent="0.2">
      <c r="T4320" s="358" t="str">
        <f t="shared" si="177"/>
        <v>1999AllSexNon-Maori19Submersion (drowning)</v>
      </c>
      <c r="U4320" s="360">
        <v>1999</v>
      </c>
      <c r="V4320" s="360" t="s">
        <v>17</v>
      </c>
      <c r="W4320" s="360" t="s">
        <v>19</v>
      </c>
      <c r="X4320" s="360">
        <v>19</v>
      </c>
      <c r="Y4320" s="360" t="s">
        <v>49</v>
      </c>
      <c r="Z4320" s="360">
        <v>16</v>
      </c>
      <c r="AA4320" s="360">
        <v>438</v>
      </c>
      <c r="AB4320" s="360">
        <v>3.7</v>
      </c>
    </row>
    <row r="4321" spans="20:28" x14ac:dyDescent="0.2">
      <c r="T4321" s="358" t="str">
        <f t="shared" si="177"/>
        <v>1999FemaleAllEth19Firearms and explosives</v>
      </c>
      <c r="U4321" s="360">
        <v>1999</v>
      </c>
      <c r="V4321" s="360" t="s">
        <v>8</v>
      </c>
      <c r="W4321" s="360" t="s">
        <v>27</v>
      </c>
      <c r="X4321" s="360">
        <v>19</v>
      </c>
      <c r="Y4321" s="360" t="s">
        <v>42</v>
      </c>
      <c r="Z4321" s="360">
        <v>4</v>
      </c>
      <c r="AA4321" s="360">
        <v>132</v>
      </c>
      <c r="AB4321" s="360">
        <v>3</v>
      </c>
    </row>
    <row r="4322" spans="20:28" x14ac:dyDescent="0.2">
      <c r="T4322" s="358" t="str">
        <f t="shared" si="177"/>
        <v>1999FemaleAllEth19Hanging, strangulation and suffocation</v>
      </c>
      <c r="U4322" s="360">
        <v>1999</v>
      </c>
      <c r="V4322" s="360" t="s">
        <v>8</v>
      </c>
      <c r="W4322" s="360" t="s">
        <v>27</v>
      </c>
      <c r="X4322" s="360">
        <v>19</v>
      </c>
      <c r="Y4322" s="360" t="s">
        <v>43</v>
      </c>
      <c r="Z4322" s="360">
        <v>61</v>
      </c>
      <c r="AA4322" s="360">
        <v>132</v>
      </c>
      <c r="AB4322" s="360">
        <v>46.2</v>
      </c>
    </row>
    <row r="4323" spans="20:28" x14ac:dyDescent="0.2">
      <c r="T4323" s="358" t="str">
        <f t="shared" si="177"/>
        <v>1999FemaleAllEth19Jumping from a high place</v>
      </c>
      <c r="U4323" s="360">
        <v>1999</v>
      </c>
      <c r="V4323" s="360" t="s">
        <v>8</v>
      </c>
      <c r="W4323" s="360" t="s">
        <v>27</v>
      </c>
      <c r="X4323" s="360">
        <v>19</v>
      </c>
      <c r="Y4323" s="360" t="s">
        <v>44</v>
      </c>
      <c r="Z4323" s="360">
        <v>4</v>
      </c>
      <c r="AA4323" s="360">
        <v>132</v>
      </c>
      <c r="AB4323" s="360">
        <v>3</v>
      </c>
    </row>
    <row r="4324" spans="20:28" x14ac:dyDescent="0.2">
      <c r="T4324" s="358" t="str">
        <f t="shared" si="177"/>
        <v>1999FemaleAllEth19Other</v>
      </c>
      <c r="U4324" s="360">
        <v>1999</v>
      </c>
      <c r="V4324" s="360" t="s">
        <v>8</v>
      </c>
      <c r="W4324" s="360" t="s">
        <v>27</v>
      </c>
      <c r="X4324" s="360">
        <v>19</v>
      </c>
      <c r="Y4324" s="360" t="s">
        <v>45</v>
      </c>
      <c r="Z4324" s="360">
        <v>4</v>
      </c>
      <c r="AA4324" s="360">
        <v>132</v>
      </c>
      <c r="AB4324" s="360">
        <v>3</v>
      </c>
    </row>
    <row r="4325" spans="20:28" x14ac:dyDescent="0.2">
      <c r="T4325" s="358" t="str">
        <f t="shared" si="177"/>
        <v>1999FemaleAllEth19Poisoning by gases and vapours</v>
      </c>
      <c r="U4325" s="360">
        <v>1999</v>
      </c>
      <c r="V4325" s="360" t="s">
        <v>8</v>
      </c>
      <c r="W4325" s="360" t="s">
        <v>27</v>
      </c>
      <c r="X4325" s="360">
        <v>19</v>
      </c>
      <c r="Y4325" s="360" t="s">
        <v>46</v>
      </c>
      <c r="Z4325" s="360">
        <v>22</v>
      </c>
      <c r="AA4325" s="360">
        <v>132</v>
      </c>
      <c r="AB4325" s="360">
        <v>16.7</v>
      </c>
    </row>
    <row r="4326" spans="20:28" x14ac:dyDescent="0.2">
      <c r="T4326" s="358" t="str">
        <f t="shared" si="177"/>
        <v>1999FemaleAllEth19Poisoning by solids and liquids</v>
      </c>
      <c r="U4326" s="360">
        <v>1999</v>
      </c>
      <c r="V4326" s="360" t="s">
        <v>8</v>
      </c>
      <c r="W4326" s="360" t="s">
        <v>27</v>
      </c>
      <c r="X4326" s="360">
        <v>19</v>
      </c>
      <c r="Y4326" s="360" t="s">
        <v>47</v>
      </c>
      <c r="Z4326" s="360">
        <v>30</v>
      </c>
      <c r="AA4326" s="360">
        <v>132</v>
      </c>
      <c r="AB4326" s="360">
        <v>22.7</v>
      </c>
    </row>
    <row r="4327" spans="20:28" x14ac:dyDescent="0.2">
      <c r="T4327" s="358" t="str">
        <f t="shared" si="177"/>
        <v>1999FemaleAllEth19Sharp object</v>
      </c>
      <c r="U4327" s="360">
        <v>1999</v>
      </c>
      <c r="V4327" s="360" t="s">
        <v>8</v>
      </c>
      <c r="W4327" s="360" t="s">
        <v>27</v>
      </c>
      <c r="X4327" s="360">
        <v>19</v>
      </c>
      <c r="Y4327" s="360" t="s">
        <v>48</v>
      </c>
      <c r="Z4327" s="360">
        <v>2</v>
      </c>
      <c r="AA4327" s="360">
        <v>132</v>
      </c>
      <c r="AB4327" s="360">
        <v>1.5</v>
      </c>
    </row>
    <row r="4328" spans="20:28" x14ac:dyDescent="0.2">
      <c r="T4328" s="358" t="str">
        <f t="shared" si="177"/>
        <v>1999FemaleAllEth19Submersion (drowning)</v>
      </c>
      <c r="U4328" s="360">
        <v>1999</v>
      </c>
      <c r="V4328" s="360" t="s">
        <v>8</v>
      </c>
      <c r="W4328" s="360" t="s">
        <v>27</v>
      </c>
      <c r="X4328" s="360">
        <v>19</v>
      </c>
      <c r="Y4328" s="360" t="s">
        <v>49</v>
      </c>
      <c r="Z4328" s="360">
        <v>5</v>
      </c>
      <c r="AA4328" s="360">
        <v>132</v>
      </c>
      <c r="AB4328" s="360">
        <v>3.8</v>
      </c>
    </row>
    <row r="4329" spans="20:28" x14ac:dyDescent="0.2">
      <c r="T4329" s="358" t="str">
        <f t="shared" si="177"/>
        <v>1999FemaleMaori19Hanging, strangulation and suffocation</v>
      </c>
      <c r="U4329" s="360">
        <v>1999</v>
      </c>
      <c r="V4329" s="360" t="s">
        <v>8</v>
      </c>
      <c r="W4329" s="360" t="s">
        <v>18</v>
      </c>
      <c r="X4329" s="360">
        <v>19</v>
      </c>
      <c r="Y4329" s="360" t="s">
        <v>43</v>
      </c>
      <c r="Z4329" s="360">
        <v>16</v>
      </c>
      <c r="AA4329" s="360">
        <v>20</v>
      </c>
      <c r="AB4329" s="360">
        <v>80</v>
      </c>
    </row>
    <row r="4330" spans="20:28" x14ac:dyDescent="0.2">
      <c r="T4330" s="358" t="str">
        <f t="shared" si="177"/>
        <v>1999FemaleMaori19Other</v>
      </c>
      <c r="U4330" s="360">
        <v>1999</v>
      </c>
      <c r="V4330" s="360" t="s">
        <v>8</v>
      </c>
      <c r="W4330" s="360" t="s">
        <v>18</v>
      </c>
      <c r="X4330" s="360">
        <v>19</v>
      </c>
      <c r="Y4330" s="360" t="s">
        <v>45</v>
      </c>
      <c r="Z4330" s="360">
        <v>2</v>
      </c>
      <c r="AA4330" s="360">
        <v>20</v>
      </c>
      <c r="AB4330" s="360">
        <v>10</v>
      </c>
    </row>
    <row r="4331" spans="20:28" x14ac:dyDescent="0.2">
      <c r="T4331" s="358" t="str">
        <f t="shared" si="177"/>
        <v>1999FemaleMaori19Poisoning by gases and vapours</v>
      </c>
      <c r="U4331" s="360">
        <v>1999</v>
      </c>
      <c r="V4331" s="360" t="s">
        <v>8</v>
      </c>
      <c r="W4331" s="360" t="s">
        <v>18</v>
      </c>
      <c r="X4331" s="360">
        <v>19</v>
      </c>
      <c r="Y4331" s="360" t="s">
        <v>46</v>
      </c>
      <c r="Z4331" s="360">
        <v>1</v>
      </c>
      <c r="AA4331" s="360">
        <v>20</v>
      </c>
      <c r="AB4331" s="360">
        <v>5</v>
      </c>
    </row>
    <row r="4332" spans="20:28" x14ac:dyDescent="0.2">
      <c r="T4332" s="358" t="str">
        <f t="shared" si="177"/>
        <v>1999FemaleMaori19Poisoning by solids and liquids</v>
      </c>
      <c r="U4332" s="360">
        <v>1999</v>
      </c>
      <c r="V4332" s="360" t="s">
        <v>8</v>
      </c>
      <c r="W4332" s="360" t="s">
        <v>18</v>
      </c>
      <c r="X4332" s="360">
        <v>19</v>
      </c>
      <c r="Y4332" s="360" t="s">
        <v>47</v>
      </c>
      <c r="Z4332" s="360">
        <v>1</v>
      </c>
      <c r="AA4332" s="360">
        <v>20</v>
      </c>
      <c r="AB4332" s="360">
        <v>5</v>
      </c>
    </row>
    <row r="4333" spans="20:28" x14ac:dyDescent="0.2">
      <c r="T4333" s="358" t="str">
        <f t="shared" si="177"/>
        <v>1999FemaleNon-Maori19Firearms and explosives</v>
      </c>
      <c r="U4333" s="360">
        <v>1999</v>
      </c>
      <c r="V4333" s="360" t="s">
        <v>8</v>
      </c>
      <c r="W4333" s="360" t="s">
        <v>19</v>
      </c>
      <c r="X4333" s="360">
        <v>19</v>
      </c>
      <c r="Y4333" s="360" t="s">
        <v>42</v>
      </c>
      <c r="Z4333" s="360">
        <v>4</v>
      </c>
      <c r="AA4333" s="360">
        <v>112</v>
      </c>
      <c r="AB4333" s="360">
        <v>3.6</v>
      </c>
    </row>
    <row r="4334" spans="20:28" x14ac:dyDescent="0.2">
      <c r="T4334" s="358" t="str">
        <f t="shared" si="177"/>
        <v>1999FemaleNon-Maori19Hanging, strangulation and suffocation</v>
      </c>
      <c r="U4334" s="360">
        <v>1999</v>
      </c>
      <c r="V4334" s="360" t="s">
        <v>8</v>
      </c>
      <c r="W4334" s="360" t="s">
        <v>19</v>
      </c>
      <c r="X4334" s="360">
        <v>19</v>
      </c>
      <c r="Y4334" s="360" t="s">
        <v>43</v>
      </c>
      <c r="Z4334" s="360">
        <v>45</v>
      </c>
      <c r="AA4334" s="360">
        <v>112</v>
      </c>
      <c r="AB4334" s="360">
        <v>40.200000000000003</v>
      </c>
    </row>
    <row r="4335" spans="20:28" x14ac:dyDescent="0.2">
      <c r="T4335" s="358" t="str">
        <f t="shared" si="177"/>
        <v>1999FemaleNon-Maori19Jumping from a high place</v>
      </c>
      <c r="U4335" s="360">
        <v>1999</v>
      </c>
      <c r="V4335" s="360" t="s">
        <v>8</v>
      </c>
      <c r="W4335" s="360" t="s">
        <v>19</v>
      </c>
      <c r="X4335" s="360">
        <v>19</v>
      </c>
      <c r="Y4335" s="360" t="s">
        <v>44</v>
      </c>
      <c r="Z4335" s="360">
        <v>4</v>
      </c>
      <c r="AA4335" s="360">
        <v>112</v>
      </c>
      <c r="AB4335" s="360">
        <v>3.6</v>
      </c>
    </row>
    <row r="4336" spans="20:28" x14ac:dyDescent="0.2">
      <c r="T4336" s="358" t="str">
        <f t="shared" si="177"/>
        <v>1999FemaleNon-Maori19Other</v>
      </c>
      <c r="U4336" s="360">
        <v>1999</v>
      </c>
      <c r="V4336" s="360" t="s">
        <v>8</v>
      </c>
      <c r="W4336" s="360" t="s">
        <v>19</v>
      </c>
      <c r="X4336" s="360">
        <v>19</v>
      </c>
      <c r="Y4336" s="360" t="s">
        <v>45</v>
      </c>
      <c r="Z4336" s="360">
        <v>2</v>
      </c>
      <c r="AA4336" s="360">
        <v>112</v>
      </c>
      <c r="AB4336" s="360">
        <v>1.8</v>
      </c>
    </row>
    <row r="4337" spans="20:28" x14ac:dyDescent="0.2">
      <c r="T4337" s="358" t="str">
        <f t="shared" si="177"/>
        <v>1999FemaleNon-Maori19Poisoning by gases and vapours</v>
      </c>
      <c r="U4337" s="360">
        <v>1999</v>
      </c>
      <c r="V4337" s="360" t="s">
        <v>8</v>
      </c>
      <c r="W4337" s="360" t="s">
        <v>19</v>
      </c>
      <c r="X4337" s="360">
        <v>19</v>
      </c>
      <c r="Y4337" s="360" t="s">
        <v>46</v>
      </c>
      <c r="Z4337" s="360">
        <v>21</v>
      </c>
      <c r="AA4337" s="360">
        <v>112</v>
      </c>
      <c r="AB4337" s="360">
        <v>18.8</v>
      </c>
    </row>
    <row r="4338" spans="20:28" x14ac:dyDescent="0.2">
      <c r="T4338" s="358" t="str">
        <f t="shared" si="177"/>
        <v>1999FemaleNon-Maori19Poisoning by solids and liquids</v>
      </c>
      <c r="U4338" s="360">
        <v>1999</v>
      </c>
      <c r="V4338" s="360" t="s">
        <v>8</v>
      </c>
      <c r="W4338" s="360" t="s">
        <v>19</v>
      </c>
      <c r="X4338" s="360">
        <v>19</v>
      </c>
      <c r="Y4338" s="360" t="s">
        <v>47</v>
      </c>
      <c r="Z4338" s="360">
        <v>29</v>
      </c>
      <c r="AA4338" s="360">
        <v>112</v>
      </c>
      <c r="AB4338" s="360">
        <v>25.9</v>
      </c>
    </row>
    <row r="4339" spans="20:28" x14ac:dyDescent="0.2">
      <c r="T4339" s="358" t="str">
        <f t="shared" si="177"/>
        <v>1999FemaleNon-Maori19Sharp object</v>
      </c>
      <c r="U4339" s="360">
        <v>1999</v>
      </c>
      <c r="V4339" s="360" t="s">
        <v>8</v>
      </c>
      <c r="W4339" s="360" t="s">
        <v>19</v>
      </c>
      <c r="X4339" s="360">
        <v>19</v>
      </c>
      <c r="Y4339" s="360" t="s">
        <v>48</v>
      </c>
      <c r="Z4339" s="360">
        <v>2</v>
      </c>
      <c r="AA4339" s="360">
        <v>112</v>
      </c>
      <c r="AB4339" s="360">
        <v>1.8</v>
      </c>
    </row>
    <row r="4340" spans="20:28" x14ac:dyDescent="0.2">
      <c r="T4340" s="358" t="str">
        <f t="shared" si="177"/>
        <v>1999FemaleNon-Maori19Submersion (drowning)</v>
      </c>
      <c r="U4340" s="360">
        <v>1999</v>
      </c>
      <c r="V4340" s="360" t="s">
        <v>8</v>
      </c>
      <c r="W4340" s="360" t="s">
        <v>19</v>
      </c>
      <c r="X4340" s="360">
        <v>19</v>
      </c>
      <c r="Y4340" s="360" t="s">
        <v>49</v>
      </c>
      <c r="Z4340" s="360">
        <v>5</v>
      </c>
      <c r="AA4340" s="360">
        <v>112</v>
      </c>
      <c r="AB4340" s="360">
        <v>4.5</v>
      </c>
    </row>
    <row r="4341" spans="20:28" x14ac:dyDescent="0.2">
      <c r="T4341" s="358" t="str">
        <f t="shared" si="177"/>
        <v>1999MaleAllEth19Firearms and explosives</v>
      </c>
      <c r="U4341" s="360">
        <v>1999</v>
      </c>
      <c r="V4341" s="360" t="s">
        <v>20</v>
      </c>
      <c r="W4341" s="360" t="s">
        <v>27</v>
      </c>
      <c r="X4341" s="360">
        <v>19</v>
      </c>
      <c r="Y4341" s="360" t="s">
        <v>42</v>
      </c>
      <c r="Z4341" s="360">
        <v>43</v>
      </c>
      <c r="AA4341" s="360">
        <v>385</v>
      </c>
      <c r="AB4341" s="360">
        <v>11.2</v>
      </c>
    </row>
    <row r="4342" spans="20:28" x14ac:dyDescent="0.2">
      <c r="T4342" s="358" t="str">
        <f t="shared" si="177"/>
        <v>1999MaleAllEth19Hanging, strangulation and suffocation</v>
      </c>
      <c r="U4342" s="360">
        <v>1999</v>
      </c>
      <c r="V4342" s="360" t="s">
        <v>20</v>
      </c>
      <c r="W4342" s="360" t="s">
        <v>27</v>
      </c>
      <c r="X4342" s="360">
        <v>19</v>
      </c>
      <c r="Y4342" s="360" t="s">
        <v>43</v>
      </c>
      <c r="Z4342" s="360">
        <v>181</v>
      </c>
      <c r="AA4342" s="360">
        <v>385</v>
      </c>
      <c r="AB4342" s="360">
        <v>47</v>
      </c>
    </row>
    <row r="4343" spans="20:28" x14ac:dyDescent="0.2">
      <c r="T4343" s="358" t="str">
        <f t="shared" si="177"/>
        <v>1999MaleAllEth19Jumping from a high place</v>
      </c>
      <c r="U4343" s="360">
        <v>1999</v>
      </c>
      <c r="V4343" s="360" t="s">
        <v>20</v>
      </c>
      <c r="W4343" s="360" t="s">
        <v>27</v>
      </c>
      <c r="X4343" s="360">
        <v>19</v>
      </c>
      <c r="Y4343" s="360" t="s">
        <v>44</v>
      </c>
      <c r="Z4343" s="360">
        <v>13</v>
      </c>
      <c r="AA4343" s="360">
        <v>385</v>
      </c>
      <c r="AB4343" s="360">
        <v>3.4</v>
      </c>
    </row>
    <row r="4344" spans="20:28" x14ac:dyDescent="0.2">
      <c r="T4344" s="358" t="str">
        <f t="shared" si="177"/>
        <v>1999MaleAllEth19Other</v>
      </c>
      <c r="U4344" s="360">
        <v>1999</v>
      </c>
      <c r="V4344" s="360" t="s">
        <v>20</v>
      </c>
      <c r="W4344" s="360" t="s">
        <v>27</v>
      </c>
      <c r="X4344" s="360">
        <v>19</v>
      </c>
      <c r="Y4344" s="360" t="s">
        <v>45</v>
      </c>
      <c r="Z4344" s="360">
        <v>14</v>
      </c>
      <c r="AA4344" s="360">
        <v>385</v>
      </c>
      <c r="AB4344" s="360">
        <v>3.6</v>
      </c>
    </row>
    <row r="4345" spans="20:28" x14ac:dyDescent="0.2">
      <c r="T4345" s="358" t="str">
        <f t="shared" si="177"/>
        <v>1999MaleAllEth19Poisoning by gases and vapours</v>
      </c>
      <c r="U4345" s="360">
        <v>1999</v>
      </c>
      <c r="V4345" s="360" t="s">
        <v>20</v>
      </c>
      <c r="W4345" s="360" t="s">
        <v>27</v>
      </c>
      <c r="X4345" s="360">
        <v>19</v>
      </c>
      <c r="Y4345" s="360" t="s">
        <v>46</v>
      </c>
      <c r="Z4345" s="360">
        <v>95</v>
      </c>
      <c r="AA4345" s="360">
        <v>385</v>
      </c>
      <c r="AB4345" s="360">
        <v>24.7</v>
      </c>
    </row>
    <row r="4346" spans="20:28" x14ac:dyDescent="0.2">
      <c r="T4346" s="358" t="str">
        <f t="shared" si="177"/>
        <v>1999MaleAllEth19Poisoning by solids and liquids</v>
      </c>
      <c r="U4346" s="360">
        <v>1999</v>
      </c>
      <c r="V4346" s="360" t="s">
        <v>20</v>
      </c>
      <c r="W4346" s="360" t="s">
        <v>27</v>
      </c>
      <c r="X4346" s="360">
        <v>19</v>
      </c>
      <c r="Y4346" s="360" t="s">
        <v>47</v>
      </c>
      <c r="Z4346" s="360">
        <v>22</v>
      </c>
      <c r="AA4346" s="360">
        <v>385</v>
      </c>
      <c r="AB4346" s="360">
        <v>5.7</v>
      </c>
    </row>
    <row r="4347" spans="20:28" x14ac:dyDescent="0.2">
      <c r="T4347" s="358" t="str">
        <f t="shared" si="177"/>
        <v>1999MaleAllEth19Sharp object</v>
      </c>
      <c r="U4347" s="360">
        <v>1999</v>
      </c>
      <c r="V4347" s="360" t="s">
        <v>20</v>
      </c>
      <c r="W4347" s="360" t="s">
        <v>27</v>
      </c>
      <c r="X4347" s="360">
        <v>19</v>
      </c>
      <c r="Y4347" s="360" t="s">
        <v>48</v>
      </c>
      <c r="Z4347" s="360">
        <v>6</v>
      </c>
      <c r="AA4347" s="360">
        <v>385</v>
      </c>
      <c r="AB4347" s="360">
        <v>1.6</v>
      </c>
    </row>
    <row r="4348" spans="20:28" x14ac:dyDescent="0.2">
      <c r="T4348" s="358" t="str">
        <f t="shared" si="177"/>
        <v>1999MaleAllEth19Submersion (drowning)</v>
      </c>
      <c r="U4348" s="360">
        <v>1999</v>
      </c>
      <c r="V4348" s="360" t="s">
        <v>20</v>
      </c>
      <c r="W4348" s="360" t="s">
        <v>27</v>
      </c>
      <c r="X4348" s="360">
        <v>19</v>
      </c>
      <c r="Y4348" s="360" t="s">
        <v>49</v>
      </c>
      <c r="Z4348" s="360">
        <v>11</v>
      </c>
      <c r="AA4348" s="360">
        <v>385</v>
      </c>
      <c r="AB4348" s="360">
        <v>2.9</v>
      </c>
    </row>
    <row r="4349" spans="20:28" x14ac:dyDescent="0.2">
      <c r="T4349" s="358" t="str">
        <f t="shared" si="177"/>
        <v>1999MaleMaori19Firearms and explosives</v>
      </c>
      <c r="U4349" s="360">
        <v>1999</v>
      </c>
      <c r="V4349" s="360" t="s">
        <v>20</v>
      </c>
      <c r="W4349" s="360" t="s">
        <v>18</v>
      </c>
      <c r="X4349" s="360">
        <v>19</v>
      </c>
      <c r="Y4349" s="360" t="s">
        <v>42</v>
      </c>
      <c r="Z4349" s="360">
        <v>2</v>
      </c>
      <c r="AA4349" s="360">
        <v>59</v>
      </c>
      <c r="AB4349" s="360">
        <v>3.4</v>
      </c>
    </row>
    <row r="4350" spans="20:28" x14ac:dyDescent="0.2">
      <c r="T4350" s="358" t="str">
        <f t="shared" si="177"/>
        <v>1999MaleMaori19Hanging, strangulation and suffocation</v>
      </c>
      <c r="U4350" s="360">
        <v>1999</v>
      </c>
      <c r="V4350" s="360" t="s">
        <v>20</v>
      </c>
      <c r="W4350" s="360" t="s">
        <v>18</v>
      </c>
      <c r="X4350" s="360">
        <v>19</v>
      </c>
      <c r="Y4350" s="360" t="s">
        <v>43</v>
      </c>
      <c r="Z4350" s="360">
        <v>43</v>
      </c>
      <c r="AA4350" s="360">
        <v>59</v>
      </c>
      <c r="AB4350" s="360">
        <v>72.900000000000006</v>
      </c>
    </row>
    <row r="4351" spans="20:28" x14ac:dyDescent="0.2">
      <c r="T4351" s="358" t="str">
        <f t="shared" si="177"/>
        <v>1999MaleMaori19Jumping from a high place</v>
      </c>
      <c r="U4351" s="360">
        <v>1999</v>
      </c>
      <c r="V4351" s="360" t="s">
        <v>20</v>
      </c>
      <c r="W4351" s="360" t="s">
        <v>18</v>
      </c>
      <c r="X4351" s="360">
        <v>19</v>
      </c>
      <c r="Y4351" s="360" t="s">
        <v>44</v>
      </c>
      <c r="Z4351" s="360">
        <v>2</v>
      </c>
      <c r="AA4351" s="360">
        <v>59</v>
      </c>
      <c r="AB4351" s="360">
        <v>3.4</v>
      </c>
    </row>
    <row r="4352" spans="20:28" x14ac:dyDescent="0.2">
      <c r="T4352" s="358" t="str">
        <f t="shared" si="177"/>
        <v>1999MaleMaori19Other</v>
      </c>
      <c r="U4352" s="360">
        <v>1999</v>
      </c>
      <c r="V4352" s="360" t="s">
        <v>20</v>
      </c>
      <c r="W4352" s="360" t="s">
        <v>18</v>
      </c>
      <c r="X4352" s="360">
        <v>19</v>
      </c>
      <c r="Y4352" s="360" t="s">
        <v>45</v>
      </c>
      <c r="Z4352" s="360">
        <v>4</v>
      </c>
      <c r="AA4352" s="360">
        <v>59</v>
      </c>
      <c r="AB4352" s="360">
        <v>6.8</v>
      </c>
    </row>
    <row r="4353" spans="20:28" x14ac:dyDescent="0.2">
      <c r="T4353" s="358" t="str">
        <f t="shared" si="177"/>
        <v>1999MaleMaori19Poisoning by gases and vapours</v>
      </c>
      <c r="U4353" s="360">
        <v>1999</v>
      </c>
      <c r="V4353" s="360" t="s">
        <v>20</v>
      </c>
      <c r="W4353" s="360" t="s">
        <v>18</v>
      </c>
      <c r="X4353" s="360">
        <v>19</v>
      </c>
      <c r="Y4353" s="360" t="s">
        <v>46</v>
      </c>
      <c r="Z4353" s="360">
        <v>4</v>
      </c>
      <c r="AA4353" s="360">
        <v>59</v>
      </c>
      <c r="AB4353" s="360">
        <v>6.8</v>
      </c>
    </row>
    <row r="4354" spans="20:28" x14ac:dyDescent="0.2">
      <c r="T4354" s="358" t="str">
        <f t="shared" si="177"/>
        <v>1999MaleMaori19Poisoning by solids and liquids</v>
      </c>
      <c r="U4354" s="360">
        <v>1999</v>
      </c>
      <c r="V4354" s="360" t="s">
        <v>20</v>
      </c>
      <c r="W4354" s="360" t="s">
        <v>18</v>
      </c>
      <c r="X4354" s="360">
        <v>19</v>
      </c>
      <c r="Y4354" s="360" t="s">
        <v>47</v>
      </c>
      <c r="Z4354" s="360">
        <v>4</v>
      </c>
      <c r="AA4354" s="360">
        <v>59</v>
      </c>
      <c r="AB4354" s="360">
        <v>6.8</v>
      </c>
    </row>
    <row r="4355" spans="20:28" x14ac:dyDescent="0.2">
      <c r="T4355" s="358" t="str">
        <f t="shared" si="177"/>
        <v>1999MaleNon-Maori19Firearms and explosives</v>
      </c>
      <c r="U4355" s="360">
        <v>1999</v>
      </c>
      <c r="V4355" s="360" t="s">
        <v>20</v>
      </c>
      <c r="W4355" s="360" t="s">
        <v>19</v>
      </c>
      <c r="X4355" s="360">
        <v>19</v>
      </c>
      <c r="Y4355" s="360" t="s">
        <v>42</v>
      </c>
      <c r="Z4355" s="360">
        <v>41</v>
      </c>
      <c r="AA4355" s="360">
        <v>326</v>
      </c>
      <c r="AB4355" s="360">
        <v>12.6</v>
      </c>
    </row>
    <row r="4356" spans="20:28" x14ac:dyDescent="0.2">
      <c r="T4356" s="358" t="str">
        <f t="shared" si="177"/>
        <v>1999MaleNon-Maori19Hanging, strangulation and suffocation</v>
      </c>
      <c r="U4356" s="360">
        <v>1999</v>
      </c>
      <c r="V4356" s="360" t="s">
        <v>20</v>
      </c>
      <c r="W4356" s="360" t="s">
        <v>19</v>
      </c>
      <c r="X4356" s="360">
        <v>19</v>
      </c>
      <c r="Y4356" s="360" t="s">
        <v>43</v>
      </c>
      <c r="Z4356" s="360">
        <v>138</v>
      </c>
      <c r="AA4356" s="360">
        <v>326</v>
      </c>
      <c r="AB4356" s="360">
        <v>42.3</v>
      </c>
    </row>
    <row r="4357" spans="20:28" x14ac:dyDescent="0.2">
      <c r="T4357" s="358" t="str">
        <f t="shared" ref="T4357:T4420" si="178">U4357&amp;V4357&amp;W4357&amp;X4357&amp;Y4357</f>
        <v>1999MaleNon-Maori19Jumping from a high place</v>
      </c>
      <c r="U4357" s="360">
        <v>1999</v>
      </c>
      <c r="V4357" s="360" t="s">
        <v>20</v>
      </c>
      <c r="W4357" s="360" t="s">
        <v>19</v>
      </c>
      <c r="X4357" s="360">
        <v>19</v>
      </c>
      <c r="Y4357" s="360" t="s">
        <v>44</v>
      </c>
      <c r="Z4357" s="360">
        <v>11</v>
      </c>
      <c r="AA4357" s="360">
        <v>326</v>
      </c>
      <c r="AB4357" s="360">
        <v>3.4</v>
      </c>
    </row>
    <row r="4358" spans="20:28" x14ac:dyDescent="0.2">
      <c r="T4358" s="358" t="str">
        <f t="shared" si="178"/>
        <v>1999MaleNon-Maori19Other</v>
      </c>
      <c r="U4358" s="360">
        <v>1999</v>
      </c>
      <c r="V4358" s="360" t="s">
        <v>20</v>
      </c>
      <c r="W4358" s="360" t="s">
        <v>19</v>
      </c>
      <c r="X4358" s="360">
        <v>19</v>
      </c>
      <c r="Y4358" s="360" t="s">
        <v>45</v>
      </c>
      <c r="Z4358" s="360">
        <v>10</v>
      </c>
      <c r="AA4358" s="360">
        <v>326</v>
      </c>
      <c r="AB4358" s="360">
        <v>3.1</v>
      </c>
    </row>
    <row r="4359" spans="20:28" x14ac:dyDescent="0.2">
      <c r="T4359" s="358" t="str">
        <f t="shared" si="178"/>
        <v>1999MaleNon-Maori19Poisoning by gases and vapours</v>
      </c>
      <c r="U4359" s="360">
        <v>1999</v>
      </c>
      <c r="V4359" s="360" t="s">
        <v>20</v>
      </c>
      <c r="W4359" s="360" t="s">
        <v>19</v>
      </c>
      <c r="X4359" s="360">
        <v>19</v>
      </c>
      <c r="Y4359" s="360" t="s">
        <v>46</v>
      </c>
      <c r="Z4359" s="360">
        <v>91</v>
      </c>
      <c r="AA4359" s="360">
        <v>326</v>
      </c>
      <c r="AB4359" s="360">
        <v>27.9</v>
      </c>
    </row>
    <row r="4360" spans="20:28" x14ac:dyDescent="0.2">
      <c r="T4360" s="358" t="str">
        <f t="shared" si="178"/>
        <v>1999MaleNon-Maori19Poisoning by solids and liquids</v>
      </c>
      <c r="U4360" s="360">
        <v>1999</v>
      </c>
      <c r="V4360" s="360" t="s">
        <v>20</v>
      </c>
      <c r="W4360" s="360" t="s">
        <v>19</v>
      </c>
      <c r="X4360" s="360">
        <v>19</v>
      </c>
      <c r="Y4360" s="360" t="s">
        <v>47</v>
      </c>
      <c r="Z4360" s="360">
        <v>18</v>
      </c>
      <c r="AA4360" s="360">
        <v>326</v>
      </c>
      <c r="AB4360" s="360">
        <v>5.5</v>
      </c>
    </row>
    <row r="4361" spans="20:28" x14ac:dyDescent="0.2">
      <c r="T4361" s="358" t="str">
        <f t="shared" si="178"/>
        <v>1999MaleNon-Maori19Sharp object</v>
      </c>
      <c r="U4361" s="360">
        <v>1999</v>
      </c>
      <c r="V4361" s="360" t="s">
        <v>20</v>
      </c>
      <c r="W4361" s="360" t="s">
        <v>19</v>
      </c>
      <c r="X4361" s="360">
        <v>19</v>
      </c>
      <c r="Y4361" s="360" t="s">
        <v>48</v>
      </c>
      <c r="Z4361" s="360">
        <v>6</v>
      </c>
      <c r="AA4361" s="360">
        <v>326</v>
      </c>
      <c r="AB4361" s="360">
        <v>1.8</v>
      </c>
    </row>
    <row r="4362" spans="20:28" x14ac:dyDescent="0.2">
      <c r="T4362" s="358" t="str">
        <f t="shared" si="178"/>
        <v>1999MaleNon-Maori19Submersion (drowning)</v>
      </c>
      <c r="U4362" s="360">
        <v>1999</v>
      </c>
      <c r="V4362" s="360" t="s">
        <v>20</v>
      </c>
      <c r="W4362" s="360" t="s">
        <v>19</v>
      </c>
      <c r="X4362" s="360">
        <v>19</v>
      </c>
      <c r="Y4362" s="360" t="s">
        <v>49</v>
      </c>
      <c r="Z4362" s="360">
        <v>11</v>
      </c>
      <c r="AA4362" s="360">
        <v>326</v>
      </c>
      <c r="AB4362" s="360">
        <v>3.4</v>
      </c>
    </row>
    <row r="4363" spans="20:28" x14ac:dyDescent="0.2">
      <c r="T4363" s="358" t="str">
        <f t="shared" si="178"/>
        <v>2000AllSexAllEth19Firearms and explosives</v>
      </c>
      <c r="U4363" s="360">
        <v>2000</v>
      </c>
      <c r="V4363" s="360" t="s">
        <v>17</v>
      </c>
      <c r="W4363" s="360" t="s">
        <v>27</v>
      </c>
      <c r="X4363" s="360">
        <v>19</v>
      </c>
      <c r="Y4363" s="360" t="s">
        <v>42</v>
      </c>
      <c r="Z4363" s="360">
        <v>37</v>
      </c>
      <c r="AA4363" s="360">
        <v>459</v>
      </c>
      <c r="AB4363" s="360">
        <v>8.1</v>
      </c>
    </row>
    <row r="4364" spans="20:28" x14ac:dyDescent="0.2">
      <c r="T4364" s="358" t="str">
        <f t="shared" si="178"/>
        <v>2000AllSexAllEth19Hanging, strangulation and suffocation</v>
      </c>
      <c r="U4364" s="360">
        <v>2000</v>
      </c>
      <c r="V4364" s="360" t="s">
        <v>17</v>
      </c>
      <c r="W4364" s="360" t="s">
        <v>27</v>
      </c>
      <c r="X4364" s="360">
        <v>19</v>
      </c>
      <c r="Y4364" s="360" t="s">
        <v>43</v>
      </c>
      <c r="Z4364" s="360">
        <v>215</v>
      </c>
      <c r="AA4364" s="360">
        <v>459</v>
      </c>
      <c r="AB4364" s="360">
        <v>46.8</v>
      </c>
    </row>
    <row r="4365" spans="20:28" x14ac:dyDescent="0.2">
      <c r="T4365" s="358" t="str">
        <f t="shared" si="178"/>
        <v>2000AllSexAllEth19Jumping from a high place</v>
      </c>
      <c r="U4365" s="360">
        <v>2000</v>
      </c>
      <c r="V4365" s="360" t="s">
        <v>17</v>
      </c>
      <c r="W4365" s="360" t="s">
        <v>27</v>
      </c>
      <c r="X4365" s="360">
        <v>19</v>
      </c>
      <c r="Y4365" s="360" t="s">
        <v>44</v>
      </c>
      <c r="Z4365" s="360">
        <v>16</v>
      </c>
      <c r="AA4365" s="360">
        <v>459</v>
      </c>
      <c r="AB4365" s="360">
        <v>3.5</v>
      </c>
    </row>
    <row r="4366" spans="20:28" x14ac:dyDescent="0.2">
      <c r="T4366" s="358" t="str">
        <f t="shared" si="178"/>
        <v>2000AllSexAllEth19Other</v>
      </c>
      <c r="U4366" s="360">
        <v>2000</v>
      </c>
      <c r="V4366" s="360" t="s">
        <v>17</v>
      </c>
      <c r="W4366" s="360" t="s">
        <v>27</v>
      </c>
      <c r="X4366" s="360">
        <v>19</v>
      </c>
      <c r="Y4366" s="360" t="s">
        <v>45</v>
      </c>
      <c r="Z4366" s="360">
        <v>16</v>
      </c>
      <c r="AA4366" s="360">
        <v>459</v>
      </c>
      <c r="AB4366" s="360">
        <v>3.5</v>
      </c>
    </row>
    <row r="4367" spans="20:28" x14ac:dyDescent="0.2">
      <c r="T4367" s="358" t="str">
        <f t="shared" si="178"/>
        <v>2000AllSexAllEth19Poisoning by gases and vapours</v>
      </c>
      <c r="U4367" s="360">
        <v>2000</v>
      </c>
      <c r="V4367" s="360" t="s">
        <v>17</v>
      </c>
      <c r="W4367" s="360" t="s">
        <v>27</v>
      </c>
      <c r="X4367" s="360">
        <v>19</v>
      </c>
      <c r="Y4367" s="360" t="s">
        <v>46</v>
      </c>
      <c r="Z4367" s="360">
        <v>113</v>
      </c>
      <c r="AA4367" s="360">
        <v>459</v>
      </c>
      <c r="AB4367" s="360">
        <v>24.6</v>
      </c>
    </row>
    <row r="4368" spans="20:28" x14ac:dyDescent="0.2">
      <c r="T4368" s="358" t="str">
        <f t="shared" si="178"/>
        <v>2000AllSexAllEth19Poisoning by solids and liquids</v>
      </c>
      <c r="U4368" s="360">
        <v>2000</v>
      </c>
      <c r="V4368" s="360" t="s">
        <v>17</v>
      </c>
      <c r="W4368" s="360" t="s">
        <v>27</v>
      </c>
      <c r="X4368" s="360">
        <v>19</v>
      </c>
      <c r="Y4368" s="360" t="s">
        <v>47</v>
      </c>
      <c r="Z4368" s="360">
        <v>36</v>
      </c>
      <c r="AA4368" s="360">
        <v>459</v>
      </c>
      <c r="AB4368" s="360">
        <v>7.8</v>
      </c>
    </row>
    <row r="4369" spans="20:28" x14ac:dyDescent="0.2">
      <c r="T4369" s="358" t="str">
        <f t="shared" si="178"/>
        <v>2000AllSexAllEth19Sharp object</v>
      </c>
      <c r="U4369" s="360">
        <v>2000</v>
      </c>
      <c r="V4369" s="360" t="s">
        <v>17</v>
      </c>
      <c r="W4369" s="360" t="s">
        <v>27</v>
      </c>
      <c r="X4369" s="360">
        <v>19</v>
      </c>
      <c r="Y4369" s="360" t="s">
        <v>48</v>
      </c>
      <c r="Z4369" s="360">
        <v>11</v>
      </c>
      <c r="AA4369" s="360">
        <v>459</v>
      </c>
      <c r="AB4369" s="360">
        <v>2.4</v>
      </c>
    </row>
    <row r="4370" spans="20:28" x14ac:dyDescent="0.2">
      <c r="T4370" s="358" t="str">
        <f t="shared" si="178"/>
        <v>2000AllSexAllEth19Submersion (drowning)</v>
      </c>
      <c r="U4370" s="360">
        <v>2000</v>
      </c>
      <c r="V4370" s="360" t="s">
        <v>17</v>
      </c>
      <c r="W4370" s="360" t="s">
        <v>27</v>
      </c>
      <c r="X4370" s="360">
        <v>19</v>
      </c>
      <c r="Y4370" s="360" t="s">
        <v>49</v>
      </c>
      <c r="Z4370" s="360">
        <v>15</v>
      </c>
      <c r="AA4370" s="360">
        <v>459</v>
      </c>
      <c r="AB4370" s="360">
        <v>3.3</v>
      </c>
    </row>
    <row r="4371" spans="20:28" x14ac:dyDescent="0.2">
      <c r="T4371" s="358" t="str">
        <f t="shared" si="178"/>
        <v>2000AllSexMaori19Firearms and explosives</v>
      </c>
      <c r="U4371" s="360">
        <v>2000</v>
      </c>
      <c r="V4371" s="360" t="s">
        <v>17</v>
      </c>
      <c r="W4371" s="360" t="s">
        <v>18</v>
      </c>
      <c r="X4371" s="360">
        <v>19</v>
      </c>
      <c r="Y4371" s="360" t="s">
        <v>42</v>
      </c>
      <c r="Z4371" s="360">
        <v>4</v>
      </c>
      <c r="AA4371" s="360">
        <v>80</v>
      </c>
      <c r="AB4371" s="360">
        <v>5</v>
      </c>
    </row>
    <row r="4372" spans="20:28" x14ac:dyDescent="0.2">
      <c r="T4372" s="358" t="str">
        <f t="shared" si="178"/>
        <v>2000AllSexMaori19Hanging, strangulation and suffocation</v>
      </c>
      <c r="U4372" s="360">
        <v>2000</v>
      </c>
      <c r="V4372" s="360" t="s">
        <v>17</v>
      </c>
      <c r="W4372" s="360" t="s">
        <v>18</v>
      </c>
      <c r="X4372" s="360">
        <v>19</v>
      </c>
      <c r="Y4372" s="360" t="s">
        <v>43</v>
      </c>
      <c r="Z4372" s="360">
        <v>59</v>
      </c>
      <c r="AA4372" s="360">
        <v>80</v>
      </c>
      <c r="AB4372" s="360">
        <v>73.8</v>
      </c>
    </row>
    <row r="4373" spans="20:28" x14ac:dyDescent="0.2">
      <c r="T4373" s="358" t="str">
        <f t="shared" si="178"/>
        <v>2000AllSexMaori19Jumping from a high place</v>
      </c>
      <c r="U4373" s="360">
        <v>2000</v>
      </c>
      <c r="V4373" s="360" t="s">
        <v>17</v>
      </c>
      <c r="W4373" s="360" t="s">
        <v>18</v>
      </c>
      <c r="X4373" s="360">
        <v>19</v>
      </c>
      <c r="Y4373" s="360" t="s">
        <v>44</v>
      </c>
      <c r="Z4373" s="360">
        <v>2</v>
      </c>
      <c r="AA4373" s="360">
        <v>80</v>
      </c>
      <c r="AB4373" s="360">
        <v>2.5</v>
      </c>
    </row>
    <row r="4374" spans="20:28" x14ac:dyDescent="0.2">
      <c r="T4374" s="358" t="str">
        <f t="shared" si="178"/>
        <v>2000AllSexMaori19Other</v>
      </c>
      <c r="U4374" s="360">
        <v>2000</v>
      </c>
      <c r="V4374" s="360" t="s">
        <v>17</v>
      </c>
      <c r="W4374" s="360" t="s">
        <v>18</v>
      </c>
      <c r="X4374" s="360">
        <v>19</v>
      </c>
      <c r="Y4374" s="360" t="s">
        <v>45</v>
      </c>
      <c r="Z4374" s="360">
        <v>3</v>
      </c>
      <c r="AA4374" s="360">
        <v>80</v>
      </c>
      <c r="AB4374" s="360">
        <v>3.8</v>
      </c>
    </row>
    <row r="4375" spans="20:28" x14ac:dyDescent="0.2">
      <c r="T4375" s="358" t="str">
        <f t="shared" si="178"/>
        <v>2000AllSexMaori19Poisoning by gases and vapours</v>
      </c>
      <c r="U4375" s="360">
        <v>2000</v>
      </c>
      <c r="V4375" s="360" t="s">
        <v>17</v>
      </c>
      <c r="W4375" s="360" t="s">
        <v>18</v>
      </c>
      <c r="X4375" s="360">
        <v>19</v>
      </c>
      <c r="Y4375" s="360" t="s">
        <v>46</v>
      </c>
      <c r="Z4375" s="360">
        <v>7</v>
      </c>
      <c r="AA4375" s="360">
        <v>80</v>
      </c>
      <c r="AB4375" s="360">
        <v>8.8000000000000007</v>
      </c>
    </row>
    <row r="4376" spans="20:28" x14ac:dyDescent="0.2">
      <c r="T4376" s="358" t="str">
        <f t="shared" si="178"/>
        <v>2000AllSexMaori19Poisoning by solids and liquids</v>
      </c>
      <c r="U4376" s="360">
        <v>2000</v>
      </c>
      <c r="V4376" s="360" t="s">
        <v>17</v>
      </c>
      <c r="W4376" s="360" t="s">
        <v>18</v>
      </c>
      <c r="X4376" s="360">
        <v>19</v>
      </c>
      <c r="Y4376" s="360" t="s">
        <v>47</v>
      </c>
      <c r="Z4376" s="360">
        <v>4</v>
      </c>
      <c r="AA4376" s="360">
        <v>80</v>
      </c>
      <c r="AB4376" s="360">
        <v>5</v>
      </c>
    </row>
    <row r="4377" spans="20:28" x14ac:dyDescent="0.2">
      <c r="T4377" s="358" t="str">
        <f t="shared" si="178"/>
        <v>2000AllSexMaori19Submersion (drowning)</v>
      </c>
      <c r="U4377" s="360">
        <v>2000</v>
      </c>
      <c r="V4377" s="360" t="s">
        <v>17</v>
      </c>
      <c r="W4377" s="360" t="s">
        <v>18</v>
      </c>
      <c r="X4377" s="360">
        <v>19</v>
      </c>
      <c r="Y4377" s="360" t="s">
        <v>49</v>
      </c>
      <c r="Z4377" s="360">
        <v>1</v>
      </c>
      <c r="AA4377" s="360">
        <v>80</v>
      </c>
      <c r="AB4377" s="360">
        <v>1.2</v>
      </c>
    </row>
    <row r="4378" spans="20:28" x14ac:dyDescent="0.2">
      <c r="T4378" s="358" t="str">
        <f t="shared" si="178"/>
        <v>2000AllSexNon-Maori19Firearms and explosives</v>
      </c>
      <c r="U4378" s="360">
        <v>2000</v>
      </c>
      <c r="V4378" s="360" t="s">
        <v>17</v>
      </c>
      <c r="W4378" s="360" t="s">
        <v>19</v>
      </c>
      <c r="X4378" s="360">
        <v>19</v>
      </c>
      <c r="Y4378" s="360" t="s">
        <v>42</v>
      </c>
      <c r="Z4378" s="360">
        <v>33</v>
      </c>
      <c r="AA4378" s="360">
        <v>379</v>
      </c>
      <c r="AB4378" s="360">
        <v>8.6999999999999993</v>
      </c>
    </row>
    <row r="4379" spans="20:28" x14ac:dyDescent="0.2">
      <c r="T4379" s="358" t="str">
        <f t="shared" si="178"/>
        <v>2000AllSexNon-Maori19Hanging, strangulation and suffocation</v>
      </c>
      <c r="U4379" s="360">
        <v>2000</v>
      </c>
      <c r="V4379" s="360" t="s">
        <v>17</v>
      </c>
      <c r="W4379" s="360" t="s">
        <v>19</v>
      </c>
      <c r="X4379" s="360">
        <v>19</v>
      </c>
      <c r="Y4379" s="360" t="s">
        <v>43</v>
      </c>
      <c r="Z4379" s="360">
        <v>156</v>
      </c>
      <c r="AA4379" s="360">
        <v>379</v>
      </c>
      <c r="AB4379" s="360">
        <v>41.2</v>
      </c>
    </row>
    <row r="4380" spans="20:28" x14ac:dyDescent="0.2">
      <c r="T4380" s="358" t="str">
        <f t="shared" si="178"/>
        <v>2000AllSexNon-Maori19Jumping from a high place</v>
      </c>
      <c r="U4380" s="360">
        <v>2000</v>
      </c>
      <c r="V4380" s="360" t="s">
        <v>17</v>
      </c>
      <c r="W4380" s="360" t="s">
        <v>19</v>
      </c>
      <c r="X4380" s="360">
        <v>19</v>
      </c>
      <c r="Y4380" s="360" t="s">
        <v>44</v>
      </c>
      <c r="Z4380" s="360">
        <v>14</v>
      </c>
      <c r="AA4380" s="360">
        <v>379</v>
      </c>
      <c r="AB4380" s="360">
        <v>3.7</v>
      </c>
    </row>
    <row r="4381" spans="20:28" x14ac:dyDescent="0.2">
      <c r="T4381" s="358" t="str">
        <f t="shared" si="178"/>
        <v>2000AllSexNon-Maori19Other</v>
      </c>
      <c r="U4381" s="360">
        <v>2000</v>
      </c>
      <c r="V4381" s="360" t="s">
        <v>17</v>
      </c>
      <c r="W4381" s="360" t="s">
        <v>19</v>
      </c>
      <c r="X4381" s="360">
        <v>19</v>
      </c>
      <c r="Y4381" s="360" t="s">
        <v>45</v>
      </c>
      <c r="Z4381" s="360">
        <v>13</v>
      </c>
      <c r="AA4381" s="360">
        <v>379</v>
      </c>
      <c r="AB4381" s="360">
        <v>3.4</v>
      </c>
    </row>
    <row r="4382" spans="20:28" x14ac:dyDescent="0.2">
      <c r="T4382" s="358" t="str">
        <f t="shared" si="178"/>
        <v>2000AllSexNon-Maori19Poisoning by gases and vapours</v>
      </c>
      <c r="U4382" s="360">
        <v>2000</v>
      </c>
      <c r="V4382" s="360" t="s">
        <v>17</v>
      </c>
      <c r="W4382" s="360" t="s">
        <v>19</v>
      </c>
      <c r="X4382" s="360">
        <v>19</v>
      </c>
      <c r="Y4382" s="360" t="s">
        <v>46</v>
      </c>
      <c r="Z4382" s="360">
        <v>106</v>
      </c>
      <c r="AA4382" s="360">
        <v>379</v>
      </c>
      <c r="AB4382" s="360">
        <v>28</v>
      </c>
    </row>
    <row r="4383" spans="20:28" x14ac:dyDescent="0.2">
      <c r="T4383" s="358" t="str">
        <f t="shared" si="178"/>
        <v>2000AllSexNon-Maori19Poisoning by solids and liquids</v>
      </c>
      <c r="U4383" s="360">
        <v>2000</v>
      </c>
      <c r="V4383" s="360" t="s">
        <v>17</v>
      </c>
      <c r="W4383" s="360" t="s">
        <v>19</v>
      </c>
      <c r="X4383" s="360">
        <v>19</v>
      </c>
      <c r="Y4383" s="360" t="s">
        <v>47</v>
      </c>
      <c r="Z4383" s="360">
        <v>32</v>
      </c>
      <c r="AA4383" s="360">
        <v>379</v>
      </c>
      <c r="AB4383" s="360">
        <v>8.4</v>
      </c>
    </row>
    <row r="4384" spans="20:28" x14ac:dyDescent="0.2">
      <c r="T4384" s="358" t="str">
        <f t="shared" si="178"/>
        <v>2000AllSexNon-Maori19Sharp object</v>
      </c>
      <c r="U4384" s="360">
        <v>2000</v>
      </c>
      <c r="V4384" s="360" t="s">
        <v>17</v>
      </c>
      <c r="W4384" s="360" t="s">
        <v>19</v>
      </c>
      <c r="X4384" s="360">
        <v>19</v>
      </c>
      <c r="Y4384" s="360" t="s">
        <v>48</v>
      </c>
      <c r="Z4384" s="360">
        <v>11</v>
      </c>
      <c r="AA4384" s="360">
        <v>379</v>
      </c>
      <c r="AB4384" s="360">
        <v>2.9</v>
      </c>
    </row>
    <row r="4385" spans="20:28" x14ac:dyDescent="0.2">
      <c r="T4385" s="358" t="str">
        <f t="shared" si="178"/>
        <v>2000AllSexNon-Maori19Submersion (drowning)</v>
      </c>
      <c r="U4385" s="360">
        <v>2000</v>
      </c>
      <c r="V4385" s="360" t="s">
        <v>17</v>
      </c>
      <c r="W4385" s="360" t="s">
        <v>19</v>
      </c>
      <c r="X4385" s="360">
        <v>19</v>
      </c>
      <c r="Y4385" s="360" t="s">
        <v>49</v>
      </c>
      <c r="Z4385" s="360">
        <v>14</v>
      </c>
      <c r="AA4385" s="360">
        <v>379</v>
      </c>
      <c r="AB4385" s="360">
        <v>3.7</v>
      </c>
    </row>
    <row r="4386" spans="20:28" x14ac:dyDescent="0.2">
      <c r="T4386" s="358" t="str">
        <f t="shared" si="178"/>
        <v>2000FemaleAllEth19Firearms and explosives</v>
      </c>
      <c r="U4386" s="360">
        <v>2000</v>
      </c>
      <c r="V4386" s="360" t="s">
        <v>8</v>
      </c>
      <c r="W4386" s="360" t="s">
        <v>27</v>
      </c>
      <c r="X4386" s="360">
        <v>19</v>
      </c>
      <c r="Y4386" s="360" t="s">
        <v>42</v>
      </c>
      <c r="Z4386" s="360">
        <v>2</v>
      </c>
      <c r="AA4386" s="360">
        <v>83</v>
      </c>
      <c r="AB4386" s="360">
        <v>2.4</v>
      </c>
    </row>
    <row r="4387" spans="20:28" x14ac:dyDescent="0.2">
      <c r="T4387" s="358" t="str">
        <f t="shared" si="178"/>
        <v>2000FemaleAllEth19Hanging, strangulation and suffocation</v>
      </c>
      <c r="U4387" s="360">
        <v>2000</v>
      </c>
      <c r="V4387" s="360" t="s">
        <v>8</v>
      </c>
      <c r="W4387" s="360" t="s">
        <v>27</v>
      </c>
      <c r="X4387" s="360">
        <v>19</v>
      </c>
      <c r="Y4387" s="360" t="s">
        <v>43</v>
      </c>
      <c r="Z4387" s="360">
        <v>29</v>
      </c>
      <c r="AA4387" s="360">
        <v>83</v>
      </c>
      <c r="AB4387" s="360">
        <v>34.9</v>
      </c>
    </row>
    <row r="4388" spans="20:28" x14ac:dyDescent="0.2">
      <c r="T4388" s="358" t="str">
        <f t="shared" si="178"/>
        <v>2000FemaleAllEth19Jumping from a high place</v>
      </c>
      <c r="U4388" s="360">
        <v>2000</v>
      </c>
      <c r="V4388" s="360" t="s">
        <v>8</v>
      </c>
      <c r="W4388" s="360" t="s">
        <v>27</v>
      </c>
      <c r="X4388" s="360">
        <v>19</v>
      </c>
      <c r="Y4388" s="360" t="s">
        <v>44</v>
      </c>
      <c r="Z4388" s="360">
        <v>5</v>
      </c>
      <c r="AA4388" s="360">
        <v>83</v>
      </c>
      <c r="AB4388" s="360">
        <v>6</v>
      </c>
    </row>
    <row r="4389" spans="20:28" x14ac:dyDescent="0.2">
      <c r="T4389" s="358" t="str">
        <f t="shared" si="178"/>
        <v>2000FemaleAllEth19Other</v>
      </c>
      <c r="U4389" s="360">
        <v>2000</v>
      </c>
      <c r="V4389" s="360" t="s">
        <v>8</v>
      </c>
      <c r="W4389" s="360" t="s">
        <v>27</v>
      </c>
      <c r="X4389" s="360">
        <v>19</v>
      </c>
      <c r="Y4389" s="360" t="s">
        <v>45</v>
      </c>
      <c r="Z4389" s="360">
        <v>2</v>
      </c>
      <c r="AA4389" s="360">
        <v>83</v>
      </c>
      <c r="AB4389" s="360">
        <v>2.4</v>
      </c>
    </row>
    <row r="4390" spans="20:28" x14ac:dyDescent="0.2">
      <c r="T4390" s="358" t="str">
        <f t="shared" si="178"/>
        <v>2000FemaleAllEth19Poisoning by gases and vapours</v>
      </c>
      <c r="U4390" s="360">
        <v>2000</v>
      </c>
      <c r="V4390" s="360" t="s">
        <v>8</v>
      </c>
      <c r="W4390" s="360" t="s">
        <v>27</v>
      </c>
      <c r="X4390" s="360">
        <v>19</v>
      </c>
      <c r="Y4390" s="360" t="s">
        <v>46</v>
      </c>
      <c r="Z4390" s="360">
        <v>24</v>
      </c>
      <c r="AA4390" s="360">
        <v>83</v>
      </c>
      <c r="AB4390" s="360">
        <v>28.9</v>
      </c>
    </row>
    <row r="4391" spans="20:28" x14ac:dyDescent="0.2">
      <c r="T4391" s="358" t="str">
        <f t="shared" si="178"/>
        <v>2000FemaleAllEth19Poisoning by solids and liquids</v>
      </c>
      <c r="U4391" s="360">
        <v>2000</v>
      </c>
      <c r="V4391" s="360" t="s">
        <v>8</v>
      </c>
      <c r="W4391" s="360" t="s">
        <v>27</v>
      </c>
      <c r="X4391" s="360">
        <v>19</v>
      </c>
      <c r="Y4391" s="360" t="s">
        <v>47</v>
      </c>
      <c r="Z4391" s="360">
        <v>16</v>
      </c>
      <c r="AA4391" s="360">
        <v>83</v>
      </c>
      <c r="AB4391" s="360">
        <v>19.3</v>
      </c>
    </row>
    <row r="4392" spans="20:28" x14ac:dyDescent="0.2">
      <c r="T4392" s="358" t="str">
        <f t="shared" si="178"/>
        <v>2000FemaleAllEth19Sharp object</v>
      </c>
      <c r="U4392" s="360">
        <v>2000</v>
      </c>
      <c r="V4392" s="360" t="s">
        <v>8</v>
      </c>
      <c r="W4392" s="360" t="s">
        <v>27</v>
      </c>
      <c r="X4392" s="360">
        <v>19</v>
      </c>
      <c r="Y4392" s="360" t="s">
        <v>48</v>
      </c>
      <c r="Z4392" s="360">
        <v>2</v>
      </c>
      <c r="AA4392" s="360">
        <v>83</v>
      </c>
      <c r="AB4392" s="360">
        <v>2.4</v>
      </c>
    </row>
    <row r="4393" spans="20:28" x14ac:dyDescent="0.2">
      <c r="T4393" s="358" t="str">
        <f t="shared" si="178"/>
        <v>2000FemaleAllEth19Submersion (drowning)</v>
      </c>
      <c r="U4393" s="360">
        <v>2000</v>
      </c>
      <c r="V4393" s="360" t="s">
        <v>8</v>
      </c>
      <c r="W4393" s="360" t="s">
        <v>27</v>
      </c>
      <c r="X4393" s="360">
        <v>19</v>
      </c>
      <c r="Y4393" s="360" t="s">
        <v>49</v>
      </c>
      <c r="Z4393" s="360">
        <v>3</v>
      </c>
      <c r="AA4393" s="360">
        <v>83</v>
      </c>
      <c r="AB4393" s="360">
        <v>3.6</v>
      </c>
    </row>
    <row r="4394" spans="20:28" x14ac:dyDescent="0.2">
      <c r="T4394" s="358" t="str">
        <f t="shared" si="178"/>
        <v>2000FemaleMaori19Hanging, strangulation and suffocation</v>
      </c>
      <c r="U4394" s="360">
        <v>2000</v>
      </c>
      <c r="V4394" s="360" t="s">
        <v>8</v>
      </c>
      <c r="W4394" s="360" t="s">
        <v>18</v>
      </c>
      <c r="X4394" s="360">
        <v>19</v>
      </c>
      <c r="Y4394" s="360" t="s">
        <v>43</v>
      </c>
      <c r="Z4394" s="360">
        <v>7</v>
      </c>
      <c r="AA4394" s="360">
        <v>11</v>
      </c>
      <c r="AB4394" s="360">
        <v>63.6</v>
      </c>
    </row>
    <row r="4395" spans="20:28" x14ac:dyDescent="0.2">
      <c r="T4395" s="358" t="str">
        <f t="shared" si="178"/>
        <v>2000FemaleMaori19Jumping from a high place</v>
      </c>
      <c r="U4395" s="360">
        <v>2000</v>
      </c>
      <c r="V4395" s="360" t="s">
        <v>8</v>
      </c>
      <c r="W4395" s="360" t="s">
        <v>18</v>
      </c>
      <c r="X4395" s="360">
        <v>19</v>
      </c>
      <c r="Y4395" s="360" t="s">
        <v>44</v>
      </c>
      <c r="Z4395" s="360">
        <v>1</v>
      </c>
      <c r="AA4395" s="360">
        <v>11</v>
      </c>
      <c r="AB4395" s="360">
        <v>9.1</v>
      </c>
    </row>
    <row r="4396" spans="20:28" x14ac:dyDescent="0.2">
      <c r="T4396" s="358" t="str">
        <f t="shared" si="178"/>
        <v>2000FemaleMaori19Poisoning by gases and vapours</v>
      </c>
      <c r="U4396" s="360">
        <v>2000</v>
      </c>
      <c r="V4396" s="360" t="s">
        <v>8</v>
      </c>
      <c r="W4396" s="360" t="s">
        <v>18</v>
      </c>
      <c r="X4396" s="360">
        <v>19</v>
      </c>
      <c r="Y4396" s="360" t="s">
        <v>46</v>
      </c>
      <c r="Z4396" s="360">
        <v>2</v>
      </c>
      <c r="AA4396" s="360">
        <v>11</v>
      </c>
      <c r="AB4396" s="360">
        <v>18.2</v>
      </c>
    </row>
    <row r="4397" spans="20:28" x14ac:dyDescent="0.2">
      <c r="T4397" s="358" t="str">
        <f t="shared" si="178"/>
        <v>2000FemaleMaori19Poisoning by solids and liquids</v>
      </c>
      <c r="U4397" s="360">
        <v>2000</v>
      </c>
      <c r="V4397" s="360" t="s">
        <v>8</v>
      </c>
      <c r="W4397" s="360" t="s">
        <v>18</v>
      </c>
      <c r="X4397" s="360">
        <v>19</v>
      </c>
      <c r="Y4397" s="360" t="s">
        <v>47</v>
      </c>
      <c r="Z4397" s="360">
        <v>1</v>
      </c>
      <c r="AA4397" s="360">
        <v>11</v>
      </c>
      <c r="AB4397" s="360">
        <v>9.1</v>
      </c>
    </row>
    <row r="4398" spans="20:28" x14ac:dyDescent="0.2">
      <c r="T4398" s="358" t="str">
        <f t="shared" si="178"/>
        <v>2000FemaleNon-Maori19Firearms and explosives</v>
      </c>
      <c r="U4398" s="360">
        <v>2000</v>
      </c>
      <c r="V4398" s="360" t="s">
        <v>8</v>
      </c>
      <c r="W4398" s="360" t="s">
        <v>19</v>
      </c>
      <c r="X4398" s="360">
        <v>19</v>
      </c>
      <c r="Y4398" s="360" t="s">
        <v>42</v>
      </c>
      <c r="Z4398" s="360">
        <v>2</v>
      </c>
      <c r="AA4398" s="360">
        <v>72</v>
      </c>
      <c r="AB4398" s="360">
        <v>2.8</v>
      </c>
    </row>
    <row r="4399" spans="20:28" x14ac:dyDescent="0.2">
      <c r="T4399" s="358" t="str">
        <f t="shared" si="178"/>
        <v>2000FemaleNon-Maori19Hanging, strangulation and suffocation</v>
      </c>
      <c r="U4399" s="360">
        <v>2000</v>
      </c>
      <c r="V4399" s="360" t="s">
        <v>8</v>
      </c>
      <c r="W4399" s="360" t="s">
        <v>19</v>
      </c>
      <c r="X4399" s="360">
        <v>19</v>
      </c>
      <c r="Y4399" s="360" t="s">
        <v>43</v>
      </c>
      <c r="Z4399" s="360">
        <v>22</v>
      </c>
      <c r="AA4399" s="360">
        <v>72</v>
      </c>
      <c r="AB4399" s="360">
        <v>30.6</v>
      </c>
    </row>
    <row r="4400" spans="20:28" x14ac:dyDescent="0.2">
      <c r="T4400" s="358" t="str">
        <f t="shared" si="178"/>
        <v>2000FemaleNon-Maori19Jumping from a high place</v>
      </c>
      <c r="U4400" s="360">
        <v>2000</v>
      </c>
      <c r="V4400" s="360" t="s">
        <v>8</v>
      </c>
      <c r="W4400" s="360" t="s">
        <v>19</v>
      </c>
      <c r="X4400" s="360">
        <v>19</v>
      </c>
      <c r="Y4400" s="360" t="s">
        <v>44</v>
      </c>
      <c r="Z4400" s="360">
        <v>4</v>
      </c>
      <c r="AA4400" s="360">
        <v>72</v>
      </c>
      <c r="AB4400" s="360">
        <v>5.6</v>
      </c>
    </row>
    <row r="4401" spans="20:28" x14ac:dyDescent="0.2">
      <c r="T4401" s="358" t="str">
        <f t="shared" si="178"/>
        <v>2000FemaleNon-Maori19Other</v>
      </c>
      <c r="U4401" s="360">
        <v>2000</v>
      </c>
      <c r="V4401" s="360" t="s">
        <v>8</v>
      </c>
      <c r="W4401" s="360" t="s">
        <v>19</v>
      </c>
      <c r="X4401" s="360">
        <v>19</v>
      </c>
      <c r="Y4401" s="360" t="s">
        <v>45</v>
      </c>
      <c r="Z4401" s="360">
        <v>2</v>
      </c>
      <c r="AA4401" s="360">
        <v>72</v>
      </c>
      <c r="AB4401" s="360">
        <v>2.8</v>
      </c>
    </row>
    <row r="4402" spans="20:28" x14ac:dyDescent="0.2">
      <c r="T4402" s="358" t="str">
        <f t="shared" si="178"/>
        <v>2000FemaleNon-Maori19Poisoning by gases and vapours</v>
      </c>
      <c r="U4402" s="360">
        <v>2000</v>
      </c>
      <c r="V4402" s="360" t="s">
        <v>8</v>
      </c>
      <c r="W4402" s="360" t="s">
        <v>19</v>
      </c>
      <c r="X4402" s="360">
        <v>19</v>
      </c>
      <c r="Y4402" s="360" t="s">
        <v>46</v>
      </c>
      <c r="Z4402" s="360">
        <v>22</v>
      </c>
      <c r="AA4402" s="360">
        <v>72</v>
      </c>
      <c r="AB4402" s="360">
        <v>30.6</v>
      </c>
    </row>
    <row r="4403" spans="20:28" x14ac:dyDescent="0.2">
      <c r="T4403" s="358" t="str">
        <f t="shared" si="178"/>
        <v>2000FemaleNon-Maori19Poisoning by solids and liquids</v>
      </c>
      <c r="U4403" s="360">
        <v>2000</v>
      </c>
      <c r="V4403" s="360" t="s">
        <v>8</v>
      </c>
      <c r="W4403" s="360" t="s">
        <v>19</v>
      </c>
      <c r="X4403" s="360">
        <v>19</v>
      </c>
      <c r="Y4403" s="360" t="s">
        <v>47</v>
      </c>
      <c r="Z4403" s="360">
        <v>15</v>
      </c>
      <c r="AA4403" s="360">
        <v>72</v>
      </c>
      <c r="AB4403" s="360">
        <v>20.8</v>
      </c>
    </row>
    <row r="4404" spans="20:28" x14ac:dyDescent="0.2">
      <c r="T4404" s="358" t="str">
        <f t="shared" si="178"/>
        <v>2000FemaleNon-Maori19Sharp object</v>
      </c>
      <c r="U4404" s="360">
        <v>2000</v>
      </c>
      <c r="V4404" s="360" t="s">
        <v>8</v>
      </c>
      <c r="W4404" s="360" t="s">
        <v>19</v>
      </c>
      <c r="X4404" s="360">
        <v>19</v>
      </c>
      <c r="Y4404" s="360" t="s">
        <v>48</v>
      </c>
      <c r="Z4404" s="360">
        <v>2</v>
      </c>
      <c r="AA4404" s="360">
        <v>72</v>
      </c>
      <c r="AB4404" s="360">
        <v>2.8</v>
      </c>
    </row>
    <row r="4405" spans="20:28" x14ac:dyDescent="0.2">
      <c r="T4405" s="358" t="str">
        <f t="shared" si="178"/>
        <v>2000FemaleNon-Maori19Submersion (drowning)</v>
      </c>
      <c r="U4405" s="360">
        <v>2000</v>
      </c>
      <c r="V4405" s="360" t="s">
        <v>8</v>
      </c>
      <c r="W4405" s="360" t="s">
        <v>19</v>
      </c>
      <c r="X4405" s="360">
        <v>19</v>
      </c>
      <c r="Y4405" s="360" t="s">
        <v>49</v>
      </c>
      <c r="Z4405" s="360">
        <v>3</v>
      </c>
      <c r="AA4405" s="360">
        <v>72</v>
      </c>
      <c r="AB4405" s="360">
        <v>4.2</v>
      </c>
    </row>
    <row r="4406" spans="20:28" x14ac:dyDescent="0.2">
      <c r="T4406" s="358" t="str">
        <f t="shared" si="178"/>
        <v>2000MaleAllEth19Firearms and explosives</v>
      </c>
      <c r="U4406" s="360">
        <v>2000</v>
      </c>
      <c r="V4406" s="360" t="s">
        <v>20</v>
      </c>
      <c r="W4406" s="360" t="s">
        <v>27</v>
      </c>
      <c r="X4406" s="360">
        <v>19</v>
      </c>
      <c r="Y4406" s="360" t="s">
        <v>42</v>
      </c>
      <c r="Z4406" s="360">
        <v>35</v>
      </c>
      <c r="AA4406" s="360">
        <v>376</v>
      </c>
      <c r="AB4406" s="360">
        <v>9.3000000000000007</v>
      </c>
    </row>
    <row r="4407" spans="20:28" x14ac:dyDescent="0.2">
      <c r="T4407" s="358" t="str">
        <f t="shared" si="178"/>
        <v>2000MaleAllEth19Hanging, strangulation and suffocation</v>
      </c>
      <c r="U4407" s="360">
        <v>2000</v>
      </c>
      <c r="V4407" s="360" t="s">
        <v>20</v>
      </c>
      <c r="W4407" s="360" t="s">
        <v>27</v>
      </c>
      <c r="X4407" s="360">
        <v>19</v>
      </c>
      <c r="Y4407" s="360" t="s">
        <v>43</v>
      </c>
      <c r="Z4407" s="360">
        <v>186</v>
      </c>
      <c r="AA4407" s="360">
        <v>376</v>
      </c>
      <c r="AB4407" s="360">
        <v>49.5</v>
      </c>
    </row>
    <row r="4408" spans="20:28" x14ac:dyDescent="0.2">
      <c r="T4408" s="358" t="str">
        <f t="shared" si="178"/>
        <v>2000MaleAllEth19Jumping from a high place</v>
      </c>
      <c r="U4408" s="360">
        <v>2000</v>
      </c>
      <c r="V4408" s="360" t="s">
        <v>20</v>
      </c>
      <c r="W4408" s="360" t="s">
        <v>27</v>
      </c>
      <c r="X4408" s="360">
        <v>19</v>
      </c>
      <c r="Y4408" s="360" t="s">
        <v>44</v>
      </c>
      <c r="Z4408" s="360">
        <v>11</v>
      </c>
      <c r="AA4408" s="360">
        <v>376</v>
      </c>
      <c r="AB4408" s="360">
        <v>2.9</v>
      </c>
    </row>
    <row r="4409" spans="20:28" x14ac:dyDescent="0.2">
      <c r="T4409" s="358" t="str">
        <f t="shared" si="178"/>
        <v>2000MaleAllEth19Other</v>
      </c>
      <c r="U4409" s="360">
        <v>2000</v>
      </c>
      <c r="V4409" s="360" t="s">
        <v>20</v>
      </c>
      <c r="W4409" s="360" t="s">
        <v>27</v>
      </c>
      <c r="X4409" s="360">
        <v>19</v>
      </c>
      <c r="Y4409" s="360" t="s">
        <v>45</v>
      </c>
      <c r="Z4409" s="360">
        <v>14</v>
      </c>
      <c r="AA4409" s="360">
        <v>376</v>
      </c>
      <c r="AB4409" s="360">
        <v>3.7</v>
      </c>
    </row>
    <row r="4410" spans="20:28" x14ac:dyDescent="0.2">
      <c r="T4410" s="358" t="str">
        <f t="shared" si="178"/>
        <v>2000MaleAllEth19Poisoning by gases and vapours</v>
      </c>
      <c r="U4410" s="360">
        <v>2000</v>
      </c>
      <c r="V4410" s="360" t="s">
        <v>20</v>
      </c>
      <c r="W4410" s="360" t="s">
        <v>27</v>
      </c>
      <c r="X4410" s="360">
        <v>19</v>
      </c>
      <c r="Y4410" s="360" t="s">
        <v>46</v>
      </c>
      <c r="Z4410" s="360">
        <v>89</v>
      </c>
      <c r="AA4410" s="360">
        <v>376</v>
      </c>
      <c r="AB4410" s="360">
        <v>23.7</v>
      </c>
    </row>
    <row r="4411" spans="20:28" x14ac:dyDescent="0.2">
      <c r="T4411" s="358" t="str">
        <f t="shared" si="178"/>
        <v>2000MaleAllEth19Poisoning by solids and liquids</v>
      </c>
      <c r="U4411" s="360">
        <v>2000</v>
      </c>
      <c r="V4411" s="360" t="s">
        <v>20</v>
      </c>
      <c r="W4411" s="360" t="s">
        <v>27</v>
      </c>
      <c r="X4411" s="360">
        <v>19</v>
      </c>
      <c r="Y4411" s="360" t="s">
        <v>47</v>
      </c>
      <c r="Z4411" s="360">
        <v>20</v>
      </c>
      <c r="AA4411" s="360">
        <v>376</v>
      </c>
      <c r="AB4411" s="360">
        <v>5.3</v>
      </c>
    </row>
    <row r="4412" spans="20:28" x14ac:dyDescent="0.2">
      <c r="T4412" s="358" t="str">
        <f t="shared" si="178"/>
        <v>2000MaleAllEth19Sharp object</v>
      </c>
      <c r="U4412" s="360">
        <v>2000</v>
      </c>
      <c r="V4412" s="360" t="s">
        <v>20</v>
      </c>
      <c r="W4412" s="360" t="s">
        <v>27</v>
      </c>
      <c r="X4412" s="360">
        <v>19</v>
      </c>
      <c r="Y4412" s="360" t="s">
        <v>48</v>
      </c>
      <c r="Z4412" s="360">
        <v>9</v>
      </c>
      <c r="AA4412" s="360">
        <v>376</v>
      </c>
      <c r="AB4412" s="360">
        <v>2.4</v>
      </c>
    </row>
    <row r="4413" spans="20:28" x14ac:dyDescent="0.2">
      <c r="T4413" s="358" t="str">
        <f t="shared" si="178"/>
        <v>2000MaleAllEth19Submersion (drowning)</v>
      </c>
      <c r="U4413" s="360">
        <v>2000</v>
      </c>
      <c r="V4413" s="360" t="s">
        <v>20</v>
      </c>
      <c r="W4413" s="360" t="s">
        <v>27</v>
      </c>
      <c r="X4413" s="360">
        <v>19</v>
      </c>
      <c r="Y4413" s="360" t="s">
        <v>49</v>
      </c>
      <c r="Z4413" s="360">
        <v>12</v>
      </c>
      <c r="AA4413" s="360">
        <v>376</v>
      </c>
      <c r="AB4413" s="360">
        <v>3.2</v>
      </c>
    </row>
    <row r="4414" spans="20:28" x14ac:dyDescent="0.2">
      <c r="T4414" s="358" t="str">
        <f t="shared" si="178"/>
        <v>2000MaleMaori19Firearms and explosives</v>
      </c>
      <c r="U4414" s="360">
        <v>2000</v>
      </c>
      <c r="V4414" s="360" t="s">
        <v>20</v>
      </c>
      <c r="W4414" s="360" t="s">
        <v>18</v>
      </c>
      <c r="X4414" s="360">
        <v>19</v>
      </c>
      <c r="Y4414" s="360" t="s">
        <v>42</v>
      </c>
      <c r="Z4414" s="360">
        <v>4</v>
      </c>
      <c r="AA4414" s="360">
        <v>69</v>
      </c>
      <c r="AB4414" s="360">
        <v>5.8</v>
      </c>
    </row>
    <row r="4415" spans="20:28" x14ac:dyDescent="0.2">
      <c r="T4415" s="358" t="str">
        <f t="shared" si="178"/>
        <v>2000MaleMaori19Hanging, strangulation and suffocation</v>
      </c>
      <c r="U4415" s="360">
        <v>2000</v>
      </c>
      <c r="V4415" s="360" t="s">
        <v>20</v>
      </c>
      <c r="W4415" s="360" t="s">
        <v>18</v>
      </c>
      <c r="X4415" s="360">
        <v>19</v>
      </c>
      <c r="Y4415" s="360" t="s">
        <v>43</v>
      </c>
      <c r="Z4415" s="360">
        <v>52</v>
      </c>
      <c r="AA4415" s="360">
        <v>69</v>
      </c>
      <c r="AB4415" s="360">
        <v>75.400000000000006</v>
      </c>
    </row>
    <row r="4416" spans="20:28" x14ac:dyDescent="0.2">
      <c r="T4416" s="358" t="str">
        <f t="shared" si="178"/>
        <v>2000MaleMaori19Jumping from a high place</v>
      </c>
      <c r="U4416" s="360">
        <v>2000</v>
      </c>
      <c r="V4416" s="360" t="s">
        <v>20</v>
      </c>
      <c r="W4416" s="360" t="s">
        <v>18</v>
      </c>
      <c r="X4416" s="360">
        <v>19</v>
      </c>
      <c r="Y4416" s="360" t="s">
        <v>44</v>
      </c>
      <c r="Z4416" s="360">
        <v>1</v>
      </c>
      <c r="AA4416" s="360">
        <v>69</v>
      </c>
      <c r="AB4416" s="360">
        <v>1.4</v>
      </c>
    </row>
    <row r="4417" spans="20:28" x14ac:dyDescent="0.2">
      <c r="T4417" s="358" t="str">
        <f t="shared" si="178"/>
        <v>2000MaleMaori19Other</v>
      </c>
      <c r="U4417" s="360">
        <v>2000</v>
      </c>
      <c r="V4417" s="360" t="s">
        <v>20</v>
      </c>
      <c r="W4417" s="360" t="s">
        <v>18</v>
      </c>
      <c r="X4417" s="360">
        <v>19</v>
      </c>
      <c r="Y4417" s="360" t="s">
        <v>45</v>
      </c>
      <c r="Z4417" s="360">
        <v>3</v>
      </c>
      <c r="AA4417" s="360">
        <v>69</v>
      </c>
      <c r="AB4417" s="360">
        <v>4.3</v>
      </c>
    </row>
    <row r="4418" spans="20:28" x14ac:dyDescent="0.2">
      <c r="T4418" s="358" t="str">
        <f t="shared" si="178"/>
        <v>2000MaleMaori19Poisoning by gases and vapours</v>
      </c>
      <c r="U4418" s="360">
        <v>2000</v>
      </c>
      <c r="V4418" s="360" t="s">
        <v>20</v>
      </c>
      <c r="W4418" s="360" t="s">
        <v>18</v>
      </c>
      <c r="X4418" s="360">
        <v>19</v>
      </c>
      <c r="Y4418" s="360" t="s">
        <v>46</v>
      </c>
      <c r="Z4418" s="360">
        <v>5</v>
      </c>
      <c r="AA4418" s="360">
        <v>69</v>
      </c>
      <c r="AB4418" s="360">
        <v>7.2</v>
      </c>
    </row>
    <row r="4419" spans="20:28" x14ac:dyDescent="0.2">
      <c r="T4419" s="358" t="str">
        <f t="shared" si="178"/>
        <v>2000MaleMaori19Poisoning by solids and liquids</v>
      </c>
      <c r="U4419" s="360">
        <v>2000</v>
      </c>
      <c r="V4419" s="360" t="s">
        <v>20</v>
      </c>
      <c r="W4419" s="360" t="s">
        <v>18</v>
      </c>
      <c r="X4419" s="360">
        <v>19</v>
      </c>
      <c r="Y4419" s="360" t="s">
        <v>47</v>
      </c>
      <c r="Z4419" s="360">
        <v>3</v>
      </c>
      <c r="AA4419" s="360">
        <v>69</v>
      </c>
      <c r="AB4419" s="360">
        <v>4.3</v>
      </c>
    </row>
    <row r="4420" spans="20:28" x14ac:dyDescent="0.2">
      <c r="T4420" s="358" t="str">
        <f t="shared" si="178"/>
        <v>2000MaleMaori19Submersion (drowning)</v>
      </c>
      <c r="U4420" s="360">
        <v>2000</v>
      </c>
      <c r="V4420" s="360" t="s">
        <v>20</v>
      </c>
      <c r="W4420" s="360" t="s">
        <v>18</v>
      </c>
      <c r="X4420" s="360">
        <v>19</v>
      </c>
      <c r="Y4420" s="360" t="s">
        <v>49</v>
      </c>
      <c r="Z4420" s="360">
        <v>1</v>
      </c>
      <c r="AA4420" s="360">
        <v>69</v>
      </c>
      <c r="AB4420" s="360">
        <v>1.4</v>
      </c>
    </row>
    <row r="4421" spans="20:28" x14ac:dyDescent="0.2">
      <c r="T4421" s="358" t="str">
        <f t="shared" ref="T4421:T4484" si="179">U4421&amp;V4421&amp;W4421&amp;X4421&amp;Y4421</f>
        <v>2000MaleNon-Maori19Firearms and explosives</v>
      </c>
      <c r="U4421" s="360">
        <v>2000</v>
      </c>
      <c r="V4421" s="360" t="s">
        <v>20</v>
      </c>
      <c r="W4421" s="360" t="s">
        <v>19</v>
      </c>
      <c r="X4421" s="360">
        <v>19</v>
      </c>
      <c r="Y4421" s="360" t="s">
        <v>42</v>
      </c>
      <c r="Z4421" s="360">
        <v>31</v>
      </c>
      <c r="AA4421" s="360">
        <v>307</v>
      </c>
      <c r="AB4421" s="360">
        <v>10.1</v>
      </c>
    </row>
    <row r="4422" spans="20:28" x14ac:dyDescent="0.2">
      <c r="T4422" s="358" t="str">
        <f t="shared" si="179"/>
        <v>2000MaleNon-Maori19Hanging, strangulation and suffocation</v>
      </c>
      <c r="U4422" s="360">
        <v>2000</v>
      </c>
      <c r="V4422" s="360" t="s">
        <v>20</v>
      </c>
      <c r="W4422" s="360" t="s">
        <v>19</v>
      </c>
      <c r="X4422" s="360">
        <v>19</v>
      </c>
      <c r="Y4422" s="360" t="s">
        <v>43</v>
      </c>
      <c r="Z4422" s="360">
        <v>134</v>
      </c>
      <c r="AA4422" s="360">
        <v>307</v>
      </c>
      <c r="AB4422" s="360">
        <v>43.6</v>
      </c>
    </row>
    <row r="4423" spans="20:28" x14ac:dyDescent="0.2">
      <c r="T4423" s="358" t="str">
        <f t="shared" si="179"/>
        <v>2000MaleNon-Maori19Jumping from a high place</v>
      </c>
      <c r="U4423" s="360">
        <v>2000</v>
      </c>
      <c r="V4423" s="360" t="s">
        <v>20</v>
      </c>
      <c r="W4423" s="360" t="s">
        <v>19</v>
      </c>
      <c r="X4423" s="360">
        <v>19</v>
      </c>
      <c r="Y4423" s="360" t="s">
        <v>44</v>
      </c>
      <c r="Z4423" s="360">
        <v>10</v>
      </c>
      <c r="AA4423" s="360">
        <v>307</v>
      </c>
      <c r="AB4423" s="360">
        <v>3.3</v>
      </c>
    </row>
    <row r="4424" spans="20:28" x14ac:dyDescent="0.2">
      <c r="T4424" s="358" t="str">
        <f t="shared" si="179"/>
        <v>2000MaleNon-Maori19Other</v>
      </c>
      <c r="U4424" s="360">
        <v>2000</v>
      </c>
      <c r="V4424" s="360" t="s">
        <v>20</v>
      </c>
      <c r="W4424" s="360" t="s">
        <v>19</v>
      </c>
      <c r="X4424" s="360">
        <v>19</v>
      </c>
      <c r="Y4424" s="360" t="s">
        <v>45</v>
      </c>
      <c r="Z4424" s="360">
        <v>11</v>
      </c>
      <c r="AA4424" s="360">
        <v>307</v>
      </c>
      <c r="AB4424" s="360">
        <v>3.6</v>
      </c>
    </row>
    <row r="4425" spans="20:28" x14ac:dyDescent="0.2">
      <c r="T4425" s="358" t="str">
        <f t="shared" si="179"/>
        <v>2000MaleNon-Maori19Poisoning by gases and vapours</v>
      </c>
      <c r="U4425" s="360">
        <v>2000</v>
      </c>
      <c r="V4425" s="360" t="s">
        <v>20</v>
      </c>
      <c r="W4425" s="360" t="s">
        <v>19</v>
      </c>
      <c r="X4425" s="360">
        <v>19</v>
      </c>
      <c r="Y4425" s="360" t="s">
        <v>46</v>
      </c>
      <c r="Z4425" s="360">
        <v>84</v>
      </c>
      <c r="AA4425" s="360">
        <v>307</v>
      </c>
      <c r="AB4425" s="360">
        <v>27.4</v>
      </c>
    </row>
    <row r="4426" spans="20:28" x14ac:dyDescent="0.2">
      <c r="T4426" s="358" t="str">
        <f t="shared" si="179"/>
        <v>2000MaleNon-Maori19Poisoning by solids and liquids</v>
      </c>
      <c r="U4426" s="360">
        <v>2000</v>
      </c>
      <c r="V4426" s="360" t="s">
        <v>20</v>
      </c>
      <c r="W4426" s="360" t="s">
        <v>19</v>
      </c>
      <c r="X4426" s="360">
        <v>19</v>
      </c>
      <c r="Y4426" s="360" t="s">
        <v>47</v>
      </c>
      <c r="Z4426" s="360">
        <v>17</v>
      </c>
      <c r="AA4426" s="360">
        <v>307</v>
      </c>
      <c r="AB4426" s="360">
        <v>5.5</v>
      </c>
    </row>
    <row r="4427" spans="20:28" x14ac:dyDescent="0.2">
      <c r="T4427" s="358" t="str">
        <f t="shared" si="179"/>
        <v>2000MaleNon-Maori19Sharp object</v>
      </c>
      <c r="U4427" s="360">
        <v>2000</v>
      </c>
      <c r="V4427" s="360" t="s">
        <v>20</v>
      </c>
      <c r="W4427" s="360" t="s">
        <v>19</v>
      </c>
      <c r="X4427" s="360">
        <v>19</v>
      </c>
      <c r="Y4427" s="360" t="s">
        <v>48</v>
      </c>
      <c r="Z4427" s="360">
        <v>9</v>
      </c>
      <c r="AA4427" s="360">
        <v>307</v>
      </c>
      <c r="AB4427" s="360">
        <v>2.9</v>
      </c>
    </row>
    <row r="4428" spans="20:28" x14ac:dyDescent="0.2">
      <c r="T4428" s="358" t="str">
        <f t="shared" si="179"/>
        <v>2000MaleNon-Maori19Submersion (drowning)</v>
      </c>
      <c r="U4428" s="360">
        <v>2000</v>
      </c>
      <c r="V4428" s="360" t="s">
        <v>20</v>
      </c>
      <c r="W4428" s="360" t="s">
        <v>19</v>
      </c>
      <c r="X4428" s="360">
        <v>19</v>
      </c>
      <c r="Y4428" s="360" t="s">
        <v>49</v>
      </c>
      <c r="Z4428" s="360">
        <v>11</v>
      </c>
      <c r="AA4428" s="360">
        <v>307</v>
      </c>
      <c r="AB4428" s="360">
        <v>3.6</v>
      </c>
    </row>
    <row r="4429" spans="20:28" x14ac:dyDescent="0.2">
      <c r="T4429" s="358" t="str">
        <f t="shared" si="179"/>
        <v>2001AllSexAllEth19Firearms and explosives</v>
      </c>
      <c r="U4429" s="360">
        <v>2001</v>
      </c>
      <c r="V4429" s="360" t="s">
        <v>17</v>
      </c>
      <c r="W4429" s="360" t="s">
        <v>27</v>
      </c>
      <c r="X4429" s="360">
        <v>19</v>
      </c>
      <c r="Y4429" s="360" t="s">
        <v>42</v>
      </c>
      <c r="Z4429" s="360">
        <v>51</v>
      </c>
      <c r="AA4429" s="360">
        <v>508</v>
      </c>
      <c r="AB4429" s="360">
        <v>10</v>
      </c>
    </row>
    <row r="4430" spans="20:28" x14ac:dyDescent="0.2">
      <c r="T4430" s="358" t="str">
        <f t="shared" si="179"/>
        <v>2001AllSexAllEth19Hanging, strangulation and suffocation</v>
      </c>
      <c r="U4430" s="360">
        <v>2001</v>
      </c>
      <c r="V4430" s="360" t="s">
        <v>17</v>
      </c>
      <c r="W4430" s="360" t="s">
        <v>27</v>
      </c>
      <c r="X4430" s="360">
        <v>19</v>
      </c>
      <c r="Y4430" s="360" t="s">
        <v>43</v>
      </c>
      <c r="Z4430" s="360">
        <v>235</v>
      </c>
      <c r="AA4430" s="360">
        <v>508</v>
      </c>
      <c r="AB4430" s="360">
        <v>46.3</v>
      </c>
    </row>
    <row r="4431" spans="20:28" x14ac:dyDescent="0.2">
      <c r="T4431" s="358" t="str">
        <f t="shared" si="179"/>
        <v>2001AllSexAllEth19Jumping from a high place</v>
      </c>
      <c r="U4431" s="360">
        <v>2001</v>
      </c>
      <c r="V4431" s="360" t="s">
        <v>17</v>
      </c>
      <c r="W4431" s="360" t="s">
        <v>27</v>
      </c>
      <c r="X4431" s="360">
        <v>19</v>
      </c>
      <c r="Y4431" s="360" t="s">
        <v>44</v>
      </c>
      <c r="Z4431" s="360">
        <v>19</v>
      </c>
      <c r="AA4431" s="360">
        <v>508</v>
      </c>
      <c r="AB4431" s="360">
        <v>3.7</v>
      </c>
    </row>
    <row r="4432" spans="20:28" x14ac:dyDescent="0.2">
      <c r="T4432" s="358" t="str">
        <f t="shared" si="179"/>
        <v>2001AllSexAllEth19Other</v>
      </c>
      <c r="U4432" s="360">
        <v>2001</v>
      </c>
      <c r="V4432" s="360" t="s">
        <v>17</v>
      </c>
      <c r="W4432" s="360" t="s">
        <v>27</v>
      </c>
      <c r="X4432" s="360">
        <v>19</v>
      </c>
      <c r="Y4432" s="360" t="s">
        <v>45</v>
      </c>
      <c r="Z4432" s="360">
        <v>22</v>
      </c>
      <c r="AA4432" s="360">
        <v>508</v>
      </c>
      <c r="AB4432" s="360">
        <v>4.3</v>
      </c>
    </row>
    <row r="4433" spans="20:28" x14ac:dyDescent="0.2">
      <c r="T4433" s="358" t="str">
        <f t="shared" si="179"/>
        <v>2001AllSexAllEth19Poisoning by gases and vapours</v>
      </c>
      <c r="U4433" s="360">
        <v>2001</v>
      </c>
      <c r="V4433" s="360" t="s">
        <v>17</v>
      </c>
      <c r="W4433" s="360" t="s">
        <v>27</v>
      </c>
      <c r="X4433" s="360">
        <v>19</v>
      </c>
      <c r="Y4433" s="360" t="s">
        <v>46</v>
      </c>
      <c r="Z4433" s="360">
        <v>111</v>
      </c>
      <c r="AA4433" s="360">
        <v>508</v>
      </c>
      <c r="AB4433" s="360">
        <v>21.9</v>
      </c>
    </row>
    <row r="4434" spans="20:28" x14ac:dyDescent="0.2">
      <c r="T4434" s="358" t="str">
        <f t="shared" si="179"/>
        <v>2001AllSexAllEth19Poisoning by solids and liquids</v>
      </c>
      <c r="U4434" s="360">
        <v>2001</v>
      </c>
      <c r="V4434" s="360" t="s">
        <v>17</v>
      </c>
      <c r="W4434" s="360" t="s">
        <v>27</v>
      </c>
      <c r="X4434" s="360">
        <v>19</v>
      </c>
      <c r="Y4434" s="360" t="s">
        <v>47</v>
      </c>
      <c r="Z4434" s="360">
        <v>54</v>
      </c>
      <c r="AA4434" s="360">
        <v>508</v>
      </c>
      <c r="AB4434" s="360">
        <v>10.6</v>
      </c>
    </row>
    <row r="4435" spans="20:28" x14ac:dyDescent="0.2">
      <c r="T4435" s="358" t="str">
        <f t="shared" si="179"/>
        <v>2001AllSexAllEth19Sharp object</v>
      </c>
      <c r="U4435" s="360">
        <v>2001</v>
      </c>
      <c r="V4435" s="360" t="s">
        <v>17</v>
      </c>
      <c r="W4435" s="360" t="s">
        <v>27</v>
      </c>
      <c r="X4435" s="360">
        <v>19</v>
      </c>
      <c r="Y4435" s="360" t="s">
        <v>48</v>
      </c>
      <c r="Z4435" s="360">
        <v>9</v>
      </c>
      <c r="AA4435" s="360">
        <v>508</v>
      </c>
      <c r="AB4435" s="360">
        <v>1.8</v>
      </c>
    </row>
    <row r="4436" spans="20:28" x14ac:dyDescent="0.2">
      <c r="T4436" s="358" t="str">
        <f t="shared" si="179"/>
        <v>2001AllSexAllEth19Submersion (drowning)</v>
      </c>
      <c r="U4436" s="360">
        <v>2001</v>
      </c>
      <c r="V4436" s="360" t="s">
        <v>17</v>
      </c>
      <c r="W4436" s="360" t="s">
        <v>27</v>
      </c>
      <c r="X4436" s="360">
        <v>19</v>
      </c>
      <c r="Y4436" s="360" t="s">
        <v>49</v>
      </c>
      <c r="Z4436" s="360">
        <v>7</v>
      </c>
      <c r="AA4436" s="360">
        <v>508</v>
      </c>
      <c r="AB4436" s="360">
        <v>1.4</v>
      </c>
    </row>
    <row r="4437" spans="20:28" x14ac:dyDescent="0.2">
      <c r="T4437" s="358" t="str">
        <f t="shared" si="179"/>
        <v>2001AllSexMaori19Firearms and explosives</v>
      </c>
      <c r="U4437" s="360">
        <v>2001</v>
      </c>
      <c r="V4437" s="360" t="s">
        <v>17</v>
      </c>
      <c r="W4437" s="360" t="s">
        <v>18</v>
      </c>
      <c r="X4437" s="360">
        <v>19</v>
      </c>
      <c r="Y4437" s="360" t="s">
        <v>42</v>
      </c>
      <c r="Z4437" s="360">
        <v>4</v>
      </c>
      <c r="AA4437" s="360">
        <v>79</v>
      </c>
      <c r="AB4437" s="360">
        <v>5.0999999999999996</v>
      </c>
    </row>
    <row r="4438" spans="20:28" x14ac:dyDescent="0.2">
      <c r="T4438" s="358" t="str">
        <f t="shared" si="179"/>
        <v>2001AllSexMaori19Hanging, strangulation and suffocation</v>
      </c>
      <c r="U4438" s="360">
        <v>2001</v>
      </c>
      <c r="V4438" s="360" t="s">
        <v>17</v>
      </c>
      <c r="W4438" s="360" t="s">
        <v>18</v>
      </c>
      <c r="X4438" s="360">
        <v>19</v>
      </c>
      <c r="Y4438" s="360" t="s">
        <v>43</v>
      </c>
      <c r="Z4438" s="360">
        <v>56</v>
      </c>
      <c r="AA4438" s="360">
        <v>79</v>
      </c>
      <c r="AB4438" s="360">
        <v>70.900000000000006</v>
      </c>
    </row>
    <row r="4439" spans="20:28" x14ac:dyDescent="0.2">
      <c r="T4439" s="358" t="str">
        <f t="shared" si="179"/>
        <v>2001AllSexMaori19Jumping from a high place</v>
      </c>
      <c r="U4439" s="360">
        <v>2001</v>
      </c>
      <c r="V4439" s="360" t="s">
        <v>17</v>
      </c>
      <c r="W4439" s="360" t="s">
        <v>18</v>
      </c>
      <c r="X4439" s="360">
        <v>19</v>
      </c>
      <c r="Y4439" s="360" t="s">
        <v>44</v>
      </c>
      <c r="Z4439" s="360">
        <v>1</v>
      </c>
      <c r="AA4439" s="360">
        <v>79</v>
      </c>
      <c r="AB4439" s="360">
        <v>1.3</v>
      </c>
    </row>
    <row r="4440" spans="20:28" x14ac:dyDescent="0.2">
      <c r="T4440" s="358" t="str">
        <f t="shared" si="179"/>
        <v>2001AllSexMaori19Other</v>
      </c>
      <c r="U4440" s="360">
        <v>2001</v>
      </c>
      <c r="V4440" s="360" t="s">
        <v>17</v>
      </c>
      <c r="W4440" s="360" t="s">
        <v>18</v>
      </c>
      <c r="X4440" s="360">
        <v>19</v>
      </c>
      <c r="Y4440" s="360" t="s">
        <v>45</v>
      </c>
      <c r="Z4440" s="360">
        <v>2</v>
      </c>
      <c r="AA4440" s="360">
        <v>79</v>
      </c>
      <c r="AB4440" s="360">
        <v>2.5</v>
      </c>
    </row>
    <row r="4441" spans="20:28" x14ac:dyDescent="0.2">
      <c r="T4441" s="358" t="str">
        <f t="shared" si="179"/>
        <v>2001AllSexMaori19Poisoning by gases and vapours</v>
      </c>
      <c r="U4441" s="360">
        <v>2001</v>
      </c>
      <c r="V4441" s="360" t="s">
        <v>17</v>
      </c>
      <c r="W4441" s="360" t="s">
        <v>18</v>
      </c>
      <c r="X4441" s="360">
        <v>19</v>
      </c>
      <c r="Y4441" s="360" t="s">
        <v>46</v>
      </c>
      <c r="Z4441" s="360">
        <v>11</v>
      </c>
      <c r="AA4441" s="360">
        <v>79</v>
      </c>
      <c r="AB4441" s="360">
        <v>13.9</v>
      </c>
    </row>
    <row r="4442" spans="20:28" x14ac:dyDescent="0.2">
      <c r="T4442" s="358" t="str">
        <f t="shared" si="179"/>
        <v>2001AllSexMaori19Poisoning by solids and liquids</v>
      </c>
      <c r="U4442" s="360">
        <v>2001</v>
      </c>
      <c r="V4442" s="360" t="s">
        <v>17</v>
      </c>
      <c r="W4442" s="360" t="s">
        <v>18</v>
      </c>
      <c r="X4442" s="360">
        <v>19</v>
      </c>
      <c r="Y4442" s="360" t="s">
        <v>47</v>
      </c>
      <c r="Z4442" s="360">
        <v>4</v>
      </c>
      <c r="AA4442" s="360">
        <v>79</v>
      </c>
      <c r="AB4442" s="360">
        <v>5.0999999999999996</v>
      </c>
    </row>
    <row r="4443" spans="20:28" x14ac:dyDescent="0.2">
      <c r="T4443" s="358" t="str">
        <f t="shared" si="179"/>
        <v>2001AllSexMaori19Sharp object</v>
      </c>
      <c r="U4443" s="360">
        <v>2001</v>
      </c>
      <c r="V4443" s="360" t="s">
        <v>17</v>
      </c>
      <c r="W4443" s="360" t="s">
        <v>18</v>
      </c>
      <c r="X4443" s="360">
        <v>19</v>
      </c>
      <c r="Y4443" s="360" t="s">
        <v>48</v>
      </c>
      <c r="Z4443" s="360">
        <v>1</v>
      </c>
      <c r="AA4443" s="360">
        <v>79</v>
      </c>
      <c r="AB4443" s="360">
        <v>1.3</v>
      </c>
    </row>
    <row r="4444" spans="20:28" x14ac:dyDescent="0.2">
      <c r="T4444" s="358" t="str">
        <f t="shared" si="179"/>
        <v>2001AllSexNon-Maori19Firearms and explosives</v>
      </c>
      <c r="U4444" s="360">
        <v>2001</v>
      </c>
      <c r="V4444" s="360" t="s">
        <v>17</v>
      </c>
      <c r="W4444" s="360" t="s">
        <v>19</v>
      </c>
      <c r="X4444" s="360">
        <v>19</v>
      </c>
      <c r="Y4444" s="360" t="s">
        <v>42</v>
      </c>
      <c r="Z4444" s="360">
        <v>47</v>
      </c>
      <c r="AA4444" s="360">
        <v>429</v>
      </c>
      <c r="AB4444" s="360">
        <v>11</v>
      </c>
    </row>
    <row r="4445" spans="20:28" x14ac:dyDescent="0.2">
      <c r="T4445" s="358" t="str">
        <f t="shared" si="179"/>
        <v>2001AllSexNon-Maori19Hanging, strangulation and suffocation</v>
      </c>
      <c r="U4445" s="360">
        <v>2001</v>
      </c>
      <c r="V4445" s="360" t="s">
        <v>17</v>
      </c>
      <c r="W4445" s="360" t="s">
        <v>19</v>
      </c>
      <c r="X4445" s="360">
        <v>19</v>
      </c>
      <c r="Y4445" s="360" t="s">
        <v>43</v>
      </c>
      <c r="Z4445" s="360">
        <v>179</v>
      </c>
      <c r="AA4445" s="360">
        <v>429</v>
      </c>
      <c r="AB4445" s="360">
        <v>41.7</v>
      </c>
    </row>
    <row r="4446" spans="20:28" x14ac:dyDescent="0.2">
      <c r="T4446" s="358" t="str">
        <f t="shared" si="179"/>
        <v>2001AllSexNon-Maori19Jumping from a high place</v>
      </c>
      <c r="U4446" s="360">
        <v>2001</v>
      </c>
      <c r="V4446" s="360" t="s">
        <v>17</v>
      </c>
      <c r="W4446" s="360" t="s">
        <v>19</v>
      </c>
      <c r="X4446" s="360">
        <v>19</v>
      </c>
      <c r="Y4446" s="360" t="s">
        <v>44</v>
      </c>
      <c r="Z4446" s="360">
        <v>18</v>
      </c>
      <c r="AA4446" s="360">
        <v>429</v>
      </c>
      <c r="AB4446" s="360">
        <v>4.2</v>
      </c>
    </row>
    <row r="4447" spans="20:28" x14ac:dyDescent="0.2">
      <c r="T4447" s="358" t="str">
        <f t="shared" si="179"/>
        <v>2001AllSexNon-Maori19Other</v>
      </c>
      <c r="U4447" s="360">
        <v>2001</v>
      </c>
      <c r="V4447" s="360" t="s">
        <v>17</v>
      </c>
      <c r="W4447" s="360" t="s">
        <v>19</v>
      </c>
      <c r="X4447" s="360">
        <v>19</v>
      </c>
      <c r="Y4447" s="360" t="s">
        <v>45</v>
      </c>
      <c r="Z4447" s="360">
        <v>20</v>
      </c>
      <c r="AA4447" s="360">
        <v>429</v>
      </c>
      <c r="AB4447" s="360">
        <v>4.7</v>
      </c>
    </row>
    <row r="4448" spans="20:28" x14ac:dyDescent="0.2">
      <c r="T4448" s="358" t="str">
        <f t="shared" si="179"/>
        <v>2001AllSexNon-Maori19Poisoning by gases and vapours</v>
      </c>
      <c r="U4448" s="360">
        <v>2001</v>
      </c>
      <c r="V4448" s="360" t="s">
        <v>17</v>
      </c>
      <c r="W4448" s="360" t="s">
        <v>19</v>
      </c>
      <c r="X4448" s="360">
        <v>19</v>
      </c>
      <c r="Y4448" s="360" t="s">
        <v>46</v>
      </c>
      <c r="Z4448" s="360">
        <v>100</v>
      </c>
      <c r="AA4448" s="360">
        <v>429</v>
      </c>
      <c r="AB4448" s="360">
        <v>23.3</v>
      </c>
    </row>
    <row r="4449" spans="20:28" x14ac:dyDescent="0.2">
      <c r="T4449" s="358" t="str">
        <f t="shared" si="179"/>
        <v>2001AllSexNon-Maori19Poisoning by solids and liquids</v>
      </c>
      <c r="U4449" s="360">
        <v>2001</v>
      </c>
      <c r="V4449" s="360" t="s">
        <v>17</v>
      </c>
      <c r="W4449" s="360" t="s">
        <v>19</v>
      </c>
      <c r="X4449" s="360">
        <v>19</v>
      </c>
      <c r="Y4449" s="360" t="s">
        <v>47</v>
      </c>
      <c r="Z4449" s="360">
        <v>50</v>
      </c>
      <c r="AA4449" s="360">
        <v>429</v>
      </c>
      <c r="AB4449" s="360">
        <v>11.7</v>
      </c>
    </row>
    <row r="4450" spans="20:28" x14ac:dyDescent="0.2">
      <c r="T4450" s="358" t="str">
        <f t="shared" si="179"/>
        <v>2001AllSexNon-Maori19Sharp object</v>
      </c>
      <c r="U4450" s="360">
        <v>2001</v>
      </c>
      <c r="V4450" s="360" t="s">
        <v>17</v>
      </c>
      <c r="W4450" s="360" t="s">
        <v>19</v>
      </c>
      <c r="X4450" s="360">
        <v>19</v>
      </c>
      <c r="Y4450" s="360" t="s">
        <v>48</v>
      </c>
      <c r="Z4450" s="360">
        <v>8</v>
      </c>
      <c r="AA4450" s="360">
        <v>429</v>
      </c>
      <c r="AB4450" s="360">
        <v>1.9</v>
      </c>
    </row>
    <row r="4451" spans="20:28" x14ac:dyDescent="0.2">
      <c r="T4451" s="358" t="str">
        <f t="shared" si="179"/>
        <v>2001AllSexNon-Maori19Submersion (drowning)</v>
      </c>
      <c r="U4451" s="360">
        <v>2001</v>
      </c>
      <c r="V4451" s="360" t="s">
        <v>17</v>
      </c>
      <c r="W4451" s="360" t="s">
        <v>19</v>
      </c>
      <c r="X4451" s="360">
        <v>19</v>
      </c>
      <c r="Y4451" s="360" t="s">
        <v>49</v>
      </c>
      <c r="Z4451" s="360">
        <v>7</v>
      </c>
      <c r="AA4451" s="360">
        <v>429</v>
      </c>
      <c r="AB4451" s="360">
        <v>1.6</v>
      </c>
    </row>
    <row r="4452" spans="20:28" x14ac:dyDescent="0.2">
      <c r="T4452" s="358" t="str">
        <f t="shared" si="179"/>
        <v>2001FemaleAllEth19Firearms and explosives</v>
      </c>
      <c r="U4452" s="360">
        <v>2001</v>
      </c>
      <c r="V4452" s="360" t="s">
        <v>8</v>
      </c>
      <c r="W4452" s="360" t="s">
        <v>27</v>
      </c>
      <c r="X4452" s="360">
        <v>19</v>
      </c>
      <c r="Y4452" s="360" t="s">
        <v>42</v>
      </c>
      <c r="Z4452" s="360">
        <v>1</v>
      </c>
      <c r="AA4452" s="360">
        <v>118</v>
      </c>
      <c r="AB4452" s="360">
        <v>0.8</v>
      </c>
    </row>
    <row r="4453" spans="20:28" x14ac:dyDescent="0.2">
      <c r="T4453" s="358" t="str">
        <f t="shared" si="179"/>
        <v>2001FemaleAllEth19Hanging, strangulation and suffocation</v>
      </c>
      <c r="U4453" s="360">
        <v>2001</v>
      </c>
      <c r="V4453" s="360" t="s">
        <v>8</v>
      </c>
      <c r="W4453" s="360" t="s">
        <v>27</v>
      </c>
      <c r="X4453" s="360">
        <v>19</v>
      </c>
      <c r="Y4453" s="360" t="s">
        <v>43</v>
      </c>
      <c r="Z4453" s="360">
        <v>51</v>
      </c>
      <c r="AA4453" s="360">
        <v>118</v>
      </c>
      <c r="AB4453" s="360">
        <v>43.2</v>
      </c>
    </row>
    <row r="4454" spans="20:28" x14ac:dyDescent="0.2">
      <c r="T4454" s="358" t="str">
        <f t="shared" si="179"/>
        <v>2001FemaleAllEth19Jumping from a high place</v>
      </c>
      <c r="U4454" s="360">
        <v>2001</v>
      </c>
      <c r="V4454" s="360" t="s">
        <v>8</v>
      </c>
      <c r="W4454" s="360" t="s">
        <v>27</v>
      </c>
      <c r="X4454" s="360">
        <v>19</v>
      </c>
      <c r="Y4454" s="360" t="s">
        <v>44</v>
      </c>
      <c r="Z4454" s="360">
        <v>9</v>
      </c>
      <c r="AA4454" s="360">
        <v>118</v>
      </c>
      <c r="AB4454" s="360">
        <v>7.6</v>
      </c>
    </row>
    <row r="4455" spans="20:28" x14ac:dyDescent="0.2">
      <c r="T4455" s="358" t="str">
        <f t="shared" si="179"/>
        <v>2001FemaleAllEth19Other</v>
      </c>
      <c r="U4455" s="360">
        <v>2001</v>
      </c>
      <c r="V4455" s="360" t="s">
        <v>8</v>
      </c>
      <c r="W4455" s="360" t="s">
        <v>27</v>
      </c>
      <c r="X4455" s="360">
        <v>19</v>
      </c>
      <c r="Y4455" s="360" t="s">
        <v>45</v>
      </c>
      <c r="Z4455" s="360">
        <v>5</v>
      </c>
      <c r="AA4455" s="360">
        <v>118</v>
      </c>
      <c r="AB4455" s="360">
        <v>4.2</v>
      </c>
    </row>
    <row r="4456" spans="20:28" x14ac:dyDescent="0.2">
      <c r="T4456" s="358" t="str">
        <f t="shared" si="179"/>
        <v>2001FemaleAllEth19Poisoning by gases and vapours</v>
      </c>
      <c r="U4456" s="360">
        <v>2001</v>
      </c>
      <c r="V4456" s="360" t="s">
        <v>8</v>
      </c>
      <c r="W4456" s="360" t="s">
        <v>27</v>
      </c>
      <c r="X4456" s="360">
        <v>19</v>
      </c>
      <c r="Y4456" s="360" t="s">
        <v>46</v>
      </c>
      <c r="Z4456" s="360">
        <v>21</v>
      </c>
      <c r="AA4456" s="360">
        <v>118</v>
      </c>
      <c r="AB4456" s="360">
        <v>17.8</v>
      </c>
    </row>
    <row r="4457" spans="20:28" x14ac:dyDescent="0.2">
      <c r="T4457" s="358" t="str">
        <f t="shared" si="179"/>
        <v>2001FemaleAllEth19Poisoning by solids and liquids</v>
      </c>
      <c r="U4457" s="360">
        <v>2001</v>
      </c>
      <c r="V4457" s="360" t="s">
        <v>8</v>
      </c>
      <c r="W4457" s="360" t="s">
        <v>27</v>
      </c>
      <c r="X4457" s="360">
        <v>19</v>
      </c>
      <c r="Y4457" s="360" t="s">
        <v>47</v>
      </c>
      <c r="Z4457" s="360">
        <v>25</v>
      </c>
      <c r="AA4457" s="360">
        <v>118</v>
      </c>
      <c r="AB4457" s="360">
        <v>21.2</v>
      </c>
    </row>
    <row r="4458" spans="20:28" x14ac:dyDescent="0.2">
      <c r="T4458" s="358" t="str">
        <f t="shared" si="179"/>
        <v>2001FemaleAllEth19Sharp object</v>
      </c>
      <c r="U4458" s="360">
        <v>2001</v>
      </c>
      <c r="V4458" s="360" t="s">
        <v>8</v>
      </c>
      <c r="W4458" s="360" t="s">
        <v>27</v>
      </c>
      <c r="X4458" s="360">
        <v>19</v>
      </c>
      <c r="Y4458" s="360" t="s">
        <v>48</v>
      </c>
      <c r="Z4458" s="360">
        <v>1</v>
      </c>
      <c r="AA4458" s="360">
        <v>118</v>
      </c>
      <c r="AB4458" s="360">
        <v>0.8</v>
      </c>
    </row>
    <row r="4459" spans="20:28" x14ac:dyDescent="0.2">
      <c r="T4459" s="358" t="str">
        <f t="shared" si="179"/>
        <v>2001FemaleAllEth19Submersion (drowning)</v>
      </c>
      <c r="U4459" s="360">
        <v>2001</v>
      </c>
      <c r="V4459" s="360" t="s">
        <v>8</v>
      </c>
      <c r="W4459" s="360" t="s">
        <v>27</v>
      </c>
      <c r="X4459" s="360">
        <v>19</v>
      </c>
      <c r="Y4459" s="360" t="s">
        <v>49</v>
      </c>
      <c r="Z4459" s="360">
        <v>5</v>
      </c>
      <c r="AA4459" s="360">
        <v>118</v>
      </c>
      <c r="AB4459" s="360">
        <v>4.2</v>
      </c>
    </row>
    <row r="4460" spans="20:28" x14ac:dyDescent="0.2">
      <c r="T4460" s="358" t="str">
        <f t="shared" si="179"/>
        <v>2001FemaleMaori19Hanging, strangulation and suffocation</v>
      </c>
      <c r="U4460" s="360">
        <v>2001</v>
      </c>
      <c r="V4460" s="360" t="s">
        <v>8</v>
      </c>
      <c r="W4460" s="360" t="s">
        <v>18</v>
      </c>
      <c r="X4460" s="360">
        <v>19</v>
      </c>
      <c r="Y4460" s="360" t="s">
        <v>43</v>
      </c>
      <c r="Z4460" s="360">
        <v>15</v>
      </c>
      <c r="AA4460" s="360">
        <v>21</v>
      </c>
      <c r="AB4460" s="360">
        <v>71.400000000000006</v>
      </c>
    </row>
    <row r="4461" spans="20:28" x14ac:dyDescent="0.2">
      <c r="T4461" s="358" t="str">
        <f t="shared" si="179"/>
        <v>2001FemaleMaori19Jumping from a high place</v>
      </c>
      <c r="U4461" s="360">
        <v>2001</v>
      </c>
      <c r="V4461" s="360" t="s">
        <v>8</v>
      </c>
      <c r="W4461" s="360" t="s">
        <v>18</v>
      </c>
      <c r="X4461" s="360">
        <v>19</v>
      </c>
      <c r="Y4461" s="360" t="s">
        <v>44</v>
      </c>
      <c r="Z4461" s="360">
        <v>1</v>
      </c>
      <c r="AA4461" s="360">
        <v>21</v>
      </c>
      <c r="AB4461" s="360">
        <v>4.8</v>
      </c>
    </row>
    <row r="4462" spans="20:28" x14ac:dyDescent="0.2">
      <c r="T4462" s="358" t="str">
        <f t="shared" si="179"/>
        <v>2001FemaleMaori19Other</v>
      </c>
      <c r="U4462" s="360">
        <v>2001</v>
      </c>
      <c r="V4462" s="360" t="s">
        <v>8</v>
      </c>
      <c r="W4462" s="360" t="s">
        <v>18</v>
      </c>
      <c r="X4462" s="360">
        <v>19</v>
      </c>
      <c r="Y4462" s="360" t="s">
        <v>45</v>
      </c>
      <c r="Z4462" s="360">
        <v>1</v>
      </c>
      <c r="AA4462" s="360">
        <v>21</v>
      </c>
      <c r="AB4462" s="360">
        <v>4.8</v>
      </c>
    </row>
    <row r="4463" spans="20:28" x14ac:dyDescent="0.2">
      <c r="T4463" s="358" t="str">
        <f t="shared" si="179"/>
        <v>2001FemaleMaori19Poisoning by gases and vapours</v>
      </c>
      <c r="U4463" s="360">
        <v>2001</v>
      </c>
      <c r="V4463" s="360" t="s">
        <v>8</v>
      </c>
      <c r="W4463" s="360" t="s">
        <v>18</v>
      </c>
      <c r="X4463" s="360">
        <v>19</v>
      </c>
      <c r="Y4463" s="360" t="s">
        <v>46</v>
      </c>
      <c r="Z4463" s="360">
        <v>3</v>
      </c>
      <c r="AA4463" s="360">
        <v>21</v>
      </c>
      <c r="AB4463" s="360">
        <v>14.3</v>
      </c>
    </row>
    <row r="4464" spans="20:28" x14ac:dyDescent="0.2">
      <c r="T4464" s="358" t="str">
        <f t="shared" si="179"/>
        <v>2001FemaleMaori19Poisoning by solids and liquids</v>
      </c>
      <c r="U4464" s="360">
        <v>2001</v>
      </c>
      <c r="V4464" s="360" t="s">
        <v>8</v>
      </c>
      <c r="W4464" s="360" t="s">
        <v>18</v>
      </c>
      <c r="X4464" s="360">
        <v>19</v>
      </c>
      <c r="Y4464" s="360" t="s">
        <v>47</v>
      </c>
      <c r="Z4464" s="360">
        <v>1</v>
      </c>
      <c r="AA4464" s="360">
        <v>21</v>
      </c>
      <c r="AB4464" s="360">
        <v>4.8</v>
      </c>
    </row>
    <row r="4465" spans="20:28" x14ac:dyDescent="0.2">
      <c r="T4465" s="358" t="str">
        <f t="shared" si="179"/>
        <v>2001FemaleNon-Maori19Firearms and explosives</v>
      </c>
      <c r="U4465" s="360">
        <v>2001</v>
      </c>
      <c r="V4465" s="360" t="s">
        <v>8</v>
      </c>
      <c r="W4465" s="360" t="s">
        <v>19</v>
      </c>
      <c r="X4465" s="360">
        <v>19</v>
      </c>
      <c r="Y4465" s="360" t="s">
        <v>42</v>
      </c>
      <c r="Z4465" s="360">
        <v>1</v>
      </c>
      <c r="AA4465" s="360">
        <v>97</v>
      </c>
      <c r="AB4465" s="360">
        <v>1</v>
      </c>
    </row>
    <row r="4466" spans="20:28" x14ac:dyDescent="0.2">
      <c r="T4466" s="358" t="str">
        <f t="shared" si="179"/>
        <v>2001FemaleNon-Maori19Hanging, strangulation and suffocation</v>
      </c>
      <c r="U4466" s="360">
        <v>2001</v>
      </c>
      <c r="V4466" s="360" t="s">
        <v>8</v>
      </c>
      <c r="W4466" s="360" t="s">
        <v>19</v>
      </c>
      <c r="X4466" s="360">
        <v>19</v>
      </c>
      <c r="Y4466" s="360" t="s">
        <v>43</v>
      </c>
      <c r="Z4466" s="360">
        <v>36</v>
      </c>
      <c r="AA4466" s="360">
        <v>97</v>
      </c>
      <c r="AB4466" s="360">
        <v>37.1</v>
      </c>
    </row>
    <row r="4467" spans="20:28" x14ac:dyDescent="0.2">
      <c r="T4467" s="358" t="str">
        <f t="shared" si="179"/>
        <v>2001FemaleNon-Maori19Jumping from a high place</v>
      </c>
      <c r="U4467" s="360">
        <v>2001</v>
      </c>
      <c r="V4467" s="360" t="s">
        <v>8</v>
      </c>
      <c r="W4467" s="360" t="s">
        <v>19</v>
      </c>
      <c r="X4467" s="360">
        <v>19</v>
      </c>
      <c r="Y4467" s="360" t="s">
        <v>44</v>
      </c>
      <c r="Z4467" s="360">
        <v>8</v>
      </c>
      <c r="AA4467" s="360">
        <v>97</v>
      </c>
      <c r="AB4467" s="360">
        <v>8.1999999999999993</v>
      </c>
    </row>
    <row r="4468" spans="20:28" x14ac:dyDescent="0.2">
      <c r="T4468" s="358" t="str">
        <f t="shared" si="179"/>
        <v>2001FemaleNon-Maori19Other</v>
      </c>
      <c r="U4468" s="360">
        <v>2001</v>
      </c>
      <c r="V4468" s="360" t="s">
        <v>8</v>
      </c>
      <c r="W4468" s="360" t="s">
        <v>19</v>
      </c>
      <c r="X4468" s="360">
        <v>19</v>
      </c>
      <c r="Y4468" s="360" t="s">
        <v>45</v>
      </c>
      <c r="Z4468" s="360">
        <v>4</v>
      </c>
      <c r="AA4468" s="360">
        <v>97</v>
      </c>
      <c r="AB4468" s="360">
        <v>4.0999999999999996</v>
      </c>
    </row>
    <row r="4469" spans="20:28" x14ac:dyDescent="0.2">
      <c r="T4469" s="358" t="str">
        <f t="shared" si="179"/>
        <v>2001FemaleNon-Maori19Poisoning by gases and vapours</v>
      </c>
      <c r="U4469" s="360">
        <v>2001</v>
      </c>
      <c r="V4469" s="360" t="s">
        <v>8</v>
      </c>
      <c r="W4469" s="360" t="s">
        <v>19</v>
      </c>
      <c r="X4469" s="360">
        <v>19</v>
      </c>
      <c r="Y4469" s="360" t="s">
        <v>46</v>
      </c>
      <c r="Z4469" s="360">
        <v>18</v>
      </c>
      <c r="AA4469" s="360">
        <v>97</v>
      </c>
      <c r="AB4469" s="360">
        <v>18.600000000000001</v>
      </c>
    </row>
    <row r="4470" spans="20:28" x14ac:dyDescent="0.2">
      <c r="T4470" s="358" t="str">
        <f t="shared" si="179"/>
        <v>2001FemaleNon-Maori19Poisoning by solids and liquids</v>
      </c>
      <c r="U4470" s="360">
        <v>2001</v>
      </c>
      <c r="V4470" s="360" t="s">
        <v>8</v>
      </c>
      <c r="W4470" s="360" t="s">
        <v>19</v>
      </c>
      <c r="X4470" s="360">
        <v>19</v>
      </c>
      <c r="Y4470" s="360" t="s">
        <v>47</v>
      </c>
      <c r="Z4470" s="360">
        <v>24</v>
      </c>
      <c r="AA4470" s="360">
        <v>97</v>
      </c>
      <c r="AB4470" s="360">
        <v>24.7</v>
      </c>
    </row>
    <row r="4471" spans="20:28" x14ac:dyDescent="0.2">
      <c r="T4471" s="358" t="str">
        <f t="shared" si="179"/>
        <v>2001FemaleNon-Maori19Sharp object</v>
      </c>
      <c r="U4471" s="360">
        <v>2001</v>
      </c>
      <c r="V4471" s="360" t="s">
        <v>8</v>
      </c>
      <c r="W4471" s="360" t="s">
        <v>19</v>
      </c>
      <c r="X4471" s="360">
        <v>19</v>
      </c>
      <c r="Y4471" s="360" t="s">
        <v>48</v>
      </c>
      <c r="Z4471" s="360">
        <v>1</v>
      </c>
      <c r="AA4471" s="360">
        <v>97</v>
      </c>
      <c r="AB4471" s="360">
        <v>1</v>
      </c>
    </row>
    <row r="4472" spans="20:28" x14ac:dyDescent="0.2">
      <c r="T4472" s="358" t="str">
        <f t="shared" si="179"/>
        <v>2001FemaleNon-Maori19Submersion (drowning)</v>
      </c>
      <c r="U4472" s="360">
        <v>2001</v>
      </c>
      <c r="V4472" s="360" t="s">
        <v>8</v>
      </c>
      <c r="W4472" s="360" t="s">
        <v>19</v>
      </c>
      <c r="X4472" s="360">
        <v>19</v>
      </c>
      <c r="Y4472" s="360" t="s">
        <v>49</v>
      </c>
      <c r="Z4472" s="360">
        <v>5</v>
      </c>
      <c r="AA4472" s="360">
        <v>97</v>
      </c>
      <c r="AB4472" s="360">
        <v>5.2</v>
      </c>
    </row>
    <row r="4473" spans="20:28" x14ac:dyDescent="0.2">
      <c r="T4473" s="358" t="str">
        <f t="shared" si="179"/>
        <v>2001MaleAllEth19Firearms and explosives</v>
      </c>
      <c r="U4473" s="360">
        <v>2001</v>
      </c>
      <c r="V4473" s="360" t="s">
        <v>20</v>
      </c>
      <c r="W4473" s="360" t="s">
        <v>27</v>
      </c>
      <c r="X4473" s="360">
        <v>19</v>
      </c>
      <c r="Y4473" s="360" t="s">
        <v>42</v>
      </c>
      <c r="Z4473" s="360">
        <v>50</v>
      </c>
      <c r="AA4473" s="360">
        <v>390</v>
      </c>
      <c r="AB4473" s="360">
        <v>12.8</v>
      </c>
    </row>
    <row r="4474" spans="20:28" x14ac:dyDescent="0.2">
      <c r="T4474" s="358" t="str">
        <f t="shared" si="179"/>
        <v>2001MaleAllEth19Hanging, strangulation and suffocation</v>
      </c>
      <c r="U4474" s="360">
        <v>2001</v>
      </c>
      <c r="V4474" s="360" t="s">
        <v>20</v>
      </c>
      <c r="W4474" s="360" t="s">
        <v>27</v>
      </c>
      <c r="X4474" s="360">
        <v>19</v>
      </c>
      <c r="Y4474" s="360" t="s">
        <v>43</v>
      </c>
      <c r="Z4474" s="360">
        <v>184</v>
      </c>
      <c r="AA4474" s="360">
        <v>390</v>
      </c>
      <c r="AB4474" s="360">
        <v>47.2</v>
      </c>
    </row>
    <row r="4475" spans="20:28" x14ac:dyDescent="0.2">
      <c r="T4475" s="358" t="str">
        <f t="shared" si="179"/>
        <v>2001MaleAllEth19Jumping from a high place</v>
      </c>
      <c r="U4475" s="360">
        <v>2001</v>
      </c>
      <c r="V4475" s="360" t="s">
        <v>20</v>
      </c>
      <c r="W4475" s="360" t="s">
        <v>27</v>
      </c>
      <c r="X4475" s="360">
        <v>19</v>
      </c>
      <c r="Y4475" s="360" t="s">
        <v>44</v>
      </c>
      <c r="Z4475" s="360">
        <v>10</v>
      </c>
      <c r="AA4475" s="360">
        <v>390</v>
      </c>
      <c r="AB4475" s="360">
        <v>2.6</v>
      </c>
    </row>
    <row r="4476" spans="20:28" x14ac:dyDescent="0.2">
      <c r="T4476" s="358" t="str">
        <f t="shared" si="179"/>
        <v>2001MaleAllEth19Other</v>
      </c>
      <c r="U4476" s="360">
        <v>2001</v>
      </c>
      <c r="V4476" s="360" t="s">
        <v>20</v>
      </c>
      <c r="W4476" s="360" t="s">
        <v>27</v>
      </c>
      <c r="X4476" s="360">
        <v>19</v>
      </c>
      <c r="Y4476" s="360" t="s">
        <v>45</v>
      </c>
      <c r="Z4476" s="360">
        <v>17</v>
      </c>
      <c r="AA4476" s="360">
        <v>390</v>
      </c>
      <c r="AB4476" s="360">
        <v>4.4000000000000004</v>
      </c>
    </row>
    <row r="4477" spans="20:28" x14ac:dyDescent="0.2">
      <c r="T4477" s="358" t="str">
        <f t="shared" si="179"/>
        <v>2001MaleAllEth19Poisoning by gases and vapours</v>
      </c>
      <c r="U4477" s="360">
        <v>2001</v>
      </c>
      <c r="V4477" s="360" t="s">
        <v>20</v>
      </c>
      <c r="W4477" s="360" t="s">
        <v>27</v>
      </c>
      <c r="X4477" s="360">
        <v>19</v>
      </c>
      <c r="Y4477" s="360" t="s">
        <v>46</v>
      </c>
      <c r="Z4477" s="360">
        <v>90</v>
      </c>
      <c r="AA4477" s="360">
        <v>390</v>
      </c>
      <c r="AB4477" s="360">
        <v>23.1</v>
      </c>
    </row>
    <row r="4478" spans="20:28" x14ac:dyDescent="0.2">
      <c r="T4478" s="358" t="str">
        <f t="shared" si="179"/>
        <v>2001MaleAllEth19Poisoning by solids and liquids</v>
      </c>
      <c r="U4478" s="360">
        <v>2001</v>
      </c>
      <c r="V4478" s="360" t="s">
        <v>20</v>
      </c>
      <c r="W4478" s="360" t="s">
        <v>27</v>
      </c>
      <c r="X4478" s="360">
        <v>19</v>
      </c>
      <c r="Y4478" s="360" t="s">
        <v>47</v>
      </c>
      <c r="Z4478" s="360">
        <v>29</v>
      </c>
      <c r="AA4478" s="360">
        <v>390</v>
      </c>
      <c r="AB4478" s="360">
        <v>7.4</v>
      </c>
    </row>
    <row r="4479" spans="20:28" x14ac:dyDescent="0.2">
      <c r="T4479" s="358" t="str">
        <f t="shared" si="179"/>
        <v>2001MaleAllEth19Sharp object</v>
      </c>
      <c r="U4479" s="360">
        <v>2001</v>
      </c>
      <c r="V4479" s="360" t="s">
        <v>20</v>
      </c>
      <c r="W4479" s="360" t="s">
        <v>27</v>
      </c>
      <c r="X4479" s="360">
        <v>19</v>
      </c>
      <c r="Y4479" s="360" t="s">
        <v>48</v>
      </c>
      <c r="Z4479" s="360">
        <v>8</v>
      </c>
      <c r="AA4479" s="360">
        <v>390</v>
      </c>
      <c r="AB4479" s="360">
        <v>2.1</v>
      </c>
    </row>
    <row r="4480" spans="20:28" x14ac:dyDescent="0.2">
      <c r="T4480" s="358" t="str">
        <f t="shared" si="179"/>
        <v>2001MaleAllEth19Submersion (drowning)</v>
      </c>
      <c r="U4480" s="360">
        <v>2001</v>
      </c>
      <c r="V4480" s="360" t="s">
        <v>20</v>
      </c>
      <c r="W4480" s="360" t="s">
        <v>27</v>
      </c>
      <c r="X4480" s="360">
        <v>19</v>
      </c>
      <c r="Y4480" s="360" t="s">
        <v>49</v>
      </c>
      <c r="Z4480" s="360">
        <v>2</v>
      </c>
      <c r="AA4480" s="360">
        <v>390</v>
      </c>
      <c r="AB4480" s="360">
        <v>0.5</v>
      </c>
    </row>
    <row r="4481" spans="20:28" x14ac:dyDescent="0.2">
      <c r="T4481" s="358" t="str">
        <f t="shared" si="179"/>
        <v>2001MaleMaori19Firearms and explosives</v>
      </c>
      <c r="U4481" s="360">
        <v>2001</v>
      </c>
      <c r="V4481" s="360" t="s">
        <v>20</v>
      </c>
      <c r="W4481" s="360" t="s">
        <v>18</v>
      </c>
      <c r="X4481" s="360">
        <v>19</v>
      </c>
      <c r="Y4481" s="360" t="s">
        <v>42</v>
      </c>
      <c r="Z4481" s="360">
        <v>4</v>
      </c>
      <c r="AA4481" s="360">
        <v>58</v>
      </c>
      <c r="AB4481" s="360">
        <v>6.9</v>
      </c>
    </row>
    <row r="4482" spans="20:28" x14ac:dyDescent="0.2">
      <c r="T4482" s="358" t="str">
        <f t="shared" si="179"/>
        <v>2001MaleMaori19Hanging, strangulation and suffocation</v>
      </c>
      <c r="U4482" s="360">
        <v>2001</v>
      </c>
      <c r="V4482" s="360" t="s">
        <v>20</v>
      </c>
      <c r="W4482" s="360" t="s">
        <v>18</v>
      </c>
      <c r="X4482" s="360">
        <v>19</v>
      </c>
      <c r="Y4482" s="360" t="s">
        <v>43</v>
      </c>
      <c r="Z4482" s="360">
        <v>41</v>
      </c>
      <c r="AA4482" s="360">
        <v>58</v>
      </c>
      <c r="AB4482" s="360">
        <v>70.7</v>
      </c>
    </row>
    <row r="4483" spans="20:28" x14ac:dyDescent="0.2">
      <c r="T4483" s="358" t="str">
        <f t="shared" si="179"/>
        <v>2001MaleMaori19Other</v>
      </c>
      <c r="U4483" s="360">
        <v>2001</v>
      </c>
      <c r="V4483" s="360" t="s">
        <v>20</v>
      </c>
      <c r="W4483" s="360" t="s">
        <v>18</v>
      </c>
      <c r="X4483" s="360">
        <v>19</v>
      </c>
      <c r="Y4483" s="360" t="s">
        <v>45</v>
      </c>
      <c r="Z4483" s="360">
        <v>1</v>
      </c>
      <c r="AA4483" s="360">
        <v>58</v>
      </c>
      <c r="AB4483" s="360">
        <v>1.7</v>
      </c>
    </row>
    <row r="4484" spans="20:28" x14ac:dyDescent="0.2">
      <c r="T4484" s="358" t="str">
        <f t="shared" si="179"/>
        <v>2001MaleMaori19Poisoning by gases and vapours</v>
      </c>
      <c r="U4484" s="360">
        <v>2001</v>
      </c>
      <c r="V4484" s="360" t="s">
        <v>20</v>
      </c>
      <c r="W4484" s="360" t="s">
        <v>18</v>
      </c>
      <c r="X4484" s="360">
        <v>19</v>
      </c>
      <c r="Y4484" s="360" t="s">
        <v>46</v>
      </c>
      <c r="Z4484" s="360">
        <v>8</v>
      </c>
      <c r="AA4484" s="360">
        <v>58</v>
      </c>
      <c r="AB4484" s="360">
        <v>13.8</v>
      </c>
    </row>
    <row r="4485" spans="20:28" x14ac:dyDescent="0.2">
      <c r="T4485" s="358" t="str">
        <f t="shared" ref="T4485:T4548" si="180">U4485&amp;V4485&amp;W4485&amp;X4485&amp;Y4485</f>
        <v>2001MaleMaori19Poisoning by solids and liquids</v>
      </c>
      <c r="U4485" s="360">
        <v>2001</v>
      </c>
      <c r="V4485" s="360" t="s">
        <v>20</v>
      </c>
      <c r="W4485" s="360" t="s">
        <v>18</v>
      </c>
      <c r="X4485" s="360">
        <v>19</v>
      </c>
      <c r="Y4485" s="360" t="s">
        <v>47</v>
      </c>
      <c r="Z4485" s="360">
        <v>3</v>
      </c>
      <c r="AA4485" s="360">
        <v>58</v>
      </c>
      <c r="AB4485" s="360">
        <v>5.2</v>
      </c>
    </row>
    <row r="4486" spans="20:28" x14ac:dyDescent="0.2">
      <c r="T4486" s="358" t="str">
        <f t="shared" si="180"/>
        <v>2001MaleMaori19Sharp object</v>
      </c>
      <c r="U4486" s="360">
        <v>2001</v>
      </c>
      <c r="V4486" s="360" t="s">
        <v>20</v>
      </c>
      <c r="W4486" s="360" t="s">
        <v>18</v>
      </c>
      <c r="X4486" s="360">
        <v>19</v>
      </c>
      <c r="Y4486" s="360" t="s">
        <v>48</v>
      </c>
      <c r="Z4486" s="360">
        <v>1</v>
      </c>
      <c r="AA4486" s="360">
        <v>58</v>
      </c>
      <c r="AB4486" s="360">
        <v>1.7</v>
      </c>
    </row>
    <row r="4487" spans="20:28" x14ac:dyDescent="0.2">
      <c r="T4487" s="358" t="str">
        <f t="shared" si="180"/>
        <v>2001MaleNon-Maori19Firearms and explosives</v>
      </c>
      <c r="U4487" s="360">
        <v>2001</v>
      </c>
      <c r="V4487" s="360" t="s">
        <v>20</v>
      </c>
      <c r="W4487" s="360" t="s">
        <v>19</v>
      </c>
      <c r="X4487" s="360">
        <v>19</v>
      </c>
      <c r="Y4487" s="360" t="s">
        <v>42</v>
      </c>
      <c r="Z4487" s="360">
        <v>46</v>
      </c>
      <c r="AA4487" s="360">
        <v>332</v>
      </c>
      <c r="AB4487" s="360">
        <v>13.9</v>
      </c>
    </row>
    <row r="4488" spans="20:28" x14ac:dyDescent="0.2">
      <c r="T4488" s="358" t="str">
        <f t="shared" si="180"/>
        <v>2001MaleNon-Maori19Hanging, strangulation and suffocation</v>
      </c>
      <c r="U4488" s="360">
        <v>2001</v>
      </c>
      <c r="V4488" s="360" t="s">
        <v>20</v>
      </c>
      <c r="W4488" s="360" t="s">
        <v>19</v>
      </c>
      <c r="X4488" s="360">
        <v>19</v>
      </c>
      <c r="Y4488" s="360" t="s">
        <v>43</v>
      </c>
      <c r="Z4488" s="360">
        <v>143</v>
      </c>
      <c r="AA4488" s="360">
        <v>332</v>
      </c>
      <c r="AB4488" s="360">
        <v>43.1</v>
      </c>
    </row>
    <row r="4489" spans="20:28" x14ac:dyDescent="0.2">
      <c r="T4489" s="358" t="str">
        <f t="shared" si="180"/>
        <v>2001MaleNon-Maori19Jumping from a high place</v>
      </c>
      <c r="U4489" s="360">
        <v>2001</v>
      </c>
      <c r="V4489" s="360" t="s">
        <v>20</v>
      </c>
      <c r="W4489" s="360" t="s">
        <v>19</v>
      </c>
      <c r="X4489" s="360">
        <v>19</v>
      </c>
      <c r="Y4489" s="360" t="s">
        <v>44</v>
      </c>
      <c r="Z4489" s="360">
        <v>10</v>
      </c>
      <c r="AA4489" s="360">
        <v>332</v>
      </c>
      <c r="AB4489" s="360">
        <v>3</v>
      </c>
    </row>
    <row r="4490" spans="20:28" x14ac:dyDescent="0.2">
      <c r="T4490" s="358" t="str">
        <f t="shared" si="180"/>
        <v>2001MaleNon-Maori19Other</v>
      </c>
      <c r="U4490" s="360">
        <v>2001</v>
      </c>
      <c r="V4490" s="360" t="s">
        <v>20</v>
      </c>
      <c r="W4490" s="360" t="s">
        <v>19</v>
      </c>
      <c r="X4490" s="360">
        <v>19</v>
      </c>
      <c r="Y4490" s="360" t="s">
        <v>45</v>
      </c>
      <c r="Z4490" s="360">
        <v>16</v>
      </c>
      <c r="AA4490" s="360">
        <v>332</v>
      </c>
      <c r="AB4490" s="360">
        <v>4.8</v>
      </c>
    </row>
    <row r="4491" spans="20:28" x14ac:dyDescent="0.2">
      <c r="T4491" s="358" t="str">
        <f t="shared" si="180"/>
        <v>2001MaleNon-Maori19Poisoning by gases and vapours</v>
      </c>
      <c r="U4491" s="360">
        <v>2001</v>
      </c>
      <c r="V4491" s="360" t="s">
        <v>20</v>
      </c>
      <c r="W4491" s="360" t="s">
        <v>19</v>
      </c>
      <c r="X4491" s="360">
        <v>19</v>
      </c>
      <c r="Y4491" s="360" t="s">
        <v>46</v>
      </c>
      <c r="Z4491" s="360">
        <v>82</v>
      </c>
      <c r="AA4491" s="360">
        <v>332</v>
      </c>
      <c r="AB4491" s="360">
        <v>24.7</v>
      </c>
    </row>
    <row r="4492" spans="20:28" x14ac:dyDescent="0.2">
      <c r="T4492" s="358" t="str">
        <f t="shared" si="180"/>
        <v>2001MaleNon-Maori19Poisoning by solids and liquids</v>
      </c>
      <c r="U4492" s="360">
        <v>2001</v>
      </c>
      <c r="V4492" s="360" t="s">
        <v>20</v>
      </c>
      <c r="W4492" s="360" t="s">
        <v>19</v>
      </c>
      <c r="X4492" s="360">
        <v>19</v>
      </c>
      <c r="Y4492" s="360" t="s">
        <v>47</v>
      </c>
      <c r="Z4492" s="360">
        <v>26</v>
      </c>
      <c r="AA4492" s="360">
        <v>332</v>
      </c>
      <c r="AB4492" s="360">
        <v>7.8</v>
      </c>
    </row>
    <row r="4493" spans="20:28" x14ac:dyDescent="0.2">
      <c r="T4493" s="358" t="str">
        <f t="shared" si="180"/>
        <v>2001MaleNon-Maori19Sharp object</v>
      </c>
      <c r="U4493" s="360">
        <v>2001</v>
      </c>
      <c r="V4493" s="360" t="s">
        <v>20</v>
      </c>
      <c r="W4493" s="360" t="s">
        <v>19</v>
      </c>
      <c r="X4493" s="360">
        <v>19</v>
      </c>
      <c r="Y4493" s="360" t="s">
        <v>48</v>
      </c>
      <c r="Z4493" s="360">
        <v>7</v>
      </c>
      <c r="AA4493" s="360">
        <v>332</v>
      </c>
      <c r="AB4493" s="360">
        <v>2.1</v>
      </c>
    </row>
    <row r="4494" spans="20:28" x14ac:dyDescent="0.2">
      <c r="T4494" s="358" t="str">
        <f t="shared" si="180"/>
        <v>2001MaleNon-Maori19Submersion (drowning)</v>
      </c>
      <c r="U4494" s="360">
        <v>2001</v>
      </c>
      <c r="V4494" s="360" t="s">
        <v>20</v>
      </c>
      <c r="W4494" s="360" t="s">
        <v>19</v>
      </c>
      <c r="X4494" s="360">
        <v>19</v>
      </c>
      <c r="Y4494" s="360" t="s">
        <v>49</v>
      </c>
      <c r="Z4494" s="360">
        <v>2</v>
      </c>
      <c r="AA4494" s="360">
        <v>332</v>
      </c>
      <c r="AB4494" s="360">
        <v>0.6</v>
      </c>
    </row>
    <row r="4495" spans="20:28" x14ac:dyDescent="0.2">
      <c r="T4495" s="358" t="str">
        <f t="shared" si="180"/>
        <v>2002AllSexAllEth19Firearms and explosives</v>
      </c>
      <c r="U4495" s="360">
        <v>2002</v>
      </c>
      <c r="V4495" s="360" t="s">
        <v>17</v>
      </c>
      <c r="W4495" s="360" t="s">
        <v>27</v>
      </c>
      <c r="X4495" s="360">
        <v>19</v>
      </c>
      <c r="Y4495" s="360" t="s">
        <v>42</v>
      </c>
      <c r="Z4495" s="360">
        <v>49</v>
      </c>
      <c r="AA4495" s="360">
        <v>470</v>
      </c>
      <c r="AB4495" s="360">
        <v>10.4</v>
      </c>
    </row>
    <row r="4496" spans="20:28" x14ac:dyDescent="0.2">
      <c r="T4496" s="358" t="str">
        <f t="shared" si="180"/>
        <v>2002AllSexAllEth19Hanging, strangulation and suffocation</v>
      </c>
      <c r="U4496" s="360">
        <v>2002</v>
      </c>
      <c r="V4496" s="360" t="s">
        <v>17</v>
      </c>
      <c r="W4496" s="360" t="s">
        <v>27</v>
      </c>
      <c r="X4496" s="360">
        <v>19</v>
      </c>
      <c r="Y4496" s="360" t="s">
        <v>43</v>
      </c>
      <c r="Z4496" s="360">
        <v>222</v>
      </c>
      <c r="AA4496" s="360">
        <v>470</v>
      </c>
      <c r="AB4496" s="360">
        <v>47.2</v>
      </c>
    </row>
    <row r="4497" spans="20:28" x14ac:dyDescent="0.2">
      <c r="T4497" s="358" t="str">
        <f t="shared" si="180"/>
        <v>2002AllSexAllEth19Jumping from a high place</v>
      </c>
      <c r="U4497" s="360">
        <v>2002</v>
      </c>
      <c r="V4497" s="360" t="s">
        <v>17</v>
      </c>
      <c r="W4497" s="360" t="s">
        <v>27</v>
      </c>
      <c r="X4497" s="360">
        <v>19</v>
      </c>
      <c r="Y4497" s="360" t="s">
        <v>44</v>
      </c>
      <c r="Z4497" s="360">
        <v>19</v>
      </c>
      <c r="AA4497" s="360">
        <v>470</v>
      </c>
      <c r="AB4497" s="360">
        <v>4</v>
      </c>
    </row>
    <row r="4498" spans="20:28" x14ac:dyDescent="0.2">
      <c r="T4498" s="358" t="str">
        <f t="shared" si="180"/>
        <v>2002AllSexAllEth19Other</v>
      </c>
      <c r="U4498" s="360">
        <v>2002</v>
      </c>
      <c r="V4498" s="360" t="s">
        <v>17</v>
      </c>
      <c r="W4498" s="360" t="s">
        <v>27</v>
      </c>
      <c r="X4498" s="360">
        <v>19</v>
      </c>
      <c r="Y4498" s="360" t="s">
        <v>45</v>
      </c>
      <c r="Z4498" s="360">
        <v>16</v>
      </c>
      <c r="AA4498" s="360">
        <v>470</v>
      </c>
      <c r="AB4498" s="360">
        <v>3.4</v>
      </c>
    </row>
    <row r="4499" spans="20:28" x14ac:dyDescent="0.2">
      <c r="T4499" s="358" t="str">
        <f t="shared" si="180"/>
        <v>2002AllSexAllEth19Poisoning by gases and vapours</v>
      </c>
      <c r="U4499" s="360">
        <v>2002</v>
      </c>
      <c r="V4499" s="360" t="s">
        <v>17</v>
      </c>
      <c r="W4499" s="360" t="s">
        <v>27</v>
      </c>
      <c r="X4499" s="360">
        <v>19</v>
      </c>
      <c r="Y4499" s="360" t="s">
        <v>46</v>
      </c>
      <c r="Z4499" s="360">
        <v>99</v>
      </c>
      <c r="AA4499" s="360">
        <v>470</v>
      </c>
      <c r="AB4499" s="360">
        <v>21.1</v>
      </c>
    </row>
    <row r="4500" spans="20:28" x14ac:dyDescent="0.2">
      <c r="T4500" s="358" t="str">
        <f t="shared" si="180"/>
        <v>2002AllSexAllEth19Poisoning by solids and liquids</v>
      </c>
      <c r="U4500" s="360">
        <v>2002</v>
      </c>
      <c r="V4500" s="360" t="s">
        <v>17</v>
      </c>
      <c r="W4500" s="360" t="s">
        <v>27</v>
      </c>
      <c r="X4500" s="360">
        <v>19</v>
      </c>
      <c r="Y4500" s="360" t="s">
        <v>47</v>
      </c>
      <c r="Z4500" s="360">
        <v>47</v>
      </c>
      <c r="AA4500" s="360">
        <v>470</v>
      </c>
      <c r="AB4500" s="360">
        <v>10</v>
      </c>
    </row>
    <row r="4501" spans="20:28" x14ac:dyDescent="0.2">
      <c r="T4501" s="358" t="str">
        <f t="shared" si="180"/>
        <v>2002AllSexAllEth19Sharp object</v>
      </c>
      <c r="U4501" s="360">
        <v>2002</v>
      </c>
      <c r="V4501" s="360" t="s">
        <v>17</v>
      </c>
      <c r="W4501" s="360" t="s">
        <v>27</v>
      </c>
      <c r="X4501" s="360">
        <v>19</v>
      </c>
      <c r="Y4501" s="360" t="s">
        <v>48</v>
      </c>
      <c r="Z4501" s="360">
        <v>5</v>
      </c>
      <c r="AA4501" s="360">
        <v>470</v>
      </c>
      <c r="AB4501" s="360">
        <v>1.1000000000000001</v>
      </c>
    </row>
    <row r="4502" spans="20:28" x14ac:dyDescent="0.2">
      <c r="T4502" s="358" t="str">
        <f t="shared" si="180"/>
        <v>2002AllSexAllEth19Submersion (drowning)</v>
      </c>
      <c r="U4502" s="360">
        <v>2002</v>
      </c>
      <c r="V4502" s="360" t="s">
        <v>17</v>
      </c>
      <c r="W4502" s="360" t="s">
        <v>27</v>
      </c>
      <c r="X4502" s="360">
        <v>19</v>
      </c>
      <c r="Y4502" s="360" t="s">
        <v>49</v>
      </c>
      <c r="Z4502" s="360">
        <v>13</v>
      </c>
      <c r="AA4502" s="360">
        <v>470</v>
      </c>
      <c r="AB4502" s="360">
        <v>2.8</v>
      </c>
    </row>
    <row r="4503" spans="20:28" x14ac:dyDescent="0.2">
      <c r="T4503" s="358" t="str">
        <f t="shared" si="180"/>
        <v>2002AllSexMaori19Firearms and explosives</v>
      </c>
      <c r="U4503" s="360">
        <v>2002</v>
      </c>
      <c r="V4503" s="360" t="s">
        <v>17</v>
      </c>
      <c r="W4503" s="360" t="s">
        <v>18</v>
      </c>
      <c r="X4503" s="360">
        <v>19</v>
      </c>
      <c r="Y4503" s="360" t="s">
        <v>42</v>
      </c>
      <c r="Z4503" s="360">
        <v>4</v>
      </c>
      <c r="AA4503" s="360">
        <v>80</v>
      </c>
      <c r="AB4503" s="360">
        <v>5</v>
      </c>
    </row>
    <row r="4504" spans="20:28" x14ac:dyDescent="0.2">
      <c r="T4504" s="358" t="str">
        <f t="shared" si="180"/>
        <v>2002AllSexMaori19Hanging, strangulation and suffocation</v>
      </c>
      <c r="U4504" s="360">
        <v>2002</v>
      </c>
      <c r="V4504" s="360" t="s">
        <v>17</v>
      </c>
      <c r="W4504" s="360" t="s">
        <v>18</v>
      </c>
      <c r="X4504" s="360">
        <v>19</v>
      </c>
      <c r="Y4504" s="360" t="s">
        <v>43</v>
      </c>
      <c r="Z4504" s="360">
        <v>61</v>
      </c>
      <c r="AA4504" s="360">
        <v>80</v>
      </c>
      <c r="AB4504" s="360">
        <v>76.2</v>
      </c>
    </row>
    <row r="4505" spans="20:28" x14ac:dyDescent="0.2">
      <c r="T4505" s="358" t="str">
        <f t="shared" si="180"/>
        <v>2002AllSexMaori19Jumping from a high place</v>
      </c>
      <c r="U4505" s="360">
        <v>2002</v>
      </c>
      <c r="V4505" s="360" t="s">
        <v>17</v>
      </c>
      <c r="W4505" s="360" t="s">
        <v>18</v>
      </c>
      <c r="X4505" s="360">
        <v>19</v>
      </c>
      <c r="Y4505" s="360" t="s">
        <v>44</v>
      </c>
      <c r="Z4505" s="360">
        <v>1</v>
      </c>
      <c r="AA4505" s="360">
        <v>80</v>
      </c>
      <c r="AB4505" s="360">
        <v>1.2</v>
      </c>
    </row>
    <row r="4506" spans="20:28" x14ac:dyDescent="0.2">
      <c r="T4506" s="358" t="str">
        <f t="shared" si="180"/>
        <v>2002AllSexMaori19Poisoning by gases and vapours</v>
      </c>
      <c r="U4506" s="360">
        <v>2002</v>
      </c>
      <c r="V4506" s="360" t="s">
        <v>17</v>
      </c>
      <c r="W4506" s="360" t="s">
        <v>18</v>
      </c>
      <c r="X4506" s="360">
        <v>19</v>
      </c>
      <c r="Y4506" s="360" t="s">
        <v>46</v>
      </c>
      <c r="Z4506" s="360">
        <v>8</v>
      </c>
      <c r="AA4506" s="360">
        <v>80</v>
      </c>
      <c r="AB4506" s="360">
        <v>10</v>
      </c>
    </row>
    <row r="4507" spans="20:28" x14ac:dyDescent="0.2">
      <c r="T4507" s="358" t="str">
        <f t="shared" si="180"/>
        <v>2002AllSexMaori19Poisoning by solids and liquids</v>
      </c>
      <c r="U4507" s="360">
        <v>2002</v>
      </c>
      <c r="V4507" s="360" t="s">
        <v>17</v>
      </c>
      <c r="W4507" s="360" t="s">
        <v>18</v>
      </c>
      <c r="X4507" s="360">
        <v>19</v>
      </c>
      <c r="Y4507" s="360" t="s">
        <v>47</v>
      </c>
      <c r="Z4507" s="360">
        <v>5</v>
      </c>
      <c r="AA4507" s="360">
        <v>80</v>
      </c>
      <c r="AB4507" s="360">
        <v>6.2</v>
      </c>
    </row>
    <row r="4508" spans="20:28" x14ac:dyDescent="0.2">
      <c r="T4508" s="358" t="str">
        <f t="shared" si="180"/>
        <v>2002AllSexMaori19Sharp object</v>
      </c>
      <c r="U4508" s="360">
        <v>2002</v>
      </c>
      <c r="V4508" s="360" t="s">
        <v>17</v>
      </c>
      <c r="W4508" s="360" t="s">
        <v>18</v>
      </c>
      <c r="X4508" s="360">
        <v>19</v>
      </c>
      <c r="Y4508" s="360" t="s">
        <v>48</v>
      </c>
      <c r="Z4508" s="360">
        <v>1</v>
      </c>
      <c r="AA4508" s="360">
        <v>80</v>
      </c>
      <c r="AB4508" s="360">
        <v>1.2</v>
      </c>
    </row>
    <row r="4509" spans="20:28" x14ac:dyDescent="0.2">
      <c r="T4509" s="358" t="str">
        <f t="shared" si="180"/>
        <v>2002AllSexNon-Maori19Firearms and explosives</v>
      </c>
      <c r="U4509" s="360">
        <v>2002</v>
      </c>
      <c r="V4509" s="360" t="s">
        <v>17</v>
      </c>
      <c r="W4509" s="360" t="s">
        <v>19</v>
      </c>
      <c r="X4509" s="360">
        <v>19</v>
      </c>
      <c r="Y4509" s="360" t="s">
        <v>42</v>
      </c>
      <c r="Z4509" s="360">
        <v>45</v>
      </c>
      <c r="AA4509" s="360">
        <v>390</v>
      </c>
      <c r="AB4509" s="360">
        <v>11.5</v>
      </c>
    </row>
    <row r="4510" spans="20:28" x14ac:dyDescent="0.2">
      <c r="T4510" s="358" t="str">
        <f t="shared" si="180"/>
        <v>2002AllSexNon-Maori19Hanging, strangulation and suffocation</v>
      </c>
      <c r="U4510" s="360">
        <v>2002</v>
      </c>
      <c r="V4510" s="360" t="s">
        <v>17</v>
      </c>
      <c r="W4510" s="360" t="s">
        <v>19</v>
      </c>
      <c r="X4510" s="360">
        <v>19</v>
      </c>
      <c r="Y4510" s="360" t="s">
        <v>43</v>
      </c>
      <c r="Z4510" s="360">
        <v>161</v>
      </c>
      <c r="AA4510" s="360">
        <v>390</v>
      </c>
      <c r="AB4510" s="360">
        <v>41.3</v>
      </c>
    </row>
    <row r="4511" spans="20:28" x14ac:dyDescent="0.2">
      <c r="T4511" s="358" t="str">
        <f t="shared" si="180"/>
        <v>2002AllSexNon-Maori19Jumping from a high place</v>
      </c>
      <c r="U4511" s="360">
        <v>2002</v>
      </c>
      <c r="V4511" s="360" t="s">
        <v>17</v>
      </c>
      <c r="W4511" s="360" t="s">
        <v>19</v>
      </c>
      <c r="X4511" s="360">
        <v>19</v>
      </c>
      <c r="Y4511" s="360" t="s">
        <v>44</v>
      </c>
      <c r="Z4511" s="360">
        <v>18</v>
      </c>
      <c r="AA4511" s="360">
        <v>390</v>
      </c>
      <c r="AB4511" s="360">
        <v>4.5999999999999996</v>
      </c>
    </row>
    <row r="4512" spans="20:28" x14ac:dyDescent="0.2">
      <c r="T4512" s="358" t="str">
        <f t="shared" si="180"/>
        <v>2002AllSexNon-Maori19Other</v>
      </c>
      <c r="U4512" s="360">
        <v>2002</v>
      </c>
      <c r="V4512" s="360" t="s">
        <v>17</v>
      </c>
      <c r="W4512" s="360" t="s">
        <v>19</v>
      </c>
      <c r="X4512" s="360">
        <v>19</v>
      </c>
      <c r="Y4512" s="360" t="s">
        <v>45</v>
      </c>
      <c r="Z4512" s="360">
        <v>16</v>
      </c>
      <c r="AA4512" s="360">
        <v>390</v>
      </c>
      <c r="AB4512" s="360">
        <v>4.0999999999999996</v>
      </c>
    </row>
    <row r="4513" spans="20:28" x14ac:dyDescent="0.2">
      <c r="T4513" s="358" t="str">
        <f t="shared" si="180"/>
        <v>2002AllSexNon-Maori19Poisoning by gases and vapours</v>
      </c>
      <c r="U4513" s="360">
        <v>2002</v>
      </c>
      <c r="V4513" s="360" t="s">
        <v>17</v>
      </c>
      <c r="W4513" s="360" t="s">
        <v>19</v>
      </c>
      <c r="X4513" s="360">
        <v>19</v>
      </c>
      <c r="Y4513" s="360" t="s">
        <v>46</v>
      </c>
      <c r="Z4513" s="360">
        <v>91</v>
      </c>
      <c r="AA4513" s="360">
        <v>390</v>
      </c>
      <c r="AB4513" s="360">
        <v>23.3</v>
      </c>
    </row>
    <row r="4514" spans="20:28" x14ac:dyDescent="0.2">
      <c r="T4514" s="358" t="str">
        <f t="shared" si="180"/>
        <v>2002AllSexNon-Maori19Poisoning by solids and liquids</v>
      </c>
      <c r="U4514" s="360">
        <v>2002</v>
      </c>
      <c r="V4514" s="360" t="s">
        <v>17</v>
      </c>
      <c r="W4514" s="360" t="s">
        <v>19</v>
      </c>
      <c r="X4514" s="360">
        <v>19</v>
      </c>
      <c r="Y4514" s="360" t="s">
        <v>47</v>
      </c>
      <c r="Z4514" s="360">
        <v>42</v>
      </c>
      <c r="AA4514" s="360">
        <v>390</v>
      </c>
      <c r="AB4514" s="360">
        <v>10.8</v>
      </c>
    </row>
    <row r="4515" spans="20:28" x14ac:dyDescent="0.2">
      <c r="T4515" s="358" t="str">
        <f t="shared" si="180"/>
        <v>2002AllSexNon-Maori19Sharp object</v>
      </c>
      <c r="U4515" s="360">
        <v>2002</v>
      </c>
      <c r="V4515" s="360" t="s">
        <v>17</v>
      </c>
      <c r="W4515" s="360" t="s">
        <v>19</v>
      </c>
      <c r="X4515" s="360">
        <v>19</v>
      </c>
      <c r="Y4515" s="360" t="s">
        <v>48</v>
      </c>
      <c r="Z4515" s="360">
        <v>4</v>
      </c>
      <c r="AA4515" s="360">
        <v>390</v>
      </c>
      <c r="AB4515" s="360">
        <v>1</v>
      </c>
    </row>
    <row r="4516" spans="20:28" x14ac:dyDescent="0.2">
      <c r="T4516" s="358" t="str">
        <f t="shared" si="180"/>
        <v>2002AllSexNon-Maori19Submersion (drowning)</v>
      </c>
      <c r="U4516" s="360">
        <v>2002</v>
      </c>
      <c r="V4516" s="360" t="s">
        <v>17</v>
      </c>
      <c r="W4516" s="360" t="s">
        <v>19</v>
      </c>
      <c r="X4516" s="360">
        <v>19</v>
      </c>
      <c r="Y4516" s="360" t="s">
        <v>49</v>
      </c>
      <c r="Z4516" s="360">
        <v>13</v>
      </c>
      <c r="AA4516" s="360">
        <v>390</v>
      </c>
      <c r="AB4516" s="360">
        <v>3.3</v>
      </c>
    </row>
    <row r="4517" spans="20:28" x14ac:dyDescent="0.2">
      <c r="T4517" s="358" t="str">
        <f t="shared" si="180"/>
        <v>2002FemaleAllEth19Firearms and explosives</v>
      </c>
      <c r="U4517" s="360">
        <v>2002</v>
      </c>
      <c r="V4517" s="360" t="s">
        <v>8</v>
      </c>
      <c r="W4517" s="360" t="s">
        <v>27</v>
      </c>
      <c r="X4517" s="360">
        <v>19</v>
      </c>
      <c r="Y4517" s="360" t="s">
        <v>42</v>
      </c>
      <c r="Z4517" s="360">
        <v>3</v>
      </c>
      <c r="AA4517" s="360">
        <v>114</v>
      </c>
      <c r="AB4517" s="360">
        <v>2.6</v>
      </c>
    </row>
    <row r="4518" spans="20:28" x14ac:dyDescent="0.2">
      <c r="T4518" s="358" t="str">
        <f t="shared" si="180"/>
        <v>2002FemaleAllEth19Hanging, strangulation and suffocation</v>
      </c>
      <c r="U4518" s="360">
        <v>2002</v>
      </c>
      <c r="V4518" s="360" t="s">
        <v>8</v>
      </c>
      <c r="W4518" s="360" t="s">
        <v>27</v>
      </c>
      <c r="X4518" s="360">
        <v>19</v>
      </c>
      <c r="Y4518" s="360" t="s">
        <v>43</v>
      </c>
      <c r="Z4518" s="360">
        <v>51</v>
      </c>
      <c r="AA4518" s="360">
        <v>114</v>
      </c>
      <c r="AB4518" s="360">
        <v>44.7</v>
      </c>
    </row>
    <row r="4519" spans="20:28" x14ac:dyDescent="0.2">
      <c r="T4519" s="358" t="str">
        <f t="shared" si="180"/>
        <v>2002FemaleAllEth19Jumping from a high place</v>
      </c>
      <c r="U4519" s="360">
        <v>2002</v>
      </c>
      <c r="V4519" s="360" t="s">
        <v>8</v>
      </c>
      <c r="W4519" s="360" t="s">
        <v>27</v>
      </c>
      <c r="X4519" s="360">
        <v>19</v>
      </c>
      <c r="Y4519" s="360" t="s">
        <v>44</v>
      </c>
      <c r="Z4519" s="360">
        <v>7</v>
      </c>
      <c r="AA4519" s="360">
        <v>114</v>
      </c>
      <c r="AB4519" s="360">
        <v>6.1</v>
      </c>
    </row>
    <row r="4520" spans="20:28" x14ac:dyDescent="0.2">
      <c r="T4520" s="358" t="str">
        <f t="shared" si="180"/>
        <v>2002FemaleAllEth19Other</v>
      </c>
      <c r="U4520" s="360">
        <v>2002</v>
      </c>
      <c r="V4520" s="360" t="s">
        <v>8</v>
      </c>
      <c r="W4520" s="360" t="s">
        <v>27</v>
      </c>
      <c r="X4520" s="360">
        <v>19</v>
      </c>
      <c r="Y4520" s="360" t="s">
        <v>45</v>
      </c>
      <c r="Z4520" s="360">
        <v>4</v>
      </c>
      <c r="AA4520" s="360">
        <v>114</v>
      </c>
      <c r="AB4520" s="360">
        <v>3.5</v>
      </c>
    </row>
    <row r="4521" spans="20:28" x14ac:dyDescent="0.2">
      <c r="T4521" s="358" t="str">
        <f t="shared" si="180"/>
        <v>2002FemaleAllEth19Poisoning by gases and vapours</v>
      </c>
      <c r="U4521" s="360">
        <v>2002</v>
      </c>
      <c r="V4521" s="360" t="s">
        <v>8</v>
      </c>
      <c r="W4521" s="360" t="s">
        <v>27</v>
      </c>
      <c r="X4521" s="360">
        <v>19</v>
      </c>
      <c r="Y4521" s="360" t="s">
        <v>46</v>
      </c>
      <c r="Z4521" s="360">
        <v>21</v>
      </c>
      <c r="AA4521" s="360">
        <v>114</v>
      </c>
      <c r="AB4521" s="360">
        <v>18.399999999999999</v>
      </c>
    </row>
    <row r="4522" spans="20:28" x14ac:dyDescent="0.2">
      <c r="T4522" s="358" t="str">
        <f t="shared" si="180"/>
        <v>2002FemaleAllEth19Poisoning by solids and liquids</v>
      </c>
      <c r="U4522" s="360">
        <v>2002</v>
      </c>
      <c r="V4522" s="360" t="s">
        <v>8</v>
      </c>
      <c r="W4522" s="360" t="s">
        <v>27</v>
      </c>
      <c r="X4522" s="360">
        <v>19</v>
      </c>
      <c r="Y4522" s="360" t="s">
        <v>47</v>
      </c>
      <c r="Z4522" s="360">
        <v>23</v>
      </c>
      <c r="AA4522" s="360">
        <v>114</v>
      </c>
      <c r="AB4522" s="360">
        <v>20.2</v>
      </c>
    </row>
    <row r="4523" spans="20:28" x14ac:dyDescent="0.2">
      <c r="T4523" s="358" t="str">
        <f t="shared" si="180"/>
        <v>2002FemaleAllEth19Submersion (drowning)</v>
      </c>
      <c r="U4523" s="360">
        <v>2002</v>
      </c>
      <c r="V4523" s="360" t="s">
        <v>8</v>
      </c>
      <c r="W4523" s="360" t="s">
        <v>27</v>
      </c>
      <c r="X4523" s="360">
        <v>19</v>
      </c>
      <c r="Y4523" s="360" t="s">
        <v>49</v>
      </c>
      <c r="Z4523" s="360">
        <v>5</v>
      </c>
      <c r="AA4523" s="360">
        <v>114</v>
      </c>
      <c r="AB4523" s="360">
        <v>4.4000000000000004</v>
      </c>
    </row>
    <row r="4524" spans="20:28" x14ac:dyDescent="0.2">
      <c r="T4524" s="358" t="str">
        <f t="shared" si="180"/>
        <v>2002FemaleMaori19Hanging, strangulation and suffocation</v>
      </c>
      <c r="U4524" s="360">
        <v>2002</v>
      </c>
      <c r="V4524" s="360" t="s">
        <v>8</v>
      </c>
      <c r="W4524" s="360" t="s">
        <v>18</v>
      </c>
      <c r="X4524" s="360">
        <v>19</v>
      </c>
      <c r="Y4524" s="360" t="s">
        <v>43</v>
      </c>
      <c r="Z4524" s="360">
        <v>12</v>
      </c>
      <c r="AA4524" s="360">
        <v>20</v>
      </c>
      <c r="AB4524" s="360">
        <v>60</v>
      </c>
    </row>
    <row r="4525" spans="20:28" x14ac:dyDescent="0.2">
      <c r="T4525" s="358" t="str">
        <f t="shared" si="180"/>
        <v>2002FemaleMaori19Jumping from a high place</v>
      </c>
      <c r="U4525" s="360">
        <v>2002</v>
      </c>
      <c r="V4525" s="360" t="s">
        <v>8</v>
      </c>
      <c r="W4525" s="360" t="s">
        <v>18</v>
      </c>
      <c r="X4525" s="360">
        <v>19</v>
      </c>
      <c r="Y4525" s="360" t="s">
        <v>44</v>
      </c>
      <c r="Z4525" s="360">
        <v>1</v>
      </c>
      <c r="AA4525" s="360">
        <v>20</v>
      </c>
      <c r="AB4525" s="360">
        <v>5</v>
      </c>
    </row>
    <row r="4526" spans="20:28" x14ac:dyDescent="0.2">
      <c r="T4526" s="358" t="str">
        <f t="shared" si="180"/>
        <v>2002FemaleMaori19Poisoning by gases and vapours</v>
      </c>
      <c r="U4526" s="360">
        <v>2002</v>
      </c>
      <c r="V4526" s="360" t="s">
        <v>8</v>
      </c>
      <c r="W4526" s="360" t="s">
        <v>18</v>
      </c>
      <c r="X4526" s="360">
        <v>19</v>
      </c>
      <c r="Y4526" s="360" t="s">
        <v>46</v>
      </c>
      <c r="Z4526" s="360">
        <v>2</v>
      </c>
      <c r="AA4526" s="360">
        <v>20</v>
      </c>
      <c r="AB4526" s="360">
        <v>10</v>
      </c>
    </row>
    <row r="4527" spans="20:28" x14ac:dyDescent="0.2">
      <c r="T4527" s="358" t="str">
        <f t="shared" si="180"/>
        <v>2002FemaleMaori19Poisoning by solids and liquids</v>
      </c>
      <c r="U4527" s="360">
        <v>2002</v>
      </c>
      <c r="V4527" s="360" t="s">
        <v>8</v>
      </c>
      <c r="W4527" s="360" t="s">
        <v>18</v>
      </c>
      <c r="X4527" s="360">
        <v>19</v>
      </c>
      <c r="Y4527" s="360" t="s">
        <v>47</v>
      </c>
      <c r="Z4527" s="360">
        <v>5</v>
      </c>
      <c r="AA4527" s="360">
        <v>20</v>
      </c>
      <c r="AB4527" s="360">
        <v>25</v>
      </c>
    </row>
    <row r="4528" spans="20:28" x14ac:dyDescent="0.2">
      <c r="T4528" s="358" t="str">
        <f t="shared" si="180"/>
        <v>2002FemaleNon-Maori19Firearms and explosives</v>
      </c>
      <c r="U4528" s="360">
        <v>2002</v>
      </c>
      <c r="V4528" s="360" t="s">
        <v>8</v>
      </c>
      <c r="W4528" s="360" t="s">
        <v>19</v>
      </c>
      <c r="X4528" s="360">
        <v>19</v>
      </c>
      <c r="Y4528" s="360" t="s">
        <v>42</v>
      </c>
      <c r="Z4528" s="360">
        <v>3</v>
      </c>
      <c r="AA4528" s="360">
        <v>94</v>
      </c>
      <c r="AB4528" s="360">
        <v>3.2</v>
      </c>
    </row>
    <row r="4529" spans="20:28" x14ac:dyDescent="0.2">
      <c r="T4529" s="358" t="str">
        <f t="shared" si="180"/>
        <v>2002FemaleNon-Maori19Hanging, strangulation and suffocation</v>
      </c>
      <c r="U4529" s="360">
        <v>2002</v>
      </c>
      <c r="V4529" s="360" t="s">
        <v>8</v>
      </c>
      <c r="W4529" s="360" t="s">
        <v>19</v>
      </c>
      <c r="X4529" s="360">
        <v>19</v>
      </c>
      <c r="Y4529" s="360" t="s">
        <v>43</v>
      </c>
      <c r="Z4529" s="360">
        <v>39</v>
      </c>
      <c r="AA4529" s="360">
        <v>94</v>
      </c>
      <c r="AB4529" s="360">
        <v>41.5</v>
      </c>
    </row>
    <row r="4530" spans="20:28" x14ac:dyDescent="0.2">
      <c r="T4530" s="358" t="str">
        <f t="shared" si="180"/>
        <v>2002FemaleNon-Maori19Jumping from a high place</v>
      </c>
      <c r="U4530" s="360">
        <v>2002</v>
      </c>
      <c r="V4530" s="360" t="s">
        <v>8</v>
      </c>
      <c r="W4530" s="360" t="s">
        <v>19</v>
      </c>
      <c r="X4530" s="360">
        <v>19</v>
      </c>
      <c r="Y4530" s="360" t="s">
        <v>44</v>
      </c>
      <c r="Z4530" s="360">
        <v>6</v>
      </c>
      <c r="AA4530" s="360">
        <v>94</v>
      </c>
      <c r="AB4530" s="360">
        <v>6.4</v>
      </c>
    </row>
    <row r="4531" spans="20:28" x14ac:dyDescent="0.2">
      <c r="T4531" s="358" t="str">
        <f t="shared" si="180"/>
        <v>2002FemaleNon-Maori19Other</v>
      </c>
      <c r="U4531" s="360">
        <v>2002</v>
      </c>
      <c r="V4531" s="360" t="s">
        <v>8</v>
      </c>
      <c r="W4531" s="360" t="s">
        <v>19</v>
      </c>
      <c r="X4531" s="360">
        <v>19</v>
      </c>
      <c r="Y4531" s="360" t="s">
        <v>45</v>
      </c>
      <c r="Z4531" s="360">
        <v>4</v>
      </c>
      <c r="AA4531" s="360">
        <v>94</v>
      </c>
      <c r="AB4531" s="360">
        <v>4.3</v>
      </c>
    </row>
    <row r="4532" spans="20:28" x14ac:dyDescent="0.2">
      <c r="T4532" s="358" t="str">
        <f t="shared" si="180"/>
        <v>2002FemaleNon-Maori19Poisoning by gases and vapours</v>
      </c>
      <c r="U4532" s="360">
        <v>2002</v>
      </c>
      <c r="V4532" s="360" t="s">
        <v>8</v>
      </c>
      <c r="W4532" s="360" t="s">
        <v>19</v>
      </c>
      <c r="X4532" s="360">
        <v>19</v>
      </c>
      <c r="Y4532" s="360" t="s">
        <v>46</v>
      </c>
      <c r="Z4532" s="360">
        <v>19</v>
      </c>
      <c r="AA4532" s="360">
        <v>94</v>
      </c>
      <c r="AB4532" s="360">
        <v>20.2</v>
      </c>
    </row>
    <row r="4533" spans="20:28" x14ac:dyDescent="0.2">
      <c r="T4533" s="358" t="str">
        <f t="shared" si="180"/>
        <v>2002FemaleNon-Maori19Poisoning by solids and liquids</v>
      </c>
      <c r="U4533" s="360">
        <v>2002</v>
      </c>
      <c r="V4533" s="360" t="s">
        <v>8</v>
      </c>
      <c r="W4533" s="360" t="s">
        <v>19</v>
      </c>
      <c r="X4533" s="360">
        <v>19</v>
      </c>
      <c r="Y4533" s="360" t="s">
        <v>47</v>
      </c>
      <c r="Z4533" s="360">
        <v>18</v>
      </c>
      <c r="AA4533" s="360">
        <v>94</v>
      </c>
      <c r="AB4533" s="360">
        <v>19.100000000000001</v>
      </c>
    </row>
    <row r="4534" spans="20:28" x14ac:dyDescent="0.2">
      <c r="T4534" s="358" t="str">
        <f t="shared" si="180"/>
        <v>2002FemaleNon-Maori19Submersion (drowning)</v>
      </c>
      <c r="U4534" s="360">
        <v>2002</v>
      </c>
      <c r="V4534" s="360" t="s">
        <v>8</v>
      </c>
      <c r="W4534" s="360" t="s">
        <v>19</v>
      </c>
      <c r="X4534" s="360">
        <v>19</v>
      </c>
      <c r="Y4534" s="360" t="s">
        <v>49</v>
      </c>
      <c r="Z4534" s="360">
        <v>5</v>
      </c>
      <c r="AA4534" s="360">
        <v>94</v>
      </c>
      <c r="AB4534" s="360">
        <v>5.3</v>
      </c>
    </row>
    <row r="4535" spans="20:28" x14ac:dyDescent="0.2">
      <c r="T4535" s="358" t="str">
        <f t="shared" si="180"/>
        <v>2002MaleAllEth19Firearms and explosives</v>
      </c>
      <c r="U4535" s="360">
        <v>2002</v>
      </c>
      <c r="V4535" s="360" t="s">
        <v>20</v>
      </c>
      <c r="W4535" s="360" t="s">
        <v>27</v>
      </c>
      <c r="X4535" s="360">
        <v>19</v>
      </c>
      <c r="Y4535" s="360" t="s">
        <v>42</v>
      </c>
      <c r="Z4535" s="360">
        <v>46</v>
      </c>
      <c r="AA4535" s="360">
        <v>356</v>
      </c>
      <c r="AB4535" s="360">
        <v>12.9</v>
      </c>
    </row>
    <row r="4536" spans="20:28" x14ac:dyDescent="0.2">
      <c r="T4536" s="358" t="str">
        <f t="shared" si="180"/>
        <v>2002MaleAllEth19Hanging, strangulation and suffocation</v>
      </c>
      <c r="U4536" s="360">
        <v>2002</v>
      </c>
      <c r="V4536" s="360" t="s">
        <v>20</v>
      </c>
      <c r="W4536" s="360" t="s">
        <v>27</v>
      </c>
      <c r="X4536" s="360">
        <v>19</v>
      </c>
      <c r="Y4536" s="360" t="s">
        <v>43</v>
      </c>
      <c r="Z4536" s="360">
        <v>171</v>
      </c>
      <c r="AA4536" s="360">
        <v>356</v>
      </c>
      <c r="AB4536" s="360">
        <v>48</v>
      </c>
    </row>
    <row r="4537" spans="20:28" x14ac:dyDescent="0.2">
      <c r="T4537" s="358" t="str">
        <f t="shared" si="180"/>
        <v>2002MaleAllEth19Jumping from a high place</v>
      </c>
      <c r="U4537" s="360">
        <v>2002</v>
      </c>
      <c r="V4537" s="360" t="s">
        <v>20</v>
      </c>
      <c r="W4537" s="360" t="s">
        <v>27</v>
      </c>
      <c r="X4537" s="360">
        <v>19</v>
      </c>
      <c r="Y4537" s="360" t="s">
        <v>44</v>
      </c>
      <c r="Z4537" s="360">
        <v>12</v>
      </c>
      <c r="AA4537" s="360">
        <v>356</v>
      </c>
      <c r="AB4537" s="360">
        <v>3.4</v>
      </c>
    </row>
    <row r="4538" spans="20:28" x14ac:dyDescent="0.2">
      <c r="T4538" s="358" t="str">
        <f t="shared" si="180"/>
        <v>2002MaleAllEth19Other</v>
      </c>
      <c r="U4538" s="360">
        <v>2002</v>
      </c>
      <c r="V4538" s="360" t="s">
        <v>20</v>
      </c>
      <c r="W4538" s="360" t="s">
        <v>27</v>
      </c>
      <c r="X4538" s="360">
        <v>19</v>
      </c>
      <c r="Y4538" s="360" t="s">
        <v>45</v>
      </c>
      <c r="Z4538" s="360">
        <v>12</v>
      </c>
      <c r="AA4538" s="360">
        <v>356</v>
      </c>
      <c r="AB4538" s="360">
        <v>3.4</v>
      </c>
    </row>
    <row r="4539" spans="20:28" x14ac:dyDescent="0.2">
      <c r="T4539" s="358" t="str">
        <f t="shared" si="180"/>
        <v>2002MaleAllEth19Poisoning by gases and vapours</v>
      </c>
      <c r="U4539" s="360">
        <v>2002</v>
      </c>
      <c r="V4539" s="360" t="s">
        <v>20</v>
      </c>
      <c r="W4539" s="360" t="s">
        <v>27</v>
      </c>
      <c r="X4539" s="360">
        <v>19</v>
      </c>
      <c r="Y4539" s="360" t="s">
        <v>46</v>
      </c>
      <c r="Z4539" s="360">
        <v>78</v>
      </c>
      <c r="AA4539" s="360">
        <v>356</v>
      </c>
      <c r="AB4539" s="360">
        <v>21.9</v>
      </c>
    </row>
    <row r="4540" spans="20:28" x14ac:dyDescent="0.2">
      <c r="T4540" s="358" t="str">
        <f t="shared" si="180"/>
        <v>2002MaleAllEth19Poisoning by solids and liquids</v>
      </c>
      <c r="U4540" s="360">
        <v>2002</v>
      </c>
      <c r="V4540" s="360" t="s">
        <v>20</v>
      </c>
      <c r="W4540" s="360" t="s">
        <v>27</v>
      </c>
      <c r="X4540" s="360">
        <v>19</v>
      </c>
      <c r="Y4540" s="360" t="s">
        <v>47</v>
      </c>
      <c r="Z4540" s="360">
        <v>24</v>
      </c>
      <c r="AA4540" s="360">
        <v>356</v>
      </c>
      <c r="AB4540" s="360">
        <v>6.7</v>
      </c>
    </row>
    <row r="4541" spans="20:28" x14ac:dyDescent="0.2">
      <c r="T4541" s="358" t="str">
        <f t="shared" si="180"/>
        <v>2002MaleAllEth19Sharp object</v>
      </c>
      <c r="U4541" s="360">
        <v>2002</v>
      </c>
      <c r="V4541" s="360" t="s">
        <v>20</v>
      </c>
      <c r="W4541" s="360" t="s">
        <v>27</v>
      </c>
      <c r="X4541" s="360">
        <v>19</v>
      </c>
      <c r="Y4541" s="360" t="s">
        <v>48</v>
      </c>
      <c r="Z4541" s="360">
        <v>5</v>
      </c>
      <c r="AA4541" s="360">
        <v>356</v>
      </c>
      <c r="AB4541" s="360">
        <v>1.4</v>
      </c>
    </row>
    <row r="4542" spans="20:28" x14ac:dyDescent="0.2">
      <c r="T4542" s="358" t="str">
        <f t="shared" si="180"/>
        <v>2002MaleAllEth19Submersion (drowning)</v>
      </c>
      <c r="U4542" s="360">
        <v>2002</v>
      </c>
      <c r="V4542" s="360" t="s">
        <v>20</v>
      </c>
      <c r="W4542" s="360" t="s">
        <v>27</v>
      </c>
      <c r="X4542" s="360">
        <v>19</v>
      </c>
      <c r="Y4542" s="360" t="s">
        <v>49</v>
      </c>
      <c r="Z4542" s="360">
        <v>8</v>
      </c>
      <c r="AA4542" s="360">
        <v>356</v>
      </c>
      <c r="AB4542" s="360">
        <v>2.2000000000000002</v>
      </c>
    </row>
    <row r="4543" spans="20:28" x14ac:dyDescent="0.2">
      <c r="T4543" s="358" t="str">
        <f t="shared" si="180"/>
        <v>2002MaleMaori19Firearms and explosives</v>
      </c>
      <c r="U4543" s="360">
        <v>2002</v>
      </c>
      <c r="V4543" s="360" t="s">
        <v>20</v>
      </c>
      <c r="W4543" s="360" t="s">
        <v>18</v>
      </c>
      <c r="X4543" s="360">
        <v>19</v>
      </c>
      <c r="Y4543" s="360" t="s">
        <v>42</v>
      </c>
      <c r="Z4543" s="360">
        <v>4</v>
      </c>
      <c r="AA4543" s="360">
        <v>60</v>
      </c>
      <c r="AB4543" s="360">
        <v>6.7</v>
      </c>
    </row>
    <row r="4544" spans="20:28" x14ac:dyDescent="0.2">
      <c r="T4544" s="358" t="str">
        <f t="shared" si="180"/>
        <v>2002MaleMaori19Hanging, strangulation and suffocation</v>
      </c>
      <c r="U4544" s="360">
        <v>2002</v>
      </c>
      <c r="V4544" s="360" t="s">
        <v>20</v>
      </c>
      <c r="W4544" s="360" t="s">
        <v>18</v>
      </c>
      <c r="X4544" s="360">
        <v>19</v>
      </c>
      <c r="Y4544" s="360" t="s">
        <v>43</v>
      </c>
      <c r="Z4544" s="360">
        <v>49</v>
      </c>
      <c r="AA4544" s="360">
        <v>60</v>
      </c>
      <c r="AB4544" s="360">
        <v>81.7</v>
      </c>
    </row>
    <row r="4545" spans="20:28" x14ac:dyDescent="0.2">
      <c r="T4545" s="358" t="str">
        <f t="shared" si="180"/>
        <v>2002MaleMaori19Poisoning by gases and vapours</v>
      </c>
      <c r="U4545" s="360">
        <v>2002</v>
      </c>
      <c r="V4545" s="360" t="s">
        <v>20</v>
      </c>
      <c r="W4545" s="360" t="s">
        <v>18</v>
      </c>
      <c r="X4545" s="360">
        <v>19</v>
      </c>
      <c r="Y4545" s="360" t="s">
        <v>46</v>
      </c>
      <c r="Z4545" s="360">
        <v>6</v>
      </c>
      <c r="AA4545" s="360">
        <v>60</v>
      </c>
      <c r="AB4545" s="360">
        <v>10</v>
      </c>
    </row>
    <row r="4546" spans="20:28" x14ac:dyDescent="0.2">
      <c r="T4546" s="358" t="str">
        <f t="shared" si="180"/>
        <v>2002MaleMaori19Sharp object</v>
      </c>
      <c r="U4546" s="360">
        <v>2002</v>
      </c>
      <c r="V4546" s="360" t="s">
        <v>20</v>
      </c>
      <c r="W4546" s="360" t="s">
        <v>18</v>
      </c>
      <c r="X4546" s="360">
        <v>19</v>
      </c>
      <c r="Y4546" s="360" t="s">
        <v>48</v>
      </c>
      <c r="Z4546" s="360">
        <v>1</v>
      </c>
      <c r="AA4546" s="360">
        <v>60</v>
      </c>
      <c r="AB4546" s="360">
        <v>1.7</v>
      </c>
    </row>
    <row r="4547" spans="20:28" x14ac:dyDescent="0.2">
      <c r="T4547" s="358" t="str">
        <f t="shared" si="180"/>
        <v>2002MaleNon-Maori19Firearms and explosives</v>
      </c>
      <c r="U4547" s="360">
        <v>2002</v>
      </c>
      <c r="V4547" s="360" t="s">
        <v>20</v>
      </c>
      <c r="W4547" s="360" t="s">
        <v>19</v>
      </c>
      <c r="X4547" s="360">
        <v>19</v>
      </c>
      <c r="Y4547" s="360" t="s">
        <v>42</v>
      </c>
      <c r="Z4547" s="360">
        <v>42</v>
      </c>
      <c r="AA4547" s="360">
        <v>296</v>
      </c>
      <c r="AB4547" s="360">
        <v>14.2</v>
      </c>
    </row>
    <row r="4548" spans="20:28" x14ac:dyDescent="0.2">
      <c r="T4548" s="358" t="str">
        <f t="shared" si="180"/>
        <v>2002MaleNon-Maori19Hanging, strangulation and suffocation</v>
      </c>
      <c r="U4548" s="360">
        <v>2002</v>
      </c>
      <c r="V4548" s="360" t="s">
        <v>20</v>
      </c>
      <c r="W4548" s="360" t="s">
        <v>19</v>
      </c>
      <c r="X4548" s="360">
        <v>19</v>
      </c>
      <c r="Y4548" s="360" t="s">
        <v>43</v>
      </c>
      <c r="Z4548" s="360">
        <v>122</v>
      </c>
      <c r="AA4548" s="360">
        <v>296</v>
      </c>
      <c r="AB4548" s="360">
        <v>41.2</v>
      </c>
    </row>
    <row r="4549" spans="20:28" x14ac:dyDescent="0.2">
      <c r="T4549" s="358" t="str">
        <f t="shared" ref="T4549:T4612" si="181">U4549&amp;V4549&amp;W4549&amp;X4549&amp;Y4549</f>
        <v>2002MaleNon-Maori19Jumping from a high place</v>
      </c>
      <c r="U4549" s="360">
        <v>2002</v>
      </c>
      <c r="V4549" s="360" t="s">
        <v>20</v>
      </c>
      <c r="W4549" s="360" t="s">
        <v>19</v>
      </c>
      <c r="X4549" s="360">
        <v>19</v>
      </c>
      <c r="Y4549" s="360" t="s">
        <v>44</v>
      </c>
      <c r="Z4549" s="360">
        <v>12</v>
      </c>
      <c r="AA4549" s="360">
        <v>296</v>
      </c>
      <c r="AB4549" s="360">
        <v>4.0999999999999996</v>
      </c>
    </row>
    <row r="4550" spans="20:28" x14ac:dyDescent="0.2">
      <c r="T4550" s="358" t="str">
        <f t="shared" si="181"/>
        <v>2002MaleNon-Maori19Other</v>
      </c>
      <c r="U4550" s="360">
        <v>2002</v>
      </c>
      <c r="V4550" s="360" t="s">
        <v>20</v>
      </c>
      <c r="W4550" s="360" t="s">
        <v>19</v>
      </c>
      <c r="X4550" s="360">
        <v>19</v>
      </c>
      <c r="Y4550" s="360" t="s">
        <v>45</v>
      </c>
      <c r="Z4550" s="360">
        <v>12</v>
      </c>
      <c r="AA4550" s="360">
        <v>296</v>
      </c>
      <c r="AB4550" s="360">
        <v>4.0999999999999996</v>
      </c>
    </row>
    <row r="4551" spans="20:28" x14ac:dyDescent="0.2">
      <c r="T4551" s="358" t="str">
        <f t="shared" si="181"/>
        <v>2002MaleNon-Maori19Poisoning by gases and vapours</v>
      </c>
      <c r="U4551" s="360">
        <v>2002</v>
      </c>
      <c r="V4551" s="360" t="s">
        <v>20</v>
      </c>
      <c r="W4551" s="360" t="s">
        <v>19</v>
      </c>
      <c r="X4551" s="360">
        <v>19</v>
      </c>
      <c r="Y4551" s="360" t="s">
        <v>46</v>
      </c>
      <c r="Z4551" s="360">
        <v>72</v>
      </c>
      <c r="AA4551" s="360">
        <v>296</v>
      </c>
      <c r="AB4551" s="360">
        <v>24.3</v>
      </c>
    </row>
    <row r="4552" spans="20:28" x14ac:dyDescent="0.2">
      <c r="T4552" s="358" t="str">
        <f t="shared" si="181"/>
        <v>2002MaleNon-Maori19Poisoning by solids and liquids</v>
      </c>
      <c r="U4552" s="360">
        <v>2002</v>
      </c>
      <c r="V4552" s="360" t="s">
        <v>20</v>
      </c>
      <c r="W4552" s="360" t="s">
        <v>19</v>
      </c>
      <c r="X4552" s="360">
        <v>19</v>
      </c>
      <c r="Y4552" s="360" t="s">
        <v>47</v>
      </c>
      <c r="Z4552" s="360">
        <v>24</v>
      </c>
      <c r="AA4552" s="360">
        <v>296</v>
      </c>
      <c r="AB4552" s="360">
        <v>8.1</v>
      </c>
    </row>
    <row r="4553" spans="20:28" x14ac:dyDescent="0.2">
      <c r="T4553" s="358" t="str">
        <f t="shared" si="181"/>
        <v>2002MaleNon-Maori19Sharp object</v>
      </c>
      <c r="U4553" s="360">
        <v>2002</v>
      </c>
      <c r="V4553" s="360" t="s">
        <v>20</v>
      </c>
      <c r="W4553" s="360" t="s">
        <v>19</v>
      </c>
      <c r="X4553" s="360">
        <v>19</v>
      </c>
      <c r="Y4553" s="360" t="s">
        <v>48</v>
      </c>
      <c r="Z4553" s="360">
        <v>4</v>
      </c>
      <c r="AA4553" s="360">
        <v>296</v>
      </c>
      <c r="AB4553" s="360">
        <v>1.4</v>
      </c>
    </row>
    <row r="4554" spans="20:28" x14ac:dyDescent="0.2">
      <c r="T4554" s="358" t="str">
        <f t="shared" si="181"/>
        <v>2002MaleNon-Maori19Submersion (drowning)</v>
      </c>
      <c r="U4554" s="360">
        <v>2002</v>
      </c>
      <c r="V4554" s="360" t="s">
        <v>20</v>
      </c>
      <c r="W4554" s="360" t="s">
        <v>19</v>
      </c>
      <c r="X4554" s="360">
        <v>19</v>
      </c>
      <c r="Y4554" s="360" t="s">
        <v>49</v>
      </c>
      <c r="Z4554" s="360">
        <v>8</v>
      </c>
      <c r="AA4554" s="360">
        <v>296</v>
      </c>
      <c r="AB4554" s="360">
        <v>2.7</v>
      </c>
    </row>
    <row r="4555" spans="20:28" x14ac:dyDescent="0.2">
      <c r="T4555" s="358" t="str">
        <f t="shared" si="181"/>
        <v>2003AllSexAllEth19Firearms and explosives</v>
      </c>
      <c r="U4555" s="360">
        <v>2003</v>
      </c>
      <c r="V4555" s="360" t="s">
        <v>17</v>
      </c>
      <c r="W4555" s="360" t="s">
        <v>27</v>
      </c>
      <c r="X4555" s="360">
        <v>19</v>
      </c>
      <c r="Y4555" s="360" t="s">
        <v>42</v>
      </c>
      <c r="Z4555" s="360">
        <v>42</v>
      </c>
      <c r="AA4555" s="360">
        <v>522</v>
      </c>
      <c r="AB4555" s="360">
        <v>8</v>
      </c>
    </row>
    <row r="4556" spans="20:28" x14ac:dyDescent="0.2">
      <c r="T4556" s="358" t="str">
        <f t="shared" si="181"/>
        <v>2003AllSexAllEth19Hanging, strangulation and suffocation</v>
      </c>
      <c r="U4556" s="360">
        <v>2003</v>
      </c>
      <c r="V4556" s="360" t="s">
        <v>17</v>
      </c>
      <c r="W4556" s="360" t="s">
        <v>27</v>
      </c>
      <c r="X4556" s="360">
        <v>19</v>
      </c>
      <c r="Y4556" s="360" t="s">
        <v>43</v>
      </c>
      <c r="Z4556" s="360">
        <v>250</v>
      </c>
      <c r="AA4556" s="360">
        <v>522</v>
      </c>
      <c r="AB4556" s="360">
        <v>47.9</v>
      </c>
    </row>
    <row r="4557" spans="20:28" x14ac:dyDescent="0.2">
      <c r="T4557" s="358" t="str">
        <f t="shared" si="181"/>
        <v>2003AllSexAllEth19Jumping from a high place</v>
      </c>
      <c r="U4557" s="360">
        <v>2003</v>
      </c>
      <c r="V4557" s="360" t="s">
        <v>17</v>
      </c>
      <c r="W4557" s="360" t="s">
        <v>27</v>
      </c>
      <c r="X4557" s="360">
        <v>19</v>
      </c>
      <c r="Y4557" s="360" t="s">
        <v>44</v>
      </c>
      <c r="Z4557" s="360">
        <v>15</v>
      </c>
      <c r="AA4557" s="360">
        <v>522</v>
      </c>
      <c r="AB4557" s="360">
        <v>2.9</v>
      </c>
    </row>
    <row r="4558" spans="20:28" x14ac:dyDescent="0.2">
      <c r="T4558" s="358" t="str">
        <f t="shared" si="181"/>
        <v>2003AllSexAllEth19Other</v>
      </c>
      <c r="U4558" s="360">
        <v>2003</v>
      </c>
      <c r="V4558" s="360" t="s">
        <v>17</v>
      </c>
      <c r="W4558" s="360" t="s">
        <v>27</v>
      </c>
      <c r="X4558" s="360">
        <v>19</v>
      </c>
      <c r="Y4558" s="360" t="s">
        <v>45</v>
      </c>
      <c r="Z4558" s="360">
        <v>22</v>
      </c>
      <c r="AA4558" s="360">
        <v>522</v>
      </c>
      <c r="AB4558" s="360">
        <v>4.2</v>
      </c>
    </row>
    <row r="4559" spans="20:28" x14ac:dyDescent="0.2">
      <c r="T4559" s="358" t="str">
        <f t="shared" si="181"/>
        <v>2003AllSexAllEth19Poisoning by gases and vapours</v>
      </c>
      <c r="U4559" s="360">
        <v>2003</v>
      </c>
      <c r="V4559" s="360" t="s">
        <v>17</v>
      </c>
      <c r="W4559" s="360" t="s">
        <v>27</v>
      </c>
      <c r="X4559" s="360">
        <v>19</v>
      </c>
      <c r="Y4559" s="360" t="s">
        <v>46</v>
      </c>
      <c r="Z4559" s="360">
        <v>104</v>
      </c>
      <c r="AA4559" s="360">
        <v>522</v>
      </c>
      <c r="AB4559" s="360">
        <v>19.899999999999999</v>
      </c>
    </row>
    <row r="4560" spans="20:28" x14ac:dyDescent="0.2">
      <c r="T4560" s="358" t="str">
        <f t="shared" si="181"/>
        <v>2003AllSexAllEth19Poisoning by solids and liquids</v>
      </c>
      <c r="U4560" s="360">
        <v>2003</v>
      </c>
      <c r="V4560" s="360" t="s">
        <v>17</v>
      </c>
      <c r="W4560" s="360" t="s">
        <v>27</v>
      </c>
      <c r="X4560" s="360">
        <v>19</v>
      </c>
      <c r="Y4560" s="360" t="s">
        <v>47</v>
      </c>
      <c r="Z4560" s="360">
        <v>58</v>
      </c>
      <c r="AA4560" s="360">
        <v>522</v>
      </c>
      <c r="AB4560" s="360">
        <v>11.1</v>
      </c>
    </row>
    <row r="4561" spans="20:28" x14ac:dyDescent="0.2">
      <c r="T4561" s="358" t="str">
        <f t="shared" si="181"/>
        <v>2003AllSexAllEth19Sharp object</v>
      </c>
      <c r="U4561" s="360">
        <v>2003</v>
      </c>
      <c r="V4561" s="360" t="s">
        <v>17</v>
      </c>
      <c r="W4561" s="360" t="s">
        <v>27</v>
      </c>
      <c r="X4561" s="360">
        <v>19</v>
      </c>
      <c r="Y4561" s="360" t="s">
        <v>48</v>
      </c>
      <c r="Z4561" s="360">
        <v>18</v>
      </c>
      <c r="AA4561" s="360">
        <v>522</v>
      </c>
      <c r="AB4561" s="360">
        <v>3.4</v>
      </c>
    </row>
    <row r="4562" spans="20:28" x14ac:dyDescent="0.2">
      <c r="T4562" s="358" t="str">
        <f t="shared" si="181"/>
        <v>2003AllSexAllEth19Submersion (drowning)</v>
      </c>
      <c r="U4562" s="360">
        <v>2003</v>
      </c>
      <c r="V4562" s="360" t="s">
        <v>17</v>
      </c>
      <c r="W4562" s="360" t="s">
        <v>27</v>
      </c>
      <c r="X4562" s="360">
        <v>19</v>
      </c>
      <c r="Y4562" s="360" t="s">
        <v>49</v>
      </c>
      <c r="Z4562" s="360">
        <v>13</v>
      </c>
      <c r="AA4562" s="360">
        <v>522</v>
      </c>
      <c r="AB4562" s="360">
        <v>2.5</v>
      </c>
    </row>
    <row r="4563" spans="20:28" x14ac:dyDescent="0.2">
      <c r="T4563" s="358" t="str">
        <f t="shared" si="181"/>
        <v>2003AllSexMaori19Firearms and explosives</v>
      </c>
      <c r="U4563" s="360">
        <v>2003</v>
      </c>
      <c r="V4563" s="360" t="s">
        <v>17</v>
      </c>
      <c r="W4563" s="360" t="s">
        <v>18</v>
      </c>
      <c r="X4563" s="360">
        <v>19</v>
      </c>
      <c r="Y4563" s="360" t="s">
        <v>42</v>
      </c>
      <c r="Z4563" s="360">
        <v>4</v>
      </c>
      <c r="AA4563" s="360">
        <v>87</v>
      </c>
      <c r="AB4563" s="360">
        <v>4.5999999999999996</v>
      </c>
    </row>
    <row r="4564" spans="20:28" x14ac:dyDescent="0.2">
      <c r="T4564" s="358" t="str">
        <f t="shared" si="181"/>
        <v>2003AllSexMaori19Hanging, strangulation and suffocation</v>
      </c>
      <c r="U4564" s="360">
        <v>2003</v>
      </c>
      <c r="V4564" s="360" t="s">
        <v>17</v>
      </c>
      <c r="W4564" s="360" t="s">
        <v>18</v>
      </c>
      <c r="X4564" s="360">
        <v>19</v>
      </c>
      <c r="Y4564" s="360" t="s">
        <v>43</v>
      </c>
      <c r="Z4564" s="360">
        <v>68</v>
      </c>
      <c r="AA4564" s="360">
        <v>87</v>
      </c>
      <c r="AB4564" s="360">
        <v>78.2</v>
      </c>
    </row>
    <row r="4565" spans="20:28" x14ac:dyDescent="0.2">
      <c r="T4565" s="358" t="str">
        <f t="shared" si="181"/>
        <v>2003AllSexMaori19Jumping from a high place</v>
      </c>
      <c r="U4565" s="360">
        <v>2003</v>
      </c>
      <c r="V4565" s="360" t="s">
        <v>17</v>
      </c>
      <c r="W4565" s="360" t="s">
        <v>18</v>
      </c>
      <c r="X4565" s="360">
        <v>19</v>
      </c>
      <c r="Y4565" s="360" t="s">
        <v>44</v>
      </c>
      <c r="Z4565" s="360">
        <v>4</v>
      </c>
      <c r="AA4565" s="360">
        <v>87</v>
      </c>
      <c r="AB4565" s="360">
        <v>4.5999999999999996</v>
      </c>
    </row>
    <row r="4566" spans="20:28" x14ac:dyDescent="0.2">
      <c r="T4566" s="358" t="str">
        <f t="shared" si="181"/>
        <v>2003AllSexMaori19Other</v>
      </c>
      <c r="U4566" s="360">
        <v>2003</v>
      </c>
      <c r="V4566" s="360" t="s">
        <v>17</v>
      </c>
      <c r="W4566" s="360" t="s">
        <v>18</v>
      </c>
      <c r="X4566" s="360">
        <v>19</v>
      </c>
      <c r="Y4566" s="360" t="s">
        <v>45</v>
      </c>
      <c r="Z4566" s="360">
        <v>2</v>
      </c>
      <c r="AA4566" s="360">
        <v>87</v>
      </c>
      <c r="AB4566" s="360">
        <v>2.2999999999999998</v>
      </c>
    </row>
    <row r="4567" spans="20:28" x14ac:dyDescent="0.2">
      <c r="T4567" s="358" t="str">
        <f t="shared" si="181"/>
        <v>2003AllSexMaori19Poisoning by gases and vapours</v>
      </c>
      <c r="U4567" s="360">
        <v>2003</v>
      </c>
      <c r="V4567" s="360" t="s">
        <v>17</v>
      </c>
      <c r="W4567" s="360" t="s">
        <v>18</v>
      </c>
      <c r="X4567" s="360">
        <v>19</v>
      </c>
      <c r="Y4567" s="360" t="s">
        <v>46</v>
      </c>
      <c r="Z4567" s="360">
        <v>7</v>
      </c>
      <c r="AA4567" s="360">
        <v>87</v>
      </c>
      <c r="AB4567" s="360">
        <v>8</v>
      </c>
    </row>
    <row r="4568" spans="20:28" x14ac:dyDescent="0.2">
      <c r="T4568" s="358" t="str">
        <f t="shared" si="181"/>
        <v>2003AllSexMaori19Poisoning by solids and liquids</v>
      </c>
      <c r="U4568" s="360">
        <v>2003</v>
      </c>
      <c r="V4568" s="360" t="s">
        <v>17</v>
      </c>
      <c r="W4568" s="360" t="s">
        <v>18</v>
      </c>
      <c r="X4568" s="360">
        <v>19</v>
      </c>
      <c r="Y4568" s="360" t="s">
        <v>47</v>
      </c>
      <c r="Z4568" s="360">
        <v>1</v>
      </c>
      <c r="AA4568" s="360">
        <v>87</v>
      </c>
      <c r="AB4568" s="360">
        <v>1.1000000000000001</v>
      </c>
    </row>
    <row r="4569" spans="20:28" x14ac:dyDescent="0.2">
      <c r="T4569" s="358" t="str">
        <f t="shared" si="181"/>
        <v>2003AllSexMaori19Sharp object</v>
      </c>
      <c r="U4569" s="360">
        <v>2003</v>
      </c>
      <c r="V4569" s="360" t="s">
        <v>17</v>
      </c>
      <c r="W4569" s="360" t="s">
        <v>18</v>
      </c>
      <c r="X4569" s="360">
        <v>19</v>
      </c>
      <c r="Y4569" s="360" t="s">
        <v>48</v>
      </c>
      <c r="Z4569" s="360">
        <v>1</v>
      </c>
      <c r="AA4569" s="360">
        <v>87</v>
      </c>
      <c r="AB4569" s="360">
        <v>1.1000000000000001</v>
      </c>
    </row>
    <row r="4570" spans="20:28" x14ac:dyDescent="0.2">
      <c r="T4570" s="358" t="str">
        <f t="shared" si="181"/>
        <v>2003AllSexNon-Maori19Firearms and explosives</v>
      </c>
      <c r="U4570" s="360">
        <v>2003</v>
      </c>
      <c r="V4570" s="360" t="s">
        <v>17</v>
      </c>
      <c r="W4570" s="360" t="s">
        <v>19</v>
      </c>
      <c r="X4570" s="360">
        <v>19</v>
      </c>
      <c r="Y4570" s="360" t="s">
        <v>42</v>
      </c>
      <c r="Z4570" s="360">
        <v>38</v>
      </c>
      <c r="AA4570" s="360">
        <v>435</v>
      </c>
      <c r="AB4570" s="360">
        <v>8.6999999999999993</v>
      </c>
    </row>
    <row r="4571" spans="20:28" x14ac:dyDescent="0.2">
      <c r="T4571" s="358" t="str">
        <f t="shared" si="181"/>
        <v>2003AllSexNon-Maori19Hanging, strangulation and suffocation</v>
      </c>
      <c r="U4571" s="360">
        <v>2003</v>
      </c>
      <c r="V4571" s="360" t="s">
        <v>17</v>
      </c>
      <c r="W4571" s="360" t="s">
        <v>19</v>
      </c>
      <c r="X4571" s="360">
        <v>19</v>
      </c>
      <c r="Y4571" s="360" t="s">
        <v>43</v>
      </c>
      <c r="Z4571" s="360">
        <v>182</v>
      </c>
      <c r="AA4571" s="360">
        <v>435</v>
      </c>
      <c r="AB4571" s="360">
        <v>41.8</v>
      </c>
    </row>
    <row r="4572" spans="20:28" x14ac:dyDescent="0.2">
      <c r="T4572" s="358" t="str">
        <f t="shared" si="181"/>
        <v>2003AllSexNon-Maori19Jumping from a high place</v>
      </c>
      <c r="U4572" s="360">
        <v>2003</v>
      </c>
      <c r="V4572" s="360" t="s">
        <v>17</v>
      </c>
      <c r="W4572" s="360" t="s">
        <v>19</v>
      </c>
      <c r="X4572" s="360">
        <v>19</v>
      </c>
      <c r="Y4572" s="360" t="s">
        <v>44</v>
      </c>
      <c r="Z4572" s="360">
        <v>11</v>
      </c>
      <c r="AA4572" s="360">
        <v>435</v>
      </c>
      <c r="AB4572" s="360">
        <v>2.5</v>
      </c>
    </row>
    <row r="4573" spans="20:28" x14ac:dyDescent="0.2">
      <c r="T4573" s="358" t="str">
        <f t="shared" si="181"/>
        <v>2003AllSexNon-Maori19Other</v>
      </c>
      <c r="U4573" s="360">
        <v>2003</v>
      </c>
      <c r="V4573" s="360" t="s">
        <v>17</v>
      </c>
      <c r="W4573" s="360" t="s">
        <v>19</v>
      </c>
      <c r="X4573" s="360">
        <v>19</v>
      </c>
      <c r="Y4573" s="360" t="s">
        <v>45</v>
      </c>
      <c r="Z4573" s="360">
        <v>20</v>
      </c>
      <c r="AA4573" s="360">
        <v>435</v>
      </c>
      <c r="AB4573" s="360">
        <v>4.5999999999999996</v>
      </c>
    </row>
    <row r="4574" spans="20:28" x14ac:dyDescent="0.2">
      <c r="T4574" s="358" t="str">
        <f t="shared" si="181"/>
        <v>2003AllSexNon-Maori19Poisoning by gases and vapours</v>
      </c>
      <c r="U4574" s="360">
        <v>2003</v>
      </c>
      <c r="V4574" s="360" t="s">
        <v>17</v>
      </c>
      <c r="W4574" s="360" t="s">
        <v>19</v>
      </c>
      <c r="X4574" s="360">
        <v>19</v>
      </c>
      <c r="Y4574" s="360" t="s">
        <v>46</v>
      </c>
      <c r="Z4574" s="360">
        <v>97</v>
      </c>
      <c r="AA4574" s="360">
        <v>435</v>
      </c>
      <c r="AB4574" s="360">
        <v>22.3</v>
      </c>
    </row>
    <row r="4575" spans="20:28" x14ac:dyDescent="0.2">
      <c r="T4575" s="358" t="str">
        <f t="shared" si="181"/>
        <v>2003AllSexNon-Maori19Poisoning by solids and liquids</v>
      </c>
      <c r="U4575" s="360">
        <v>2003</v>
      </c>
      <c r="V4575" s="360" t="s">
        <v>17</v>
      </c>
      <c r="W4575" s="360" t="s">
        <v>19</v>
      </c>
      <c r="X4575" s="360">
        <v>19</v>
      </c>
      <c r="Y4575" s="360" t="s">
        <v>47</v>
      </c>
      <c r="Z4575" s="360">
        <v>57</v>
      </c>
      <c r="AA4575" s="360">
        <v>435</v>
      </c>
      <c r="AB4575" s="360">
        <v>13.1</v>
      </c>
    </row>
    <row r="4576" spans="20:28" x14ac:dyDescent="0.2">
      <c r="T4576" s="358" t="str">
        <f t="shared" si="181"/>
        <v>2003AllSexNon-Maori19Sharp object</v>
      </c>
      <c r="U4576" s="360">
        <v>2003</v>
      </c>
      <c r="V4576" s="360" t="s">
        <v>17</v>
      </c>
      <c r="W4576" s="360" t="s">
        <v>19</v>
      </c>
      <c r="X4576" s="360">
        <v>19</v>
      </c>
      <c r="Y4576" s="360" t="s">
        <v>48</v>
      </c>
      <c r="Z4576" s="360">
        <v>17</v>
      </c>
      <c r="AA4576" s="360">
        <v>435</v>
      </c>
      <c r="AB4576" s="360">
        <v>3.9</v>
      </c>
    </row>
    <row r="4577" spans="20:28" x14ac:dyDescent="0.2">
      <c r="T4577" s="358" t="str">
        <f t="shared" si="181"/>
        <v>2003AllSexNon-Maori19Submersion (drowning)</v>
      </c>
      <c r="U4577" s="360">
        <v>2003</v>
      </c>
      <c r="V4577" s="360" t="s">
        <v>17</v>
      </c>
      <c r="W4577" s="360" t="s">
        <v>19</v>
      </c>
      <c r="X4577" s="360">
        <v>19</v>
      </c>
      <c r="Y4577" s="360" t="s">
        <v>49</v>
      </c>
      <c r="Z4577" s="360">
        <v>13</v>
      </c>
      <c r="AA4577" s="360">
        <v>435</v>
      </c>
      <c r="AB4577" s="360">
        <v>3</v>
      </c>
    </row>
    <row r="4578" spans="20:28" x14ac:dyDescent="0.2">
      <c r="T4578" s="358" t="str">
        <f t="shared" si="181"/>
        <v>2003FemaleAllEth19Firearms and explosives</v>
      </c>
      <c r="U4578" s="360">
        <v>2003</v>
      </c>
      <c r="V4578" s="360" t="s">
        <v>8</v>
      </c>
      <c r="W4578" s="360" t="s">
        <v>27</v>
      </c>
      <c r="X4578" s="360">
        <v>19</v>
      </c>
      <c r="Y4578" s="360" t="s">
        <v>42</v>
      </c>
      <c r="Z4578" s="360">
        <v>4</v>
      </c>
      <c r="AA4578" s="360">
        <v>142</v>
      </c>
      <c r="AB4578" s="360">
        <v>2.8</v>
      </c>
    </row>
    <row r="4579" spans="20:28" x14ac:dyDescent="0.2">
      <c r="T4579" s="358" t="str">
        <f t="shared" si="181"/>
        <v>2003FemaleAllEth19Hanging, strangulation and suffocation</v>
      </c>
      <c r="U4579" s="360">
        <v>2003</v>
      </c>
      <c r="V4579" s="360" t="s">
        <v>8</v>
      </c>
      <c r="W4579" s="360" t="s">
        <v>27</v>
      </c>
      <c r="X4579" s="360">
        <v>19</v>
      </c>
      <c r="Y4579" s="360" t="s">
        <v>43</v>
      </c>
      <c r="Z4579" s="360">
        <v>62</v>
      </c>
      <c r="AA4579" s="360">
        <v>142</v>
      </c>
      <c r="AB4579" s="360">
        <v>43.7</v>
      </c>
    </row>
    <row r="4580" spans="20:28" x14ac:dyDescent="0.2">
      <c r="T4580" s="358" t="str">
        <f t="shared" si="181"/>
        <v>2003FemaleAllEth19Jumping from a high place</v>
      </c>
      <c r="U4580" s="360">
        <v>2003</v>
      </c>
      <c r="V4580" s="360" t="s">
        <v>8</v>
      </c>
      <c r="W4580" s="360" t="s">
        <v>27</v>
      </c>
      <c r="X4580" s="360">
        <v>19</v>
      </c>
      <c r="Y4580" s="360" t="s">
        <v>44</v>
      </c>
      <c r="Z4580" s="360">
        <v>8</v>
      </c>
      <c r="AA4580" s="360">
        <v>142</v>
      </c>
      <c r="AB4580" s="360">
        <v>5.6</v>
      </c>
    </row>
    <row r="4581" spans="20:28" x14ac:dyDescent="0.2">
      <c r="T4581" s="358" t="str">
        <f t="shared" si="181"/>
        <v>2003FemaleAllEth19Other</v>
      </c>
      <c r="U4581" s="360">
        <v>2003</v>
      </c>
      <c r="V4581" s="360" t="s">
        <v>8</v>
      </c>
      <c r="W4581" s="360" t="s">
        <v>27</v>
      </c>
      <c r="X4581" s="360">
        <v>19</v>
      </c>
      <c r="Y4581" s="360" t="s">
        <v>45</v>
      </c>
      <c r="Z4581" s="360">
        <v>2</v>
      </c>
      <c r="AA4581" s="360">
        <v>142</v>
      </c>
      <c r="AB4581" s="360">
        <v>1.4</v>
      </c>
    </row>
    <row r="4582" spans="20:28" x14ac:dyDescent="0.2">
      <c r="T4582" s="358" t="str">
        <f t="shared" si="181"/>
        <v>2003FemaleAllEth19Poisoning by gases and vapours</v>
      </c>
      <c r="U4582" s="360">
        <v>2003</v>
      </c>
      <c r="V4582" s="360" t="s">
        <v>8</v>
      </c>
      <c r="W4582" s="360" t="s">
        <v>27</v>
      </c>
      <c r="X4582" s="360">
        <v>19</v>
      </c>
      <c r="Y4582" s="360" t="s">
        <v>46</v>
      </c>
      <c r="Z4582" s="360">
        <v>29</v>
      </c>
      <c r="AA4582" s="360">
        <v>142</v>
      </c>
      <c r="AB4582" s="360">
        <v>20.399999999999999</v>
      </c>
    </row>
    <row r="4583" spans="20:28" x14ac:dyDescent="0.2">
      <c r="T4583" s="358" t="str">
        <f t="shared" si="181"/>
        <v>2003FemaleAllEth19Poisoning by solids and liquids</v>
      </c>
      <c r="U4583" s="360">
        <v>2003</v>
      </c>
      <c r="V4583" s="360" t="s">
        <v>8</v>
      </c>
      <c r="W4583" s="360" t="s">
        <v>27</v>
      </c>
      <c r="X4583" s="360">
        <v>19</v>
      </c>
      <c r="Y4583" s="360" t="s">
        <v>47</v>
      </c>
      <c r="Z4583" s="360">
        <v>26</v>
      </c>
      <c r="AA4583" s="360">
        <v>142</v>
      </c>
      <c r="AB4583" s="360">
        <v>18.3</v>
      </c>
    </row>
    <row r="4584" spans="20:28" x14ac:dyDescent="0.2">
      <c r="T4584" s="358" t="str">
        <f t="shared" si="181"/>
        <v>2003FemaleAllEth19Sharp object</v>
      </c>
      <c r="U4584" s="360">
        <v>2003</v>
      </c>
      <c r="V4584" s="360" t="s">
        <v>8</v>
      </c>
      <c r="W4584" s="360" t="s">
        <v>27</v>
      </c>
      <c r="X4584" s="360">
        <v>19</v>
      </c>
      <c r="Y4584" s="360" t="s">
        <v>48</v>
      </c>
      <c r="Z4584" s="360">
        <v>4</v>
      </c>
      <c r="AA4584" s="360">
        <v>142</v>
      </c>
      <c r="AB4584" s="360">
        <v>2.8</v>
      </c>
    </row>
    <row r="4585" spans="20:28" x14ac:dyDescent="0.2">
      <c r="T4585" s="358" t="str">
        <f t="shared" si="181"/>
        <v>2003FemaleAllEth19Submersion (drowning)</v>
      </c>
      <c r="U4585" s="360">
        <v>2003</v>
      </c>
      <c r="V4585" s="360" t="s">
        <v>8</v>
      </c>
      <c r="W4585" s="360" t="s">
        <v>27</v>
      </c>
      <c r="X4585" s="360">
        <v>19</v>
      </c>
      <c r="Y4585" s="360" t="s">
        <v>49</v>
      </c>
      <c r="Z4585" s="360">
        <v>7</v>
      </c>
      <c r="AA4585" s="360">
        <v>142</v>
      </c>
      <c r="AB4585" s="360">
        <v>4.9000000000000004</v>
      </c>
    </row>
    <row r="4586" spans="20:28" x14ac:dyDescent="0.2">
      <c r="T4586" s="358" t="str">
        <f t="shared" si="181"/>
        <v>2003FemaleMaori19Hanging, strangulation and suffocation</v>
      </c>
      <c r="U4586" s="360">
        <v>2003</v>
      </c>
      <c r="V4586" s="360" t="s">
        <v>8</v>
      </c>
      <c r="W4586" s="360" t="s">
        <v>18</v>
      </c>
      <c r="X4586" s="360">
        <v>19</v>
      </c>
      <c r="Y4586" s="360" t="s">
        <v>43</v>
      </c>
      <c r="Z4586" s="360">
        <v>15</v>
      </c>
      <c r="AA4586" s="360">
        <v>20</v>
      </c>
      <c r="AB4586" s="360">
        <v>75</v>
      </c>
    </row>
    <row r="4587" spans="20:28" x14ac:dyDescent="0.2">
      <c r="T4587" s="358" t="str">
        <f t="shared" si="181"/>
        <v>2003FemaleMaori19Jumping from a high place</v>
      </c>
      <c r="U4587" s="360">
        <v>2003</v>
      </c>
      <c r="V4587" s="360" t="s">
        <v>8</v>
      </c>
      <c r="W4587" s="360" t="s">
        <v>18</v>
      </c>
      <c r="X4587" s="360">
        <v>19</v>
      </c>
      <c r="Y4587" s="360" t="s">
        <v>44</v>
      </c>
      <c r="Z4587" s="360">
        <v>2</v>
      </c>
      <c r="AA4587" s="360">
        <v>20</v>
      </c>
      <c r="AB4587" s="360">
        <v>10</v>
      </c>
    </row>
    <row r="4588" spans="20:28" x14ac:dyDescent="0.2">
      <c r="T4588" s="358" t="str">
        <f t="shared" si="181"/>
        <v>2003FemaleMaori19Poisoning by gases and vapours</v>
      </c>
      <c r="U4588" s="360">
        <v>2003</v>
      </c>
      <c r="V4588" s="360" t="s">
        <v>8</v>
      </c>
      <c r="W4588" s="360" t="s">
        <v>18</v>
      </c>
      <c r="X4588" s="360">
        <v>19</v>
      </c>
      <c r="Y4588" s="360" t="s">
        <v>46</v>
      </c>
      <c r="Z4588" s="360">
        <v>3</v>
      </c>
      <c r="AA4588" s="360">
        <v>20</v>
      </c>
      <c r="AB4588" s="360">
        <v>15</v>
      </c>
    </row>
    <row r="4589" spans="20:28" x14ac:dyDescent="0.2">
      <c r="T4589" s="358" t="str">
        <f t="shared" si="181"/>
        <v>2003FemaleNon-Maori19Firearms and explosives</v>
      </c>
      <c r="U4589" s="360">
        <v>2003</v>
      </c>
      <c r="V4589" s="360" t="s">
        <v>8</v>
      </c>
      <c r="W4589" s="360" t="s">
        <v>19</v>
      </c>
      <c r="X4589" s="360">
        <v>19</v>
      </c>
      <c r="Y4589" s="360" t="s">
        <v>42</v>
      </c>
      <c r="Z4589" s="360">
        <v>4</v>
      </c>
      <c r="AA4589" s="360">
        <v>122</v>
      </c>
      <c r="AB4589" s="360">
        <v>3.3</v>
      </c>
    </row>
    <row r="4590" spans="20:28" x14ac:dyDescent="0.2">
      <c r="T4590" s="358" t="str">
        <f t="shared" si="181"/>
        <v>2003FemaleNon-Maori19Hanging, strangulation and suffocation</v>
      </c>
      <c r="U4590" s="360">
        <v>2003</v>
      </c>
      <c r="V4590" s="360" t="s">
        <v>8</v>
      </c>
      <c r="W4590" s="360" t="s">
        <v>19</v>
      </c>
      <c r="X4590" s="360">
        <v>19</v>
      </c>
      <c r="Y4590" s="360" t="s">
        <v>43</v>
      </c>
      <c r="Z4590" s="360">
        <v>47</v>
      </c>
      <c r="AA4590" s="360">
        <v>122</v>
      </c>
      <c r="AB4590" s="360">
        <v>38.5</v>
      </c>
    </row>
    <row r="4591" spans="20:28" x14ac:dyDescent="0.2">
      <c r="T4591" s="358" t="str">
        <f t="shared" si="181"/>
        <v>2003FemaleNon-Maori19Jumping from a high place</v>
      </c>
      <c r="U4591" s="360">
        <v>2003</v>
      </c>
      <c r="V4591" s="360" t="s">
        <v>8</v>
      </c>
      <c r="W4591" s="360" t="s">
        <v>19</v>
      </c>
      <c r="X4591" s="360">
        <v>19</v>
      </c>
      <c r="Y4591" s="360" t="s">
        <v>44</v>
      </c>
      <c r="Z4591" s="360">
        <v>6</v>
      </c>
      <c r="AA4591" s="360">
        <v>122</v>
      </c>
      <c r="AB4591" s="360">
        <v>4.9000000000000004</v>
      </c>
    </row>
    <row r="4592" spans="20:28" x14ac:dyDescent="0.2">
      <c r="T4592" s="358" t="str">
        <f t="shared" si="181"/>
        <v>2003FemaleNon-Maori19Other</v>
      </c>
      <c r="U4592" s="360">
        <v>2003</v>
      </c>
      <c r="V4592" s="360" t="s">
        <v>8</v>
      </c>
      <c r="W4592" s="360" t="s">
        <v>19</v>
      </c>
      <c r="X4592" s="360">
        <v>19</v>
      </c>
      <c r="Y4592" s="360" t="s">
        <v>45</v>
      </c>
      <c r="Z4592" s="360">
        <v>2</v>
      </c>
      <c r="AA4592" s="360">
        <v>122</v>
      </c>
      <c r="AB4592" s="360">
        <v>1.6</v>
      </c>
    </row>
    <row r="4593" spans="20:28" x14ac:dyDescent="0.2">
      <c r="T4593" s="358" t="str">
        <f t="shared" si="181"/>
        <v>2003FemaleNon-Maori19Poisoning by gases and vapours</v>
      </c>
      <c r="U4593" s="360">
        <v>2003</v>
      </c>
      <c r="V4593" s="360" t="s">
        <v>8</v>
      </c>
      <c r="W4593" s="360" t="s">
        <v>19</v>
      </c>
      <c r="X4593" s="360">
        <v>19</v>
      </c>
      <c r="Y4593" s="360" t="s">
        <v>46</v>
      </c>
      <c r="Z4593" s="360">
        <v>26</v>
      </c>
      <c r="AA4593" s="360">
        <v>122</v>
      </c>
      <c r="AB4593" s="360">
        <v>21.3</v>
      </c>
    </row>
    <row r="4594" spans="20:28" x14ac:dyDescent="0.2">
      <c r="T4594" s="358" t="str">
        <f t="shared" si="181"/>
        <v>2003FemaleNon-Maori19Poisoning by solids and liquids</v>
      </c>
      <c r="U4594" s="360">
        <v>2003</v>
      </c>
      <c r="V4594" s="360" t="s">
        <v>8</v>
      </c>
      <c r="W4594" s="360" t="s">
        <v>19</v>
      </c>
      <c r="X4594" s="360">
        <v>19</v>
      </c>
      <c r="Y4594" s="360" t="s">
        <v>47</v>
      </c>
      <c r="Z4594" s="360">
        <v>26</v>
      </c>
      <c r="AA4594" s="360">
        <v>122</v>
      </c>
      <c r="AB4594" s="360">
        <v>21.3</v>
      </c>
    </row>
    <row r="4595" spans="20:28" x14ac:dyDescent="0.2">
      <c r="T4595" s="358" t="str">
        <f t="shared" si="181"/>
        <v>2003FemaleNon-Maori19Sharp object</v>
      </c>
      <c r="U4595" s="360">
        <v>2003</v>
      </c>
      <c r="V4595" s="360" t="s">
        <v>8</v>
      </c>
      <c r="W4595" s="360" t="s">
        <v>19</v>
      </c>
      <c r="X4595" s="360">
        <v>19</v>
      </c>
      <c r="Y4595" s="360" t="s">
        <v>48</v>
      </c>
      <c r="Z4595" s="360">
        <v>4</v>
      </c>
      <c r="AA4595" s="360">
        <v>122</v>
      </c>
      <c r="AB4595" s="360">
        <v>3.3</v>
      </c>
    </row>
    <row r="4596" spans="20:28" x14ac:dyDescent="0.2">
      <c r="T4596" s="358" t="str">
        <f t="shared" si="181"/>
        <v>2003FemaleNon-Maori19Submersion (drowning)</v>
      </c>
      <c r="U4596" s="360">
        <v>2003</v>
      </c>
      <c r="V4596" s="360" t="s">
        <v>8</v>
      </c>
      <c r="W4596" s="360" t="s">
        <v>19</v>
      </c>
      <c r="X4596" s="360">
        <v>19</v>
      </c>
      <c r="Y4596" s="360" t="s">
        <v>49</v>
      </c>
      <c r="Z4596" s="360">
        <v>7</v>
      </c>
      <c r="AA4596" s="360">
        <v>122</v>
      </c>
      <c r="AB4596" s="360">
        <v>5.7</v>
      </c>
    </row>
    <row r="4597" spans="20:28" x14ac:dyDescent="0.2">
      <c r="T4597" s="358" t="str">
        <f t="shared" si="181"/>
        <v>2003MaleAllEth19Firearms and explosives</v>
      </c>
      <c r="U4597" s="360">
        <v>2003</v>
      </c>
      <c r="V4597" s="360" t="s">
        <v>20</v>
      </c>
      <c r="W4597" s="360" t="s">
        <v>27</v>
      </c>
      <c r="X4597" s="360">
        <v>19</v>
      </c>
      <c r="Y4597" s="360" t="s">
        <v>42</v>
      </c>
      <c r="Z4597" s="360">
        <v>38</v>
      </c>
      <c r="AA4597" s="360">
        <v>380</v>
      </c>
      <c r="AB4597" s="360">
        <v>10</v>
      </c>
    </row>
    <row r="4598" spans="20:28" x14ac:dyDescent="0.2">
      <c r="T4598" s="358" t="str">
        <f t="shared" si="181"/>
        <v>2003MaleAllEth19Hanging, strangulation and suffocation</v>
      </c>
      <c r="U4598" s="360">
        <v>2003</v>
      </c>
      <c r="V4598" s="360" t="s">
        <v>20</v>
      </c>
      <c r="W4598" s="360" t="s">
        <v>27</v>
      </c>
      <c r="X4598" s="360">
        <v>19</v>
      </c>
      <c r="Y4598" s="360" t="s">
        <v>43</v>
      </c>
      <c r="Z4598" s="360">
        <v>188</v>
      </c>
      <c r="AA4598" s="360">
        <v>380</v>
      </c>
      <c r="AB4598" s="360">
        <v>49.5</v>
      </c>
    </row>
    <row r="4599" spans="20:28" x14ac:dyDescent="0.2">
      <c r="T4599" s="358" t="str">
        <f t="shared" si="181"/>
        <v>2003MaleAllEth19Jumping from a high place</v>
      </c>
      <c r="U4599" s="360">
        <v>2003</v>
      </c>
      <c r="V4599" s="360" t="s">
        <v>20</v>
      </c>
      <c r="W4599" s="360" t="s">
        <v>27</v>
      </c>
      <c r="X4599" s="360">
        <v>19</v>
      </c>
      <c r="Y4599" s="360" t="s">
        <v>44</v>
      </c>
      <c r="Z4599" s="360">
        <v>7</v>
      </c>
      <c r="AA4599" s="360">
        <v>380</v>
      </c>
      <c r="AB4599" s="360">
        <v>1.8</v>
      </c>
    </row>
    <row r="4600" spans="20:28" x14ac:dyDescent="0.2">
      <c r="T4600" s="358" t="str">
        <f t="shared" si="181"/>
        <v>2003MaleAllEth19Other</v>
      </c>
      <c r="U4600" s="360">
        <v>2003</v>
      </c>
      <c r="V4600" s="360" t="s">
        <v>20</v>
      </c>
      <c r="W4600" s="360" t="s">
        <v>27</v>
      </c>
      <c r="X4600" s="360">
        <v>19</v>
      </c>
      <c r="Y4600" s="360" t="s">
        <v>45</v>
      </c>
      <c r="Z4600" s="360">
        <v>20</v>
      </c>
      <c r="AA4600" s="360">
        <v>380</v>
      </c>
      <c r="AB4600" s="360">
        <v>5.3</v>
      </c>
    </row>
    <row r="4601" spans="20:28" x14ac:dyDescent="0.2">
      <c r="T4601" s="358" t="str">
        <f t="shared" si="181"/>
        <v>2003MaleAllEth19Poisoning by gases and vapours</v>
      </c>
      <c r="U4601" s="360">
        <v>2003</v>
      </c>
      <c r="V4601" s="360" t="s">
        <v>20</v>
      </c>
      <c r="W4601" s="360" t="s">
        <v>27</v>
      </c>
      <c r="X4601" s="360">
        <v>19</v>
      </c>
      <c r="Y4601" s="360" t="s">
        <v>46</v>
      </c>
      <c r="Z4601" s="360">
        <v>75</v>
      </c>
      <c r="AA4601" s="360">
        <v>380</v>
      </c>
      <c r="AB4601" s="360">
        <v>19.7</v>
      </c>
    </row>
    <row r="4602" spans="20:28" x14ac:dyDescent="0.2">
      <c r="T4602" s="358" t="str">
        <f t="shared" si="181"/>
        <v>2003MaleAllEth19Poisoning by solids and liquids</v>
      </c>
      <c r="U4602" s="360">
        <v>2003</v>
      </c>
      <c r="V4602" s="360" t="s">
        <v>20</v>
      </c>
      <c r="W4602" s="360" t="s">
        <v>27</v>
      </c>
      <c r="X4602" s="360">
        <v>19</v>
      </c>
      <c r="Y4602" s="360" t="s">
        <v>47</v>
      </c>
      <c r="Z4602" s="360">
        <v>32</v>
      </c>
      <c r="AA4602" s="360">
        <v>380</v>
      </c>
      <c r="AB4602" s="360">
        <v>8.4</v>
      </c>
    </row>
    <row r="4603" spans="20:28" x14ac:dyDescent="0.2">
      <c r="T4603" s="358" t="str">
        <f t="shared" si="181"/>
        <v>2003MaleAllEth19Sharp object</v>
      </c>
      <c r="U4603" s="360">
        <v>2003</v>
      </c>
      <c r="V4603" s="360" t="s">
        <v>20</v>
      </c>
      <c r="W4603" s="360" t="s">
        <v>27</v>
      </c>
      <c r="X4603" s="360">
        <v>19</v>
      </c>
      <c r="Y4603" s="360" t="s">
        <v>48</v>
      </c>
      <c r="Z4603" s="360">
        <v>14</v>
      </c>
      <c r="AA4603" s="360">
        <v>380</v>
      </c>
      <c r="AB4603" s="360">
        <v>3.7</v>
      </c>
    </row>
    <row r="4604" spans="20:28" x14ac:dyDescent="0.2">
      <c r="T4604" s="358" t="str">
        <f t="shared" si="181"/>
        <v>2003MaleAllEth19Submersion (drowning)</v>
      </c>
      <c r="U4604" s="360">
        <v>2003</v>
      </c>
      <c r="V4604" s="360" t="s">
        <v>20</v>
      </c>
      <c r="W4604" s="360" t="s">
        <v>27</v>
      </c>
      <c r="X4604" s="360">
        <v>19</v>
      </c>
      <c r="Y4604" s="360" t="s">
        <v>49</v>
      </c>
      <c r="Z4604" s="360">
        <v>6</v>
      </c>
      <c r="AA4604" s="360">
        <v>380</v>
      </c>
      <c r="AB4604" s="360">
        <v>1.6</v>
      </c>
    </row>
    <row r="4605" spans="20:28" x14ac:dyDescent="0.2">
      <c r="T4605" s="358" t="str">
        <f t="shared" si="181"/>
        <v>2003MaleMaori19Firearms and explosives</v>
      </c>
      <c r="U4605" s="360">
        <v>2003</v>
      </c>
      <c r="V4605" s="360" t="s">
        <v>20</v>
      </c>
      <c r="W4605" s="360" t="s">
        <v>18</v>
      </c>
      <c r="X4605" s="360">
        <v>19</v>
      </c>
      <c r="Y4605" s="360" t="s">
        <v>42</v>
      </c>
      <c r="Z4605" s="360">
        <v>4</v>
      </c>
      <c r="AA4605" s="360">
        <v>67</v>
      </c>
      <c r="AB4605" s="360">
        <v>6</v>
      </c>
    </row>
    <row r="4606" spans="20:28" x14ac:dyDescent="0.2">
      <c r="T4606" s="358" t="str">
        <f t="shared" si="181"/>
        <v>2003MaleMaori19Hanging, strangulation and suffocation</v>
      </c>
      <c r="U4606" s="360">
        <v>2003</v>
      </c>
      <c r="V4606" s="360" t="s">
        <v>20</v>
      </c>
      <c r="W4606" s="360" t="s">
        <v>18</v>
      </c>
      <c r="X4606" s="360">
        <v>19</v>
      </c>
      <c r="Y4606" s="360" t="s">
        <v>43</v>
      </c>
      <c r="Z4606" s="360">
        <v>53</v>
      </c>
      <c r="AA4606" s="360">
        <v>67</v>
      </c>
      <c r="AB4606" s="360">
        <v>79.099999999999994</v>
      </c>
    </row>
    <row r="4607" spans="20:28" x14ac:dyDescent="0.2">
      <c r="T4607" s="358" t="str">
        <f t="shared" si="181"/>
        <v>2003MaleMaori19Jumping from a high place</v>
      </c>
      <c r="U4607" s="360">
        <v>2003</v>
      </c>
      <c r="V4607" s="360" t="s">
        <v>20</v>
      </c>
      <c r="W4607" s="360" t="s">
        <v>18</v>
      </c>
      <c r="X4607" s="360">
        <v>19</v>
      </c>
      <c r="Y4607" s="360" t="s">
        <v>44</v>
      </c>
      <c r="Z4607" s="360">
        <v>2</v>
      </c>
      <c r="AA4607" s="360">
        <v>67</v>
      </c>
      <c r="AB4607" s="360">
        <v>3</v>
      </c>
    </row>
    <row r="4608" spans="20:28" x14ac:dyDescent="0.2">
      <c r="T4608" s="358" t="str">
        <f t="shared" si="181"/>
        <v>2003MaleMaori19Other</v>
      </c>
      <c r="U4608" s="360">
        <v>2003</v>
      </c>
      <c r="V4608" s="360" t="s">
        <v>20</v>
      </c>
      <c r="W4608" s="360" t="s">
        <v>18</v>
      </c>
      <c r="X4608" s="360">
        <v>19</v>
      </c>
      <c r="Y4608" s="360" t="s">
        <v>45</v>
      </c>
      <c r="Z4608" s="360">
        <v>2</v>
      </c>
      <c r="AA4608" s="360">
        <v>67</v>
      </c>
      <c r="AB4608" s="360">
        <v>3</v>
      </c>
    </row>
    <row r="4609" spans="20:28" x14ac:dyDescent="0.2">
      <c r="T4609" s="358" t="str">
        <f t="shared" si="181"/>
        <v>2003MaleMaori19Poisoning by gases and vapours</v>
      </c>
      <c r="U4609" s="360">
        <v>2003</v>
      </c>
      <c r="V4609" s="360" t="s">
        <v>20</v>
      </c>
      <c r="W4609" s="360" t="s">
        <v>18</v>
      </c>
      <c r="X4609" s="360">
        <v>19</v>
      </c>
      <c r="Y4609" s="360" t="s">
        <v>46</v>
      </c>
      <c r="Z4609" s="360">
        <v>4</v>
      </c>
      <c r="AA4609" s="360">
        <v>67</v>
      </c>
      <c r="AB4609" s="360">
        <v>6</v>
      </c>
    </row>
    <row r="4610" spans="20:28" x14ac:dyDescent="0.2">
      <c r="T4610" s="358" t="str">
        <f t="shared" si="181"/>
        <v>2003MaleMaori19Poisoning by solids and liquids</v>
      </c>
      <c r="U4610" s="360">
        <v>2003</v>
      </c>
      <c r="V4610" s="360" t="s">
        <v>20</v>
      </c>
      <c r="W4610" s="360" t="s">
        <v>18</v>
      </c>
      <c r="X4610" s="360">
        <v>19</v>
      </c>
      <c r="Y4610" s="360" t="s">
        <v>47</v>
      </c>
      <c r="Z4610" s="360">
        <v>1</v>
      </c>
      <c r="AA4610" s="360">
        <v>67</v>
      </c>
      <c r="AB4610" s="360">
        <v>1.5</v>
      </c>
    </row>
    <row r="4611" spans="20:28" x14ac:dyDescent="0.2">
      <c r="T4611" s="358" t="str">
        <f t="shared" si="181"/>
        <v>2003MaleMaori19Sharp object</v>
      </c>
      <c r="U4611" s="360">
        <v>2003</v>
      </c>
      <c r="V4611" s="360" t="s">
        <v>20</v>
      </c>
      <c r="W4611" s="360" t="s">
        <v>18</v>
      </c>
      <c r="X4611" s="360">
        <v>19</v>
      </c>
      <c r="Y4611" s="360" t="s">
        <v>48</v>
      </c>
      <c r="Z4611" s="360">
        <v>1</v>
      </c>
      <c r="AA4611" s="360">
        <v>67</v>
      </c>
      <c r="AB4611" s="360">
        <v>1.5</v>
      </c>
    </row>
    <row r="4612" spans="20:28" x14ac:dyDescent="0.2">
      <c r="T4612" s="358" t="str">
        <f t="shared" si="181"/>
        <v>2003MaleNon-Maori19Firearms and explosives</v>
      </c>
      <c r="U4612" s="360">
        <v>2003</v>
      </c>
      <c r="V4612" s="360" t="s">
        <v>20</v>
      </c>
      <c r="W4612" s="360" t="s">
        <v>19</v>
      </c>
      <c r="X4612" s="360">
        <v>19</v>
      </c>
      <c r="Y4612" s="360" t="s">
        <v>42</v>
      </c>
      <c r="Z4612" s="360">
        <v>34</v>
      </c>
      <c r="AA4612" s="360">
        <v>313</v>
      </c>
      <c r="AB4612" s="360">
        <v>10.9</v>
      </c>
    </row>
    <row r="4613" spans="20:28" x14ac:dyDescent="0.2">
      <c r="T4613" s="358" t="str">
        <f t="shared" ref="T4613:T4676" si="182">U4613&amp;V4613&amp;W4613&amp;X4613&amp;Y4613</f>
        <v>2003MaleNon-Maori19Hanging, strangulation and suffocation</v>
      </c>
      <c r="U4613" s="360">
        <v>2003</v>
      </c>
      <c r="V4613" s="360" t="s">
        <v>20</v>
      </c>
      <c r="W4613" s="360" t="s">
        <v>19</v>
      </c>
      <c r="X4613" s="360">
        <v>19</v>
      </c>
      <c r="Y4613" s="360" t="s">
        <v>43</v>
      </c>
      <c r="Z4613" s="360">
        <v>135</v>
      </c>
      <c r="AA4613" s="360">
        <v>313</v>
      </c>
      <c r="AB4613" s="360">
        <v>43.1</v>
      </c>
    </row>
    <row r="4614" spans="20:28" x14ac:dyDescent="0.2">
      <c r="T4614" s="358" t="str">
        <f t="shared" si="182"/>
        <v>2003MaleNon-Maori19Jumping from a high place</v>
      </c>
      <c r="U4614" s="360">
        <v>2003</v>
      </c>
      <c r="V4614" s="360" t="s">
        <v>20</v>
      </c>
      <c r="W4614" s="360" t="s">
        <v>19</v>
      </c>
      <c r="X4614" s="360">
        <v>19</v>
      </c>
      <c r="Y4614" s="360" t="s">
        <v>44</v>
      </c>
      <c r="Z4614" s="360">
        <v>5</v>
      </c>
      <c r="AA4614" s="360">
        <v>313</v>
      </c>
      <c r="AB4614" s="360">
        <v>1.6</v>
      </c>
    </row>
    <row r="4615" spans="20:28" x14ac:dyDescent="0.2">
      <c r="T4615" s="358" t="str">
        <f t="shared" si="182"/>
        <v>2003MaleNon-Maori19Other</v>
      </c>
      <c r="U4615" s="360">
        <v>2003</v>
      </c>
      <c r="V4615" s="360" t="s">
        <v>20</v>
      </c>
      <c r="W4615" s="360" t="s">
        <v>19</v>
      </c>
      <c r="X4615" s="360">
        <v>19</v>
      </c>
      <c r="Y4615" s="360" t="s">
        <v>45</v>
      </c>
      <c r="Z4615" s="360">
        <v>18</v>
      </c>
      <c r="AA4615" s="360">
        <v>313</v>
      </c>
      <c r="AB4615" s="360">
        <v>5.8</v>
      </c>
    </row>
    <row r="4616" spans="20:28" x14ac:dyDescent="0.2">
      <c r="T4616" s="358" t="str">
        <f t="shared" si="182"/>
        <v>2003MaleNon-Maori19Poisoning by gases and vapours</v>
      </c>
      <c r="U4616" s="360">
        <v>2003</v>
      </c>
      <c r="V4616" s="360" t="s">
        <v>20</v>
      </c>
      <c r="W4616" s="360" t="s">
        <v>19</v>
      </c>
      <c r="X4616" s="360">
        <v>19</v>
      </c>
      <c r="Y4616" s="360" t="s">
        <v>46</v>
      </c>
      <c r="Z4616" s="360">
        <v>71</v>
      </c>
      <c r="AA4616" s="360">
        <v>313</v>
      </c>
      <c r="AB4616" s="360">
        <v>22.7</v>
      </c>
    </row>
    <row r="4617" spans="20:28" x14ac:dyDescent="0.2">
      <c r="T4617" s="358" t="str">
        <f t="shared" si="182"/>
        <v>2003MaleNon-Maori19Poisoning by solids and liquids</v>
      </c>
      <c r="U4617" s="360">
        <v>2003</v>
      </c>
      <c r="V4617" s="360" t="s">
        <v>20</v>
      </c>
      <c r="W4617" s="360" t="s">
        <v>19</v>
      </c>
      <c r="X4617" s="360">
        <v>19</v>
      </c>
      <c r="Y4617" s="360" t="s">
        <v>47</v>
      </c>
      <c r="Z4617" s="360">
        <v>31</v>
      </c>
      <c r="AA4617" s="360">
        <v>313</v>
      </c>
      <c r="AB4617" s="360">
        <v>9.9</v>
      </c>
    </row>
    <row r="4618" spans="20:28" x14ac:dyDescent="0.2">
      <c r="T4618" s="358" t="str">
        <f t="shared" si="182"/>
        <v>2003MaleNon-Maori19Sharp object</v>
      </c>
      <c r="U4618" s="360">
        <v>2003</v>
      </c>
      <c r="V4618" s="360" t="s">
        <v>20</v>
      </c>
      <c r="W4618" s="360" t="s">
        <v>19</v>
      </c>
      <c r="X4618" s="360">
        <v>19</v>
      </c>
      <c r="Y4618" s="360" t="s">
        <v>48</v>
      </c>
      <c r="Z4618" s="360">
        <v>13</v>
      </c>
      <c r="AA4618" s="360">
        <v>313</v>
      </c>
      <c r="AB4618" s="360">
        <v>4.2</v>
      </c>
    </row>
    <row r="4619" spans="20:28" x14ac:dyDescent="0.2">
      <c r="T4619" s="358" t="str">
        <f t="shared" si="182"/>
        <v>2003MaleNon-Maori19Submersion (drowning)</v>
      </c>
      <c r="U4619" s="360">
        <v>2003</v>
      </c>
      <c r="V4619" s="360" t="s">
        <v>20</v>
      </c>
      <c r="W4619" s="360" t="s">
        <v>19</v>
      </c>
      <c r="X4619" s="360">
        <v>19</v>
      </c>
      <c r="Y4619" s="360" t="s">
        <v>49</v>
      </c>
      <c r="Z4619" s="360">
        <v>6</v>
      </c>
      <c r="AA4619" s="360">
        <v>313</v>
      </c>
      <c r="AB4619" s="360">
        <v>1.9</v>
      </c>
    </row>
    <row r="4620" spans="20:28" x14ac:dyDescent="0.2">
      <c r="T4620" s="358" t="str">
        <f t="shared" si="182"/>
        <v>2004AllSexAllEth19Firearms and explosives</v>
      </c>
      <c r="U4620" s="360">
        <v>2004</v>
      </c>
      <c r="V4620" s="360" t="s">
        <v>17</v>
      </c>
      <c r="W4620" s="360" t="s">
        <v>27</v>
      </c>
      <c r="X4620" s="360">
        <v>19</v>
      </c>
      <c r="Y4620" s="360" t="s">
        <v>42</v>
      </c>
      <c r="Z4620" s="360">
        <v>39</v>
      </c>
      <c r="AA4620" s="360">
        <v>494</v>
      </c>
      <c r="AB4620" s="360">
        <v>7.9</v>
      </c>
    </row>
    <row r="4621" spans="20:28" x14ac:dyDescent="0.2">
      <c r="T4621" s="358" t="str">
        <f t="shared" si="182"/>
        <v>2004AllSexAllEth19Hanging, strangulation and suffocation</v>
      </c>
      <c r="U4621" s="360">
        <v>2004</v>
      </c>
      <c r="V4621" s="360" t="s">
        <v>17</v>
      </c>
      <c r="W4621" s="360" t="s">
        <v>27</v>
      </c>
      <c r="X4621" s="360">
        <v>19</v>
      </c>
      <c r="Y4621" s="360" t="s">
        <v>43</v>
      </c>
      <c r="Z4621" s="360">
        <v>270</v>
      </c>
      <c r="AA4621" s="360">
        <v>494</v>
      </c>
      <c r="AB4621" s="360">
        <v>54.7</v>
      </c>
    </row>
    <row r="4622" spans="20:28" x14ac:dyDescent="0.2">
      <c r="T4622" s="358" t="str">
        <f t="shared" si="182"/>
        <v>2004AllSexAllEth19Jumping from a high place</v>
      </c>
      <c r="U4622" s="360">
        <v>2004</v>
      </c>
      <c r="V4622" s="360" t="s">
        <v>17</v>
      </c>
      <c r="W4622" s="360" t="s">
        <v>27</v>
      </c>
      <c r="X4622" s="360">
        <v>19</v>
      </c>
      <c r="Y4622" s="360" t="s">
        <v>44</v>
      </c>
      <c r="Z4622" s="360">
        <v>10</v>
      </c>
      <c r="AA4622" s="360">
        <v>494</v>
      </c>
      <c r="AB4622" s="360">
        <v>2</v>
      </c>
    </row>
    <row r="4623" spans="20:28" x14ac:dyDescent="0.2">
      <c r="T4623" s="358" t="str">
        <f t="shared" si="182"/>
        <v>2004AllSexAllEth19Other</v>
      </c>
      <c r="U4623" s="360">
        <v>2004</v>
      </c>
      <c r="V4623" s="360" t="s">
        <v>17</v>
      </c>
      <c r="W4623" s="360" t="s">
        <v>27</v>
      </c>
      <c r="X4623" s="360">
        <v>19</v>
      </c>
      <c r="Y4623" s="360" t="s">
        <v>45</v>
      </c>
      <c r="Z4623" s="360">
        <v>16</v>
      </c>
      <c r="AA4623" s="360">
        <v>494</v>
      </c>
      <c r="AB4623" s="360">
        <v>3.2</v>
      </c>
    </row>
    <row r="4624" spans="20:28" x14ac:dyDescent="0.2">
      <c r="T4624" s="358" t="str">
        <f t="shared" si="182"/>
        <v>2004AllSexAllEth19Poisoning by gases and vapours</v>
      </c>
      <c r="U4624" s="360">
        <v>2004</v>
      </c>
      <c r="V4624" s="360" t="s">
        <v>17</v>
      </c>
      <c r="W4624" s="360" t="s">
        <v>27</v>
      </c>
      <c r="X4624" s="360">
        <v>19</v>
      </c>
      <c r="Y4624" s="360" t="s">
        <v>46</v>
      </c>
      <c r="Z4624" s="360">
        <v>95</v>
      </c>
      <c r="AA4624" s="360">
        <v>494</v>
      </c>
      <c r="AB4624" s="360">
        <v>19.2</v>
      </c>
    </row>
    <row r="4625" spans="20:28" x14ac:dyDescent="0.2">
      <c r="T4625" s="358" t="str">
        <f t="shared" si="182"/>
        <v>2004AllSexAllEth19Poisoning by solids and liquids</v>
      </c>
      <c r="U4625" s="360">
        <v>2004</v>
      </c>
      <c r="V4625" s="360" t="s">
        <v>17</v>
      </c>
      <c r="W4625" s="360" t="s">
        <v>27</v>
      </c>
      <c r="X4625" s="360">
        <v>19</v>
      </c>
      <c r="Y4625" s="360" t="s">
        <v>47</v>
      </c>
      <c r="Z4625" s="360">
        <v>46</v>
      </c>
      <c r="AA4625" s="360">
        <v>494</v>
      </c>
      <c r="AB4625" s="360">
        <v>9.3000000000000007</v>
      </c>
    </row>
    <row r="4626" spans="20:28" x14ac:dyDescent="0.2">
      <c r="T4626" s="358" t="str">
        <f t="shared" si="182"/>
        <v>2004AllSexAllEth19Sharp object</v>
      </c>
      <c r="U4626" s="360">
        <v>2004</v>
      </c>
      <c r="V4626" s="360" t="s">
        <v>17</v>
      </c>
      <c r="W4626" s="360" t="s">
        <v>27</v>
      </c>
      <c r="X4626" s="360">
        <v>19</v>
      </c>
      <c r="Y4626" s="360" t="s">
        <v>48</v>
      </c>
      <c r="Z4626" s="360">
        <v>6</v>
      </c>
      <c r="AA4626" s="360">
        <v>494</v>
      </c>
      <c r="AB4626" s="360">
        <v>1.2</v>
      </c>
    </row>
    <row r="4627" spans="20:28" x14ac:dyDescent="0.2">
      <c r="T4627" s="358" t="str">
        <f t="shared" si="182"/>
        <v>2004AllSexAllEth19Submersion (drowning)</v>
      </c>
      <c r="U4627" s="360">
        <v>2004</v>
      </c>
      <c r="V4627" s="360" t="s">
        <v>17</v>
      </c>
      <c r="W4627" s="360" t="s">
        <v>27</v>
      </c>
      <c r="X4627" s="360">
        <v>19</v>
      </c>
      <c r="Y4627" s="360" t="s">
        <v>49</v>
      </c>
      <c r="Z4627" s="360">
        <v>12</v>
      </c>
      <c r="AA4627" s="360">
        <v>494</v>
      </c>
      <c r="AB4627" s="360">
        <v>2.4</v>
      </c>
    </row>
    <row r="4628" spans="20:28" x14ac:dyDescent="0.2">
      <c r="T4628" s="358" t="str">
        <f t="shared" si="182"/>
        <v>2004AllSexMaori19Firearms and explosives</v>
      </c>
      <c r="U4628" s="360">
        <v>2004</v>
      </c>
      <c r="V4628" s="360" t="s">
        <v>17</v>
      </c>
      <c r="W4628" s="360" t="s">
        <v>18</v>
      </c>
      <c r="X4628" s="360">
        <v>19</v>
      </c>
      <c r="Y4628" s="360" t="s">
        <v>42</v>
      </c>
      <c r="Z4628" s="360">
        <v>4</v>
      </c>
      <c r="AA4628" s="360">
        <v>111</v>
      </c>
      <c r="AB4628" s="360">
        <v>3.6</v>
      </c>
    </row>
    <row r="4629" spans="20:28" x14ac:dyDescent="0.2">
      <c r="T4629" s="358" t="str">
        <f t="shared" si="182"/>
        <v>2004AllSexMaori19Hanging, strangulation and suffocation</v>
      </c>
      <c r="U4629" s="360">
        <v>2004</v>
      </c>
      <c r="V4629" s="360" t="s">
        <v>17</v>
      </c>
      <c r="W4629" s="360" t="s">
        <v>18</v>
      </c>
      <c r="X4629" s="360">
        <v>19</v>
      </c>
      <c r="Y4629" s="360" t="s">
        <v>43</v>
      </c>
      <c r="Z4629" s="360">
        <v>92</v>
      </c>
      <c r="AA4629" s="360">
        <v>111</v>
      </c>
      <c r="AB4629" s="360">
        <v>82.9</v>
      </c>
    </row>
    <row r="4630" spans="20:28" x14ac:dyDescent="0.2">
      <c r="T4630" s="358" t="str">
        <f t="shared" si="182"/>
        <v>2004AllSexMaori19Other</v>
      </c>
      <c r="U4630" s="360">
        <v>2004</v>
      </c>
      <c r="V4630" s="360" t="s">
        <v>17</v>
      </c>
      <c r="W4630" s="360" t="s">
        <v>18</v>
      </c>
      <c r="X4630" s="360">
        <v>19</v>
      </c>
      <c r="Y4630" s="360" t="s">
        <v>45</v>
      </c>
      <c r="Z4630" s="360">
        <v>1</v>
      </c>
      <c r="AA4630" s="360">
        <v>111</v>
      </c>
      <c r="AB4630" s="360">
        <v>0.9</v>
      </c>
    </row>
    <row r="4631" spans="20:28" x14ac:dyDescent="0.2">
      <c r="T4631" s="358" t="str">
        <f t="shared" si="182"/>
        <v>2004AllSexMaori19Poisoning by gases and vapours</v>
      </c>
      <c r="U4631" s="360">
        <v>2004</v>
      </c>
      <c r="V4631" s="360" t="s">
        <v>17</v>
      </c>
      <c r="W4631" s="360" t="s">
        <v>18</v>
      </c>
      <c r="X4631" s="360">
        <v>19</v>
      </c>
      <c r="Y4631" s="360" t="s">
        <v>46</v>
      </c>
      <c r="Z4631" s="360">
        <v>3</v>
      </c>
      <c r="AA4631" s="360">
        <v>111</v>
      </c>
      <c r="AB4631" s="360">
        <v>2.7</v>
      </c>
    </row>
    <row r="4632" spans="20:28" x14ac:dyDescent="0.2">
      <c r="T4632" s="358" t="str">
        <f t="shared" si="182"/>
        <v>2004AllSexMaori19Poisoning by solids and liquids</v>
      </c>
      <c r="U4632" s="360">
        <v>2004</v>
      </c>
      <c r="V4632" s="360" t="s">
        <v>17</v>
      </c>
      <c r="W4632" s="360" t="s">
        <v>18</v>
      </c>
      <c r="X4632" s="360">
        <v>19</v>
      </c>
      <c r="Y4632" s="360" t="s">
        <v>47</v>
      </c>
      <c r="Z4632" s="360">
        <v>6</v>
      </c>
      <c r="AA4632" s="360">
        <v>111</v>
      </c>
      <c r="AB4632" s="360">
        <v>5.4</v>
      </c>
    </row>
    <row r="4633" spans="20:28" x14ac:dyDescent="0.2">
      <c r="T4633" s="358" t="str">
        <f t="shared" si="182"/>
        <v>2004AllSexMaori19Sharp object</v>
      </c>
      <c r="U4633" s="360">
        <v>2004</v>
      </c>
      <c r="V4633" s="360" t="s">
        <v>17</v>
      </c>
      <c r="W4633" s="360" t="s">
        <v>18</v>
      </c>
      <c r="X4633" s="360">
        <v>19</v>
      </c>
      <c r="Y4633" s="360" t="s">
        <v>48</v>
      </c>
      <c r="Z4633" s="360">
        <v>3</v>
      </c>
      <c r="AA4633" s="360">
        <v>111</v>
      </c>
      <c r="AB4633" s="360">
        <v>2.7</v>
      </c>
    </row>
    <row r="4634" spans="20:28" x14ac:dyDescent="0.2">
      <c r="T4634" s="358" t="str">
        <f t="shared" si="182"/>
        <v>2004AllSexMaori19Submersion (drowning)</v>
      </c>
      <c r="U4634" s="360">
        <v>2004</v>
      </c>
      <c r="V4634" s="360" t="s">
        <v>17</v>
      </c>
      <c r="W4634" s="360" t="s">
        <v>18</v>
      </c>
      <c r="X4634" s="360">
        <v>19</v>
      </c>
      <c r="Y4634" s="360" t="s">
        <v>49</v>
      </c>
      <c r="Z4634" s="360">
        <v>2</v>
      </c>
      <c r="AA4634" s="360">
        <v>111</v>
      </c>
      <c r="AB4634" s="360">
        <v>1.8</v>
      </c>
    </row>
    <row r="4635" spans="20:28" x14ac:dyDescent="0.2">
      <c r="T4635" s="358" t="str">
        <f t="shared" si="182"/>
        <v>2004AllSexNon-Maori19Firearms and explosives</v>
      </c>
      <c r="U4635" s="360">
        <v>2004</v>
      </c>
      <c r="V4635" s="360" t="s">
        <v>17</v>
      </c>
      <c r="W4635" s="360" t="s">
        <v>19</v>
      </c>
      <c r="X4635" s="360">
        <v>19</v>
      </c>
      <c r="Y4635" s="360" t="s">
        <v>42</v>
      </c>
      <c r="Z4635" s="360">
        <v>35</v>
      </c>
      <c r="AA4635" s="360">
        <v>383</v>
      </c>
      <c r="AB4635" s="360">
        <v>9.1</v>
      </c>
    </row>
    <row r="4636" spans="20:28" x14ac:dyDescent="0.2">
      <c r="T4636" s="358" t="str">
        <f t="shared" si="182"/>
        <v>2004AllSexNon-Maori19Hanging, strangulation and suffocation</v>
      </c>
      <c r="U4636" s="360">
        <v>2004</v>
      </c>
      <c r="V4636" s="360" t="s">
        <v>17</v>
      </c>
      <c r="W4636" s="360" t="s">
        <v>19</v>
      </c>
      <c r="X4636" s="360">
        <v>19</v>
      </c>
      <c r="Y4636" s="360" t="s">
        <v>43</v>
      </c>
      <c r="Z4636" s="360">
        <v>178</v>
      </c>
      <c r="AA4636" s="360">
        <v>383</v>
      </c>
      <c r="AB4636" s="360">
        <v>46.5</v>
      </c>
    </row>
    <row r="4637" spans="20:28" x14ac:dyDescent="0.2">
      <c r="T4637" s="358" t="str">
        <f t="shared" si="182"/>
        <v>2004AllSexNon-Maori19Jumping from a high place</v>
      </c>
      <c r="U4637" s="360">
        <v>2004</v>
      </c>
      <c r="V4637" s="360" t="s">
        <v>17</v>
      </c>
      <c r="W4637" s="360" t="s">
        <v>19</v>
      </c>
      <c r="X4637" s="360">
        <v>19</v>
      </c>
      <c r="Y4637" s="360" t="s">
        <v>44</v>
      </c>
      <c r="Z4637" s="360">
        <v>10</v>
      </c>
      <c r="AA4637" s="360">
        <v>383</v>
      </c>
      <c r="AB4637" s="360">
        <v>2.6</v>
      </c>
    </row>
    <row r="4638" spans="20:28" x14ac:dyDescent="0.2">
      <c r="T4638" s="358" t="str">
        <f t="shared" si="182"/>
        <v>2004AllSexNon-Maori19Other</v>
      </c>
      <c r="U4638" s="360">
        <v>2004</v>
      </c>
      <c r="V4638" s="360" t="s">
        <v>17</v>
      </c>
      <c r="W4638" s="360" t="s">
        <v>19</v>
      </c>
      <c r="X4638" s="360">
        <v>19</v>
      </c>
      <c r="Y4638" s="360" t="s">
        <v>45</v>
      </c>
      <c r="Z4638" s="360">
        <v>15</v>
      </c>
      <c r="AA4638" s="360">
        <v>383</v>
      </c>
      <c r="AB4638" s="360">
        <v>3.9</v>
      </c>
    </row>
    <row r="4639" spans="20:28" x14ac:dyDescent="0.2">
      <c r="T4639" s="358" t="str">
        <f t="shared" si="182"/>
        <v>2004AllSexNon-Maori19Poisoning by gases and vapours</v>
      </c>
      <c r="U4639" s="360">
        <v>2004</v>
      </c>
      <c r="V4639" s="360" t="s">
        <v>17</v>
      </c>
      <c r="W4639" s="360" t="s">
        <v>19</v>
      </c>
      <c r="X4639" s="360">
        <v>19</v>
      </c>
      <c r="Y4639" s="360" t="s">
        <v>46</v>
      </c>
      <c r="Z4639" s="360">
        <v>92</v>
      </c>
      <c r="AA4639" s="360">
        <v>383</v>
      </c>
      <c r="AB4639" s="360">
        <v>24</v>
      </c>
    </row>
    <row r="4640" spans="20:28" x14ac:dyDescent="0.2">
      <c r="T4640" s="358" t="str">
        <f t="shared" si="182"/>
        <v>2004AllSexNon-Maori19Poisoning by solids and liquids</v>
      </c>
      <c r="U4640" s="360">
        <v>2004</v>
      </c>
      <c r="V4640" s="360" t="s">
        <v>17</v>
      </c>
      <c r="W4640" s="360" t="s">
        <v>19</v>
      </c>
      <c r="X4640" s="360">
        <v>19</v>
      </c>
      <c r="Y4640" s="360" t="s">
        <v>47</v>
      </c>
      <c r="Z4640" s="360">
        <v>40</v>
      </c>
      <c r="AA4640" s="360">
        <v>383</v>
      </c>
      <c r="AB4640" s="360">
        <v>10.4</v>
      </c>
    </row>
    <row r="4641" spans="20:28" x14ac:dyDescent="0.2">
      <c r="T4641" s="358" t="str">
        <f t="shared" si="182"/>
        <v>2004AllSexNon-Maori19Sharp object</v>
      </c>
      <c r="U4641" s="360">
        <v>2004</v>
      </c>
      <c r="V4641" s="360" t="s">
        <v>17</v>
      </c>
      <c r="W4641" s="360" t="s">
        <v>19</v>
      </c>
      <c r="X4641" s="360">
        <v>19</v>
      </c>
      <c r="Y4641" s="360" t="s">
        <v>48</v>
      </c>
      <c r="Z4641" s="360">
        <v>3</v>
      </c>
      <c r="AA4641" s="360">
        <v>383</v>
      </c>
      <c r="AB4641" s="360">
        <v>0.8</v>
      </c>
    </row>
    <row r="4642" spans="20:28" x14ac:dyDescent="0.2">
      <c r="T4642" s="358" t="str">
        <f t="shared" si="182"/>
        <v>2004AllSexNon-Maori19Submersion (drowning)</v>
      </c>
      <c r="U4642" s="360">
        <v>2004</v>
      </c>
      <c r="V4642" s="360" t="s">
        <v>17</v>
      </c>
      <c r="W4642" s="360" t="s">
        <v>19</v>
      </c>
      <c r="X4642" s="360">
        <v>19</v>
      </c>
      <c r="Y4642" s="360" t="s">
        <v>49</v>
      </c>
      <c r="Z4642" s="360">
        <v>10</v>
      </c>
      <c r="AA4642" s="360">
        <v>383</v>
      </c>
      <c r="AB4642" s="360">
        <v>2.6</v>
      </c>
    </row>
    <row r="4643" spans="20:28" x14ac:dyDescent="0.2">
      <c r="T4643" s="358" t="str">
        <f t="shared" si="182"/>
        <v>2004FemaleAllEth19Firearms and explosives</v>
      </c>
      <c r="U4643" s="360">
        <v>2004</v>
      </c>
      <c r="V4643" s="360" t="s">
        <v>8</v>
      </c>
      <c r="W4643" s="360" t="s">
        <v>27</v>
      </c>
      <c r="X4643" s="360">
        <v>19</v>
      </c>
      <c r="Y4643" s="360" t="s">
        <v>42</v>
      </c>
      <c r="Z4643" s="360">
        <v>2</v>
      </c>
      <c r="AA4643" s="360">
        <v>112</v>
      </c>
      <c r="AB4643" s="360">
        <v>1.8</v>
      </c>
    </row>
    <row r="4644" spans="20:28" x14ac:dyDescent="0.2">
      <c r="T4644" s="358" t="str">
        <f t="shared" si="182"/>
        <v>2004FemaleAllEth19Hanging, strangulation and suffocation</v>
      </c>
      <c r="U4644" s="360">
        <v>2004</v>
      </c>
      <c r="V4644" s="360" t="s">
        <v>8</v>
      </c>
      <c r="W4644" s="360" t="s">
        <v>27</v>
      </c>
      <c r="X4644" s="360">
        <v>19</v>
      </c>
      <c r="Y4644" s="360" t="s">
        <v>43</v>
      </c>
      <c r="Z4644" s="360">
        <v>59</v>
      </c>
      <c r="AA4644" s="360">
        <v>112</v>
      </c>
      <c r="AB4644" s="360">
        <v>52.7</v>
      </c>
    </row>
    <row r="4645" spans="20:28" x14ac:dyDescent="0.2">
      <c r="T4645" s="358" t="str">
        <f t="shared" si="182"/>
        <v>2004FemaleAllEth19Jumping from a high place</v>
      </c>
      <c r="U4645" s="360">
        <v>2004</v>
      </c>
      <c r="V4645" s="360" t="s">
        <v>8</v>
      </c>
      <c r="W4645" s="360" t="s">
        <v>27</v>
      </c>
      <c r="X4645" s="360">
        <v>19</v>
      </c>
      <c r="Y4645" s="360" t="s">
        <v>44</v>
      </c>
      <c r="Z4645" s="360">
        <v>3</v>
      </c>
      <c r="AA4645" s="360">
        <v>112</v>
      </c>
      <c r="AB4645" s="360">
        <v>2.7</v>
      </c>
    </row>
    <row r="4646" spans="20:28" x14ac:dyDescent="0.2">
      <c r="T4646" s="358" t="str">
        <f t="shared" si="182"/>
        <v>2004FemaleAllEth19Other</v>
      </c>
      <c r="U4646" s="360">
        <v>2004</v>
      </c>
      <c r="V4646" s="360" t="s">
        <v>8</v>
      </c>
      <c r="W4646" s="360" t="s">
        <v>27</v>
      </c>
      <c r="X4646" s="360">
        <v>19</v>
      </c>
      <c r="Y4646" s="360" t="s">
        <v>45</v>
      </c>
      <c r="Z4646" s="360">
        <v>6</v>
      </c>
      <c r="AA4646" s="360">
        <v>112</v>
      </c>
      <c r="AB4646" s="360">
        <v>5.4</v>
      </c>
    </row>
    <row r="4647" spans="20:28" x14ac:dyDescent="0.2">
      <c r="T4647" s="358" t="str">
        <f t="shared" si="182"/>
        <v>2004FemaleAllEth19Poisoning by gases and vapours</v>
      </c>
      <c r="U4647" s="360">
        <v>2004</v>
      </c>
      <c r="V4647" s="360" t="s">
        <v>8</v>
      </c>
      <c r="W4647" s="360" t="s">
        <v>27</v>
      </c>
      <c r="X4647" s="360">
        <v>19</v>
      </c>
      <c r="Y4647" s="360" t="s">
        <v>46</v>
      </c>
      <c r="Z4647" s="360">
        <v>14</v>
      </c>
      <c r="AA4647" s="360">
        <v>112</v>
      </c>
      <c r="AB4647" s="360">
        <v>12.5</v>
      </c>
    </row>
    <row r="4648" spans="20:28" x14ac:dyDescent="0.2">
      <c r="T4648" s="358" t="str">
        <f t="shared" si="182"/>
        <v>2004FemaleAllEth19Poisoning by solids and liquids</v>
      </c>
      <c r="U4648" s="360">
        <v>2004</v>
      </c>
      <c r="V4648" s="360" t="s">
        <v>8</v>
      </c>
      <c r="W4648" s="360" t="s">
        <v>27</v>
      </c>
      <c r="X4648" s="360">
        <v>19</v>
      </c>
      <c r="Y4648" s="360" t="s">
        <v>47</v>
      </c>
      <c r="Z4648" s="360">
        <v>24</v>
      </c>
      <c r="AA4648" s="360">
        <v>112</v>
      </c>
      <c r="AB4648" s="360">
        <v>21.4</v>
      </c>
    </row>
    <row r="4649" spans="20:28" x14ac:dyDescent="0.2">
      <c r="T4649" s="358" t="str">
        <f t="shared" si="182"/>
        <v>2004FemaleAllEth19Sharp object</v>
      </c>
      <c r="U4649" s="360">
        <v>2004</v>
      </c>
      <c r="V4649" s="360" t="s">
        <v>8</v>
      </c>
      <c r="W4649" s="360" t="s">
        <v>27</v>
      </c>
      <c r="X4649" s="360">
        <v>19</v>
      </c>
      <c r="Y4649" s="360" t="s">
        <v>48</v>
      </c>
      <c r="Z4649" s="360">
        <v>2</v>
      </c>
      <c r="AA4649" s="360">
        <v>112</v>
      </c>
      <c r="AB4649" s="360">
        <v>1.8</v>
      </c>
    </row>
    <row r="4650" spans="20:28" x14ac:dyDescent="0.2">
      <c r="T4650" s="358" t="str">
        <f t="shared" si="182"/>
        <v>2004FemaleAllEth19Submersion (drowning)</v>
      </c>
      <c r="U4650" s="360">
        <v>2004</v>
      </c>
      <c r="V4650" s="360" t="s">
        <v>8</v>
      </c>
      <c r="W4650" s="360" t="s">
        <v>27</v>
      </c>
      <c r="X4650" s="360">
        <v>19</v>
      </c>
      <c r="Y4650" s="360" t="s">
        <v>49</v>
      </c>
      <c r="Z4650" s="360">
        <v>2</v>
      </c>
      <c r="AA4650" s="360">
        <v>112</v>
      </c>
      <c r="AB4650" s="360">
        <v>1.8</v>
      </c>
    </row>
    <row r="4651" spans="20:28" x14ac:dyDescent="0.2">
      <c r="T4651" s="358" t="str">
        <f t="shared" si="182"/>
        <v>2004FemaleMaori19Hanging, strangulation and suffocation</v>
      </c>
      <c r="U4651" s="360">
        <v>2004</v>
      </c>
      <c r="V4651" s="360" t="s">
        <v>8</v>
      </c>
      <c r="W4651" s="360" t="s">
        <v>18</v>
      </c>
      <c r="X4651" s="360">
        <v>19</v>
      </c>
      <c r="Y4651" s="360" t="s">
        <v>43</v>
      </c>
      <c r="Z4651" s="360">
        <v>22</v>
      </c>
      <c r="AA4651" s="360">
        <v>28</v>
      </c>
      <c r="AB4651" s="360">
        <v>78.599999999999994</v>
      </c>
    </row>
    <row r="4652" spans="20:28" x14ac:dyDescent="0.2">
      <c r="T4652" s="358" t="str">
        <f t="shared" si="182"/>
        <v>2004FemaleMaori19Other</v>
      </c>
      <c r="U4652" s="360">
        <v>2004</v>
      </c>
      <c r="V4652" s="360" t="s">
        <v>8</v>
      </c>
      <c r="W4652" s="360" t="s">
        <v>18</v>
      </c>
      <c r="X4652" s="360">
        <v>19</v>
      </c>
      <c r="Y4652" s="360" t="s">
        <v>45</v>
      </c>
      <c r="Z4652" s="360">
        <v>1</v>
      </c>
      <c r="AA4652" s="360">
        <v>28</v>
      </c>
      <c r="AB4652" s="360">
        <v>3.6</v>
      </c>
    </row>
    <row r="4653" spans="20:28" x14ac:dyDescent="0.2">
      <c r="T4653" s="358" t="str">
        <f t="shared" si="182"/>
        <v>2004FemaleMaori19Poisoning by gases and vapours</v>
      </c>
      <c r="U4653" s="360">
        <v>2004</v>
      </c>
      <c r="V4653" s="360" t="s">
        <v>8</v>
      </c>
      <c r="W4653" s="360" t="s">
        <v>18</v>
      </c>
      <c r="X4653" s="360">
        <v>19</v>
      </c>
      <c r="Y4653" s="360" t="s">
        <v>46</v>
      </c>
      <c r="Z4653" s="360">
        <v>1</v>
      </c>
      <c r="AA4653" s="360">
        <v>28</v>
      </c>
      <c r="AB4653" s="360">
        <v>3.6</v>
      </c>
    </row>
    <row r="4654" spans="20:28" x14ac:dyDescent="0.2">
      <c r="T4654" s="358" t="str">
        <f t="shared" si="182"/>
        <v>2004FemaleMaori19Poisoning by solids and liquids</v>
      </c>
      <c r="U4654" s="360">
        <v>2004</v>
      </c>
      <c r="V4654" s="360" t="s">
        <v>8</v>
      </c>
      <c r="W4654" s="360" t="s">
        <v>18</v>
      </c>
      <c r="X4654" s="360">
        <v>19</v>
      </c>
      <c r="Y4654" s="360" t="s">
        <v>47</v>
      </c>
      <c r="Z4654" s="360">
        <v>3</v>
      </c>
      <c r="AA4654" s="360">
        <v>28</v>
      </c>
      <c r="AB4654" s="360">
        <v>10.7</v>
      </c>
    </row>
    <row r="4655" spans="20:28" x14ac:dyDescent="0.2">
      <c r="T4655" s="358" t="str">
        <f t="shared" si="182"/>
        <v>2004FemaleMaori19Sharp object</v>
      </c>
      <c r="U4655" s="360">
        <v>2004</v>
      </c>
      <c r="V4655" s="360" t="s">
        <v>8</v>
      </c>
      <c r="W4655" s="360" t="s">
        <v>18</v>
      </c>
      <c r="X4655" s="360">
        <v>19</v>
      </c>
      <c r="Y4655" s="360" t="s">
        <v>48</v>
      </c>
      <c r="Z4655" s="360">
        <v>1</v>
      </c>
      <c r="AA4655" s="360">
        <v>28</v>
      </c>
      <c r="AB4655" s="360">
        <v>3.6</v>
      </c>
    </row>
    <row r="4656" spans="20:28" x14ac:dyDescent="0.2">
      <c r="T4656" s="358" t="str">
        <f t="shared" si="182"/>
        <v>2004FemaleNon-Maori19Firearms and explosives</v>
      </c>
      <c r="U4656" s="360">
        <v>2004</v>
      </c>
      <c r="V4656" s="360" t="s">
        <v>8</v>
      </c>
      <c r="W4656" s="360" t="s">
        <v>19</v>
      </c>
      <c r="X4656" s="360">
        <v>19</v>
      </c>
      <c r="Y4656" s="360" t="s">
        <v>42</v>
      </c>
      <c r="Z4656" s="360">
        <v>2</v>
      </c>
      <c r="AA4656" s="360">
        <v>84</v>
      </c>
      <c r="AB4656" s="360">
        <v>2.4</v>
      </c>
    </row>
    <row r="4657" spans="20:28" x14ac:dyDescent="0.2">
      <c r="T4657" s="358" t="str">
        <f t="shared" si="182"/>
        <v>2004FemaleNon-Maori19Hanging, strangulation and suffocation</v>
      </c>
      <c r="U4657" s="360">
        <v>2004</v>
      </c>
      <c r="V4657" s="360" t="s">
        <v>8</v>
      </c>
      <c r="W4657" s="360" t="s">
        <v>19</v>
      </c>
      <c r="X4657" s="360">
        <v>19</v>
      </c>
      <c r="Y4657" s="360" t="s">
        <v>43</v>
      </c>
      <c r="Z4657" s="360">
        <v>37</v>
      </c>
      <c r="AA4657" s="360">
        <v>84</v>
      </c>
      <c r="AB4657" s="360">
        <v>44</v>
      </c>
    </row>
    <row r="4658" spans="20:28" x14ac:dyDescent="0.2">
      <c r="T4658" s="358" t="str">
        <f t="shared" si="182"/>
        <v>2004FemaleNon-Maori19Jumping from a high place</v>
      </c>
      <c r="U4658" s="360">
        <v>2004</v>
      </c>
      <c r="V4658" s="360" t="s">
        <v>8</v>
      </c>
      <c r="W4658" s="360" t="s">
        <v>19</v>
      </c>
      <c r="X4658" s="360">
        <v>19</v>
      </c>
      <c r="Y4658" s="360" t="s">
        <v>44</v>
      </c>
      <c r="Z4658" s="360">
        <v>3</v>
      </c>
      <c r="AA4658" s="360">
        <v>84</v>
      </c>
      <c r="AB4658" s="360">
        <v>3.6</v>
      </c>
    </row>
    <row r="4659" spans="20:28" x14ac:dyDescent="0.2">
      <c r="T4659" s="358" t="str">
        <f t="shared" si="182"/>
        <v>2004FemaleNon-Maori19Other</v>
      </c>
      <c r="U4659" s="360">
        <v>2004</v>
      </c>
      <c r="V4659" s="360" t="s">
        <v>8</v>
      </c>
      <c r="W4659" s="360" t="s">
        <v>19</v>
      </c>
      <c r="X4659" s="360">
        <v>19</v>
      </c>
      <c r="Y4659" s="360" t="s">
        <v>45</v>
      </c>
      <c r="Z4659" s="360">
        <v>5</v>
      </c>
      <c r="AA4659" s="360">
        <v>84</v>
      </c>
      <c r="AB4659" s="360">
        <v>6</v>
      </c>
    </row>
    <row r="4660" spans="20:28" x14ac:dyDescent="0.2">
      <c r="T4660" s="358" t="str">
        <f t="shared" si="182"/>
        <v>2004FemaleNon-Maori19Poisoning by gases and vapours</v>
      </c>
      <c r="U4660" s="360">
        <v>2004</v>
      </c>
      <c r="V4660" s="360" t="s">
        <v>8</v>
      </c>
      <c r="W4660" s="360" t="s">
        <v>19</v>
      </c>
      <c r="X4660" s="360">
        <v>19</v>
      </c>
      <c r="Y4660" s="360" t="s">
        <v>46</v>
      </c>
      <c r="Z4660" s="360">
        <v>13</v>
      </c>
      <c r="AA4660" s="360">
        <v>84</v>
      </c>
      <c r="AB4660" s="360">
        <v>15.5</v>
      </c>
    </row>
    <row r="4661" spans="20:28" x14ac:dyDescent="0.2">
      <c r="T4661" s="358" t="str">
        <f t="shared" si="182"/>
        <v>2004FemaleNon-Maori19Poisoning by solids and liquids</v>
      </c>
      <c r="U4661" s="360">
        <v>2004</v>
      </c>
      <c r="V4661" s="360" t="s">
        <v>8</v>
      </c>
      <c r="W4661" s="360" t="s">
        <v>19</v>
      </c>
      <c r="X4661" s="360">
        <v>19</v>
      </c>
      <c r="Y4661" s="360" t="s">
        <v>47</v>
      </c>
      <c r="Z4661" s="360">
        <v>21</v>
      </c>
      <c r="AA4661" s="360">
        <v>84</v>
      </c>
      <c r="AB4661" s="360">
        <v>25</v>
      </c>
    </row>
    <row r="4662" spans="20:28" x14ac:dyDescent="0.2">
      <c r="T4662" s="358" t="str">
        <f t="shared" si="182"/>
        <v>2004FemaleNon-Maori19Sharp object</v>
      </c>
      <c r="U4662" s="360">
        <v>2004</v>
      </c>
      <c r="V4662" s="360" t="s">
        <v>8</v>
      </c>
      <c r="W4662" s="360" t="s">
        <v>19</v>
      </c>
      <c r="X4662" s="360">
        <v>19</v>
      </c>
      <c r="Y4662" s="360" t="s">
        <v>48</v>
      </c>
      <c r="Z4662" s="360">
        <v>1</v>
      </c>
      <c r="AA4662" s="360">
        <v>84</v>
      </c>
      <c r="AB4662" s="360">
        <v>1.2</v>
      </c>
    </row>
    <row r="4663" spans="20:28" x14ac:dyDescent="0.2">
      <c r="T4663" s="358" t="str">
        <f t="shared" si="182"/>
        <v>2004FemaleNon-Maori19Submersion (drowning)</v>
      </c>
      <c r="U4663" s="360">
        <v>2004</v>
      </c>
      <c r="V4663" s="360" t="s">
        <v>8</v>
      </c>
      <c r="W4663" s="360" t="s">
        <v>19</v>
      </c>
      <c r="X4663" s="360">
        <v>19</v>
      </c>
      <c r="Y4663" s="360" t="s">
        <v>49</v>
      </c>
      <c r="Z4663" s="360">
        <v>2</v>
      </c>
      <c r="AA4663" s="360">
        <v>84</v>
      </c>
      <c r="AB4663" s="360">
        <v>2.4</v>
      </c>
    </row>
    <row r="4664" spans="20:28" x14ac:dyDescent="0.2">
      <c r="T4664" s="358" t="str">
        <f t="shared" si="182"/>
        <v>2004MaleAllEth19Firearms and explosives</v>
      </c>
      <c r="U4664" s="360">
        <v>2004</v>
      </c>
      <c r="V4664" s="360" t="s">
        <v>20</v>
      </c>
      <c r="W4664" s="360" t="s">
        <v>27</v>
      </c>
      <c r="X4664" s="360">
        <v>19</v>
      </c>
      <c r="Y4664" s="360" t="s">
        <v>42</v>
      </c>
      <c r="Z4664" s="360">
        <v>37</v>
      </c>
      <c r="AA4664" s="360">
        <v>382</v>
      </c>
      <c r="AB4664" s="360">
        <v>9.6999999999999993</v>
      </c>
    </row>
    <row r="4665" spans="20:28" x14ac:dyDescent="0.2">
      <c r="T4665" s="358" t="str">
        <f t="shared" si="182"/>
        <v>2004MaleAllEth19Hanging, strangulation and suffocation</v>
      </c>
      <c r="U4665" s="360">
        <v>2004</v>
      </c>
      <c r="V4665" s="360" t="s">
        <v>20</v>
      </c>
      <c r="W4665" s="360" t="s">
        <v>27</v>
      </c>
      <c r="X4665" s="360">
        <v>19</v>
      </c>
      <c r="Y4665" s="360" t="s">
        <v>43</v>
      </c>
      <c r="Z4665" s="360">
        <v>211</v>
      </c>
      <c r="AA4665" s="360">
        <v>382</v>
      </c>
      <c r="AB4665" s="360">
        <v>55.2</v>
      </c>
    </row>
    <row r="4666" spans="20:28" x14ac:dyDescent="0.2">
      <c r="T4666" s="358" t="str">
        <f t="shared" si="182"/>
        <v>2004MaleAllEth19Jumping from a high place</v>
      </c>
      <c r="U4666" s="360">
        <v>2004</v>
      </c>
      <c r="V4666" s="360" t="s">
        <v>20</v>
      </c>
      <c r="W4666" s="360" t="s">
        <v>27</v>
      </c>
      <c r="X4666" s="360">
        <v>19</v>
      </c>
      <c r="Y4666" s="360" t="s">
        <v>44</v>
      </c>
      <c r="Z4666" s="360">
        <v>7</v>
      </c>
      <c r="AA4666" s="360">
        <v>382</v>
      </c>
      <c r="AB4666" s="360">
        <v>1.8</v>
      </c>
    </row>
    <row r="4667" spans="20:28" x14ac:dyDescent="0.2">
      <c r="T4667" s="358" t="str">
        <f t="shared" si="182"/>
        <v>2004MaleAllEth19Other</v>
      </c>
      <c r="U4667" s="360">
        <v>2004</v>
      </c>
      <c r="V4667" s="360" t="s">
        <v>20</v>
      </c>
      <c r="W4667" s="360" t="s">
        <v>27</v>
      </c>
      <c r="X4667" s="360">
        <v>19</v>
      </c>
      <c r="Y4667" s="360" t="s">
        <v>45</v>
      </c>
      <c r="Z4667" s="360">
        <v>10</v>
      </c>
      <c r="AA4667" s="360">
        <v>382</v>
      </c>
      <c r="AB4667" s="360">
        <v>2.6</v>
      </c>
    </row>
    <row r="4668" spans="20:28" x14ac:dyDescent="0.2">
      <c r="T4668" s="358" t="str">
        <f t="shared" si="182"/>
        <v>2004MaleAllEth19Poisoning by gases and vapours</v>
      </c>
      <c r="U4668" s="360">
        <v>2004</v>
      </c>
      <c r="V4668" s="360" t="s">
        <v>20</v>
      </c>
      <c r="W4668" s="360" t="s">
        <v>27</v>
      </c>
      <c r="X4668" s="360">
        <v>19</v>
      </c>
      <c r="Y4668" s="360" t="s">
        <v>46</v>
      </c>
      <c r="Z4668" s="360">
        <v>81</v>
      </c>
      <c r="AA4668" s="360">
        <v>382</v>
      </c>
      <c r="AB4668" s="360">
        <v>21.2</v>
      </c>
    </row>
    <row r="4669" spans="20:28" x14ac:dyDescent="0.2">
      <c r="T4669" s="358" t="str">
        <f t="shared" si="182"/>
        <v>2004MaleAllEth19Poisoning by solids and liquids</v>
      </c>
      <c r="U4669" s="360">
        <v>2004</v>
      </c>
      <c r="V4669" s="360" t="s">
        <v>20</v>
      </c>
      <c r="W4669" s="360" t="s">
        <v>27</v>
      </c>
      <c r="X4669" s="360">
        <v>19</v>
      </c>
      <c r="Y4669" s="360" t="s">
        <v>47</v>
      </c>
      <c r="Z4669" s="360">
        <v>22</v>
      </c>
      <c r="AA4669" s="360">
        <v>382</v>
      </c>
      <c r="AB4669" s="360">
        <v>5.8</v>
      </c>
    </row>
    <row r="4670" spans="20:28" x14ac:dyDescent="0.2">
      <c r="T4670" s="358" t="str">
        <f t="shared" si="182"/>
        <v>2004MaleAllEth19Sharp object</v>
      </c>
      <c r="U4670" s="360">
        <v>2004</v>
      </c>
      <c r="V4670" s="360" t="s">
        <v>20</v>
      </c>
      <c r="W4670" s="360" t="s">
        <v>27</v>
      </c>
      <c r="X4670" s="360">
        <v>19</v>
      </c>
      <c r="Y4670" s="360" t="s">
        <v>48</v>
      </c>
      <c r="Z4670" s="360">
        <v>4</v>
      </c>
      <c r="AA4670" s="360">
        <v>382</v>
      </c>
      <c r="AB4670" s="360">
        <v>1</v>
      </c>
    </row>
    <row r="4671" spans="20:28" x14ac:dyDescent="0.2">
      <c r="T4671" s="358" t="str">
        <f t="shared" si="182"/>
        <v>2004MaleAllEth19Submersion (drowning)</v>
      </c>
      <c r="U4671" s="360">
        <v>2004</v>
      </c>
      <c r="V4671" s="360" t="s">
        <v>20</v>
      </c>
      <c r="W4671" s="360" t="s">
        <v>27</v>
      </c>
      <c r="X4671" s="360">
        <v>19</v>
      </c>
      <c r="Y4671" s="360" t="s">
        <v>49</v>
      </c>
      <c r="Z4671" s="360">
        <v>10</v>
      </c>
      <c r="AA4671" s="360">
        <v>382</v>
      </c>
      <c r="AB4671" s="360">
        <v>2.6</v>
      </c>
    </row>
    <row r="4672" spans="20:28" x14ac:dyDescent="0.2">
      <c r="T4672" s="358" t="str">
        <f t="shared" si="182"/>
        <v>2004MaleMaori19Firearms and explosives</v>
      </c>
      <c r="U4672" s="360">
        <v>2004</v>
      </c>
      <c r="V4672" s="360" t="s">
        <v>20</v>
      </c>
      <c r="W4672" s="360" t="s">
        <v>18</v>
      </c>
      <c r="X4672" s="360">
        <v>19</v>
      </c>
      <c r="Y4672" s="360" t="s">
        <v>42</v>
      </c>
      <c r="Z4672" s="360">
        <v>4</v>
      </c>
      <c r="AA4672" s="360">
        <v>83</v>
      </c>
      <c r="AB4672" s="360">
        <v>4.8</v>
      </c>
    </row>
    <row r="4673" spans="20:28" x14ac:dyDescent="0.2">
      <c r="T4673" s="358" t="str">
        <f t="shared" si="182"/>
        <v>2004MaleMaori19Hanging, strangulation and suffocation</v>
      </c>
      <c r="U4673" s="360">
        <v>2004</v>
      </c>
      <c r="V4673" s="360" t="s">
        <v>20</v>
      </c>
      <c r="W4673" s="360" t="s">
        <v>18</v>
      </c>
      <c r="X4673" s="360">
        <v>19</v>
      </c>
      <c r="Y4673" s="360" t="s">
        <v>43</v>
      </c>
      <c r="Z4673" s="360">
        <v>70</v>
      </c>
      <c r="AA4673" s="360">
        <v>83</v>
      </c>
      <c r="AB4673" s="360">
        <v>84.3</v>
      </c>
    </row>
    <row r="4674" spans="20:28" x14ac:dyDescent="0.2">
      <c r="T4674" s="358" t="str">
        <f t="shared" si="182"/>
        <v>2004MaleMaori19Poisoning by gases and vapours</v>
      </c>
      <c r="U4674" s="360">
        <v>2004</v>
      </c>
      <c r="V4674" s="360" t="s">
        <v>20</v>
      </c>
      <c r="W4674" s="360" t="s">
        <v>18</v>
      </c>
      <c r="X4674" s="360">
        <v>19</v>
      </c>
      <c r="Y4674" s="360" t="s">
        <v>46</v>
      </c>
      <c r="Z4674" s="360">
        <v>2</v>
      </c>
      <c r="AA4674" s="360">
        <v>83</v>
      </c>
      <c r="AB4674" s="360">
        <v>2.4</v>
      </c>
    </row>
    <row r="4675" spans="20:28" x14ac:dyDescent="0.2">
      <c r="T4675" s="358" t="str">
        <f t="shared" si="182"/>
        <v>2004MaleMaori19Poisoning by solids and liquids</v>
      </c>
      <c r="U4675" s="360">
        <v>2004</v>
      </c>
      <c r="V4675" s="360" t="s">
        <v>20</v>
      </c>
      <c r="W4675" s="360" t="s">
        <v>18</v>
      </c>
      <c r="X4675" s="360">
        <v>19</v>
      </c>
      <c r="Y4675" s="360" t="s">
        <v>47</v>
      </c>
      <c r="Z4675" s="360">
        <v>3</v>
      </c>
      <c r="AA4675" s="360">
        <v>83</v>
      </c>
      <c r="AB4675" s="360">
        <v>3.6</v>
      </c>
    </row>
    <row r="4676" spans="20:28" x14ac:dyDescent="0.2">
      <c r="T4676" s="358" t="str">
        <f t="shared" si="182"/>
        <v>2004MaleMaori19Sharp object</v>
      </c>
      <c r="U4676" s="360">
        <v>2004</v>
      </c>
      <c r="V4676" s="360" t="s">
        <v>20</v>
      </c>
      <c r="W4676" s="360" t="s">
        <v>18</v>
      </c>
      <c r="X4676" s="360">
        <v>19</v>
      </c>
      <c r="Y4676" s="360" t="s">
        <v>48</v>
      </c>
      <c r="Z4676" s="360">
        <v>2</v>
      </c>
      <c r="AA4676" s="360">
        <v>83</v>
      </c>
      <c r="AB4676" s="360">
        <v>2.4</v>
      </c>
    </row>
    <row r="4677" spans="20:28" x14ac:dyDescent="0.2">
      <c r="T4677" s="358" t="str">
        <f t="shared" ref="T4677:T4740" si="183">U4677&amp;V4677&amp;W4677&amp;X4677&amp;Y4677</f>
        <v>2004MaleMaori19Submersion (drowning)</v>
      </c>
      <c r="U4677" s="360">
        <v>2004</v>
      </c>
      <c r="V4677" s="360" t="s">
        <v>20</v>
      </c>
      <c r="W4677" s="360" t="s">
        <v>18</v>
      </c>
      <c r="X4677" s="360">
        <v>19</v>
      </c>
      <c r="Y4677" s="360" t="s">
        <v>49</v>
      </c>
      <c r="Z4677" s="360">
        <v>2</v>
      </c>
      <c r="AA4677" s="360">
        <v>83</v>
      </c>
      <c r="AB4677" s="360">
        <v>2.4</v>
      </c>
    </row>
    <row r="4678" spans="20:28" x14ac:dyDescent="0.2">
      <c r="T4678" s="358" t="str">
        <f t="shared" si="183"/>
        <v>2004MaleNon-Maori19Firearms and explosives</v>
      </c>
      <c r="U4678" s="360">
        <v>2004</v>
      </c>
      <c r="V4678" s="360" t="s">
        <v>20</v>
      </c>
      <c r="W4678" s="360" t="s">
        <v>19</v>
      </c>
      <c r="X4678" s="360">
        <v>19</v>
      </c>
      <c r="Y4678" s="360" t="s">
        <v>42</v>
      </c>
      <c r="Z4678" s="360">
        <v>33</v>
      </c>
      <c r="AA4678" s="360">
        <v>299</v>
      </c>
      <c r="AB4678" s="360">
        <v>11</v>
      </c>
    </row>
    <row r="4679" spans="20:28" x14ac:dyDescent="0.2">
      <c r="T4679" s="358" t="str">
        <f t="shared" si="183"/>
        <v>2004MaleNon-Maori19Hanging, strangulation and suffocation</v>
      </c>
      <c r="U4679" s="360">
        <v>2004</v>
      </c>
      <c r="V4679" s="360" t="s">
        <v>20</v>
      </c>
      <c r="W4679" s="360" t="s">
        <v>19</v>
      </c>
      <c r="X4679" s="360">
        <v>19</v>
      </c>
      <c r="Y4679" s="360" t="s">
        <v>43</v>
      </c>
      <c r="Z4679" s="360">
        <v>141</v>
      </c>
      <c r="AA4679" s="360">
        <v>299</v>
      </c>
      <c r="AB4679" s="360">
        <v>47.2</v>
      </c>
    </row>
    <row r="4680" spans="20:28" x14ac:dyDescent="0.2">
      <c r="T4680" s="358" t="str">
        <f t="shared" si="183"/>
        <v>2004MaleNon-Maori19Jumping from a high place</v>
      </c>
      <c r="U4680" s="360">
        <v>2004</v>
      </c>
      <c r="V4680" s="360" t="s">
        <v>20</v>
      </c>
      <c r="W4680" s="360" t="s">
        <v>19</v>
      </c>
      <c r="X4680" s="360">
        <v>19</v>
      </c>
      <c r="Y4680" s="360" t="s">
        <v>44</v>
      </c>
      <c r="Z4680" s="360">
        <v>7</v>
      </c>
      <c r="AA4680" s="360">
        <v>299</v>
      </c>
      <c r="AB4680" s="360">
        <v>2.2999999999999998</v>
      </c>
    </row>
    <row r="4681" spans="20:28" x14ac:dyDescent="0.2">
      <c r="T4681" s="358" t="str">
        <f t="shared" si="183"/>
        <v>2004MaleNon-Maori19Other</v>
      </c>
      <c r="U4681" s="360">
        <v>2004</v>
      </c>
      <c r="V4681" s="360" t="s">
        <v>20</v>
      </c>
      <c r="W4681" s="360" t="s">
        <v>19</v>
      </c>
      <c r="X4681" s="360">
        <v>19</v>
      </c>
      <c r="Y4681" s="360" t="s">
        <v>45</v>
      </c>
      <c r="Z4681" s="360">
        <v>10</v>
      </c>
      <c r="AA4681" s="360">
        <v>299</v>
      </c>
      <c r="AB4681" s="360">
        <v>3.3</v>
      </c>
    </row>
    <row r="4682" spans="20:28" x14ac:dyDescent="0.2">
      <c r="T4682" s="358" t="str">
        <f t="shared" si="183"/>
        <v>2004MaleNon-Maori19Poisoning by gases and vapours</v>
      </c>
      <c r="U4682" s="360">
        <v>2004</v>
      </c>
      <c r="V4682" s="360" t="s">
        <v>20</v>
      </c>
      <c r="W4682" s="360" t="s">
        <v>19</v>
      </c>
      <c r="X4682" s="360">
        <v>19</v>
      </c>
      <c r="Y4682" s="360" t="s">
        <v>46</v>
      </c>
      <c r="Z4682" s="360">
        <v>79</v>
      </c>
      <c r="AA4682" s="360">
        <v>299</v>
      </c>
      <c r="AB4682" s="360">
        <v>26.4</v>
      </c>
    </row>
    <row r="4683" spans="20:28" x14ac:dyDescent="0.2">
      <c r="T4683" s="358" t="str">
        <f t="shared" si="183"/>
        <v>2004MaleNon-Maori19Poisoning by solids and liquids</v>
      </c>
      <c r="U4683" s="360">
        <v>2004</v>
      </c>
      <c r="V4683" s="360" t="s">
        <v>20</v>
      </c>
      <c r="W4683" s="360" t="s">
        <v>19</v>
      </c>
      <c r="X4683" s="360">
        <v>19</v>
      </c>
      <c r="Y4683" s="360" t="s">
        <v>47</v>
      </c>
      <c r="Z4683" s="360">
        <v>19</v>
      </c>
      <c r="AA4683" s="360">
        <v>299</v>
      </c>
      <c r="AB4683" s="360">
        <v>6.4</v>
      </c>
    </row>
    <row r="4684" spans="20:28" x14ac:dyDescent="0.2">
      <c r="T4684" s="358" t="str">
        <f t="shared" si="183"/>
        <v>2004MaleNon-Maori19Sharp object</v>
      </c>
      <c r="U4684" s="360">
        <v>2004</v>
      </c>
      <c r="V4684" s="360" t="s">
        <v>20</v>
      </c>
      <c r="W4684" s="360" t="s">
        <v>19</v>
      </c>
      <c r="X4684" s="360">
        <v>19</v>
      </c>
      <c r="Y4684" s="360" t="s">
        <v>48</v>
      </c>
      <c r="Z4684" s="360">
        <v>2</v>
      </c>
      <c r="AA4684" s="360">
        <v>299</v>
      </c>
      <c r="AB4684" s="360">
        <v>0.7</v>
      </c>
    </row>
    <row r="4685" spans="20:28" x14ac:dyDescent="0.2">
      <c r="T4685" s="358" t="str">
        <f t="shared" si="183"/>
        <v>2004MaleNon-Maori19Submersion (drowning)</v>
      </c>
      <c r="U4685" s="360">
        <v>2004</v>
      </c>
      <c r="V4685" s="360" t="s">
        <v>20</v>
      </c>
      <c r="W4685" s="360" t="s">
        <v>19</v>
      </c>
      <c r="X4685" s="360">
        <v>19</v>
      </c>
      <c r="Y4685" s="360" t="s">
        <v>49</v>
      </c>
      <c r="Z4685" s="360">
        <v>8</v>
      </c>
      <c r="AA4685" s="360">
        <v>299</v>
      </c>
      <c r="AB4685" s="360">
        <v>2.7</v>
      </c>
    </row>
    <row r="4686" spans="20:28" x14ac:dyDescent="0.2">
      <c r="T4686" s="358" t="str">
        <f t="shared" si="183"/>
        <v>2005AllSexAllEth19Firearms and explosives</v>
      </c>
      <c r="U4686" s="360">
        <v>2005</v>
      </c>
      <c r="V4686" s="360" t="s">
        <v>17</v>
      </c>
      <c r="W4686" s="360" t="s">
        <v>27</v>
      </c>
      <c r="X4686" s="360">
        <v>19</v>
      </c>
      <c r="Y4686" s="360" t="s">
        <v>42</v>
      </c>
      <c r="Z4686" s="360">
        <v>44</v>
      </c>
      <c r="AA4686" s="360">
        <v>515</v>
      </c>
      <c r="AB4686" s="360">
        <v>8.5</v>
      </c>
    </row>
    <row r="4687" spans="20:28" x14ac:dyDescent="0.2">
      <c r="T4687" s="358" t="str">
        <f t="shared" si="183"/>
        <v>2005AllSexAllEth19Hanging, strangulation and suffocation</v>
      </c>
      <c r="U4687" s="360">
        <v>2005</v>
      </c>
      <c r="V4687" s="360" t="s">
        <v>17</v>
      </c>
      <c r="W4687" s="360" t="s">
        <v>27</v>
      </c>
      <c r="X4687" s="360">
        <v>19</v>
      </c>
      <c r="Y4687" s="360" t="s">
        <v>43</v>
      </c>
      <c r="Z4687" s="360">
        <v>256</v>
      </c>
      <c r="AA4687" s="360">
        <v>515</v>
      </c>
      <c r="AB4687" s="360">
        <v>49.7</v>
      </c>
    </row>
    <row r="4688" spans="20:28" x14ac:dyDescent="0.2">
      <c r="T4688" s="358" t="str">
        <f t="shared" si="183"/>
        <v>2005AllSexAllEth19Jumping from a high place</v>
      </c>
      <c r="U4688" s="360">
        <v>2005</v>
      </c>
      <c r="V4688" s="360" t="s">
        <v>17</v>
      </c>
      <c r="W4688" s="360" t="s">
        <v>27</v>
      </c>
      <c r="X4688" s="360">
        <v>19</v>
      </c>
      <c r="Y4688" s="360" t="s">
        <v>44</v>
      </c>
      <c r="Z4688" s="360">
        <v>15</v>
      </c>
      <c r="AA4688" s="360">
        <v>515</v>
      </c>
      <c r="AB4688" s="360">
        <v>2.9</v>
      </c>
    </row>
    <row r="4689" spans="20:28" x14ac:dyDescent="0.2">
      <c r="T4689" s="358" t="str">
        <f t="shared" si="183"/>
        <v>2005AllSexAllEth19Other</v>
      </c>
      <c r="U4689" s="360">
        <v>2005</v>
      </c>
      <c r="V4689" s="360" t="s">
        <v>17</v>
      </c>
      <c r="W4689" s="360" t="s">
        <v>27</v>
      </c>
      <c r="X4689" s="360">
        <v>19</v>
      </c>
      <c r="Y4689" s="360" t="s">
        <v>45</v>
      </c>
      <c r="Z4689" s="360">
        <v>13</v>
      </c>
      <c r="AA4689" s="360">
        <v>515</v>
      </c>
      <c r="AB4689" s="360">
        <v>2.5</v>
      </c>
    </row>
    <row r="4690" spans="20:28" x14ac:dyDescent="0.2">
      <c r="T4690" s="358" t="str">
        <f t="shared" si="183"/>
        <v>2005AllSexAllEth19Poisoning by gases and vapours</v>
      </c>
      <c r="U4690" s="360">
        <v>2005</v>
      </c>
      <c r="V4690" s="360" t="s">
        <v>17</v>
      </c>
      <c r="W4690" s="360" t="s">
        <v>27</v>
      </c>
      <c r="X4690" s="360">
        <v>19</v>
      </c>
      <c r="Y4690" s="360" t="s">
        <v>46</v>
      </c>
      <c r="Z4690" s="360">
        <v>110</v>
      </c>
      <c r="AA4690" s="360">
        <v>515</v>
      </c>
      <c r="AB4690" s="360">
        <v>21.4</v>
      </c>
    </row>
    <row r="4691" spans="20:28" x14ac:dyDescent="0.2">
      <c r="T4691" s="358" t="str">
        <f t="shared" si="183"/>
        <v>2005AllSexAllEth19Poisoning by solids and liquids</v>
      </c>
      <c r="U4691" s="360">
        <v>2005</v>
      </c>
      <c r="V4691" s="360" t="s">
        <v>17</v>
      </c>
      <c r="W4691" s="360" t="s">
        <v>27</v>
      </c>
      <c r="X4691" s="360">
        <v>19</v>
      </c>
      <c r="Y4691" s="360" t="s">
        <v>47</v>
      </c>
      <c r="Z4691" s="360">
        <v>51</v>
      </c>
      <c r="AA4691" s="360">
        <v>515</v>
      </c>
      <c r="AB4691" s="360">
        <v>9.9</v>
      </c>
    </row>
    <row r="4692" spans="20:28" x14ac:dyDescent="0.2">
      <c r="T4692" s="358" t="str">
        <f t="shared" si="183"/>
        <v>2005AllSexAllEth19Sharp object</v>
      </c>
      <c r="U4692" s="360">
        <v>2005</v>
      </c>
      <c r="V4692" s="360" t="s">
        <v>17</v>
      </c>
      <c r="W4692" s="360" t="s">
        <v>27</v>
      </c>
      <c r="X4692" s="360">
        <v>19</v>
      </c>
      <c r="Y4692" s="360" t="s">
        <v>48</v>
      </c>
      <c r="Z4692" s="360">
        <v>13</v>
      </c>
      <c r="AA4692" s="360">
        <v>515</v>
      </c>
      <c r="AB4692" s="360">
        <v>2.5</v>
      </c>
    </row>
    <row r="4693" spans="20:28" x14ac:dyDescent="0.2">
      <c r="T4693" s="358" t="str">
        <f t="shared" si="183"/>
        <v>2005AllSexAllEth19Submersion (drowning)</v>
      </c>
      <c r="U4693" s="360">
        <v>2005</v>
      </c>
      <c r="V4693" s="360" t="s">
        <v>17</v>
      </c>
      <c r="W4693" s="360" t="s">
        <v>27</v>
      </c>
      <c r="X4693" s="360">
        <v>19</v>
      </c>
      <c r="Y4693" s="360" t="s">
        <v>49</v>
      </c>
      <c r="Z4693" s="360">
        <v>13</v>
      </c>
      <c r="AA4693" s="360">
        <v>515</v>
      </c>
      <c r="AB4693" s="360">
        <v>2.5</v>
      </c>
    </row>
    <row r="4694" spans="20:28" x14ac:dyDescent="0.2">
      <c r="T4694" s="358" t="str">
        <f t="shared" si="183"/>
        <v>2005AllSexMaori19Firearms and explosives</v>
      </c>
      <c r="U4694" s="360">
        <v>2005</v>
      </c>
      <c r="V4694" s="360" t="s">
        <v>17</v>
      </c>
      <c r="W4694" s="360" t="s">
        <v>18</v>
      </c>
      <c r="X4694" s="360">
        <v>19</v>
      </c>
      <c r="Y4694" s="360" t="s">
        <v>42</v>
      </c>
      <c r="Z4694" s="360">
        <v>7</v>
      </c>
      <c r="AA4694" s="360">
        <v>105</v>
      </c>
      <c r="AB4694" s="360">
        <v>6.7</v>
      </c>
    </row>
    <row r="4695" spans="20:28" x14ac:dyDescent="0.2">
      <c r="T4695" s="358" t="str">
        <f t="shared" si="183"/>
        <v>2005AllSexMaori19Hanging, strangulation and suffocation</v>
      </c>
      <c r="U4695" s="360">
        <v>2005</v>
      </c>
      <c r="V4695" s="360" t="s">
        <v>17</v>
      </c>
      <c r="W4695" s="360" t="s">
        <v>18</v>
      </c>
      <c r="X4695" s="360">
        <v>19</v>
      </c>
      <c r="Y4695" s="360" t="s">
        <v>43</v>
      </c>
      <c r="Z4695" s="360">
        <v>79</v>
      </c>
      <c r="AA4695" s="360">
        <v>105</v>
      </c>
      <c r="AB4695" s="360">
        <v>75.2</v>
      </c>
    </row>
    <row r="4696" spans="20:28" x14ac:dyDescent="0.2">
      <c r="T4696" s="358" t="str">
        <f t="shared" si="183"/>
        <v>2005AllSexMaori19Jumping from a high place</v>
      </c>
      <c r="U4696" s="360">
        <v>2005</v>
      </c>
      <c r="V4696" s="360" t="s">
        <v>17</v>
      </c>
      <c r="W4696" s="360" t="s">
        <v>18</v>
      </c>
      <c r="X4696" s="360">
        <v>19</v>
      </c>
      <c r="Y4696" s="360" t="s">
        <v>44</v>
      </c>
      <c r="Z4696" s="360">
        <v>2</v>
      </c>
      <c r="AA4696" s="360">
        <v>105</v>
      </c>
      <c r="AB4696" s="360">
        <v>1.9</v>
      </c>
    </row>
    <row r="4697" spans="20:28" x14ac:dyDescent="0.2">
      <c r="T4697" s="358" t="str">
        <f t="shared" si="183"/>
        <v>2005AllSexMaori19Other</v>
      </c>
      <c r="U4697" s="360">
        <v>2005</v>
      </c>
      <c r="V4697" s="360" t="s">
        <v>17</v>
      </c>
      <c r="W4697" s="360" t="s">
        <v>18</v>
      </c>
      <c r="X4697" s="360">
        <v>19</v>
      </c>
      <c r="Y4697" s="360" t="s">
        <v>45</v>
      </c>
      <c r="Z4697" s="360">
        <v>1</v>
      </c>
      <c r="AA4697" s="360">
        <v>105</v>
      </c>
      <c r="AB4697" s="360">
        <v>1</v>
      </c>
    </row>
    <row r="4698" spans="20:28" x14ac:dyDescent="0.2">
      <c r="T4698" s="358" t="str">
        <f t="shared" si="183"/>
        <v>2005AllSexMaori19Poisoning by gases and vapours</v>
      </c>
      <c r="U4698" s="360">
        <v>2005</v>
      </c>
      <c r="V4698" s="360" t="s">
        <v>17</v>
      </c>
      <c r="W4698" s="360" t="s">
        <v>18</v>
      </c>
      <c r="X4698" s="360">
        <v>19</v>
      </c>
      <c r="Y4698" s="360" t="s">
        <v>46</v>
      </c>
      <c r="Z4698" s="360">
        <v>11</v>
      </c>
      <c r="AA4698" s="360">
        <v>105</v>
      </c>
      <c r="AB4698" s="360">
        <v>10.5</v>
      </c>
    </row>
    <row r="4699" spans="20:28" x14ac:dyDescent="0.2">
      <c r="T4699" s="358" t="str">
        <f t="shared" si="183"/>
        <v>2005AllSexMaori19Poisoning by solids and liquids</v>
      </c>
      <c r="U4699" s="360">
        <v>2005</v>
      </c>
      <c r="V4699" s="360" t="s">
        <v>17</v>
      </c>
      <c r="W4699" s="360" t="s">
        <v>18</v>
      </c>
      <c r="X4699" s="360">
        <v>19</v>
      </c>
      <c r="Y4699" s="360" t="s">
        <v>47</v>
      </c>
      <c r="Z4699" s="360">
        <v>3</v>
      </c>
      <c r="AA4699" s="360">
        <v>105</v>
      </c>
      <c r="AB4699" s="360">
        <v>2.9</v>
      </c>
    </row>
    <row r="4700" spans="20:28" x14ac:dyDescent="0.2">
      <c r="T4700" s="358" t="str">
        <f t="shared" si="183"/>
        <v>2005AllSexMaori19Sharp object</v>
      </c>
      <c r="U4700" s="360">
        <v>2005</v>
      </c>
      <c r="V4700" s="360" t="s">
        <v>17</v>
      </c>
      <c r="W4700" s="360" t="s">
        <v>18</v>
      </c>
      <c r="X4700" s="360">
        <v>19</v>
      </c>
      <c r="Y4700" s="360" t="s">
        <v>48</v>
      </c>
      <c r="Z4700" s="360">
        <v>2</v>
      </c>
      <c r="AA4700" s="360">
        <v>105</v>
      </c>
      <c r="AB4700" s="360">
        <v>1.9</v>
      </c>
    </row>
    <row r="4701" spans="20:28" x14ac:dyDescent="0.2">
      <c r="T4701" s="358" t="str">
        <f t="shared" si="183"/>
        <v>2005AllSexNon-Maori19Firearms and explosives</v>
      </c>
      <c r="U4701" s="360">
        <v>2005</v>
      </c>
      <c r="V4701" s="360" t="s">
        <v>17</v>
      </c>
      <c r="W4701" s="360" t="s">
        <v>19</v>
      </c>
      <c r="X4701" s="360">
        <v>19</v>
      </c>
      <c r="Y4701" s="360" t="s">
        <v>42</v>
      </c>
      <c r="Z4701" s="360">
        <v>37</v>
      </c>
      <c r="AA4701" s="360">
        <v>410</v>
      </c>
      <c r="AB4701" s="360">
        <v>9</v>
      </c>
    </row>
    <row r="4702" spans="20:28" x14ac:dyDescent="0.2">
      <c r="T4702" s="358" t="str">
        <f t="shared" si="183"/>
        <v>2005AllSexNon-Maori19Hanging, strangulation and suffocation</v>
      </c>
      <c r="U4702" s="360">
        <v>2005</v>
      </c>
      <c r="V4702" s="360" t="s">
        <v>17</v>
      </c>
      <c r="W4702" s="360" t="s">
        <v>19</v>
      </c>
      <c r="X4702" s="360">
        <v>19</v>
      </c>
      <c r="Y4702" s="360" t="s">
        <v>43</v>
      </c>
      <c r="Z4702" s="360">
        <v>177</v>
      </c>
      <c r="AA4702" s="360">
        <v>410</v>
      </c>
      <c r="AB4702" s="360">
        <v>43.2</v>
      </c>
    </row>
    <row r="4703" spans="20:28" x14ac:dyDescent="0.2">
      <c r="T4703" s="358" t="str">
        <f t="shared" si="183"/>
        <v>2005AllSexNon-Maori19Jumping from a high place</v>
      </c>
      <c r="U4703" s="360">
        <v>2005</v>
      </c>
      <c r="V4703" s="360" t="s">
        <v>17</v>
      </c>
      <c r="W4703" s="360" t="s">
        <v>19</v>
      </c>
      <c r="X4703" s="360">
        <v>19</v>
      </c>
      <c r="Y4703" s="360" t="s">
        <v>44</v>
      </c>
      <c r="Z4703" s="360">
        <v>13</v>
      </c>
      <c r="AA4703" s="360">
        <v>410</v>
      </c>
      <c r="AB4703" s="360">
        <v>3.2</v>
      </c>
    </row>
    <row r="4704" spans="20:28" x14ac:dyDescent="0.2">
      <c r="T4704" s="358" t="str">
        <f t="shared" si="183"/>
        <v>2005AllSexNon-Maori19Other</v>
      </c>
      <c r="U4704" s="360">
        <v>2005</v>
      </c>
      <c r="V4704" s="360" t="s">
        <v>17</v>
      </c>
      <c r="W4704" s="360" t="s">
        <v>19</v>
      </c>
      <c r="X4704" s="360">
        <v>19</v>
      </c>
      <c r="Y4704" s="360" t="s">
        <v>45</v>
      </c>
      <c r="Z4704" s="360">
        <v>12</v>
      </c>
      <c r="AA4704" s="360">
        <v>410</v>
      </c>
      <c r="AB4704" s="360">
        <v>2.9</v>
      </c>
    </row>
    <row r="4705" spans="20:28" x14ac:dyDescent="0.2">
      <c r="T4705" s="358" t="str">
        <f t="shared" si="183"/>
        <v>2005AllSexNon-Maori19Poisoning by gases and vapours</v>
      </c>
      <c r="U4705" s="360">
        <v>2005</v>
      </c>
      <c r="V4705" s="360" t="s">
        <v>17</v>
      </c>
      <c r="W4705" s="360" t="s">
        <v>19</v>
      </c>
      <c r="X4705" s="360">
        <v>19</v>
      </c>
      <c r="Y4705" s="360" t="s">
        <v>46</v>
      </c>
      <c r="Z4705" s="360">
        <v>99</v>
      </c>
      <c r="AA4705" s="360">
        <v>410</v>
      </c>
      <c r="AB4705" s="360">
        <v>24.1</v>
      </c>
    </row>
    <row r="4706" spans="20:28" x14ac:dyDescent="0.2">
      <c r="T4706" s="358" t="str">
        <f t="shared" si="183"/>
        <v>2005AllSexNon-Maori19Poisoning by solids and liquids</v>
      </c>
      <c r="U4706" s="360">
        <v>2005</v>
      </c>
      <c r="V4706" s="360" t="s">
        <v>17</v>
      </c>
      <c r="W4706" s="360" t="s">
        <v>19</v>
      </c>
      <c r="X4706" s="360">
        <v>19</v>
      </c>
      <c r="Y4706" s="360" t="s">
        <v>47</v>
      </c>
      <c r="Z4706" s="360">
        <v>48</v>
      </c>
      <c r="AA4706" s="360">
        <v>410</v>
      </c>
      <c r="AB4706" s="360">
        <v>11.7</v>
      </c>
    </row>
    <row r="4707" spans="20:28" x14ac:dyDescent="0.2">
      <c r="T4707" s="358" t="str">
        <f t="shared" si="183"/>
        <v>2005AllSexNon-Maori19Sharp object</v>
      </c>
      <c r="U4707" s="360">
        <v>2005</v>
      </c>
      <c r="V4707" s="360" t="s">
        <v>17</v>
      </c>
      <c r="W4707" s="360" t="s">
        <v>19</v>
      </c>
      <c r="X4707" s="360">
        <v>19</v>
      </c>
      <c r="Y4707" s="360" t="s">
        <v>48</v>
      </c>
      <c r="Z4707" s="360">
        <v>11</v>
      </c>
      <c r="AA4707" s="360">
        <v>410</v>
      </c>
      <c r="AB4707" s="360">
        <v>2.7</v>
      </c>
    </row>
    <row r="4708" spans="20:28" x14ac:dyDescent="0.2">
      <c r="T4708" s="358" t="str">
        <f t="shared" si="183"/>
        <v>2005AllSexNon-Maori19Submersion (drowning)</v>
      </c>
      <c r="U4708" s="360">
        <v>2005</v>
      </c>
      <c r="V4708" s="360" t="s">
        <v>17</v>
      </c>
      <c r="W4708" s="360" t="s">
        <v>19</v>
      </c>
      <c r="X4708" s="360">
        <v>19</v>
      </c>
      <c r="Y4708" s="360" t="s">
        <v>49</v>
      </c>
      <c r="Z4708" s="360">
        <v>13</v>
      </c>
      <c r="AA4708" s="360">
        <v>410</v>
      </c>
      <c r="AB4708" s="360">
        <v>3.2</v>
      </c>
    </row>
    <row r="4709" spans="20:28" x14ac:dyDescent="0.2">
      <c r="T4709" s="358" t="str">
        <f t="shared" si="183"/>
        <v>2005FemaleAllEth19Firearms and explosives</v>
      </c>
      <c r="U4709" s="360">
        <v>2005</v>
      </c>
      <c r="V4709" s="360" t="s">
        <v>8</v>
      </c>
      <c r="W4709" s="360" t="s">
        <v>27</v>
      </c>
      <c r="X4709" s="360">
        <v>19</v>
      </c>
      <c r="Y4709" s="360" t="s">
        <v>42</v>
      </c>
      <c r="Z4709" s="360">
        <v>2</v>
      </c>
      <c r="AA4709" s="360">
        <v>132</v>
      </c>
      <c r="AB4709" s="360">
        <v>1.5</v>
      </c>
    </row>
    <row r="4710" spans="20:28" x14ac:dyDescent="0.2">
      <c r="T4710" s="358" t="str">
        <f t="shared" si="183"/>
        <v>2005FemaleAllEth19Hanging, strangulation and suffocation</v>
      </c>
      <c r="U4710" s="360">
        <v>2005</v>
      </c>
      <c r="V4710" s="360" t="s">
        <v>8</v>
      </c>
      <c r="W4710" s="360" t="s">
        <v>27</v>
      </c>
      <c r="X4710" s="360">
        <v>19</v>
      </c>
      <c r="Y4710" s="360" t="s">
        <v>43</v>
      </c>
      <c r="Z4710" s="360">
        <v>63</v>
      </c>
      <c r="AA4710" s="360">
        <v>132</v>
      </c>
      <c r="AB4710" s="360">
        <v>47.7</v>
      </c>
    </row>
    <row r="4711" spans="20:28" x14ac:dyDescent="0.2">
      <c r="T4711" s="358" t="str">
        <f t="shared" si="183"/>
        <v>2005FemaleAllEth19Jumping from a high place</v>
      </c>
      <c r="U4711" s="360">
        <v>2005</v>
      </c>
      <c r="V4711" s="360" t="s">
        <v>8</v>
      </c>
      <c r="W4711" s="360" t="s">
        <v>27</v>
      </c>
      <c r="X4711" s="360">
        <v>19</v>
      </c>
      <c r="Y4711" s="360" t="s">
        <v>44</v>
      </c>
      <c r="Z4711" s="360">
        <v>4</v>
      </c>
      <c r="AA4711" s="360">
        <v>132</v>
      </c>
      <c r="AB4711" s="360">
        <v>3</v>
      </c>
    </row>
    <row r="4712" spans="20:28" x14ac:dyDescent="0.2">
      <c r="T4712" s="358" t="str">
        <f t="shared" si="183"/>
        <v>2005FemaleAllEth19Other</v>
      </c>
      <c r="U4712" s="360">
        <v>2005</v>
      </c>
      <c r="V4712" s="360" t="s">
        <v>8</v>
      </c>
      <c r="W4712" s="360" t="s">
        <v>27</v>
      </c>
      <c r="X4712" s="360">
        <v>19</v>
      </c>
      <c r="Y4712" s="360" t="s">
        <v>45</v>
      </c>
      <c r="Z4712" s="360">
        <v>5</v>
      </c>
      <c r="AA4712" s="360">
        <v>132</v>
      </c>
      <c r="AB4712" s="360">
        <v>3.8</v>
      </c>
    </row>
    <row r="4713" spans="20:28" x14ac:dyDescent="0.2">
      <c r="T4713" s="358" t="str">
        <f t="shared" si="183"/>
        <v>2005FemaleAllEth19Poisoning by gases and vapours</v>
      </c>
      <c r="U4713" s="360">
        <v>2005</v>
      </c>
      <c r="V4713" s="360" t="s">
        <v>8</v>
      </c>
      <c r="W4713" s="360" t="s">
        <v>27</v>
      </c>
      <c r="X4713" s="360">
        <v>19</v>
      </c>
      <c r="Y4713" s="360" t="s">
        <v>46</v>
      </c>
      <c r="Z4713" s="360">
        <v>22</v>
      </c>
      <c r="AA4713" s="360">
        <v>132</v>
      </c>
      <c r="AB4713" s="360">
        <v>16.7</v>
      </c>
    </row>
    <row r="4714" spans="20:28" x14ac:dyDescent="0.2">
      <c r="T4714" s="358" t="str">
        <f t="shared" si="183"/>
        <v>2005FemaleAllEth19Poisoning by solids and liquids</v>
      </c>
      <c r="U4714" s="360">
        <v>2005</v>
      </c>
      <c r="V4714" s="360" t="s">
        <v>8</v>
      </c>
      <c r="W4714" s="360" t="s">
        <v>27</v>
      </c>
      <c r="X4714" s="360">
        <v>19</v>
      </c>
      <c r="Y4714" s="360" t="s">
        <v>47</v>
      </c>
      <c r="Z4714" s="360">
        <v>24</v>
      </c>
      <c r="AA4714" s="360">
        <v>132</v>
      </c>
      <c r="AB4714" s="360">
        <v>18.2</v>
      </c>
    </row>
    <row r="4715" spans="20:28" x14ac:dyDescent="0.2">
      <c r="T4715" s="358" t="str">
        <f t="shared" si="183"/>
        <v>2005FemaleAllEth19Sharp object</v>
      </c>
      <c r="U4715" s="360">
        <v>2005</v>
      </c>
      <c r="V4715" s="360" t="s">
        <v>8</v>
      </c>
      <c r="W4715" s="360" t="s">
        <v>27</v>
      </c>
      <c r="X4715" s="360">
        <v>19</v>
      </c>
      <c r="Y4715" s="360" t="s">
        <v>48</v>
      </c>
      <c r="Z4715" s="360">
        <v>3</v>
      </c>
      <c r="AA4715" s="360">
        <v>132</v>
      </c>
      <c r="AB4715" s="360">
        <v>2.2999999999999998</v>
      </c>
    </row>
    <row r="4716" spans="20:28" x14ac:dyDescent="0.2">
      <c r="T4716" s="358" t="str">
        <f t="shared" si="183"/>
        <v>2005FemaleAllEth19Submersion (drowning)</v>
      </c>
      <c r="U4716" s="360">
        <v>2005</v>
      </c>
      <c r="V4716" s="360" t="s">
        <v>8</v>
      </c>
      <c r="W4716" s="360" t="s">
        <v>27</v>
      </c>
      <c r="X4716" s="360">
        <v>19</v>
      </c>
      <c r="Y4716" s="360" t="s">
        <v>49</v>
      </c>
      <c r="Z4716" s="360">
        <v>9</v>
      </c>
      <c r="AA4716" s="360">
        <v>132</v>
      </c>
      <c r="AB4716" s="360">
        <v>6.8</v>
      </c>
    </row>
    <row r="4717" spans="20:28" x14ac:dyDescent="0.2">
      <c r="T4717" s="358" t="str">
        <f t="shared" si="183"/>
        <v>2005FemaleMaori19Hanging, strangulation and suffocation</v>
      </c>
      <c r="U4717" s="360">
        <v>2005</v>
      </c>
      <c r="V4717" s="360" t="s">
        <v>8</v>
      </c>
      <c r="W4717" s="360" t="s">
        <v>18</v>
      </c>
      <c r="X4717" s="360">
        <v>19</v>
      </c>
      <c r="Y4717" s="360" t="s">
        <v>43</v>
      </c>
      <c r="Z4717" s="360">
        <v>23</v>
      </c>
      <c r="AA4717" s="360">
        <v>27</v>
      </c>
      <c r="AB4717" s="360">
        <v>85.2</v>
      </c>
    </row>
    <row r="4718" spans="20:28" x14ac:dyDescent="0.2">
      <c r="T4718" s="358" t="str">
        <f t="shared" si="183"/>
        <v>2005FemaleMaori19Jumping from a high place</v>
      </c>
      <c r="U4718" s="360">
        <v>2005</v>
      </c>
      <c r="V4718" s="360" t="s">
        <v>8</v>
      </c>
      <c r="W4718" s="360" t="s">
        <v>18</v>
      </c>
      <c r="X4718" s="360">
        <v>19</v>
      </c>
      <c r="Y4718" s="360" t="s">
        <v>44</v>
      </c>
      <c r="Z4718" s="360">
        <v>1</v>
      </c>
      <c r="AA4718" s="360">
        <v>27</v>
      </c>
      <c r="AB4718" s="360">
        <v>3.7</v>
      </c>
    </row>
    <row r="4719" spans="20:28" x14ac:dyDescent="0.2">
      <c r="T4719" s="358" t="str">
        <f t="shared" si="183"/>
        <v>2005FemaleMaori19Poisoning by gases and vapours</v>
      </c>
      <c r="U4719" s="360">
        <v>2005</v>
      </c>
      <c r="V4719" s="360" t="s">
        <v>8</v>
      </c>
      <c r="W4719" s="360" t="s">
        <v>18</v>
      </c>
      <c r="X4719" s="360">
        <v>19</v>
      </c>
      <c r="Y4719" s="360" t="s">
        <v>46</v>
      </c>
      <c r="Z4719" s="360">
        <v>1</v>
      </c>
      <c r="AA4719" s="360">
        <v>27</v>
      </c>
      <c r="AB4719" s="360">
        <v>3.7</v>
      </c>
    </row>
    <row r="4720" spans="20:28" x14ac:dyDescent="0.2">
      <c r="T4720" s="358" t="str">
        <f t="shared" si="183"/>
        <v>2005FemaleMaori19Poisoning by solids and liquids</v>
      </c>
      <c r="U4720" s="360">
        <v>2005</v>
      </c>
      <c r="V4720" s="360" t="s">
        <v>8</v>
      </c>
      <c r="W4720" s="360" t="s">
        <v>18</v>
      </c>
      <c r="X4720" s="360">
        <v>19</v>
      </c>
      <c r="Y4720" s="360" t="s">
        <v>47</v>
      </c>
      <c r="Z4720" s="360">
        <v>2</v>
      </c>
      <c r="AA4720" s="360">
        <v>27</v>
      </c>
      <c r="AB4720" s="360">
        <v>7.4</v>
      </c>
    </row>
    <row r="4721" spans="20:28" x14ac:dyDescent="0.2">
      <c r="T4721" s="358" t="str">
        <f t="shared" si="183"/>
        <v>2005FemaleNon-Maori19Firearms and explosives</v>
      </c>
      <c r="U4721" s="360">
        <v>2005</v>
      </c>
      <c r="V4721" s="360" t="s">
        <v>8</v>
      </c>
      <c r="W4721" s="360" t="s">
        <v>19</v>
      </c>
      <c r="X4721" s="360">
        <v>19</v>
      </c>
      <c r="Y4721" s="360" t="s">
        <v>42</v>
      </c>
      <c r="Z4721" s="360">
        <v>2</v>
      </c>
      <c r="AA4721" s="360">
        <v>105</v>
      </c>
      <c r="AB4721" s="360">
        <v>1.9</v>
      </c>
    </row>
    <row r="4722" spans="20:28" x14ac:dyDescent="0.2">
      <c r="T4722" s="358" t="str">
        <f t="shared" si="183"/>
        <v>2005FemaleNon-Maori19Hanging, strangulation and suffocation</v>
      </c>
      <c r="U4722" s="360">
        <v>2005</v>
      </c>
      <c r="V4722" s="360" t="s">
        <v>8</v>
      </c>
      <c r="W4722" s="360" t="s">
        <v>19</v>
      </c>
      <c r="X4722" s="360">
        <v>19</v>
      </c>
      <c r="Y4722" s="360" t="s">
        <v>43</v>
      </c>
      <c r="Z4722" s="360">
        <v>40</v>
      </c>
      <c r="AA4722" s="360">
        <v>105</v>
      </c>
      <c r="AB4722" s="360">
        <v>38.1</v>
      </c>
    </row>
    <row r="4723" spans="20:28" x14ac:dyDescent="0.2">
      <c r="T4723" s="358" t="str">
        <f t="shared" si="183"/>
        <v>2005FemaleNon-Maori19Jumping from a high place</v>
      </c>
      <c r="U4723" s="360">
        <v>2005</v>
      </c>
      <c r="V4723" s="360" t="s">
        <v>8</v>
      </c>
      <c r="W4723" s="360" t="s">
        <v>19</v>
      </c>
      <c r="X4723" s="360">
        <v>19</v>
      </c>
      <c r="Y4723" s="360" t="s">
        <v>44</v>
      </c>
      <c r="Z4723" s="360">
        <v>3</v>
      </c>
      <c r="AA4723" s="360">
        <v>105</v>
      </c>
      <c r="AB4723" s="360">
        <v>2.9</v>
      </c>
    </row>
    <row r="4724" spans="20:28" x14ac:dyDescent="0.2">
      <c r="T4724" s="358" t="str">
        <f t="shared" si="183"/>
        <v>2005FemaleNon-Maori19Other</v>
      </c>
      <c r="U4724" s="360">
        <v>2005</v>
      </c>
      <c r="V4724" s="360" t="s">
        <v>8</v>
      </c>
      <c r="W4724" s="360" t="s">
        <v>19</v>
      </c>
      <c r="X4724" s="360">
        <v>19</v>
      </c>
      <c r="Y4724" s="360" t="s">
        <v>45</v>
      </c>
      <c r="Z4724" s="360">
        <v>5</v>
      </c>
      <c r="AA4724" s="360">
        <v>105</v>
      </c>
      <c r="AB4724" s="360">
        <v>4.8</v>
      </c>
    </row>
    <row r="4725" spans="20:28" x14ac:dyDescent="0.2">
      <c r="T4725" s="358" t="str">
        <f t="shared" si="183"/>
        <v>2005FemaleNon-Maori19Poisoning by gases and vapours</v>
      </c>
      <c r="U4725" s="360">
        <v>2005</v>
      </c>
      <c r="V4725" s="360" t="s">
        <v>8</v>
      </c>
      <c r="W4725" s="360" t="s">
        <v>19</v>
      </c>
      <c r="X4725" s="360">
        <v>19</v>
      </c>
      <c r="Y4725" s="360" t="s">
        <v>46</v>
      </c>
      <c r="Z4725" s="360">
        <v>21</v>
      </c>
      <c r="AA4725" s="360">
        <v>105</v>
      </c>
      <c r="AB4725" s="360">
        <v>20</v>
      </c>
    </row>
    <row r="4726" spans="20:28" x14ac:dyDescent="0.2">
      <c r="T4726" s="358" t="str">
        <f t="shared" si="183"/>
        <v>2005FemaleNon-Maori19Poisoning by solids and liquids</v>
      </c>
      <c r="U4726" s="360">
        <v>2005</v>
      </c>
      <c r="V4726" s="360" t="s">
        <v>8</v>
      </c>
      <c r="W4726" s="360" t="s">
        <v>19</v>
      </c>
      <c r="X4726" s="360">
        <v>19</v>
      </c>
      <c r="Y4726" s="360" t="s">
        <v>47</v>
      </c>
      <c r="Z4726" s="360">
        <v>22</v>
      </c>
      <c r="AA4726" s="360">
        <v>105</v>
      </c>
      <c r="AB4726" s="360">
        <v>21</v>
      </c>
    </row>
    <row r="4727" spans="20:28" x14ac:dyDescent="0.2">
      <c r="T4727" s="358" t="str">
        <f t="shared" si="183"/>
        <v>2005FemaleNon-Maori19Sharp object</v>
      </c>
      <c r="U4727" s="360">
        <v>2005</v>
      </c>
      <c r="V4727" s="360" t="s">
        <v>8</v>
      </c>
      <c r="W4727" s="360" t="s">
        <v>19</v>
      </c>
      <c r="X4727" s="360">
        <v>19</v>
      </c>
      <c r="Y4727" s="360" t="s">
        <v>48</v>
      </c>
      <c r="Z4727" s="360">
        <v>3</v>
      </c>
      <c r="AA4727" s="360">
        <v>105</v>
      </c>
      <c r="AB4727" s="360">
        <v>2.9</v>
      </c>
    </row>
    <row r="4728" spans="20:28" x14ac:dyDescent="0.2">
      <c r="T4728" s="358" t="str">
        <f t="shared" si="183"/>
        <v>2005FemaleNon-Maori19Submersion (drowning)</v>
      </c>
      <c r="U4728" s="360">
        <v>2005</v>
      </c>
      <c r="V4728" s="360" t="s">
        <v>8</v>
      </c>
      <c r="W4728" s="360" t="s">
        <v>19</v>
      </c>
      <c r="X4728" s="360">
        <v>19</v>
      </c>
      <c r="Y4728" s="360" t="s">
        <v>49</v>
      </c>
      <c r="Z4728" s="360">
        <v>9</v>
      </c>
      <c r="AA4728" s="360">
        <v>105</v>
      </c>
      <c r="AB4728" s="360">
        <v>8.6</v>
      </c>
    </row>
    <row r="4729" spans="20:28" x14ac:dyDescent="0.2">
      <c r="T4729" s="358" t="str">
        <f t="shared" si="183"/>
        <v>2005MaleAllEth19Firearms and explosives</v>
      </c>
      <c r="U4729" s="360">
        <v>2005</v>
      </c>
      <c r="V4729" s="360" t="s">
        <v>20</v>
      </c>
      <c r="W4729" s="360" t="s">
        <v>27</v>
      </c>
      <c r="X4729" s="360">
        <v>19</v>
      </c>
      <c r="Y4729" s="360" t="s">
        <v>42</v>
      </c>
      <c r="Z4729" s="360">
        <v>42</v>
      </c>
      <c r="AA4729" s="360">
        <v>383</v>
      </c>
      <c r="AB4729" s="360">
        <v>11</v>
      </c>
    </row>
    <row r="4730" spans="20:28" x14ac:dyDescent="0.2">
      <c r="T4730" s="358" t="str">
        <f t="shared" si="183"/>
        <v>2005MaleAllEth19Hanging, strangulation and suffocation</v>
      </c>
      <c r="U4730" s="360">
        <v>2005</v>
      </c>
      <c r="V4730" s="360" t="s">
        <v>20</v>
      </c>
      <c r="W4730" s="360" t="s">
        <v>27</v>
      </c>
      <c r="X4730" s="360">
        <v>19</v>
      </c>
      <c r="Y4730" s="360" t="s">
        <v>43</v>
      </c>
      <c r="Z4730" s="360">
        <v>193</v>
      </c>
      <c r="AA4730" s="360">
        <v>383</v>
      </c>
      <c r="AB4730" s="360">
        <v>50.4</v>
      </c>
    </row>
    <row r="4731" spans="20:28" x14ac:dyDescent="0.2">
      <c r="T4731" s="358" t="str">
        <f t="shared" si="183"/>
        <v>2005MaleAllEth19Jumping from a high place</v>
      </c>
      <c r="U4731" s="360">
        <v>2005</v>
      </c>
      <c r="V4731" s="360" t="s">
        <v>20</v>
      </c>
      <c r="W4731" s="360" t="s">
        <v>27</v>
      </c>
      <c r="X4731" s="360">
        <v>19</v>
      </c>
      <c r="Y4731" s="360" t="s">
        <v>44</v>
      </c>
      <c r="Z4731" s="360">
        <v>11</v>
      </c>
      <c r="AA4731" s="360">
        <v>383</v>
      </c>
      <c r="AB4731" s="360">
        <v>2.9</v>
      </c>
    </row>
    <row r="4732" spans="20:28" x14ac:dyDescent="0.2">
      <c r="T4732" s="358" t="str">
        <f t="shared" si="183"/>
        <v>2005MaleAllEth19Other</v>
      </c>
      <c r="U4732" s="360">
        <v>2005</v>
      </c>
      <c r="V4732" s="360" t="s">
        <v>20</v>
      </c>
      <c r="W4732" s="360" t="s">
        <v>27</v>
      </c>
      <c r="X4732" s="360">
        <v>19</v>
      </c>
      <c r="Y4732" s="360" t="s">
        <v>45</v>
      </c>
      <c r="Z4732" s="360">
        <v>8</v>
      </c>
      <c r="AA4732" s="360">
        <v>383</v>
      </c>
      <c r="AB4732" s="360">
        <v>2.1</v>
      </c>
    </row>
    <row r="4733" spans="20:28" x14ac:dyDescent="0.2">
      <c r="T4733" s="358" t="str">
        <f t="shared" si="183"/>
        <v>2005MaleAllEth19Poisoning by gases and vapours</v>
      </c>
      <c r="U4733" s="360">
        <v>2005</v>
      </c>
      <c r="V4733" s="360" t="s">
        <v>20</v>
      </c>
      <c r="W4733" s="360" t="s">
        <v>27</v>
      </c>
      <c r="X4733" s="360">
        <v>19</v>
      </c>
      <c r="Y4733" s="360" t="s">
        <v>46</v>
      </c>
      <c r="Z4733" s="360">
        <v>88</v>
      </c>
      <c r="AA4733" s="360">
        <v>383</v>
      </c>
      <c r="AB4733" s="360">
        <v>23</v>
      </c>
    </row>
    <row r="4734" spans="20:28" x14ac:dyDescent="0.2">
      <c r="T4734" s="358" t="str">
        <f t="shared" si="183"/>
        <v>2005MaleAllEth19Poisoning by solids and liquids</v>
      </c>
      <c r="U4734" s="360">
        <v>2005</v>
      </c>
      <c r="V4734" s="360" t="s">
        <v>20</v>
      </c>
      <c r="W4734" s="360" t="s">
        <v>27</v>
      </c>
      <c r="X4734" s="360">
        <v>19</v>
      </c>
      <c r="Y4734" s="360" t="s">
        <v>47</v>
      </c>
      <c r="Z4734" s="360">
        <v>27</v>
      </c>
      <c r="AA4734" s="360">
        <v>383</v>
      </c>
      <c r="AB4734" s="360">
        <v>7</v>
      </c>
    </row>
    <row r="4735" spans="20:28" x14ac:dyDescent="0.2">
      <c r="T4735" s="358" t="str">
        <f t="shared" si="183"/>
        <v>2005MaleAllEth19Sharp object</v>
      </c>
      <c r="U4735" s="360">
        <v>2005</v>
      </c>
      <c r="V4735" s="360" t="s">
        <v>20</v>
      </c>
      <c r="W4735" s="360" t="s">
        <v>27</v>
      </c>
      <c r="X4735" s="360">
        <v>19</v>
      </c>
      <c r="Y4735" s="360" t="s">
        <v>48</v>
      </c>
      <c r="Z4735" s="360">
        <v>10</v>
      </c>
      <c r="AA4735" s="360">
        <v>383</v>
      </c>
      <c r="AB4735" s="360">
        <v>2.6</v>
      </c>
    </row>
    <row r="4736" spans="20:28" x14ac:dyDescent="0.2">
      <c r="T4736" s="358" t="str">
        <f t="shared" si="183"/>
        <v>2005MaleAllEth19Submersion (drowning)</v>
      </c>
      <c r="U4736" s="360">
        <v>2005</v>
      </c>
      <c r="V4736" s="360" t="s">
        <v>20</v>
      </c>
      <c r="W4736" s="360" t="s">
        <v>27</v>
      </c>
      <c r="X4736" s="360">
        <v>19</v>
      </c>
      <c r="Y4736" s="360" t="s">
        <v>49</v>
      </c>
      <c r="Z4736" s="360">
        <v>4</v>
      </c>
      <c r="AA4736" s="360">
        <v>383</v>
      </c>
      <c r="AB4736" s="360">
        <v>1</v>
      </c>
    </row>
    <row r="4737" spans="20:28" x14ac:dyDescent="0.2">
      <c r="T4737" s="358" t="str">
        <f t="shared" si="183"/>
        <v>2005MaleMaori19Firearms and explosives</v>
      </c>
      <c r="U4737" s="360">
        <v>2005</v>
      </c>
      <c r="V4737" s="360" t="s">
        <v>20</v>
      </c>
      <c r="W4737" s="360" t="s">
        <v>18</v>
      </c>
      <c r="X4737" s="360">
        <v>19</v>
      </c>
      <c r="Y4737" s="360" t="s">
        <v>42</v>
      </c>
      <c r="Z4737" s="360">
        <v>7</v>
      </c>
      <c r="AA4737" s="360">
        <v>78</v>
      </c>
      <c r="AB4737" s="360">
        <v>9</v>
      </c>
    </row>
    <row r="4738" spans="20:28" x14ac:dyDescent="0.2">
      <c r="T4738" s="358" t="str">
        <f t="shared" si="183"/>
        <v>2005MaleMaori19Hanging, strangulation and suffocation</v>
      </c>
      <c r="U4738" s="360">
        <v>2005</v>
      </c>
      <c r="V4738" s="360" t="s">
        <v>20</v>
      </c>
      <c r="W4738" s="360" t="s">
        <v>18</v>
      </c>
      <c r="X4738" s="360">
        <v>19</v>
      </c>
      <c r="Y4738" s="360" t="s">
        <v>43</v>
      </c>
      <c r="Z4738" s="360">
        <v>56</v>
      </c>
      <c r="AA4738" s="360">
        <v>78</v>
      </c>
      <c r="AB4738" s="360">
        <v>71.8</v>
      </c>
    </row>
    <row r="4739" spans="20:28" x14ac:dyDescent="0.2">
      <c r="T4739" s="358" t="str">
        <f t="shared" si="183"/>
        <v>2005MaleMaori19Jumping from a high place</v>
      </c>
      <c r="U4739" s="360">
        <v>2005</v>
      </c>
      <c r="V4739" s="360" t="s">
        <v>20</v>
      </c>
      <c r="W4739" s="360" t="s">
        <v>18</v>
      </c>
      <c r="X4739" s="360">
        <v>19</v>
      </c>
      <c r="Y4739" s="360" t="s">
        <v>44</v>
      </c>
      <c r="Z4739" s="360">
        <v>1</v>
      </c>
      <c r="AA4739" s="360">
        <v>78</v>
      </c>
      <c r="AB4739" s="360">
        <v>1.3</v>
      </c>
    </row>
    <row r="4740" spans="20:28" x14ac:dyDescent="0.2">
      <c r="T4740" s="358" t="str">
        <f t="shared" si="183"/>
        <v>2005MaleMaori19Other</v>
      </c>
      <c r="U4740" s="360">
        <v>2005</v>
      </c>
      <c r="V4740" s="360" t="s">
        <v>20</v>
      </c>
      <c r="W4740" s="360" t="s">
        <v>18</v>
      </c>
      <c r="X4740" s="360">
        <v>19</v>
      </c>
      <c r="Y4740" s="360" t="s">
        <v>45</v>
      </c>
      <c r="Z4740" s="360">
        <v>1</v>
      </c>
      <c r="AA4740" s="360">
        <v>78</v>
      </c>
      <c r="AB4740" s="360">
        <v>1.3</v>
      </c>
    </row>
    <row r="4741" spans="20:28" x14ac:dyDescent="0.2">
      <c r="T4741" s="358" t="str">
        <f t="shared" ref="T4741:T4804" si="184">U4741&amp;V4741&amp;W4741&amp;X4741&amp;Y4741</f>
        <v>2005MaleMaori19Poisoning by gases and vapours</v>
      </c>
      <c r="U4741" s="360">
        <v>2005</v>
      </c>
      <c r="V4741" s="360" t="s">
        <v>20</v>
      </c>
      <c r="W4741" s="360" t="s">
        <v>18</v>
      </c>
      <c r="X4741" s="360">
        <v>19</v>
      </c>
      <c r="Y4741" s="360" t="s">
        <v>46</v>
      </c>
      <c r="Z4741" s="360">
        <v>10</v>
      </c>
      <c r="AA4741" s="360">
        <v>78</v>
      </c>
      <c r="AB4741" s="360">
        <v>12.8</v>
      </c>
    </row>
    <row r="4742" spans="20:28" x14ac:dyDescent="0.2">
      <c r="T4742" s="358" t="str">
        <f t="shared" si="184"/>
        <v>2005MaleMaori19Poisoning by solids and liquids</v>
      </c>
      <c r="U4742" s="360">
        <v>2005</v>
      </c>
      <c r="V4742" s="360" t="s">
        <v>20</v>
      </c>
      <c r="W4742" s="360" t="s">
        <v>18</v>
      </c>
      <c r="X4742" s="360">
        <v>19</v>
      </c>
      <c r="Y4742" s="360" t="s">
        <v>47</v>
      </c>
      <c r="Z4742" s="360">
        <v>1</v>
      </c>
      <c r="AA4742" s="360">
        <v>78</v>
      </c>
      <c r="AB4742" s="360">
        <v>1.3</v>
      </c>
    </row>
    <row r="4743" spans="20:28" x14ac:dyDescent="0.2">
      <c r="T4743" s="358" t="str">
        <f t="shared" si="184"/>
        <v>2005MaleMaori19Sharp object</v>
      </c>
      <c r="U4743" s="360">
        <v>2005</v>
      </c>
      <c r="V4743" s="360" t="s">
        <v>20</v>
      </c>
      <c r="W4743" s="360" t="s">
        <v>18</v>
      </c>
      <c r="X4743" s="360">
        <v>19</v>
      </c>
      <c r="Y4743" s="360" t="s">
        <v>48</v>
      </c>
      <c r="Z4743" s="360">
        <v>2</v>
      </c>
      <c r="AA4743" s="360">
        <v>78</v>
      </c>
      <c r="AB4743" s="360">
        <v>2.6</v>
      </c>
    </row>
    <row r="4744" spans="20:28" x14ac:dyDescent="0.2">
      <c r="T4744" s="358" t="str">
        <f t="shared" si="184"/>
        <v>2005MaleNon-Maori19Firearms and explosives</v>
      </c>
      <c r="U4744" s="360">
        <v>2005</v>
      </c>
      <c r="V4744" s="360" t="s">
        <v>20</v>
      </c>
      <c r="W4744" s="360" t="s">
        <v>19</v>
      </c>
      <c r="X4744" s="360">
        <v>19</v>
      </c>
      <c r="Y4744" s="360" t="s">
        <v>42</v>
      </c>
      <c r="Z4744" s="360">
        <v>35</v>
      </c>
      <c r="AA4744" s="360">
        <v>305</v>
      </c>
      <c r="AB4744" s="360">
        <v>11.5</v>
      </c>
    </row>
    <row r="4745" spans="20:28" x14ac:dyDescent="0.2">
      <c r="T4745" s="358" t="str">
        <f t="shared" si="184"/>
        <v>2005MaleNon-Maori19Hanging, strangulation and suffocation</v>
      </c>
      <c r="U4745" s="360">
        <v>2005</v>
      </c>
      <c r="V4745" s="360" t="s">
        <v>20</v>
      </c>
      <c r="W4745" s="360" t="s">
        <v>19</v>
      </c>
      <c r="X4745" s="360">
        <v>19</v>
      </c>
      <c r="Y4745" s="360" t="s">
        <v>43</v>
      </c>
      <c r="Z4745" s="360">
        <v>137</v>
      </c>
      <c r="AA4745" s="360">
        <v>305</v>
      </c>
      <c r="AB4745" s="360">
        <v>44.9</v>
      </c>
    </row>
    <row r="4746" spans="20:28" x14ac:dyDescent="0.2">
      <c r="T4746" s="358" t="str">
        <f t="shared" si="184"/>
        <v>2005MaleNon-Maori19Jumping from a high place</v>
      </c>
      <c r="U4746" s="360">
        <v>2005</v>
      </c>
      <c r="V4746" s="360" t="s">
        <v>20</v>
      </c>
      <c r="W4746" s="360" t="s">
        <v>19</v>
      </c>
      <c r="X4746" s="360">
        <v>19</v>
      </c>
      <c r="Y4746" s="360" t="s">
        <v>44</v>
      </c>
      <c r="Z4746" s="360">
        <v>10</v>
      </c>
      <c r="AA4746" s="360">
        <v>305</v>
      </c>
      <c r="AB4746" s="360">
        <v>3.3</v>
      </c>
    </row>
    <row r="4747" spans="20:28" x14ac:dyDescent="0.2">
      <c r="T4747" s="358" t="str">
        <f t="shared" si="184"/>
        <v>2005MaleNon-Maori19Other</v>
      </c>
      <c r="U4747" s="360">
        <v>2005</v>
      </c>
      <c r="V4747" s="360" t="s">
        <v>20</v>
      </c>
      <c r="W4747" s="360" t="s">
        <v>19</v>
      </c>
      <c r="X4747" s="360">
        <v>19</v>
      </c>
      <c r="Y4747" s="360" t="s">
        <v>45</v>
      </c>
      <c r="Z4747" s="360">
        <v>7</v>
      </c>
      <c r="AA4747" s="360">
        <v>305</v>
      </c>
      <c r="AB4747" s="360">
        <v>2.2999999999999998</v>
      </c>
    </row>
    <row r="4748" spans="20:28" x14ac:dyDescent="0.2">
      <c r="T4748" s="358" t="str">
        <f t="shared" si="184"/>
        <v>2005MaleNon-Maori19Poisoning by gases and vapours</v>
      </c>
      <c r="U4748" s="360">
        <v>2005</v>
      </c>
      <c r="V4748" s="360" t="s">
        <v>20</v>
      </c>
      <c r="W4748" s="360" t="s">
        <v>19</v>
      </c>
      <c r="X4748" s="360">
        <v>19</v>
      </c>
      <c r="Y4748" s="360" t="s">
        <v>46</v>
      </c>
      <c r="Z4748" s="360">
        <v>78</v>
      </c>
      <c r="AA4748" s="360">
        <v>305</v>
      </c>
      <c r="AB4748" s="360">
        <v>25.6</v>
      </c>
    </row>
    <row r="4749" spans="20:28" x14ac:dyDescent="0.2">
      <c r="T4749" s="358" t="str">
        <f t="shared" si="184"/>
        <v>2005MaleNon-Maori19Poisoning by solids and liquids</v>
      </c>
      <c r="U4749" s="360">
        <v>2005</v>
      </c>
      <c r="V4749" s="360" t="s">
        <v>20</v>
      </c>
      <c r="W4749" s="360" t="s">
        <v>19</v>
      </c>
      <c r="X4749" s="360">
        <v>19</v>
      </c>
      <c r="Y4749" s="360" t="s">
        <v>47</v>
      </c>
      <c r="Z4749" s="360">
        <v>26</v>
      </c>
      <c r="AA4749" s="360">
        <v>305</v>
      </c>
      <c r="AB4749" s="360">
        <v>8.5</v>
      </c>
    </row>
    <row r="4750" spans="20:28" x14ac:dyDescent="0.2">
      <c r="T4750" s="358" t="str">
        <f t="shared" si="184"/>
        <v>2005MaleNon-Maori19Sharp object</v>
      </c>
      <c r="U4750" s="360">
        <v>2005</v>
      </c>
      <c r="V4750" s="360" t="s">
        <v>20</v>
      </c>
      <c r="W4750" s="360" t="s">
        <v>19</v>
      </c>
      <c r="X4750" s="360">
        <v>19</v>
      </c>
      <c r="Y4750" s="360" t="s">
        <v>48</v>
      </c>
      <c r="Z4750" s="360">
        <v>8</v>
      </c>
      <c r="AA4750" s="360">
        <v>305</v>
      </c>
      <c r="AB4750" s="360">
        <v>2.6</v>
      </c>
    </row>
    <row r="4751" spans="20:28" x14ac:dyDescent="0.2">
      <c r="T4751" s="358" t="str">
        <f t="shared" si="184"/>
        <v>2005MaleNon-Maori19Submersion (drowning)</v>
      </c>
      <c r="U4751" s="360">
        <v>2005</v>
      </c>
      <c r="V4751" s="360" t="s">
        <v>20</v>
      </c>
      <c r="W4751" s="360" t="s">
        <v>19</v>
      </c>
      <c r="X4751" s="360">
        <v>19</v>
      </c>
      <c r="Y4751" s="360" t="s">
        <v>49</v>
      </c>
      <c r="Z4751" s="360">
        <v>4</v>
      </c>
      <c r="AA4751" s="360">
        <v>305</v>
      </c>
      <c r="AB4751" s="360">
        <v>1.3</v>
      </c>
    </row>
    <row r="4752" spans="20:28" x14ac:dyDescent="0.2">
      <c r="T4752" s="358" t="str">
        <f t="shared" si="184"/>
        <v>2006AllSexAllEth19Firearms and explosives</v>
      </c>
      <c r="U4752" s="360">
        <v>2006</v>
      </c>
      <c r="V4752" s="360" t="s">
        <v>17</v>
      </c>
      <c r="W4752" s="360" t="s">
        <v>27</v>
      </c>
      <c r="X4752" s="360">
        <v>19</v>
      </c>
      <c r="Y4752" s="360" t="s">
        <v>42</v>
      </c>
      <c r="Z4752" s="360">
        <v>48</v>
      </c>
      <c r="AA4752" s="360">
        <v>524</v>
      </c>
      <c r="AB4752" s="360">
        <v>9.1999999999999993</v>
      </c>
    </row>
    <row r="4753" spans="20:28" x14ac:dyDescent="0.2">
      <c r="T4753" s="358" t="str">
        <f t="shared" si="184"/>
        <v>2006AllSexAllEth19Hanging, strangulation and suffocation</v>
      </c>
      <c r="U4753" s="360">
        <v>2006</v>
      </c>
      <c r="V4753" s="360" t="s">
        <v>17</v>
      </c>
      <c r="W4753" s="360" t="s">
        <v>27</v>
      </c>
      <c r="X4753" s="360">
        <v>19</v>
      </c>
      <c r="Y4753" s="360" t="s">
        <v>43</v>
      </c>
      <c r="Z4753" s="360">
        <v>286</v>
      </c>
      <c r="AA4753" s="360">
        <v>524</v>
      </c>
      <c r="AB4753" s="360">
        <v>54.6</v>
      </c>
    </row>
    <row r="4754" spans="20:28" x14ac:dyDescent="0.2">
      <c r="T4754" s="358" t="str">
        <f t="shared" si="184"/>
        <v>2006AllSexAllEth19Jumping from a high place</v>
      </c>
      <c r="U4754" s="360">
        <v>2006</v>
      </c>
      <c r="V4754" s="360" t="s">
        <v>17</v>
      </c>
      <c r="W4754" s="360" t="s">
        <v>27</v>
      </c>
      <c r="X4754" s="360">
        <v>19</v>
      </c>
      <c r="Y4754" s="360" t="s">
        <v>44</v>
      </c>
      <c r="Z4754" s="360">
        <v>10</v>
      </c>
      <c r="AA4754" s="360">
        <v>524</v>
      </c>
      <c r="AB4754" s="360">
        <v>1.9</v>
      </c>
    </row>
    <row r="4755" spans="20:28" x14ac:dyDescent="0.2">
      <c r="T4755" s="358" t="str">
        <f t="shared" si="184"/>
        <v>2006AllSexAllEth19Other</v>
      </c>
      <c r="U4755" s="360">
        <v>2006</v>
      </c>
      <c r="V4755" s="360" t="s">
        <v>17</v>
      </c>
      <c r="W4755" s="360" t="s">
        <v>27</v>
      </c>
      <c r="X4755" s="360">
        <v>19</v>
      </c>
      <c r="Y4755" s="360" t="s">
        <v>45</v>
      </c>
      <c r="Z4755" s="360">
        <v>22</v>
      </c>
      <c r="AA4755" s="360">
        <v>524</v>
      </c>
      <c r="AB4755" s="360">
        <v>4.2</v>
      </c>
    </row>
    <row r="4756" spans="20:28" x14ac:dyDescent="0.2">
      <c r="T4756" s="358" t="str">
        <f t="shared" si="184"/>
        <v>2006AllSexAllEth19Poisoning by gases and vapours</v>
      </c>
      <c r="U4756" s="360">
        <v>2006</v>
      </c>
      <c r="V4756" s="360" t="s">
        <v>17</v>
      </c>
      <c r="W4756" s="360" t="s">
        <v>27</v>
      </c>
      <c r="X4756" s="360">
        <v>19</v>
      </c>
      <c r="Y4756" s="360" t="s">
        <v>46</v>
      </c>
      <c r="Z4756" s="360">
        <v>87</v>
      </c>
      <c r="AA4756" s="360">
        <v>524</v>
      </c>
      <c r="AB4756" s="360">
        <v>16.600000000000001</v>
      </c>
    </row>
    <row r="4757" spans="20:28" x14ac:dyDescent="0.2">
      <c r="T4757" s="358" t="str">
        <f t="shared" si="184"/>
        <v>2006AllSexAllEth19Poisoning by solids and liquids</v>
      </c>
      <c r="U4757" s="360">
        <v>2006</v>
      </c>
      <c r="V4757" s="360" t="s">
        <v>17</v>
      </c>
      <c r="W4757" s="360" t="s">
        <v>27</v>
      </c>
      <c r="X4757" s="360">
        <v>19</v>
      </c>
      <c r="Y4757" s="360" t="s">
        <v>47</v>
      </c>
      <c r="Z4757" s="360">
        <v>49</v>
      </c>
      <c r="AA4757" s="360">
        <v>524</v>
      </c>
      <c r="AB4757" s="360">
        <v>9.4</v>
      </c>
    </row>
    <row r="4758" spans="20:28" x14ac:dyDescent="0.2">
      <c r="T4758" s="358" t="str">
        <f t="shared" si="184"/>
        <v>2006AllSexAllEth19Sharp object</v>
      </c>
      <c r="U4758" s="360">
        <v>2006</v>
      </c>
      <c r="V4758" s="360" t="s">
        <v>17</v>
      </c>
      <c r="W4758" s="360" t="s">
        <v>27</v>
      </c>
      <c r="X4758" s="360">
        <v>19</v>
      </c>
      <c r="Y4758" s="360" t="s">
        <v>48</v>
      </c>
      <c r="Z4758" s="360">
        <v>13</v>
      </c>
      <c r="AA4758" s="360">
        <v>524</v>
      </c>
      <c r="AB4758" s="360">
        <v>2.5</v>
      </c>
    </row>
    <row r="4759" spans="20:28" x14ac:dyDescent="0.2">
      <c r="T4759" s="358" t="str">
        <f t="shared" si="184"/>
        <v>2006AllSexAllEth19Submersion (drowning)</v>
      </c>
      <c r="U4759" s="360">
        <v>2006</v>
      </c>
      <c r="V4759" s="360" t="s">
        <v>17</v>
      </c>
      <c r="W4759" s="360" t="s">
        <v>27</v>
      </c>
      <c r="X4759" s="360">
        <v>19</v>
      </c>
      <c r="Y4759" s="360" t="s">
        <v>49</v>
      </c>
      <c r="Z4759" s="360">
        <v>9</v>
      </c>
      <c r="AA4759" s="360">
        <v>524</v>
      </c>
      <c r="AB4759" s="360">
        <v>1.7</v>
      </c>
    </row>
    <row r="4760" spans="20:28" x14ac:dyDescent="0.2">
      <c r="T4760" s="358" t="str">
        <f t="shared" si="184"/>
        <v>2006AllSexMaori19Firearms and explosives</v>
      </c>
      <c r="U4760" s="360">
        <v>2006</v>
      </c>
      <c r="V4760" s="360" t="s">
        <v>17</v>
      </c>
      <c r="W4760" s="360" t="s">
        <v>18</v>
      </c>
      <c r="X4760" s="360">
        <v>19</v>
      </c>
      <c r="Y4760" s="360" t="s">
        <v>42</v>
      </c>
      <c r="Z4760" s="360">
        <v>6</v>
      </c>
      <c r="AA4760" s="360">
        <v>108</v>
      </c>
      <c r="AB4760" s="360">
        <v>5.6</v>
      </c>
    </row>
    <row r="4761" spans="20:28" x14ac:dyDescent="0.2">
      <c r="T4761" s="358" t="str">
        <f t="shared" si="184"/>
        <v>2006AllSexMaori19Hanging, strangulation and suffocation</v>
      </c>
      <c r="U4761" s="360">
        <v>2006</v>
      </c>
      <c r="V4761" s="360" t="s">
        <v>17</v>
      </c>
      <c r="W4761" s="360" t="s">
        <v>18</v>
      </c>
      <c r="X4761" s="360">
        <v>19</v>
      </c>
      <c r="Y4761" s="360" t="s">
        <v>43</v>
      </c>
      <c r="Z4761" s="360">
        <v>81</v>
      </c>
      <c r="AA4761" s="360">
        <v>108</v>
      </c>
      <c r="AB4761" s="360">
        <v>75</v>
      </c>
    </row>
    <row r="4762" spans="20:28" x14ac:dyDescent="0.2">
      <c r="T4762" s="358" t="str">
        <f t="shared" si="184"/>
        <v>2006AllSexMaori19Jumping from a high place</v>
      </c>
      <c r="U4762" s="360">
        <v>2006</v>
      </c>
      <c r="V4762" s="360" t="s">
        <v>17</v>
      </c>
      <c r="W4762" s="360" t="s">
        <v>18</v>
      </c>
      <c r="X4762" s="360">
        <v>19</v>
      </c>
      <c r="Y4762" s="360" t="s">
        <v>44</v>
      </c>
      <c r="Z4762" s="360">
        <v>1</v>
      </c>
      <c r="AA4762" s="360">
        <v>108</v>
      </c>
      <c r="AB4762" s="360">
        <v>0.9</v>
      </c>
    </row>
    <row r="4763" spans="20:28" x14ac:dyDescent="0.2">
      <c r="T4763" s="358" t="str">
        <f t="shared" si="184"/>
        <v>2006AllSexMaori19Other</v>
      </c>
      <c r="U4763" s="360">
        <v>2006</v>
      </c>
      <c r="V4763" s="360" t="s">
        <v>17</v>
      </c>
      <c r="W4763" s="360" t="s">
        <v>18</v>
      </c>
      <c r="X4763" s="360">
        <v>19</v>
      </c>
      <c r="Y4763" s="360" t="s">
        <v>45</v>
      </c>
      <c r="Z4763" s="360">
        <v>4</v>
      </c>
      <c r="AA4763" s="360">
        <v>108</v>
      </c>
      <c r="AB4763" s="360">
        <v>3.7</v>
      </c>
    </row>
    <row r="4764" spans="20:28" x14ac:dyDescent="0.2">
      <c r="T4764" s="358" t="str">
        <f t="shared" si="184"/>
        <v>2006AllSexMaori19Poisoning by gases and vapours</v>
      </c>
      <c r="U4764" s="360">
        <v>2006</v>
      </c>
      <c r="V4764" s="360" t="s">
        <v>17</v>
      </c>
      <c r="W4764" s="360" t="s">
        <v>18</v>
      </c>
      <c r="X4764" s="360">
        <v>19</v>
      </c>
      <c r="Y4764" s="360" t="s">
        <v>46</v>
      </c>
      <c r="Z4764" s="360">
        <v>7</v>
      </c>
      <c r="AA4764" s="360">
        <v>108</v>
      </c>
      <c r="AB4764" s="360">
        <v>6.5</v>
      </c>
    </row>
    <row r="4765" spans="20:28" x14ac:dyDescent="0.2">
      <c r="T4765" s="358" t="str">
        <f t="shared" si="184"/>
        <v>2006AllSexMaori19Poisoning by solids and liquids</v>
      </c>
      <c r="U4765" s="360">
        <v>2006</v>
      </c>
      <c r="V4765" s="360" t="s">
        <v>17</v>
      </c>
      <c r="W4765" s="360" t="s">
        <v>18</v>
      </c>
      <c r="X4765" s="360">
        <v>19</v>
      </c>
      <c r="Y4765" s="360" t="s">
        <v>47</v>
      </c>
      <c r="Z4765" s="360">
        <v>5</v>
      </c>
      <c r="AA4765" s="360">
        <v>108</v>
      </c>
      <c r="AB4765" s="360">
        <v>4.5999999999999996</v>
      </c>
    </row>
    <row r="4766" spans="20:28" x14ac:dyDescent="0.2">
      <c r="T4766" s="358" t="str">
        <f t="shared" si="184"/>
        <v>2006AllSexMaori19Sharp object</v>
      </c>
      <c r="U4766" s="360">
        <v>2006</v>
      </c>
      <c r="V4766" s="360" t="s">
        <v>17</v>
      </c>
      <c r="W4766" s="360" t="s">
        <v>18</v>
      </c>
      <c r="X4766" s="360">
        <v>19</v>
      </c>
      <c r="Y4766" s="360" t="s">
        <v>48</v>
      </c>
      <c r="Z4766" s="360">
        <v>3</v>
      </c>
      <c r="AA4766" s="360">
        <v>108</v>
      </c>
      <c r="AB4766" s="360">
        <v>2.8</v>
      </c>
    </row>
    <row r="4767" spans="20:28" x14ac:dyDescent="0.2">
      <c r="T4767" s="358" t="str">
        <f t="shared" si="184"/>
        <v>2006AllSexMaori19Submersion (drowning)</v>
      </c>
      <c r="U4767" s="360">
        <v>2006</v>
      </c>
      <c r="V4767" s="360" t="s">
        <v>17</v>
      </c>
      <c r="W4767" s="360" t="s">
        <v>18</v>
      </c>
      <c r="X4767" s="360">
        <v>19</v>
      </c>
      <c r="Y4767" s="360" t="s">
        <v>49</v>
      </c>
      <c r="Z4767" s="360">
        <v>1</v>
      </c>
      <c r="AA4767" s="360">
        <v>108</v>
      </c>
      <c r="AB4767" s="360">
        <v>0.9</v>
      </c>
    </row>
    <row r="4768" spans="20:28" x14ac:dyDescent="0.2">
      <c r="T4768" s="358" t="str">
        <f t="shared" si="184"/>
        <v>2006AllSexNon-Maori19Firearms and explosives</v>
      </c>
      <c r="U4768" s="360">
        <v>2006</v>
      </c>
      <c r="V4768" s="360" t="s">
        <v>17</v>
      </c>
      <c r="W4768" s="360" t="s">
        <v>19</v>
      </c>
      <c r="X4768" s="360">
        <v>19</v>
      </c>
      <c r="Y4768" s="360" t="s">
        <v>42</v>
      </c>
      <c r="Z4768" s="360">
        <v>42</v>
      </c>
      <c r="AA4768" s="360">
        <v>416</v>
      </c>
      <c r="AB4768" s="360">
        <v>10.1</v>
      </c>
    </row>
    <row r="4769" spans="20:28" x14ac:dyDescent="0.2">
      <c r="T4769" s="358" t="str">
        <f t="shared" si="184"/>
        <v>2006AllSexNon-Maori19Hanging, strangulation and suffocation</v>
      </c>
      <c r="U4769" s="360">
        <v>2006</v>
      </c>
      <c r="V4769" s="360" t="s">
        <v>17</v>
      </c>
      <c r="W4769" s="360" t="s">
        <v>19</v>
      </c>
      <c r="X4769" s="360">
        <v>19</v>
      </c>
      <c r="Y4769" s="360" t="s">
        <v>43</v>
      </c>
      <c r="Z4769" s="360">
        <v>205</v>
      </c>
      <c r="AA4769" s="360">
        <v>416</v>
      </c>
      <c r="AB4769" s="360">
        <v>49.3</v>
      </c>
    </row>
    <row r="4770" spans="20:28" x14ac:dyDescent="0.2">
      <c r="T4770" s="358" t="str">
        <f t="shared" si="184"/>
        <v>2006AllSexNon-Maori19Jumping from a high place</v>
      </c>
      <c r="U4770" s="360">
        <v>2006</v>
      </c>
      <c r="V4770" s="360" t="s">
        <v>17</v>
      </c>
      <c r="W4770" s="360" t="s">
        <v>19</v>
      </c>
      <c r="X4770" s="360">
        <v>19</v>
      </c>
      <c r="Y4770" s="360" t="s">
        <v>44</v>
      </c>
      <c r="Z4770" s="360">
        <v>9</v>
      </c>
      <c r="AA4770" s="360">
        <v>416</v>
      </c>
      <c r="AB4770" s="360">
        <v>2.2000000000000002</v>
      </c>
    </row>
    <row r="4771" spans="20:28" x14ac:dyDescent="0.2">
      <c r="T4771" s="358" t="str">
        <f t="shared" si="184"/>
        <v>2006AllSexNon-Maori19Other</v>
      </c>
      <c r="U4771" s="360">
        <v>2006</v>
      </c>
      <c r="V4771" s="360" t="s">
        <v>17</v>
      </c>
      <c r="W4771" s="360" t="s">
        <v>19</v>
      </c>
      <c r="X4771" s="360">
        <v>19</v>
      </c>
      <c r="Y4771" s="360" t="s">
        <v>45</v>
      </c>
      <c r="Z4771" s="360">
        <v>18</v>
      </c>
      <c r="AA4771" s="360">
        <v>416</v>
      </c>
      <c r="AB4771" s="360">
        <v>4.3</v>
      </c>
    </row>
    <row r="4772" spans="20:28" x14ac:dyDescent="0.2">
      <c r="T4772" s="358" t="str">
        <f t="shared" si="184"/>
        <v>2006AllSexNon-Maori19Poisoning by gases and vapours</v>
      </c>
      <c r="U4772" s="360">
        <v>2006</v>
      </c>
      <c r="V4772" s="360" t="s">
        <v>17</v>
      </c>
      <c r="W4772" s="360" t="s">
        <v>19</v>
      </c>
      <c r="X4772" s="360">
        <v>19</v>
      </c>
      <c r="Y4772" s="360" t="s">
        <v>46</v>
      </c>
      <c r="Z4772" s="360">
        <v>80</v>
      </c>
      <c r="AA4772" s="360">
        <v>416</v>
      </c>
      <c r="AB4772" s="360">
        <v>19.2</v>
      </c>
    </row>
    <row r="4773" spans="20:28" x14ac:dyDescent="0.2">
      <c r="T4773" s="358" t="str">
        <f t="shared" si="184"/>
        <v>2006AllSexNon-Maori19Poisoning by solids and liquids</v>
      </c>
      <c r="U4773" s="360">
        <v>2006</v>
      </c>
      <c r="V4773" s="360" t="s">
        <v>17</v>
      </c>
      <c r="W4773" s="360" t="s">
        <v>19</v>
      </c>
      <c r="X4773" s="360">
        <v>19</v>
      </c>
      <c r="Y4773" s="360" t="s">
        <v>47</v>
      </c>
      <c r="Z4773" s="360">
        <v>44</v>
      </c>
      <c r="AA4773" s="360">
        <v>416</v>
      </c>
      <c r="AB4773" s="360">
        <v>10.6</v>
      </c>
    </row>
    <row r="4774" spans="20:28" x14ac:dyDescent="0.2">
      <c r="T4774" s="358" t="str">
        <f t="shared" si="184"/>
        <v>2006AllSexNon-Maori19Sharp object</v>
      </c>
      <c r="U4774" s="360">
        <v>2006</v>
      </c>
      <c r="V4774" s="360" t="s">
        <v>17</v>
      </c>
      <c r="W4774" s="360" t="s">
        <v>19</v>
      </c>
      <c r="X4774" s="360">
        <v>19</v>
      </c>
      <c r="Y4774" s="360" t="s">
        <v>48</v>
      </c>
      <c r="Z4774" s="360">
        <v>10</v>
      </c>
      <c r="AA4774" s="360">
        <v>416</v>
      </c>
      <c r="AB4774" s="360">
        <v>2.4</v>
      </c>
    </row>
    <row r="4775" spans="20:28" x14ac:dyDescent="0.2">
      <c r="T4775" s="358" t="str">
        <f t="shared" si="184"/>
        <v>2006AllSexNon-Maori19Submersion (drowning)</v>
      </c>
      <c r="U4775" s="360">
        <v>2006</v>
      </c>
      <c r="V4775" s="360" t="s">
        <v>17</v>
      </c>
      <c r="W4775" s="360" t="s">
        <v>19</v>
      </c>
      <c r="X4775" s="360">
        <v>19</v>
      </c>
      <c r="Y4775" s="360" t="s">
        <v>49</v>
      </c>
      <c r="Z4775" s="360">
        <v>8</v>
      </c>
      <c r="AA4775" s="360">
        <v>416</v>
      </c>
      <c r="AB4775" s="360">
        <v>1.9</v>
      </c>
    </row>
    <row r="4776" spans="20:28" x14ac:dyDescent="0.2">
      <c r="T4776" s="358" t="str">
        <f t="shared" si="184"/>
        <v>2006FemaleAllEth19Firearms and explosives</v>
      </c>
      <c r="U4776" s="360">
        <v>2006</v>
      </c>
      <c r="V4776" s="360" t="s">
        <v>8</v>
      </c>
      <c r="W4776" s="360" t="s">
        <v>27</v>
      </c>
      <c r="X4776" s="360">
        <v>19</v>
      </c>
      <c r="Y4776" s="360" t="s">
        <v>42</v>
      </c>
      <c r="Z4776" s="360">
        <v>6</v>
      </c>
      <c r="AA4776" s="360">
        <v>137</v>
      </c>
      <c r="AB4776" s="360">
        <v>4.4000000000000004</v>
      </c>
    </row>
    <row r="4777" spans="20:28" x14ac:dyDescent="0.2">
      <c r="T4777" s="358" t="str">
        <f t="shared" si="184"/>
        <v>2006FemaleAllEth19Hanging, strangulation and suffocation</v>
      </c>
      <c r="U4777" s="360">
        <v>2006</v>
      </c>
      <c r="V4777" s="360" t="s">
        <v>8</v>
      </c>
      <c r="W4777" s="360" t="s">
        <v>27</v>
      </c>
      <c r="X4777" s="360">
        <v>19</v>
      </c>
      <c r="Y4777" s="360" t="s">
        <v>43</v>
      </c>
      <c r="Z4777" s="360">
        <v>74</v>
      </c>
      <c r="AA4777" s="360">
        <v>137</v>
      </c>
      <c r="AB4777" s="360">
        <v>54</v>
      </c>
    </row>
    <row r="4778" spans="20:28" x14ac:dyDescent="0.2">
      <c r="T4778" s="358" t="str">
        <f t="shared" si="184"/>
        <v>2006FemaleAllEth19Jumping from a high place</v>
      </c>
      <c r="U4778" s="360">
        <v>2006</v>
      </c>
      <c r="V4778" s="360" t="s">
        <v>8</v>
      </c>
      <c r="W4778" s="360" t="s">
        <v>27</v>
      </c>
      <c r="X4778" s="360">
        <v>19</v>
      </c>
      <c r="Y4778" s="360" t="s">
        <v>44</v>
      </c>
      <c r="Z4778" s="360">
        <v>4</v>
      </c>
      <c r="AA4778" s="360">
        <v>137</v>
      </c>
      <c r="AB4778" s="360">
        <v>2.9</v>
      </c>
    </row>
    <row r="4779" spans="20:28" x14ac:dyDescent="0.2">
      <c r="T4779" s="358" t="str">
        <f t="shared" si="184"/>
        <v>2006FemaleAllEth19Other</v>
      </c>
      <c r="U4779" s="360">
        <v>2006</v>
      </c>
      <c r="V4779" s="360" t="s">
        <v>8</v>
      </c>
      <c r="W4779" s="360" t="s">
        <v>27</v>
      </c>
      <c r="X4779" s="360">
        <v>19</v>
      </c>
      <c r="Y4779" s="360" t="s">
        <v>45</v>
      </c>
      <c r="Z4779" s="360">
        <v>5</v>
      </c>
      <c r="AA4779" s="360">
        <v>137</v>
      </c>
      <c r="AB4779" s="360">
        <v>3.6</v>
      </c>
    </row>
    <row r="4780" spans="20:28" x14ac:dyDescent="0.2">
      <c r="T4780" s="358" t="str">
        <f t="shared" si="184"/>
        <v>2006FemaleAllEth19Poisoning by gases and vapours</v>
      </c>
      <c r="U4780" s="360">
        <v>2006</v>
      </c>
      <c r="V4780" s="360" t="s">
        <v>8</v>
      </c>
      <c r="W4780" s="360" t="s">
        <v>27</v>
      </c>
      <c r="X4780" s="360">
        <v>19</v>
      </c>
      <c r="Y4780" s="360" t="s">
        <v>46</v>
      </c>
      <c r="Z4780" s="360">
        <v>20</v>
      </c>
      <c r="AA4780" s="360">
        <v>137</v>
      </c>
      <c r="AB4780" s="360">
        <v>14.6</v>
      </c>
    </row>
    <row r="4781" spans="20:28" x14ac:dyDescent="0.2">
      <c r="T4781" s="358" t="str">
        <f t="shared" si="184"/>
        <v>2006FemaleAllEth19Poisoning by solids and liquids</v>
      </c>
      <c r="U4781" s="360">
        <v>2006</v>
      </c>
      <c r="V4781" s="360" t="s">
        <v>8</v>
      </c>
      <c r="W4781" s="360" t="s">
        <v>27</v>
      </c>
      <c r="X4781" s="360">
        <v>19</v>
      </c>
      <c r="Y4781" s="360" t="s">
        <v>47</v>
      </c>
      <c r="Z4781" s="360">
        <v>25</v>
      </c>
      <c r="AA4781" s="360">
        <v>137</v>
      </c>
      <c r="AB4781" s="360">
        <v>18.2</v>
      </c>
    </row>
    <row r="4782" spans="20:28" x14ac:dyDescent="0.2">
      <c r="T4782" s="358" t="str">
        <f t="shared" si="184"/>
        <v>2006FemaleAllEth19Sharp object</v>
      </c>
      <c r="U4782" s="360">
        <v>2006</v>
      </c>
      <c r="V4782" s="360" t="s">
        <v>8</v>
      </c>
      <c r="W4782" s="360" t="s">
        <v>27</v>
      </c>
      <c r="X4782" s="360">
        <v>19</v>
      </c>
      <c r="Y4782" s="360" t="s">
        <v>48</v>
      </c>
      <c r="Z4782" s="360">
        <v>1</v>
      </c>
      <c r="AA4782" s="360">
        <v>137</v>
      </c>
      <c r="AB4782" s="360">
        <v>0.7</v>
      </c>
    </row>
    <row r="4783" spans="20:28" x14ac:dyDescent="0.2">
      <c r="T4783" s="358" t="str">
        <f t="shared" si="184"/>
        <v>2006FemaleAllEth19Submersion (drowning)</v>
      </c>
      <c r="U4783" s="360">
        <v>2006</v>
      </c>
      <c r="V4783" s="360" t="s">
        <v>8</v>
      </c>
      <c r="W4783" s="360" t="s">
        <v>27</v>
      </c>
      <c r="X4783" s="360">
        <v>19</v>
      </c>
      <c r="Y4783" s="360" t="s">
        <v>49</v>
      </c>
      <c r="Z4783" s="360">
        <v>2</v>
      </c>
      <c r="AA4783" s="360">
        <v>137</v>
      </c>
      <c r="AB4783" s="360">
        <v>1.5</v>
      </c>
    </row>
    <row r="4784" spans="20:28" x14ac:dyDescent="0.2">
      <c r="T4784" s="358" t="str">
        <f t="shared" si="184"/>
        <v>2006FemaleMaori19Hanging, strangulation and suffocation</v>
      </c>
      <c r="U4784" s="360">
        <v>2006</v>
      </c>
      <c r="V4784" s="360" t="s">
        <v>8</v>
      </c>
      <c r="W4784" s="360" t="s">
        <v>18</v>
      </c>
      <c r="X4784" s="360">
        <v>19</v>
      </c>
      <c r="Y4784" s="360" t="s">
        <v>43</v>
      </c>
      <c r="Z4784" s="360">
        <v>24</v>
      </c>
      <c r="AA4784" s="360">
        <v>33</v>
      </c>
      <c r="AB4784" s="360">
        <v>72.7</v>
      </c>
    </row>
    <row r="4785" spans="20:28" x14ac:dyDescent="0.2">
      <c r="T4785" s="358" t="str">
        <f t="shared" si="184"/>
        <v>2006FemaleMaori19Jumping from a high place</v>
      </c>
      <c r="U4785" s="360">
        <v>2006</v>
      </c>
      <c r="V4785" s="360" t="s">
        <v>8</v>
      </c>
      <c r="W4785" s="360" t="s">
        <v>18</v>
      </c>
      <c r="X4785" s="360">
        <v>19</v>
      </c>
      <c r="Y4785" s="360" t="s">
        <v>44</v>
      </c>
      <c r="Z4785" s="360">
        <v>1</v>
      </c>
      <c r="AA4785" s="360">
        <v>33</v>
      </c>
      <c r="AB4785" s="360">
        <v>3</v>
      </c>
    </row>
    <row r="4786" spans="20:28" x14ac:dyDescent="0.2">
      <c r="T4786" s="358" t="str">
        <f t="shared" si="184"/>
        <v>2006FemaleMaori19Other</v>
      </c>
      <c r="U4786" s="360">
        <v>2006</v>
      </c>
      <c r="V4786" s="360" t="s">
        <v>8</v>
      </c>
      <c r="W4786" s="360" t="s">
        <v>18</v>
      </c>
      <c r="X4786" s="360">
        <v>19</v>
      </c>
      <c r="Y4786" s="360" t="s">
        <v>45</v>
      </c>
      <c r="Z4786" s="360">
        <v>2</v>
      </c>
      <c r="AA4786" s="360">
        <v>33</v>
      </c>
      <c r="AB4786" s="360">
        <v>6.1</v>
      </c>
    </row>
    <row r="4787" spans="20:28" x14ac:dyDescent="0.2">
      <c r="T4787" s="358" t="str">
        <f t="shared" si="184"/>
        <v>2006FemaleMaori19Poisoning by gases and vapours</v>
      </c>
      <c r="U4787" s="360">
        <v>2006</v>
      </c>
      <c r="V4787" s="360" t="s">
        <v>8</v>
      </c>
      <c r="W4787" s="360" t="s">
        <v>18</v>
      </c>
      <c r="X4787" s="360">
        <v>19</v>
      </c>
      <c r="Y4787" s="360" t="s">
        <v>46</v>
      </c>
      <c r="Z4787" s="360">
        <v>4</v>
      </c>
      <c r="AA4787" s="360">
        <v>33</v>
      </c>
      <c r="AB4787" s="360">
        <v>12.1</v>
      </c>
    </row>
    <row r="4788" spans="20:28" x14ac:dyDescent="0.2">
      <c r="T4788" s="358" t="str">
        <f t="shared" si="184"/>
        <v>2006FemaleMaori19Poisoning by solids and liquids</v>
      </c>
      <c r="U4788" s="360">
        <v>2006</v>
      </c>
      <c r="V4788" s="360" t="s">
        <v>8</v>
      </c>
      <c r="W4788" s="360" t="s">
        <v>18</v>
      </c>
      <c r="X4788" s="360">
        <v>19</v>
      </c>
      <c r="Y4788" s="360" t="s">
        <v>47</v>
      </c>
      <c r="Z4788" s="360">
        <v>2</v>
      </c>
      <c r="AA4788" s="360">
        <v>33</v>
      </c>
      <c r="AB4788" s="360">
        <v>6.1</v>
      </c>
    </row>
    <row r="4789" spans="20:28" x14ac:dyDescent="0.2">
      <c r="T4789" s="358" t="str">
        <f t="shared" si="184"/>
        <v>2006FemaleNon-Maori19Firearms and explosives</v>
      </c>
      <c r="U4789" s="360">
        <v>2006</v>
      </c>
      <c r="V4789" s="360" t="s">
        <v>8</v>
      </c>
      <c r="W4789" s="360" t="s">
        <v>19</v>
      </c>
      <c r="X4789" s="360">
        <v>19</v>
      </c>
      <c r="Y4789" s="360" t="s">
        <v>42</v>
      </c>
      <c r="Z4789" s="360">
        <v>6</v>
      </c>
      <c r="AA4789" s="360">
        <v>104</v>
      </c>
      <c r="AB4789" s="360">
        <v>5.8</v>
      </c>
    </row>
    <row r="4790" spans="20:28" x14ac:dyDescent="0.2">
      <c r="T4790" s="358" t="str">
        <f t="shared" si="184"/>
        <v>2006FemaleNon-Maori19Hanging, strangulation and suffocation</v>
      </c>
      <c r="U4790" s="360">
        <v>2006</v>
      </c>
      <c r="V4790" s="360" t="s">
        <v>8</v>
      </c>
      <c r="W4790" s="360" t="s">
        <v>19</v>
      </c>
      <c r="X4790" s="360">
        <v>19</v>
      </c>
      <c r="Y4790" s="360" t="s">
        <v>43</v>
      </c>
      <c r="Z4790" s="360">
        <v>50</v>
      </c>
      <c r="AA4790" s="360">
        <v>104</v>
      </c>
      <c r="AB4790" s="360">
        <v>48.1</v>
      </c>
    </row>
    <row r="4791" spans="20:28" x14ac:dyDescent="0.2">
      <c r="T4791" s="358" t="str">
        <f t="shared" si="184"/>
        <v>2006FemaleNon-Maori19Jumping from a high place</v>
      </c>
      <c r="U4791" s="360">
        <v>2006</v>
      </c>
      <c r="V4791" s="360" t="s">
        <v>8</v>
      </c>
      <c r="W4791" s="360" t="s">
        <v>19</v>
      </c>
      <c r="X4791" s="360">
        <v>19</v>
      </c>
      <c r="Y4791" s="360" t="s">
        <v>44</v>
      </c>
      <c r="Z4791" s="360">
        <v>3</v>
      </c>
      <c r="AA4791" s="360">
        <v>104</v>
      </c>
      <c r="AB4791" s="360">
        <v>2.9</v>
      </c>
    </row>
    <row r="4792" spans="20:28" x14ac:dyDescent="0.2">
      <c r="T4792" s="358" t="str">
        <f t="shared" si="184"/>
        <v>2006FemaleNon-Maori19Other</v>
      </c>
      <c r="U4792" s="360">
        <v>2006</v>
      </c>
      <c r="V4792" s="360" t="s">
        <v>8</v>
      </c>
      <c r="W4792" s="360" t="s">
        <v>19</v>
      </c>
      <c r="X4792" s="360">
        <v>19</v>
      </c>
      <c r="Y4792" s="360" t="s">
        <v>45</v>
      </c>
      <c r="Z4792" s="360">
        <v>3</v>
      </c>
      <c r="AA4792" s="360">
        <v>104</v>
      </c>
      <c r="AB4792" s="360">
        <v>2.9</v>
      </c>
    </row>
    <row r="4793" spans="20:28" x14ac:dyDescent="0.2">
      <c r="T4793" s="358" t="str">
        <f t="shared" si="184"/>
        <v>2006FemaleNon-Maori19Poisoning by gases and vapours</v>
      </c>
      <c r="U4793" s="360">
        <v>2006</v>
      </c>
      <c r="V4793" s="360" t="s">
        <v>8</v>
      </c>
      <c r="W4793" s="360" t="s">
        <v>19</v>
      </c>
      <c r="X4793" s="360">
        <v>19</v>
      </c>
      <c r="Y4793" s="360" t="s">
        <v>46</v>
      </c>
      <c r="Z4793" s="360">
        <v>16</v>
      </c>
      <c r="AA4793" s="360">
        <v>104</v>
      </c>
      <c r="AB4793" s="360">
        <v>15.4</v>
      </c>
    </row>
    <row r="4794" spans="20:28" x14ac:dyDescent="0.2">
      <c r="T4794" s="358" t="str">
        <f t="shared" si="184"/>
        <v>2006FemaleNon-Maori19Poisoning by solids and liquids</v>
      </c>
      <c r="U4794" s="360">
        <v>2006</v>
      </c>
      <c r="V4794" s="360" t="s">
        <v>8</v>
      </c>
      <c r="W4794" s="360" t="s">
        <v>19</v>
      </c>
      <c r="X4794" s="360">
        <v>19</v>
      </c>
      <c r="Y4794" s="360" t="s">
        <v>47</v>
      </c>
      <c r="Z4794" s="360">
        <v>23</v>
      </c>
      <c r="AA4794" s="360">
        <v>104</v>
      </c>
      <c r="AB4794" s="360">
        <v>22.1</v>
      </c>
    </row>
    <row r="4795" spans="20:28" x14ac:dyDescent="0.2">
      <c r="T4795" s="358" t="str">
        <f t="shared" si="184"/>
        <v>2006FemaleNon-Maori19Sharp object</v>
      </c>
      <c r="U4795" s="360">
        <v>2006</v>
      </c>
      <c r="V4795" s="360" t="s">
        <v>8</v>
      </c>
      <c r="W4795" s="360" t="s">
        <v>19</v>
      </c>
      <c r="X4795" s="360">
        <v>19</v>
      </c>
      <c r="Y4795" s="360" t="s">
        <v>48</v>
      </c>
      <c r="Z4795" s="360">
        <v>1</v>
      </c>
      <c r="AA4795" s="360">
        <v>104</v>
      </c>
      <c r="AB4795" s="360">
        <v>1</v>
      </c>
    </row>
    <row r="4796" spans="20:28" x14ac:dyDescent="0.2">
      <c r="T4796" s="358" t="str">
        <f t="shared" si="184"/>
        <v>2006FemaleNon-Maori19Submersion (drowning)</v>
      </c>
      <c r="U4796" s="360">
        <v>2006</v>
      </c>
      <c r="V4796" s="360" t="s">
        <v>8</v>
      </c>
      <c r="W4796" s="360" t="s">
        <v>19</v>
      </c>
      <c r="X4796" s="360">
        <v>19</v>
      </c>
      <c r="Y4796" s="360" t="s">
        <v>49</v>
      </c>
      <c r="Z4796" s="360">
        <v>2</v>
      </c>
      <c r="AA4796" s="360">
        <v>104</v>
      </c>
      <c r="AB4796" s="360">
        <v>1.9</v>
      </c>
    </row>
    <row r="4797" spans="20:28" x14ac:dyDescent="0.2">
      <c r="T4797" s="358" t="str">
        <f t="shared" si="184"/>
        <v>2006MaleAllEth19Firearms and explosives</v>
      </c>
      <c r="U4797" s="360">
        <v>2006</v>
      </c>
      <c r="V4797" s="360" t="s">
        <v>20</v>
      </c>
      <c r="W4797" s="360" t="s">
        <v>27</v>
      </c>
      <c r="X4797" s="360">
        <v>19</v>
      </c>
      <c r="Y4797" s="360" t="s">
        <v>42</v>
      </c>
      <c r="Z4797" s="360">
        <v>42</v>
      </c>
      <c r="AA4797" s="360">
        <v>387</v>
      </c>
      <c r="AB4797" s="360">
        <v>10.9</v>
      </c>
    </row>
    <row r="4798" spans="20:28" x14ac:dyDescent="0.2">
      <c r="T4798" s="358" t="str">
        <f t="shared" si="184"/>
        <v>2006MaleAllEth19Hanging, strangulation and suffocation</v>
      </c>
      <c r="U4798" s="360">
        <v>2006</v>
      </c>
      <c r="V4798" s="360" t="s">
        <v>20</v>
      </c>
      <c r="W4798" s="360" t="s">
        <v>27</v>
      </c>
      <c r="X4798" s="360">
        <v>19</v>
      </c>
      <c r="Y4798" s="360" t="s">
        <v>43</v>
      </c>
      <c r="Z4798" s="360">
        <v>212</v>
      </c>
      <c r="AA4798" s="360">
        <v>387</v>
      </c>
      <c r="AB4798" s="360">
        <v>54.8</v>
      </c>
    </row>
    <row r="4799" spans="20:28" x14ac:dyDescent="0.2">
      <c r="T4799" s="358" t="str">
        <f t="shared" si="184"/>
        <v>2006MaleAllEth19Jumping from a high place</v>
      </c>
      <c r="U4799" s="360">
        <v>2006</v>
      </c>
      <c r="V4799" s="360" t="s">
        <v>20</v>
      </c>
      <c r="W4799" s="360" t="s">
        <v>27</v>
      </c>
      <c r="X4799" s="360">
        <v>19</v>
      </c>
      <c r="Y4799" s="360" t="s">
        <v>44</v>
      </c>
      <c r="Z4799" s="360">
        <v>6</v>
      </c>
      <c r="AA4799" s="360">
        <v>387</v>
      </c>
      <c r="AB4799" s="360">
        <v>1.6</v>
      </c>
    </row>
    <row r="4800" spans="20:28" x14ac:dyDescent="0.2">
      <c r="T4800" s="358" t="str">
        <f t="shared" si="184"/>
        <v>2006MaleAllEth19Other</v>
      </c>
      <c r="U4800" s="360">
        <v>2006</v>
      </c>
      <c r="V4800" s="360" t="s">
        <v>20</v>
      </c>
      <c r="W4800" s="360" t="s">
        <v>27</v>
      </c>
      <c r="X4800" s="360">
        <v>19</v>
      </c>
      <c r="Y4800" s="360" t="s">
        <v>45</v>
      </c>
      <c r="Z4800" s="360">
        <v>17</v>
      </c>
      <c r="AA4800" s="360">
        <v>387</v>
      </c>
      <c r="AB4800" s="360">
        <v>4.4000000000000004</v>
      </c>
    </row>
    <row r="4801" spans="20:28" x14ac:dyDescent="0.2">
      <c r="T4801" s="358" t="str">
        <f t="shared" si="184"/>
        <v>2006MaleAllEth19Poisoning by gases and vapours</v>
      </c>
      <c r="U4801" s="360">
        <v>2006</v>
      </c>
      <c r="V4801" s="360" t="s">
        <v>20</v>
      </c>
      <c r="W4801" s="360" t="s">
        <v>27</v>
      </c>
      <c r="X4801" s="360">
        <v>19</v>
      </c>
      <c r="Y4801" s="360" t="s">
        <v>46</v>
      </c>
      <c r="Z4801" s="360">
        <v>67</v>
      </c>
      <c r="AA4801" s="360">
        <v>387</v>
      </c>
      <c r="AB4801" s="360">
        <v>17.3</v>
      </c>
    </row>
    <row r="4802" spans="20:28" x14ac:dyDescent="0.2">
      <c r="T4802" s="358" t="str">
        <f t="shared" si="184"/>
        <v>2006MaleAllEth19Poisoning by solids and liquids</v>
      </c>
      <c r="U4802" s="360">
        <v>2006</v>
      </c>
      <c r="V4802" s="360" t="s">
        <v>20</v>
      </c>
      <c r="W4802" s="360" t="s">
        <v>27</v>
      </c>
      <c r="X4802" s="360">
        <v>19</v>
      </c>
      <c r="Y4802" s="360" t="s">
        <v>47</v>
      </c>
      <c r="Z4802" s="360">
        <v>24</v>
      </c>
      <c r="AA4802" s="360">
        <v>387</v>
      </c>
      <c r="AB4802" s="360">
        <v>6.2</v>
      </c>
    </row>
    <row r="4803" spans="20:28" x14ac:dyDescent="0.2">
      <c r="T4803" s="358" t="str">
        <f t="shared" si="184"/>
        <v>2006MaleAllEth19Sharp object</v>
      </c>
      <c r="U4803" s="360">
        <v>2006</v>
      </c>
      <c r="V4803" s="360" t="s">
        <v>20</v>
      </c>
      <c r="W4803" s="360" t="s">
        <v>27</v>
      </c>
      <c r="X4803" s="360">
        <v>19</v>
      </c>
      <c r="Y4803" s="360" t="s">
        <v>48</v>
      </c>
      <c r="Z4803" s="360">
        <v>12</v>
      </c>
      <c r="AA4803" s="360">
        <v>387</v>
      </c>
      <c r="AB4803" s="360">
        <v>3.1</v>
      </c>
    </row>
    <row r="4804" spans="20:28" x14ac:dyDescent="0.2">
      <c r="T4804" s="358" t="str">
        <f t="shared" si="184"/>
        <v>2006MaleAllEth19Submersion (drowning)</v>
      </c>
      <c r="U4804" s="360">
        <v>2006</v>
      </c>
      <c r="V4804" s="360" t="s">
        <v>20</v>
      </c>
      <c r="W4804" s="360" t="s">
        <v>27</v>
      </c>
      <c r="X4804" s="360">
        <v>19</v>
      </c>
      <c r="Y4804" s="360" t="s">
        <v>49</v>
      </c>
      <c r="Z4804" s="360">
        <v>7</v>
      </c>
      <c r="AA4804" s="360">
        <v>387</v>
      </c>
      <c r="AB4804" s="360">
        <v>1.8</v>
      </c>
    </row>
    <row r="4805" spans="20:28" x14ac:dyDescent="0.2">
      <c r="T4805" s="358" t="str">
        <f t="shared" ref="T4805:T4868" si="185">U4805&amp;V4805&amp;W4805&amp;X4805&amp;Y4805</f>
        <v>2006MaleMaori19Firearms and explosives</v>
      </c>
      <c r="U4805" s="360">
        <v>2006</v>
      </c>
      <c r="V4805" s="360" t="s">
        <v>20</v>
      </c>
      <c r="W4805" s="360" t="s">
        <v>18</v>
      </c>
      <c r="X4805" s="360">
        <v>19</v>
      </c>
      <c r="Y4805" s="360" t="s">
        <v>42</v>
      </c>
      <c r="Z4805" s="360">
        <v>6</v>
      </c>
      <c r="AA4805" s="360">
        <v>75</v>
      </c>
      <c r="AB4805" s="360">
        <v>8</v>
      </c>
    </row>
    <row r="4806" spans="20:28" x14ac:dyDescent="0.2">
      <c r="T4806" s="358" t="str">
        <f t="shared" si="185"/>
        <v>2006MaleMaori19Hanging, strangulation and suffocation</v>
      </c>
      <c r="U4806" s="360">
        <v>2006</v>
      </c>
      <c r="V4806" s="360" t="s">
        <v>20</v>
      </c>
      <c r="W4806" s="360" t="s">
        <v>18</v>
      </c>
      <c r="X4806" s="360">
        <v>19</v>
      </c>
      <c r="Y4806" s="360" t="s">
        <v>43</v>
      </c>
      <c r="Z4806" s="360">
        <v>57</v>
      </c>
      <c r="AA4806" s="360">
        <v>75</v>
      </c>
      <c r="AB4806" s="360">
        <v>76</v>
      </c>
    </row>
    <row r="4807" spans="20:28" x14ac:dyDescent="0.2">
      <c r="T4807" s="358" t="str">
        <f t="shared" si="185"/>
        <v>2006MaleMaori19Other</v>
      </c>
      <c r="U4807" s="360">
        <v>2006</v>
      </c>
      <c r="V4807" s="360" t="s">
        <v>20</v>
      </c>
      <c r="W4807" s="360" t="s">
        <v>18</v>
      </c>
      <c r="X4807" s="360">
        <v>19</v>
      </c>
      <c r="Y4807" s="360" t="s">
        <v>45</v>
      </c>
      <c r="Z4807" s="360">
        <v>2</v>
      </c>
      <c r="AA4807" s="360">
        <v>75</v>
      </c>
      <c r="AB4807" s="360">
        <v>2.7</v>
      </c>
    </row>
    <row r="4808" spans="20:28" x14ac:dyDescent="0.2">
      <c r="T4808" s="358" t="str">
        <f t="shared" si="185"/>
        <v>2006MaleMaori19Poisoning by gases and vapours</v>
      </c>
      <c r="U4808" s="360">
        <v>2006</v>
      </c>
      <c r="V4808" s="360" t="s">
        <v>20</v>
      </c>
      <c r="W4808" s="360" t="s">
        <v>18</v>
      </c>
      <c r="X4808" s="360">
        <v>19</v>
      </c>
      <c r="Y4808" s="360" t="s">
        <v>46</v>
      </c>
      <c r="Z4808" s="360">
        <v>3</v>
      </c>
      <c r="AA4808" s="360">
        <v>75</v>
      </c>
      <c r="AB4808" s="360">
        <v>4</v>
      </c>
    </row>
    <row r="4809" spans="20:28" x14ac:dyDescent="0.2">
      <c r="T4809" s="358" t="str">
        <f t="shared" si="185"/>
        <v>2006MaleMaori19Poisoning by solids and liquids</v>
      </c>
      <c r="U4809" s="360">
        <v>2006</v>
      </c>
      <c r="V4809" s="360" t="s">
        <v>20</v>
      </c>
      <c r="W4809" s="360" t="s">
        <v>18</v>
      </c>
      <c r="X4809" s="360">
        <v>19</v>
      </c>
      <c r="Y4809" s="360" t="s">
        <v>47</v>
      </c>
      <c r="Z4809" s="360">
        <v>3</v>
      </c>
      <c r="AA4809" s="360">
        <v>75</v>
      </c>
      <c r="AB4809" s="360">
        <v>4</v>
      </c>
    </row>
    <row r="4810" spans="20:28" x14ac:dyDescent="0.2">
      <c r="T4810" s="358" t="str">
        <f t="shared" si="185"/>
        <v>2006MaleMaori19Sharp object</v>
      </c>
      <c r="U4810" s="360">
        <v>2006</v>
      </c>
      <c r="V4810" s="360" t="s">
        <v>20</v>
      </c>
      <c r="W4810" s="360" t="s">
        <v>18</v>
      </c>
      <c r="X4810" s="360">
        <v>19</v>
      </c>
      <c r="Y4810" s="360" t="s">
        <v>48</v>
      </c>
      <c r="Z4810" s="360">
        <v>3</v>
      </c>
      <c r="AA4810" s="360">
        <v>75</v>
      </c>
      <c r="AB4810" s="360">
        <v>4</v>
      </c>
    </row>
    <row r="4811" spans="20:28" x14ac:dyDescent="0.2">
      <c r="T4811" s="358" t="str">
        <f t="shared" si="185"/>
        <v>2006MaleMaori19Submersion (drowning)</v>
      </c>
      <c r="U4811" s="360">
        <v>2006</v>
      </c>
      <c r="V4811" s="360" t="s">
        <v>20</v>
      </c>
      <c r="W4811" s="360" t="s">
        <v>18</v>
      </c>
      <c r="X4811" s="360">
        <v>19</v>
      </c>
      <c r="Y4811" s="360" t="s">
        <v>49</v>
      </c>
      <c r="Z4811" s="360">
        <v>1</v>
      </c>
      <c r="AA4811" s="360">
        <v>75</v>
      </c>
      <c r="AB4811" s="360">
        <v>1.3</v>
      </c>
    </row>
    <row r="4812" spans="20:28" x14ac:dyDescent="0.2">
      <c r="T4812" s="358" t="str">
        <f t="shared" si="185"/>
        <v>2006MaleNon-Maori19Firearms and explosives</v>
      </c>
      <c r="U4812" s="360">
        <v>2006</v>
      </c>
      <c r="V4812" s="360" t="s">
        <v>20</v>
      </c>
      <c r="W4812" s="360" t="s">
        <v>19</v>
      </c>
      <c r="X4812" s="360">
        <v>19</v>
      </c>
      <c r="Y4812" s="360" t="s">
        <v>42</v>
      </c>
      <c r="Z4812" s="360">
        <v>36</v>
      </c>
      <c r="AA4812" s="360">
        <v>312</v>
      </c>
      <c r="AB4812" s="360">
        <v>11.5</v>
      </c>
    </row>
    <row r="4813" spans="20:28" x14ac:dyDescent="0.2">
      <c r="T4813" s="358" t="str">
        <f t="shared" si="185"/>
        <v>2006MaleNon-Maori19Hanging, strangulation and suffocation</v>
      </c>
      <c r="U4813" s="360">
        <v>2006</v>
      </c>
      <c r="V4813" s="360" t="s">
        <v>20</v>
      </c>
      <c r="W4813" s="360" t="s">
        <v>19</v>
      </c>
      <c r="X4813" s="360">
        <v>19</v>
      </c>
      <c r="Y4813" s="360" t="s">
        <v>43</v>
      </c>
      <c r="Z4813" s="360">
        <v>155</v>
      </c>
      <c r="AA4813" s="360">
        <v>312</v>
      </c>
      <c r="AB4813" s="360">
        <v>49.7</v>
      </c>
    </row>
    <row r="4814" spans="20:28" x14ac:dyDescent="0.2">
      <c r="T4814" s="358" t="str">
        <f t="shared" si="185"/>
        <v>2006MaleNon-Maori19Jumping from a high place</v>
      </c>
      <c r="U4814" s="360">
        <v>2006</v>
      </c>
      <c r="V4814" s="360" t="s">
        <v>20</v>
      </c>
      <c r="W4814" s="360" t="s">
        <v>19</v>
      </c>
      <c r="X4814" s="360">
        <v>19</v>
      </c>
      <c r="Y4814" s="360" t="s">
        <v>44</v>
      </c>
      <c r="Z4814" s="360">
        <v>6</v>
      </c>
      <c r="AA4814" s="360">
        <v>312</v>
      </c>
      <c r="AB4814" s="360">
        <v>1.9</v>
      </c>
    </row>
    <row r="4815" spans="20:28" x14ac:dyDescent="0.2">
      <c r="T4815" s="358" t="str">
        <f t="shared" si="185"/>
        <v>2006MaleNon-Maori19Other</v>
      </c>
      <c r="U4815" s="360">
        <v>2006</v>
      </c>
      <c r="V4815" s="360" t="s">
        <v>20</v>
      </c>
      <c r="W4815" s="360" t="s">
        <v>19</v>
      </c>
      <c r="X4815" s="360">
        <v>19</v>
      </c>
      <c r="Y4815" s="360" t="s">
        <v>45</v>
      </c>
      <c r="Z4815" s="360">
        <v>15</v>
      </c>
      <c r="AA4815" s="360">
        <v>312</v>
      </c>
      <c r="AB4815" s="360">
        <v>4.8</v>
      </c>
    </row>
    <row r="4816" spans="20:28" x14ac:dyDescent="0.2">
      <c r="T4816" s="358" t="str">
        <f t="shared" si="185"/>
        <v>2006MaleNon-Maori19Poisoning by gases and vapours</v>
      </c>
      <c r="U4816" s="360">
        <v>2006</v>
      </c>
      <c r="V4816" s="360" t="s">
        <v>20</v>
      </c>
      <c r="W4816" s="360" t="s">
        <v>19</v>
      </c>
      <c r="X4816" s="360">
        <v>19</v>
      </c>
      <c r="Y4816" s="360" t="s">
        <v>46</v>
      </c>
      <c r="Z4816" s="360">
        <v>64</v>
      </c>
      <c r="AA4816" s="360">
        <v>312</v>
      </c>
      <c r="AB4816" s="360">
        <v>20.5</v>
      </c>
    </row>
    <row r="4817" spans="20:28" x14ac:dyDescent="0.2">
      <c r="T4817" s="358" t="str">
        <f t="shared" si="185"/>
        <v>2006MaleNon-Maori19Poisoning by solids and liquids</v>
      </c>
      <c r="U4817" s="360">
        <v>2006</v>
      </c>
      <c r="V4817" s="360" t="s">
        <v>20</v>
      </c>
      <c r="W4817" s="360" t="s">
        <v>19</v>
      </c>
      <c r="X4817" s="360">
        <v>19</v>
      </c>
      <c r="Y4817" s="360" t="s">
        <v>47</v>
      </c>
      <c r="Z4817" s="360">
        <v>21</v>
      </c>
      <c r="AA4817" s="360">
        <v>312</v>
      </c>
      <c r="AB4817" s="360">
        <v>6.7</v>
      </c>
    </row>
    <row r="4818" spans="20:28" x14ac:dyDescent="0.2">
      <c r="T4818" s="358" t="str">
        <f t="shared" si="185"/>
        <v>2006MaleNon-Maori19Sharp object</v>
      </c>
      <c r="U4818" s="360">
        <v>2006</v>
      </c>
      <c r="V4818" s="360" t="s">
        <v>20</v>
      </c>
      <c r="W4818" s="360" t="s">
        <v>19</v>
      </c>
      <c r="X4818" s="360">
        <v>19</v>
      </c>
      <c r="Y4818" s="360" t="s">
        <v>48</v>
      </c>
      <c r="Z4818" s="360">
        <v>9</v>
      </c>
      <c r="AA4818" s="360">
        <v>312</v>
      </c>
      <c r="AB4818" s="360">
        <v>2.9</v>
      </c>
    </row>
    <row r="4819" spans="20:28" x14ac:dyDescent="0.2">
      <c r="T4819" s="358" t="str">
        <f t="shared" si="185"/>
        <v>2006MaleNon-Maori19Submersion (drowning)</v>
      </c>
      <c r="U4819" s="360">
        <v>2006</v>
      </c>
      <c r="V4819" s="360" t="s">
        <v>20</v>
      </c>
      <c r="W4819" s="360" t="s">
        <v>19</v>
      </c>
      <c r="X4819" s="360">
        <v>19</v>
      </c>
      <c r="Y4819" s="360" t="s">
        <v>49</v>
      </c>
      <c r="Z4819" s="360">
        <v>6</v>
      </c>
      <c r="AA4819" s="360">
        <v>312</v>
      </c>
      <c r="AB4819" s="360">
        <v>1.9</v>
      </c>
    </row>
    <row r="4820" spans="20:28" x14ac:dyDescent="0.2">
      <c r="T4820" s="358" t="str">
        <f t="shared" si="185"/>
        <v>2007AllSexAllEth19Firearms and explosives</v>
      </c>
      <c r="U4820" s="360">
        <v>2007</v>
      </c>
      <c r="V4820" s="360" t="s">
        <v>17</v>
      </c>
      <c r="W4820" s="360" t="s">
        <v>27</v>
      </c>
      <c r="X4820" s="360">
        <v>19</v>
      </c>
      <c r="Y4820" s="360" t="s">
        <v>42</v>
      </c>
      <c r="Z4820" s="360">
        <v>48</v>
      </c>
      <c r="AA4820" s="360">
        <v>501</v>
      </c>
      <c r="AB4820" s="360">
        <v>9.6</v>
      </c>
    </row>
    <row r="4821" spans="20:28" x14ac:dyDescent="0.2">
      <c r="T4821" s="358" t="str">
        <f t="shared" si="185"/>
        <v>2007AllSexAllEth19Hanging, strangulation and suffocation</v>
      </c>
      <c r="U4821" s="360">
        <v>2007</v>
      </c>
      <c r="V4821" s="360" t="s">
        <v>17</v>
      </c>
      <c r="W4821" s="360" t="s">
        <v>27</v>
      </c>
      <c r="X4821" s="360">
        <v>19</v>
      </c>
      <c r="Y4821" s="360" t="s">
        <v>43</v>
      </c>
      <c r="Z4821" s="360">
        <v>284</v>
      </c>
      <c r="AA4821" s="360">
        <v>501</v>
      </c>
      <c r="AB4821" s="360">
        <v>56.7</v>
      </c>
    </row>
    <row r="4822" spans="20:28" x14ac:dyDescent="0.2">
      <c r="T4822" s="358" t="str">
        <f t="shared" si="185"/>
        <v>2007AllSexAllEth19Jumping from a high place</v>
      </c>
      <c r="U4822" s="360">
        <v>2007</v>
      </c>
      <c r="V4822" s="360" t="s">
        <v>17</v>
      </c>
      <c r="W4822" s="360" t="s">
        <v>27</v>
      </c>
      <c r="X4822" s="360">
        <v>19</v>
      </c>
      <c r="Y4822" s="360" t="s">
        <v>44</v>
      </c>
      <c r="Z4822" s="360">
        <v>13</v>
      </c>
      <c r="AA4822" s="360">
        <v>501</v>
      </c>
      <c r="AB4822" s="360">
        <v>2.6</v>
      </c>
    </row>
    <row r="4823" spans="20:28" x14ac:dyDescent="0.2">
      <c r="T4823" s="358" t="str">
        <f t="shared" si="185"/>
        <v>2007AllSexAllEth19Other</v>
      </c>
      <c r="U4823" s="360">
        <v>2007</v>
      </c>
      <c r="V4823" s="360" t="s">
        <v>17</v>
      </c>
      <c r="W4823" s="360" t="s">
        <v>27</v>
      </c>
      <c r="X4823" s="360">
        <v>19</v>
      </c>
      <c r="Y4823" s="360" t="s">
        <v>45</v>
      </c>
      <c r="Z4823" s="360">
        <v>19</v>
      </c>
      <c r="AA4823" s="360">
        <v>501</v>
      </c>
      <c r="AB4823" s="360">
        <v>3.8</v>
      </c>
    </row>
    <row r="4824" spans="20:28" x14ac:dyDescent="0.2">
      <c r="T4824" s="358" t="str">
        <f t="shared" si="185"/>
        <v>2007AllSexAllEth19Poisoning by gases and vapours</v>
      </c>
      <c r="U4824" s="360">
        <v>2007</v>
      </c>
      <c r="V4824" s="360" t="s">
        <v>17</v>
      </c>
      <c r="W4824" s="360" t="s">
        <v>27</v>
      </c>
      <c r="X4824" s="360">
        <v>19</v>
      </c>
      <c r="Y4824" s="360" t="s">
        <v>46</v>
      </c>
      <c r="Z4824" s="360">
        <v>72</v>
      </c>
      <c r="AA4824" s="360">
        <v>501</v>
      </c>
      <c r="AB4824" s="360">
        <v>14.4</v>
      </c>
    </row>
    <row r="4825" spans="20:28" x14ac:dyDescent="0.2">
      <c r="T4825" s="358" t="str">
        <f t="shared" si="185"/>
        <v>2007AllSexAllEth19Poisoning by solids and liquids</v>
      </c>
      <c r="U4825" s="360">
        <v>2007</v>
      </c>
      <c r="V4825" s="360" t="s">
        <v>17</v>
      </c>
      <c r="W4825" s="360" t="s">
        <v>27</v>
      </c>
      <c r="X4825" s="360">
        <v>19</v>
      </c>
      <c r="Y4825" s="360" t="s">
        <v>47</v>
      </c>
      <c r="Z4825" s="360">
        <v>48</v>
      </c>
      <c r="AA4825" s="360">
        <v>501</v>
      </c>
      <c r="AB4825" s="360">
        <v>9.6</v>
      </c>
    </row>
    <row r="4826" spans="20:28" x14ac:dyDescent="0.2">
      <c r="T4826" s="358" t="str">
        <f t="shared" si="185"/>
        <v>2007AllSexAllEth19Sharp object</v>
      </c>
      <c r="U4826" s="360">
        <v>2007</v>
      </c>
      <c r="V4826" s="360" t="s">
        <v>17</v>
      </c>
      <c r="W4826" s="360" t="s">
        <v>27</v>
      </c>
      <c r="X4826" s="360">
        <v>19</v>
      </c>
      <c r="Y4826" s="360" t="s">
        <v>48</v>
      </c>
      <c r="Z4826" s="360">
        <v>6</v>
      </c>
      <c r="AA4826" s="360">
        <v>501</v>
      </c>
      <c r="AB4826" s="360">
        <v>1.2</v>
      </c>
    </row>
    <row r="4827" spans="20:28" x14ac:dyDescent="0.2">
      <c r="T4827" s="358" t="str">
        <f t="shared" si="185"/>
        <v>2007AllSexAllEth19Submersion (drowning)</v>
      </c>
      <c r="U4827" s="360">
        <v>2007</v>
      </c>
      <c r="V4827" s="360" t="s">
        <v>17</v>
      </c>
      <c r="W4827" s="360" t="s">
        <v>27</v>
      </c>
      <c r="X4827" s="360">
        <v>19</v>
      </c>
      <c r="Y4827" s="360" t="s">
        <v>49</v>
      </c>
      <c r="Z4827" s="360">
        <v>11</v>
      </c>
      <c r="AA4827" s="360">
        <v>501</v>
      </c>
      <c r="AB4827" s="360">
        <v>2.2000000000000002</v>
      </c>
    </row>
    <row r="4828" spans="20:28" x14ac:dyDescent="0.2">
      <c r="T4828" s="358" t="str">
        <f t="shared" si="185"/>
        <v>2007AllSexMaori19Firearms and explosives</v>
      </c>
      <c r="U4828" s="360">
        <v>2007</v>
      </c>
      <c r="V4828" s="360" t="s">
        <v>17</v>
      </c>
      <c r="W4828" s="360" t="s">
        <v>18</v>
      </c>
      <c r="X4828" s="360">
        <v>19</v>
      </c>
      <c r="Y4828" s="360" t="s">
        <v>42</v>
      </c>
      <c r="Z4828" s="360">
        <v>6</v>
      </c>
      <c r="AA4828" s="360">
        <v>97</v>
      </c>
      <c r="AB4828" s="360">
        <v>6.2</v>
      </c>
    </row>
    <row r="4829" spans="20:28" x14ac:dyDescent="0.2">
      <c r="T4829" s="358" t="str">
        <f t="shared" si="185"/>
        <v>2007AllSexMaori19Hanging, strangulation and suffocation</v>
      </c>
      <c r="U4829" s="360">
        <v>2007</v>
      </c>
      <c r="V4829" s="360" t="s">
        <v>17</v>
      </c>
      <c r="W4829" s="360" t="s">
        <v>18</v>
      </c>
      <c r="X4829" s="360">
        <v>19</v>
      </c>
      <c r="Y4829" s="360" t="s">
        <v>43</v>
      </c>
      <c r="Z4829" s="360">
        <v>71</v>
      </c>
      <c r="AA4829" s="360">
        <v>97</v>
      </c>
      <c r="AB4829" s="360">
        <v>73.2</v>
      </c>
    </row>
    <row r="4830" spans="20:28" x14ac:dyDescent="0.2">
      <c r="T4830" s="358" t="str">
        <f t="shared" si="185"/>
        <v>2007AllSexMaori19Jumping from a high place</v>
      </c>
      <c r="U4830" s="360">
        <v>2007</v>
      </c>
      <c r="V4830" s="360" t="s">
        <v>17</v>
      </c>
      <c r="W4830" s="360" t="s">
        <v>18</v>
      </c>
      <c r="X4830" s="360">
        <v>19</v>
      </c>
      <c r="Y4830" s="360" t="s">
        <v>44</v>
      </c>
      <c r="Z4830" s="360">
        <v>1</v>
      </c>
      <c r="AA4830" s="360">
        <v>97</v>
      </c>
      <c r="AB4830" s="360">
        <v>1</v>
      </c>
    </row>
    <row r="4831" spans="20:28" x14ac:dyDescent="0.2">
      <c r="T4831" s="358" t="str">
        <f t="shared" si="185"/>
        <v>2007AllSexMaori19Other</v>
      </c>
      <c r="U4831" s="360">
        <v>2007</v>
      </c>
      <c r="V4831" s="360" t="s">
        <v>17</v>
      </c>
      <c r="W4831" s="360" t="s">
        <v>18</v>
      </c>
      <c r="X4831" s="360">
        <v>19</v>
      </c>
      <c r="Y4831" s="360" t="s">
        <v>45</v>
      </c>
      <c r="Z4831" s="360">
        <v>2</v>
      </c>
      <c r="AA4831" s="360">
        <v>97</v>
      </c>
      <c r="AB4831" s="360">
        <v>2.1</v>
      </c>
    </row>
    <row r="4832" spans="20:28" x14ac:dyDescent="0.2">
      <c r="T4832" s="358" t="str">
        <f t="shared" si="185"/>
        <v>2007AllSexMaori19Poisoning by gases and vapours</v>
      </c>
      <c r="U4832" s="360">
        <v>2007</v>
      </c>
      <c r="V4832" s="360" t="s">
        <v>17</v>
      </c>
      <c r="W4832" s="360" t="s">
        <v>18</v>
      </c>
      <c r="X4832" s="360">
        <v>19</v>
      </c>
      <c r="Y4832" s="360" t="s">
        <v>46</v>
      </c>
      <c r="Z4832" s="360">
        <v>6</v>
      </c>
      <c r="AA4832" s="360">
        <v>97</v>
      </c>
      <c r="AB4832" s="360">
        <v>6.2</v>
      </c>
    </row>
    <row r="4833" spans="20:28" x14ac:dyDescent="0.2">
      <c r="T4833" s="358" t="str">
        <f t="shared" si="185"/>
        <v>2007AllSexMaori19Poisoning by solids and liquids</v>
      </c>
      <c r="U4833" s="360">
        <v>2007</v>
      </c>
      <c r="V4833" s="360" t="s">
        <v>17</v>
      </c>
      <c r="W4833" s="360" t="s">
        <v>18</v>
      </c>
      <c r="X4833" s="360">
        <v>19</v>
      </c>
      <c r="Y4833" s="360" t="s">
        <v>47</v>
      </c>
      <c r="Z4833" s="360">
        <v>9</v>
      </c>
      <c r="AA4833" s="360">
        <v>97</v>
      </c>
      <c r="AB4833" s="360">
        <v>9.3000000000000007</v>
      </c>
    </row>
    <row r="4834" spans="20:28" x14ac:dyDescent="0.2">
      <c r="T4834" s="358" t="str">
        <f t="shared" si="185"/>
        <v>2007AllSexMaori19Submersion (drowning)</v>
      </c>
      <c r="U4834" s="360">
        <v>2007</v>
      </c>
      <c r="V4834" s="360" t="s">
        <v>17</v>
      </c>
      <c r="W4834" s="360" t="s">
        <v>18</v>
      </c>
      <c r="X4834" s="360">
        <v>19</v>
      </c>
      <c r="Y4834" s="360" t="s">
        <v>49</v>
      </c>
      <c r="Z4834" s="360">
        <v>2</v>
      </c>
      <c r="AA4834" s="360">
        <v>97</v>
      </c>
      <c r="AB4834" s="360">
        <v>2.1</v>
      </c>
    </row>
    <row r="4835" spans="20:28" x14ac:dyDescent="0.2">
      <c r="T4835" s="358" t="str">
        <f t="shared" si="185"/>
        <v>2007AllSexNon-Maori19Firearms and explosives</v>
      </c>
      <c r="U4835" s="360">
        <v>2007</v>
      </c>
      <c r="V4835" s="360" t="s">
        <v>17</v>
      </c>
      <c r="W4835" s="360" t="s">
        <v>19</v>
      </c>
      <c r="X4835" s="360">
        <v>19</v>
      </c>
      <c r="Y4835" s="360" t="s">
        <v>42</v>
      </c>
      <c r="Z4835" s="360">
        <v>42</v>
      </c>
      <c r="AA4835" s="360">
        <v>404</v>
      </c>
      <c r="AB4835" s="360">
        <v>10.4</v>
      </c>
    </row>
    <row r="4836" spans="20:28" x14ac:dyDescent="0.2">
      <c r="T4836" s="358" t="str">
        <f t="shared" si="185"/>
        <v>2007AllSexNon-Maori19Hanging, strangulation and suffocation</v>
      </c>
      <c r="U4836" s="360">
        <v>2007</v>
      </c>
      <c r="V4836" s="360" t="s">
        <v>17</v>
      </c>
      <c r="W4836" s="360" t="s">
        <v>19</v>
      </c>
      <c r="X4836" s="360">
        <v>19</v>
      </c>
      <c r="Y4836" s="360" t="s">
        <v>43</v>
      </c>
      <c r="Z4836" s="360">
        <v>213</v>
      </c>
      <c r="AA4836" s="360">
        <v>404</v>
      </c>
      <c r="AB4836" s="360">
        <v>52.7</v>
      </c>
    </row>
    <row r="4837" spans="20:28" x14ac:dyDescent="0.2">
      <c r="T4837" s="358" t="str">
        <f t="shared" si="185"/>
        <v>2007AllSexNon-Maori19Jumping from a high place</v>
      </c>
      <c r="U4837" s="360">
        <v>2007</v>
      </c>
      <c r="V4837" s="360" t="s">
        <v>17</v>
      </c>
      <c r="W4837" s="360" t="s">
        <v>19</v>
      </c>
      <c r="X4837" s="360">
        <v>19</v>
      </c>
      <c r="Y4837" s="360" t="s">
        <v>44</v>
      </c>
      <c r="Z4837" s="360">
        <v>12</v>
      </c>
      <c r="AA4837" s="360">
        <v>404</v>
      </c>
      <c r="AB4837" s="360">
        <v>3</v>
      </c>
    </row>
    <row r="4838" spans="20:28" x14ac:dyDescent="0.2">
      <c r="T4838" s="358" t="str">
        <f t="shared" si="185"/>
        <v>2007AllSexNon-Maori19Other</v>
      </c>
      <c r="U4838" s="360">
        <v>2007</v>
      </c>
      <c r="V4838" s="360" t="s">
        <v>17</v>
      </c>
      <c r="W4838" s="360" t="s">
        <v>19</v>
      </c>
      <c r="X4838" s="360">
        <v>19</v>
      </c>
      <c r="Y4838" s="360" t="s">
        <v>45</v>
      </c>
      <c r="Z4838" s="360">
        <v>17</v>
      </c>
      <c r="AA4838" s="360">
        <v>404</v>
      </c>
      <c r="AB4838" s="360">
        <v>4.2</v>
      </c>
    </row>
    <row r="4839" spans="20:28" x14ac:dyDescent="0.2">
      <c r="T4839" s="358" t="str">
        <f t="shared" si="185"/>
        <v>2007AllSexNon-Maori19Poisoning by gases and vapours</v>
      </c>
      <c r="U4839" s="360">
        <v>2007</v>
      </c>
      <c r="V4839" s="360" t="s">
        <v>17</v>
      </c>
      <c r="W4839" s="360" t="s">
        <v>19</v>
      </c>
      <c r="X4839" s="360">
        <v>19</v>
      </c>
      <c r="Y4839" s="360" t="s">
        <v>46</v>
      </c>
      <c r="Z4839" s="360">
        <v>66</v>
      </c>
      <c r="AA4839" s="360">
        <v>404</v>
      </c>
      <c r="AB4839" s="360">
        <v>16.3</v>
      </c>
    </row>
    <row r="4840" spans="20:28" x14ac:dyDescent="0.2">
      <c r="T4840" s="358" t="str">
        <f t="shared" si="185"/>
        <v>2007AllSexNon-Maori19Poisoning by solids and liquids</v>
      </c>
      <c r="U4840" s="360">
        <v>2007</v>
      </c>
      <c r="V4840" s="360" t="s">
        <v>17</v>
      </c>
      <c r="W4840" s="360" t="s">
        <v>19</v>
      </c>
      <c r="X4840" s="360">
        <v>19</v>
      </c>
      <c r="Y4840" s="360" t="s">
        <v>47</v>
      </c>
      <c r="Z4840" s="360">
        <v>39</v>
      </c>
      <c r="AA4840" s="360">
        <v>404</v>
      </c>
      <c r="AB4840" s="360">
        <v>9.6999999999999993</v>
      </c>
    </row>
    <row r="4841" spans="20:28" x14ac:dyDescent="0.2">
      <c r="T4841" s="358" t="str">
        <f t="shared" si="185"/>
        <v>2007AllSexNon-Maori19Sharp object</v>
      </c>
      <c r="U4841" s="360">
        <v>2007</v>
      </c>
      <c r="V4841" s="360" t="s">
        <v>17</v>
      </c>
      <c r="W4841" s="360" t="s">
        <v>19</v>
      </c>
      <c r="X4841" s="360">
        <v>19</v>
      </c>
      <c r="Y4841" s="360" t="s">
        <v>48</v>
      </c>
      <c r="Z4841" s="360">
        <v>6</v>
      </c>
      <c r="AA4841" s="360">
        <v>404</v>
      </c>
      <c r="AB4841" s="360">
        <v>1.5</v>
      </c>
    </row>
    <row r="4842" spans="20:28" x14ac:dyDescent="0.2">
      <c r="T4842" s="358" t="str">
        <f t="shared" si="185"/>
        <v>2007AllSexNon-Maori19Submersion (drowning)</v>
      </c>
      <c r="U4842" s="360">
        <v>2007</v>
      </c>
      <c r="V4842" s="360" t="s">
        <v>17</v>
      </c>
      <c r="W4842" s="360" t="s">
        <v>19</v>
      </c>
      <c r="X4842" s="360">
        <v>19</v>
      </c>
      <c r="Y4842" s="360" t="s">
        <v>49</v>
      </c>
      <c r="Z4842" s="360">
        <v>9</v>
      </c>
      <c r="AA4842" s="360">
        <v>404</v>
      </c>
      <c r="AB4842" s="360">
        <v>2.2000000000000002</v>
      </c>
    </row>
    <row r="4843" spans="20:28" x14ac:dyDescent="0.2">
      <c r="T4843" s="358" t="str">
        <f t="shared" si="185"/>
        <v>2007FemaleAllEth19Firearms and explosives</v>
      </c>
      <c r="U4843" s="360">
        <v>2007</v>
      </c>
      <c r="V4843" s="360" t="s">
        <v>8</v>
      </c>
      <c r="W4843" s="360" t="s">
        <v>27</v>
      </c>
      <c r="X4843" s="360">
        <v>19</v>
      </c>
      <c r="Y4843" s="360" t="s">
        <v>42</v>
      </c>
      <c r="Z4843" s="360">
        <v>4</v>
      </c>
      <c r="AA4843" s="360">
        <v>120</v>
      </c>
      <c r="AB4843" s="360">
        <v>3.3</v>
      </c>
    </row>
    <row r="4844" spans="20:28" x14ac:dyDescent="0.2">
      <c r="T4844" s="358" t="str">
        <f t="shared" si="185"/>
        <v>2007FemaleAllEth19Hanging, strangulation and suffocation</v>
      </c>
      <c r="U4844" s="360">
        <v>2007</v>
      </c>
      <c r="V4844" s="360" t="s">
        <v>8</v>
      </c>
      <c r="W4844" s="360" t="s">
        <v>27</v>
      </c>
      <c r="X4844" s="360">
        <v>19</v>
      </c>
      <c r="Y4844" s="360" t="s">
        <v>43</v>
      </c>
      <c r="Z4844" s="360">
        <v>54</v>
      </c>
      <c r="AA4844" s="360">
        <v>120</v>
      </c>
      <c r="AB4844" s="360">
        <v>45</v>
      </c>
    </row>
    <row r="4845" spans="20:28" x14ac:dyDescent="0.2">
      <c r="T4845" s="358" t="str">
        <f t="shared" si="185"/>
        <v>2007FemaleAllEth19Jumping from a high place</v>
      </c>
      <c r="U4845" s="360">
        <v>2007</v>
      </c>
      <c r="V4845" s="360" t="s">
        <v>8</v>
      </c>
      <c r="W4845" s="360" t="s">
        <v>27</v>
      </c>
      <c r="X4845" s="360">
        <v>19</v>
      </c>
      <c r="Y4845" s="360" t="s">
        <v>44</v>
      </c>
      <c r="Z4845" s="360">
        <v>3</v>
      </c>
      <c r="AA4845" s="360">
        <v>120</v>
      </c>
      <c r="AB4845" s="360">
        <v>2.5</v>
      </c>
    </row>
    <row r="4846" spans="20:28" x14ac:dyDescent="0.2">
      <c r="T4846" s="358" t="str">
        <f t="shared" si="185"/>
        <v>2007FemaleAllEth19Other</v>
      </c>
      <c r="U4846" s="360">
        <v>2007</v>
      </c>
      <c r="V4846" s="360" t="s">
        <v>8</v>
      </c>
      <c r="W4846" s="360" t="s">
        <v>27</v>
      </c>
      <c r="X4846" s="360">
        <v>19</v>
      </c>
      <c r="Y4846" s="360" t="s">
        <v>45</v>
      </c>
      <c r="Z4846" s="360">
        <v>5</v>
      </c>
      <c r="AA4846" s="360">
        <v>120</v>
      </c>
      <c r="AB4846" s="360">
        <v>4.2</v>
      </c>
    </row>
    <row r="4847" spans="20:28" x14ac:dyDescent="0.2">
      <c r="T4847" s="358" t="str">
        <f t="shared" si="185"/>
        <v>2007FemaleAllEth19Poisoning by gases and vapours</v>
      </c>
      <c r="U4847" s="360">
        <v>2007</v>
      </c>
      <c r="V4847" s="360" t="s">
        <v>8</v>
      </c>
      <c r="W4847" s="360" t="s">
        <v>27</v>
      </c>
      <c r="X4847" s="360">
        <v>19</v>
      </c>
      <c r="Y4847" s="360" t="s">
        <v>46</v>
      </c>
      <c r="Z4847" s="360">
        <v>20</v>
      </c>
      <c r="AA4847" s="360">
        <v>120</v>
      </c>
      <c r="AB4847" s="360">
        <v>16.7</v>
      </c>
    </row>
    <row r="4848" spans="20:28" x14ac:dyDescent="0.2">
      <c r="T4848" s="358" t="str">
        <f t="shared" si="185"/>
        <v>2007FemaleAllEth19Poisoning by solids and liquids</v>
      </c>
      <c r="U4848" s="360">
        <v>2007</v>
      </c>
      <c r="V4848" s="360" t="s">
        <v>8</v>
      </c>
      <c r="W4848" s="360" t="s">
        <v>27</v>
      </c>
      <c r="X4848" s="360">
        <v>19</v>
      </c>
      <c r="Y4848" s="360" t="s">
        <v>47</v>
      </c>
      <c r="Z4848" s="360">
        <v>28</v>
      </c>
      <c r="AA4848" s="360">
        <v>120</v>
      </c>
      <c r="AB4848" s="360">
        <v>23.3</v>
      </c>
    </row>
    <row r="4849" spans="20:28" x14ac:dyDescent="0.2">
      <c r="T4849" s="358" t="str">
        <f t="shared" si="185"/>
        <v>2007FemaleAllEth19Submersion (drowning)</v>
      </c>
      <c r="U4849" s="360">
        <v>2007</v>
      </c>
      <c r="V4849" s="360" t="s">
        <v>8</v>
      </c>
      <c r="W4849" s="360" t="s">
        <v>27</v>
      </c>
      <c r="X4849" s="360">
        <v>19</v>
      </c>
      <c r="Y4849" s="360" t="s">
        <v>49</v>
      </c>
      <c r="Z4849" s="360">
        <v>6</v>
      </c>
      <c r="AA4849" s="360">
        <v>120</v>
      </c>
      <c r="AB4849" s="360">
        <v>5</v>
      </c>
    </row>
    <row r="4850" spans="20:28" x14ac:dyDescent="0.2">
      <c r="T4850" s="358" t="str">
        <f t="shared" si="185"/>
        <v>2007FemaleMaori19Hanging, strangulation and suffocation</v>
      </c>
      <c r="U4850" s="360">
        <v>2007</v>
      </c>
      <c r="V4850" s="360" t="s">
        <v>8</v>
      </c>
      <c r="W4850" s="360" t="s">
        <v>18</v>
      </c>
      <c r="X4850" s="360">
        <v>19</v>
      </c>
      <c r="Y4850" s="360" t="s">
        <v>43</v>
      </c>
      <c r="Z4850" s="360">
        <v>16</v>
      </c>
      <c r="AA4850" s="360">
        <v>23</v>
      </c>
      <c r="AB4850" s="360">
        <v>69.599999999999994</v>
      </c>
    </row>
    <row r="4851" spans="20:28" x14ac:dyDescent="0.2">
      <c r="T4851" s="358" t="str">
        <f t="shared" si="185"/>
        <v>2007FemaleMaori19Poisoning by solids and liquids</v>
      </c>
      <c r="U4851" s="360">
        <v>2007</v>
      </c>
      <c r="V4851" s="360" t="s">
        <v>8</v>
      </c>
      <c r="W4851" s="360" t="s">
        <v>18</v>
      </c>
      <c r="X4851" s="360">
        <v>19</v>
      </c>
      <c r="Y4851" s="360" t="s">
        <v>47</v>
      </c>
      <c r="Z4851" s="360">
        <v>5</v>
      </c>
      <c r="AA4851" s="360">
        <v>23</v>
      </c>
      <c r="AB4851" s="360">
        <v>21.7</v>
      </c>
    </row>
    <row r="4852" spans="20:28" x14ac:dyDescent="0.2">
      <c r="T4852" s="358" t="str">
        <f t="shared" si="185"/>
        <v>2007FemaleMaori19Submersion (drowning)</v>
      </c>
      <c r="U4852" s="360">
        <v>2007</v>
      </c>
      <c r="V4852" s="360" t="s">
        <v>8</v>
      </c>
      <c r="W4852" s="360" t="s">
        <v>18</v>
      </c>
      <c r="X4852" s="360">
        <v>19</v>
      </c>
      <c r="Y4852" s="360" t="s">
        <v>49</v>
      </c>
      <c r="Z4852" s="360">
        <v>2</v>
      </c>
      <c r="AA4852" s="360">
        <v>23</v>
      </c>
      <c r="AB4852" s="360">
        <v>8.6999999999999993</v>
      </c>
    </row>
    <row r="4853" spans="20:28" x14ac:dyDescent="0.2">
      <c r="T4853" s="358" t="str">
        <f t="shared" si="185"/>
        <v>2007FemaleNon-Maori19Firearms and explosives</v>
      </c>
      <c r="U4853" s="360">
        <v>2007</v>
      </c>
      <c r="V4853" s="360" t="s">
        <v>8</v>
      </c>
      <c r="W4853" s="360" t="s">
        <v>19</v>
      </c>
      <c r="X4853" s="360">
        <v>19</v>
      </c>
      <c r="Y4853" s="360" t="s">
        <v>42</v>
      </c>
      <c r="Z4853" s="360">
        <v>4</v>
      </c>
      <c r="AA4853" s="360">
        <v>97</v>
      </c>
      <c r="AB4853" s="360">
        <v>4.0999999999999996</v>
      </c>
    </row>
    <row r="4854" spans="20:28" x14ac:dyDescent="0.2">
      <c r="T4854" s="358" t="str">
        <f t="shared" si="185"/>
        <v>2007FemaleNon-Maori19Hanging, strangulation and suffocation</v>
      </c>
      <c r="U4854" s="360">
        <v>2007</v>
      </c>
      <c r="V4854" s="360" t="s">
        <v>8</v>
      </c>
      <c r="W4854" s="360" t="s">
        <v>19</v>
      </c>
      <c r="X4854" s="360">
        <v>19</v>
      </c>
      <c r="Y4854" s="360" t="s">
        <v>43</v>
      </c>
      <c r="Z4854" s="360">
        <v>38</v>
      </c>
      <c r="AA4854" s="360">
        <v>97</v>
      </c>
      <c r="AB4854" s="360">
        <v>39.200000000000003</v>
      </c>
    </row>
    <row r="4855" spans="20:28" x14ac:dyDescent="0.2">
      <c r="T4855" s="358" t="str">
        <f t="shared" si="185"/>
        <v>2007FemaleNon-Maori19Jumping from a high place</v>
      </c>
      <c r="U4855" s="360">
        <v>2007</v>
      </c>
      <c r="V4855" s="360" t="s">
        <v>8</v>
      </c>
      <c r="W4855" s="360" t="s">
        <v>19</v>
      </c>
      <c r="X4855" s="360">
        <v>19</v>
      </c>
      <c r="Y4855" s="360" t="s">
        <v>44</v>
      </c>
      <c r="Z4855" s="360">
        <v>3</v>
      </c>
      <c r="AA4855" s="360">
        <v>97</v>
      </c>
      <c r="AB4855" s="360">
        <v>3.1</v>
      </c>
    </row>
    <row r="4856" spans="20:28" x14ac:dyDescent="0.2">
      <c r="T4856" s="358" t="str">
        <f t="shared" si="185"/>
        <v>2007FemaleNon-Maori19Other</v>
      </c>
      <c r="U4856" s="360">
        <v>2007</v>
      </c>
      <c r="V4856" s="360" t="s">
        <v>8</v>
      </c>
      <c r="W4856" s="360" t="s">
        <v>19</v>
      </c>
      <c r="X4856" s="360">
        <v>19</v>
      </c>
      <c r="Y4856" s="360" t="s">
        <v>45</v>
      </c>
      <c r="Z4856" s="360">
        <v>5</v>
      </c>
      <c r="AA4856" s="360">
        <v>97</v>
      </c>
      <c r="AB4856" s="360">
        <v>5.2</v>
      </c>
    </row>
    <row r="4857" spans="20:28" x14ac:dyDescent="0.2">
      <c r="T4857" s="358" t="str">
        <f t="shared" si="185"/>
        <v>2007FemaleNon-Maori19Poisoning by gases and vapours</v>
      </c>
      <c r="U4857" s="360">
        <v>2007</v>
      </c>
      <c r="V4857" s="360" t="s">
        <v>8</v>
      </c>
      <c r="W4857" s="360" t="s">
        <v>19</v>
      </c>
      <c r="X4857" s="360">
        <v>19</v>
      </c>
      <c r="Y4857" s="360" t="s">
        <v>46</v>
      </c>
      <c r="Z4857" s="360">
        <v>20</v>
      </c>
      <c r="AA4857" s="360">
        <v>97</v>
      </c>
      <c r="AB4857" s="360">
        <v>20.6</v>
      </c>
    </row>
    <row r="4858" spans="20:28" x14ac:dyDescent="0.2">
      <c r="T4858" s="358" t="str">
        <f t="shared" si="185"/>
        <v>2007FemaleNon-Maori19Poisoning by solids and liquids</v>
      </c>
      <c r="U4858" s="360">
        <v>2007</v>
      </c>
      <c r="V4858" s="360" t="s">
        <v>8</v>
      </c>
      <c r="W4858" s="360" t="s">
        <v>19</v>
      </c>
      <c r="X4858" s="360">
        <v>19</v>
      </c>
      <c r="Y4858" s="360" t="s">
        <v>47</v>
      </c>
      <c r="Z4858" s="360">
        <v>23</v>
      </c>
      <c r="AA4858" s="360">
        <v>97</v>
      </c>
      <c r="AB4858" s="360">
        <v>23.7</v>
      </c>
    </row>
    <row r="4859" spans="20:28" x14ac:dyDescent="0.2">
      <c r="T4859" s="358" t="str">
        <f t="shared" si="185"/>
        <v>2007FemaleNon-Maori19Submersion (drowning)</v>
      </c>
      <c r="U4859" s="360">
        <v>2007</v>
      </c>
      <c r="V4859" s="360" t="s">
        <v>8</v>
      </c>
      <c r="W4859" s="360" t="s">
        <v>19</v>
      </c>
      <c r="X4859" s="360">
        <v>19</v>
      </c>
      <c r="Y4859" s="360" t="s">
        <v>49</v>
      </c>
      <c r="Z4859" s="360">
        <v>4</v>
      </c>
      <c r="AA4859" s="360">
        <v>97</v>
      </c>
      <c r="AB4859" s="360">
        <v>4.0999999999999996</v>
      </c>
    </row>
    <row r="4860" spans="20:28" x14ac:dyDescent="0.2">
      <c r="T4860" s="358" t="str">
        <f t="shared" si="185"/>
        <v>2007MaleAllEth19Firearms and explosives</v>
      </c>
      <c r="U4860" s="360">
        <v>2007</v>
      </c>
      <c r="V4860" s="360" t="s">
        <v>20</v>
      </c>
      <c r="W4860" s="360" t="s">
        <v>27</v>
      </c>
      <c r="X4860" s="360">
        <v>19</v>
      </c>
      <c r="Y4860" s="360" t="s">
        <v>42</v>
      </c>
      <c r="Z4860" s="360">
        <v>44</v>
      </c>
      <c r="AA4860" s="360">
        <v>381</v>
      </c>
      <c r="AB4860" s="360">
        <v>11.5</v>
      </c>
    </row>
    <row r="4861" spans="20:28" x14ac:dyDescent="0.2">
      <c r="T4861" s="358" t="str">
        <f t="shared" si="185"/>
        <v>2007MaleAllEth19Hanging, strangulation and suffocation</v>
      </c>
      <c r="U4861" s="360">
        <v>2007</v>
      </c>
      <c r="V4861" s="360" t="s">
        <v>20</v>
      </c>
      <c r="W4861" s="360" t="s">
        <v>27</v>
      </c>
      <c r="X4861" s="360">
        <v>19</v>
      </c>
      <c r="Y4861" s="360" t="s">
        <v>43</v>
      </c>
      <c r="Z4861" s="360">
        <v>230</v>
      </c>
      <c r="AA4861" s="360">
        <v>381</v>
      </c>
      <c r="AB4861" s="360">
        <v>60.4</v>
      </c>
    </row>
    <row r="4862" spans="20:28" x14ac:dyDescent="0.2">
      <c r="T4862" s="358" t="str">
        <f t="shared" si="185"/>
        <v>2007MaleAllEth19Jumping from a high place</v>
      </c>
      <c r="U4862" s="360">
        <v>2007</v>
      </c>
      <c r="V4862" s="360" t="s">
        <v>20</v>
      </c>
      <c r="W4862" s="360" t="s">
        <v>27</v>
      </c>
      <c r="X4862" s="360">
        <v>19</v>
      </c>
      <c r="Y4862" s="360" t="s">
        <v>44</v>
      </c>
      <c r="Z4862" s="360">
        <v>10</v>
      </c>
      <c r="AA4862" s="360">
        <v>381</v>
      </c>
      <c r="AB4862" s="360">
        <v>2.6</v>
      </c>
    </row>
    <row r="4863" spans="20:28" x14ac:dyDescent="0.2">
      <c r="T4863" s="358" t="str">
        <f t="shared" si="185"/>
        <v>2007MaleAllEth19Other</v>
      </c>
      <c r="U4863" s="360">
        <v>2007</v>
      </c>
      <c r="V4863" s="360" t="s">
        <v>20</v>
      </c>
      <c r="W4863" s="360" t="s">
        <v>27</v>
      </c>
      <c r="X4863" s="360">
        <v>19</v>
      </c>
      <c r="Y4863" s="360" t="s">
        <v>45</v>
      </c>
      <c r="Z4863" s="360">
        <v>14</v>
      </c>
      <c r="AA4863" s="360">
        <v>381</v>
      </c>
      <c r="AB4863" s="360">
        <v>3.7</v>
      </c>
    </row>
    <row r="4864" spans="20:28" x14ac:dyDescent="0.2">
      <c r="T4864" s="358" t="str">
        <f t="shared" si="185"/>
        <v>2007MaleAllEth19Poisoning by gases and vapours</v>
      </c>
      <c r="U4864" s="360">
        <v>2007</v>
      </c>
      <c r="V4864" s="360" t="s">
        <v>20</v>
      </c>
      <c r="W4864" s="360" t="s">
        <v>27</v>
      </c>
      <c r="X4864" s="360">
        <v>19</v>
      </c>
      <c r="Y4864" s="360" t="s">
        <v>46</v>
      </c>
      <c r="Z4864" s="360">
        <v>52</v>
      </c>
      <c r="AA4864" s="360">
        <v>381</v>
      </c>
      <c r="AB4864" s="360">
        <v>13.6</v>
      </c>
    </row>
    <row r="4865" spans="20:28" x14ac:dyDescent="0.2">
      <c r="T4865" s="358" t="str">
        <f t="shared" si="185"/>
        <v>2007MaleAllEth19Poisoning by solids and liquids</v>
      </c>
      <c r="U4865" s="360">
        <v>2007</v>
      </c>
      <c r="V4865" s="360" t="s">
        <v>20</v>
      </c>
      <c r="W4865" s="360" t="s">
        <v>27</v>
      </c>
      <c r="X4865" s="360">
        <v>19</v>
      </c>
      <c r="Y4865" s="360" t="s">
        <v>47</v>
      </c>
      <c r="Z4865" s="360">
        <v>20</v>
      </c>
      <c r="AA4865" s="360">
        <v>381</v>
      </c>
      <c r="AB4865" s="360">
        <v>5.2</v>
      </c>
    </row>
    <row r="4866" spans="20:28" x14ac:dyDescent="0.2">
      <c r="T4866" s="358" t="str">
        <f t="shared" si="185"/>
        <v>2007MaleAllEth19Sharp object</v>
      </c>
      <c r="U4866" s="360">
        <v>2007</v>
      </c>
      <c r="V4866" s="360" t="s">
        <v>20</v>
      </c>
      <c r="W4866" s="360" t="s">
        <v>27</v>
      </c>
      <c r="X4866" s="360">
        <v>19</v>
      </c>
      <c r="Y4866" s="360" t="s">
        <v>48</v>
      </c>
      <c r="Z4866" s="360">
        <v>6</v>
      </c>
      <c r="AA4866" s="360">
        <v>381</v>
      </c>
      <c r="AB4866" s="360">
        <v>1.6</v>
      </c>
    </row>
    <row r="4867" spans="20:28" x14ac:dyDescent="0.2">
      <c r="T4867" s="358" t="str">
        <f t="shared" si="185"/>
        <v>2007MaleAllEth19Submersion (drowning)</v>
      </c>
      <c r="U4867" s="360">
        <v>2007</v>
      </c>
      <c r="V4867" s="360" t="s">
        <v>20</v>
      </c>
      <c r="W4867" s="360" t="s">
        <v>27</v>
      </c>
      <c r="X4867" s="360">
        <v>19</v>
      </c>
      <c r="Y4867" s="360" t="s">
        <v>49</v>
      </c>
      <c r="Z4867" s="360">
        <v>5</v>
      </c>
      <c r="AA4867" s="360">
        <v>381</v>
      </c>
      <c r="AB4867" s="360">
        <v>1.3</v>
      </c>
    </row>
    <row r="4868" spans="20:28" x14ac:dyDescent="0.2">
      <c r="T4868" s="358" t="str">
        <f t="shared" si="185"/>
        <v>2007MaleMaori19Firearms and explosives</v>
      </c>
      <c r="U4868" s="360">
        <v>2007</v>
      </c>
      <c r="V4868" s="360" t="s">
        <v>20</v>
      </c>
      <c r="W4868" s="360" t="s">
        <v>18</v>
      </c>
      <c r="X4868" s="360">
        <v>19</v>
      </c>
      <c r="Y4868" s="360" t="s">
        <v>42</v>
      </c>
      <c r="Z4868" s="360">
        <v>6</v>
      </c>
      <c r="AA4868" s="360">
        <v>74</v>
      </c>
      <c r="AB4868" s="360">
        <v>8.1</v>
      </c>
    </row>
    <row r="4869" spans="20:28" x14ac:dyDescent="0.2">
      <c r="T4869" s="358" t="str">
        <f t="shared" ref="T4869:T4932" si="186">U4869&amp;V4869&amp;W4869&amp;X4869&amp;Y4869</f>
        <v>2007MaleMaori19Hanging, strangulation and suffocation</v>
      </c>
      <c r="U4869" s="360">
        <v>2007</v>
      </c>
      <c r="V4869" s="360" t="s">
        <v>20</v>
      </c>
      <c r="W4869" s="360" t="s">
        <v>18</v>
      </c>
      <c r="X4869" s="360">
        <v>19</v>
      </c>
      <c r="Y4869" s="360" t="s">
        <v>43</v>
      </c>
      <c r="Z4869" s="360">
        <v>55</v>
      </c>
      <c r="AA4869" s="360">
        <v>74</v>
      </c>
      <c r="AB4869" s="360">
        <v>74.3</v>
      </c>
    </row>
    <row r="4870" spans="20:28" x14ac:dyDescent="0.2">
      <c r="T4870" s="358" t="str">
        <f t="shared" si="186"/>
        <v>2007MaleMaori19Jumping from a high place</v>
      </c>
      <c r="U4870" s="360">
        <v>2007</v>
      </c>
      <c r="V4870" s="360" t="s">
        <v>20</v>
      </c>
      <c r="W4870" s="360" t="s">
        <v>18</v>
      </c>
      <c r="X4870" s="360">
        <v>19</v>
      </c>
      <c r="Y4870" s="360" t="s">
        <v>44</v>
      </c>
      <c r="Z4870" s="360">
        <v>1</v>
      </c>
      <c r="AA4870" s="360">
        <v>74</v>
      </c>
      <c r="AB4870" s="360">
        <v>1.4</v>
      </c>
    </row>
    <row r="4871" spans="20:28" x14ac:dyDescent="0.2">
      <c r="T4871" s="358" t="str">
        <f t="shared" si="186"/>
        <v>2007MaleMaori19Other</v>
      </c>
      <c r="U4871" s="360">
        <v>2007</v>
      </c>
      <c r="V4871" s="360" t="s">
        <v>20</v>
      </c>
      <c r="W4871" s="360" t="s">
        <v>18</v>
      </c>
      <c r="X4871" s="360">
        <v>19</v>
      </c>
      <c r="Y4871" s="360" t="s">
        <v>45</v>
      </c>
      <c r="Z4871" s="360">
        <v>2</v>
      </c>
      <c r="AA4871" s="360">
        <v>74</v>
      </c>
      <c r="AB4871" s="360">
        <v>2.7</v>
      </c>
    </row>
    <row r="4872" spans="20:28" x14ac:dyDescent="0.2">
      <c r="T4872" s="358" t="str">
        <f t="shared" si="186"/>
        <v>2007MaleMaori19Poisoning by gases and vapours</v>
      </c>
      <c r="U4872" s="360">
        <v>2007</v>
      </c>
      <c r="V4872" s="360" t="s">
        <v>20</v>
      </c>
      <c r="W4872" s="360" t="s">
        <v>18</v>
      </c>
      <c r="X4872" s="360">
        <v>19</v>
      </c>
      <c r="Y4872" s="360" t="s">
        <v>46</v>
      </c>
      <c r="Z4872" s="360">
        <v>6</v>
      </c>
      <c r="AA4872" s="360">
        <v>74</v>
      </c>
      <c r="AB4872" s="360">
        <v>8.1</v>
      </c>
    </row>
    <row r="4873" spans="20:28" x14ac:dyDescent="0.2">
      <c r="T4873" s="358" t="str">
        <f t="shared" si="186"/>
        <v>2007MaleMaori19Poisoning by solids and liquids</v>
      </c>
      <c r="U4873" s="360">
        <v>2007</v>
      </c>
      <c r="V4873" s="360" t="s">
        <v>20</v>
      </c>
      <c r="W4873" s="360" t="s">
        <v>18</v>
      </c>
      <c r="X4873" s="360">
        <v>19</v>
      </c>
      <c r="Y4873" s="360" t="s">
        <v>47</v>
      </c>
      <c r="Z4873" s="360">
        <v>4</v>
      </c>
      <c r="AA4873" s="360">
        <v>74</v>
      </c>
      <c r="AB4873" s="360">
        <v>5.4</v>
      </c>
    </row>
    <row r="4874" spans="20:28" x14ac:dyDescent="0.2">
      <c r="T4874" s="358" t="str">
        <f t="shared" si="186"/>
        <v>2007MaleNon-Maori19Firearms and explosives</v>
      </c>
      <c r="U4874" s="360">
        <v>2007</v>
      </c>
      <c r="V4874" s="360" t="s">
        <v>20</v>
      </c>
      <c r="W4874" s="360" t="s">
        <v>19</v>
      </c>
      <c r="X4874" s="360">
        <v>19</v>
      </c>
      <c r="Y4874" s="360" t="s">
        <v>42</v>
      </c>
      <c r="Z4874" s="360">
        <v>38</v>
      </c>
      <c r="AA4874" s="360">
        <v>307</v>
      </c>
      <c r="AB4874" s="360">
        <v>12.4</v>
      </c>
    </row>
    <row r="4875" spans="20:28" x14ac:dyDescent="0.2">
      <c r="T4875" s="358" t="str">
        <f t="shared" si="186"/>
        <v>2007MaleNon-Maori19Hanging, strangulation and suffocation</v>
      </c>
      <c r="U4875" s="360">
        <v>2007</v>
      </c>
      <c r="V4875" s="360" t="s">
        <v>20</v>
      </c>
      <c r="W4875" s="360" t="s">
        <v>19</v>
      </c>
      <c r="X4875" s="360">
        <v>19</v>
      </c>
      <c r="Y4875" s="360" t="s">
        <v>43</v>
      </c>
      <c r="Z4875" s="360">
        <v>175</v>
      </c>
      <c r="AA4875" s="360">
        <v>307</v>
      </c>
      <c r="AB4875" s="360">
        <v>57</v>
      </c>
    </row>
    <row r="4876" spans="20:28" x14ac:dyDescent="0.2">
      <c r="T4876" s="358" t="str">
        <f t="shared" si="186"/>
        <v>2007MaleNon-Maori19Jumping from a high place</v>
      </c>
      <c r="U4876" s="360">
        <v>2007</v>
      </c>
      <c r="V4876" s="360" t="s">
        <v>20</v>
      </c>
      <c r="W4876" s="360" t="s">
        <v>19</v>
      </c>
      <c r="X4876" s="360">
        <v>19</v>
      </c>
      <c r="Y4876" s="360" t="s">
        <v>44</v>
      </c>
      <c r="Z4876" s="360">
        <v>9</v>
      </c>
      <c r="AA4876" s="360">
        <v>307</v>
      </c>
      <c r="AB4876" s="360">
        <v>2.9</v>
      </c>
    </row>
    <row r="4877" spans="20:28" x14ac:dyDescent="0.2">
      <c r="T4877" s="358" t="str">
        <f t="shared" si="186"/>
        <v>2007MaleNon-Maori19Other</v>
      </c>
      <c r="U4877" s="360">
        <v>2007</v>
      </c>
      <c r="V4877" s="360" t="s">
        <v>20</v>
      </c>
      <c r="W4877" s="360" t="s">
        <v>19</v>
      </c>
      <c r="X4877" s="360">
        <v>19</v>
      </c>
      <c r="Y4877" s="360" t="s">
        <v>45</v>
      </c>
      <c r="Z4877" s="360">
        <v>12</v>
      </c>
      <c r="AA4877" s="360">
        <v>307</v>
      </c>
      <c r="AB4877" s="360">
        <v>3.9</v>
      </c>
    </row>
    <row r="4878" spans="20:28" x14ac:dyDescent="0.2">
      <c r="T4878" s="358" t="str">
        <f t="shared" si="186"/>
        <v>2007MaleNon-Maori19Poisoning by gases and vapours</v>
      </c>
      <c r="U4878" s="360">
        <v>2007</v>
      </c>
      <c r="V4878" s="360" t="s">
        <v>20</v>
      </c>
      <c r="W4878" s="360" t="s">
        <v>19</v>
      </c>
      <c r="X4878" s="360">
        <v>19</v>
      </c>
      <c r="Y4878" s="360" t="s">
        <v>46</v>
      </c>
      <c r="Z4878" s="360">
        <v>46</v>
      </c>
      <c r="AA4878" s="360">
        <v>307</v>
      </c>
      <c r="AB4878" s="360">
        <v>15</v>
      </c>
    </row>
    <row r="4879" spans="20:28" x14ac:dyDescent="0.2">
      <c r="T4879" s="358" t="str">
        <f t="shared" si="186"/>
        <v>2007MaleNon-Maori19Poisoning by solids and liquids</v>
      </c>
      <c r="U4879" s="360">
        <v>2007</v>
      </c>
      <c r="V4879" s="360" t="s">
        <v>20</v>
      </c>
      <c r="W4879" s="360" t="s">
        <v>19</v>
      </c>
      <c r="X4879" s="360">
        <v>19</v>
      </c>
      <c r="Y4879" s="360" t="s">
        <v>47</v>
      </c>
      <c r="Z4879" s="360">
        <v>16</v>
      </c>
      <c r="AA4879" s="360">
        <v>307</v>
      </c>
      <c r="AB4879" s="360">
        <v>5.2</v>
      </c>
    </row>
    <row r="4880" spans="20:28" x14ac:dyDescent="0.2">
      <c r="T4880" s="358" t="str">
        <f t="shared" si="186"/>
        <v>2007MaleNon-Maori19Sharp object</v>
      </c>
      <c r="U4880" s="360">
        <v>2007</v>
      </c>
      <c r="V4880" s="360" t="s">
        <v>20</v>
      </c>
      <c r="W4880" s="360" t="s">
        <v>19</v>
      </c>
      <c r="X4880" s="360">
        <v>19</v>
      </c>
      <c r="Y4880" s="360" t="s">
        <v>48</v>
      </c>
      <c r="Z4880" s="360">
        <v>6</v>
      </c>
      <c r="AA4880" s="360">
        <v>307</v>
      </c>
      <c r="AB4880" s="360">
        <v>2</v>
      </c>
    </row>
    <row r="4881" spans="20:28" x14ac:dyDescent="0.2">
      <c r="T4881" s="358" t="str">
        <f t="shared" si="186"/>
        <v>2007MaleNon-Maori19Submersion (drowning)</v>
      </c>
      <c r="U4881" s="360">
        <v>2007</v>
      </c>
      <c r="V4881" s="360" t="s">
        <v>20</v>
      </c>
      <c r="W4881" s="360" t="s">
        <v>19</v>
      </c>
      <c r="X4881" s="360">
        <v>19</v>
      </c>
      <c r="Y4881" s="360" t="s">
        <v>49</v>
      </c>
      <c r="Z4881" s="360">
        <v>5</v>
      </c>
      <c r="AA4881" s="360">
        <v>307</v>
      </c>
      <c r="AB4881" s="360">
        <v>1.6</v>
      </c>
    </row>
    <row r="4882" spans="20:28" x14ac:dyDescent="0.2">
      <c r="T4882" s="358" t="str">
        <f t="shared" si="186"/>
        <v>2008AllSexAllEth19Firearms and explosives</v>
      </c>
      <c r="U4882" s="360">
        <v>2008</v>
      </c>
      <c r="V4882" s="360" t="s">
        <v>17</v>
      </c>
      <c r="W4882" s="360" t="s">
        <v>27</v>
      </c>
      <c r="X4882" s="360">
        <v>19</v>
      </c>
      <c r="Y4882" s="360" t="s">
        <v>42</v>
      </c>
      <c r="Z4882" s="360">
        <v>42</v>
      </c>
      <c r="AA4882" s="360">
        <v>518</v>
      </c>
      <c r="AB4882" s="360">
        <v>8.1</v>
      </c>
    </row>
    <row r="4883" spans="20:28" x14ac:dyDescent="0.2">
      <c r="T4883" s="358" t="str">
        <f t="shared" si="186"/>
        <v>2008AllSexAllEth19Hanging, strangulation and suffocation</v>
      </c>
      <c r="U4883" s="360">
        <v>2008</v>
      </c>
      <c r="V4883" s="360" t="s">
        <v>17</v>
      </c>
      <c r="W4883" s="360" t="s">
        <v>27</v>
      </c>
      <c r="X4883" s="360">
        <v>19</v>
      </c>
      <c r="Y4883" s="360" t="s">
        <v>43</v>
      </c>
      <c r="Z4883" s="360">
        <v>290</v>
      </c>
      <c r="AA4883" s="360">
        <v>518</v>
      </c>
      <c r="AB4883" s="360">
        <v>56</v>
      </c>
    </row>
    <row r="4884" spans="20:28" x14ac:dyDescent="0.2">
      <c r="T4884" s="358" t="str">
        <f t="shared" si="186"/>
        <v>2008AllSexAllEth19Jumping from a high place</v>
      </c>
      <c r="U4884" s="360">
        <v>2008</v>
      </c>
      <c r="V4884" s="360" t="s">
        <v>17</v>
      </c>
      <c r="W4884" s="360" t="s">
        <v>27</v>
      </c>
      <c r="X4884" s="360">
        <v>19</v>
      </c>
      <c r="Y4884" s="360" t="s">
        <v>44</v>
      </c>
      <c r="Z4884" s="360">
        <v>14</v>
      </c>
      <c r="AA4884" s="360">
        <v>518</v>
      </c>
      <c r="AB4884" s="360">
        <v>2.7</v>
      </c>
    </row>
    <row r="4885" spans="20:28" x14ac:dyDescent="0.2">
      <c r="T4885" s="358" t="str">
        <f t="shared" si="186"/>
        <v>2008AllSexAllEth19Other</v>
      </c>
      <c r="U4885" s="360">
        <v>2008</v>
      </c>
      <c r="V4885" s="360" t="s">
        <v>17</v>
      </c>
      <c r="W4885" s="360" t="s">
        <v>27</v>
      </c>
      <c r="X4885" s="360">
        <v>19</v>
      </c>
      <c r="Y4885" s="360" t="s">
        <v>45</v>
      </c>
      <c r="Z4885" s="360">
        <v>20</v>
      </c>
      <c r="AA4885" s="360">
        <v>518</v>
      </c>
      <c r="AB4885" s="360">
        <v>3.9</v>
      </c>
    </row>
    <row r="4886" spans="20:28" x14ac:dyDescent="0.2">
      <c r="T4886" s="358" t="str">
        <f t="shared" si="186"/>
        <v>2008AllSexAllEth19Poisoning by gases and vapours</v>
      </c>
      <c r="U4886" s="360">
        <v>2008</v>
      </c>
      <c r="V4886" s="360" t="s">
        <v>17</v>
      </c>
      <c r="W4886" s="360" t="s">
        <v>27</v>
      </c>
      <c r="X4886" s="360">
        <v>19</v>
      </c>
      <c r="Y4886" s="360" t="s">
        <v>46</v>
      </c>
      <c r="Z4886" s="360">
        <v>75</v>
      </c>
      <c r="AA4886" s="360">
        <v>518</v>
      </c>
      <c r="AB4886" s="360">
        <v>14.5</v>
      </c>
    </row>
    <row r="4887" spans="20:28" x14ac:dyDescent="0.2">
      <c r="T4887" s="358" t="str">
        <f t="shared" si="186"/>
        <v>2008AllSexAllEth19Poisoning by solids and liquids</v>
      </c>
      <c r="U4887" s="360">
        <v>2008</v>
      </c>
      <c r="V4887" s="360" t="s">
        <v>17</v>
      </c>
      <c r="W4887" s="360" t="s">
        <v>27</v>
      </c>
      <c r="X4887" s="360">
        <v>19</v>
      </c>
      <c r="Y4887" s="360" t="s">
        <v>47</v>
      </c>
      <c r="Z4887" s="360">
        <v>55</v>
      </c>
      <c r="AA4887" s="360">
        <v>518</v>
      </c>
      <c r="AB4887" s="360">
        <v>10.6</v>
      </c>
    </row>
    <row r="4888" spans="20:28" x14ac:dyDescent="0.2">
      <c r="T4888" s="358" t="str">
        <f t="shared" si="186"/>
        <v>2008AllSexAllEth19Sharp object</v>
      </c>
      <c r="U4888" s="360">
        <v>2008</v>
      </c>
      <c r="V4888" s="360" t="s">
        <v>17</v>
      </c>
      <c r="W4888" s="360" t="s">
        <v>27</v>
      </c>
      <c r="X4888" s="360">
        <v>19</v>
      </c>
      <c r="Y4888" s="360" t="s">
        <v>48</v>
      </c>
      <c r="Z4888" s="360">
        <v>14</v>
      </c>
      <c r="AA4888" s="360">
        <v>518</v>
      </c>
      <c r="AB4888" s="360">
        <v>2.7</v>
      </c>
    </row>
    <row r="4889" spans="20:28" x14ac:dyDescent="0.2">
      <c r="T4889" s="358" t="str">
        <f t="shared" si="186"/>
        <v>2008AllSexAllEth19Submersion (drowning)</v>
      </c>
      <c r="U4889" s="360">
        <v>2008</v>
      </c>
      <c r="V4889" s="360" t="s">
        <v>17</v>
      </c>
      <c r="W4889" s="360" t="s">
        <v>27</v>
      </c>
      <c r="X4889" s="360">
        <v>19</v>
      </c>
      <c r="Y4889" s="360" t="s">
        <v>49</v>
      </c>
      <c r="Z4889" s="360">
        <v>8</v>
      </c>
      <c r="AA4889" s="360">
        <v>518</v>
      </c>
      <c r="AB4889" s="360">
        <v>1.5</v>
      </c>
    </row>
    <row r="4890" spans="20:28" x14ac:dyDescent="0.2">
      <c r="T4890" s="358" t="str">
        <f t="shared" si="186"/>
        <v>2008AllSexMaori19Firearms and explosives</v>
      </c>
      <c r="U4890" s="360">
        <v>2008</v>
      </c>
      <c r="V4890" s="360" t="s">
        <v>17</v>
      </c>
      <c r="W4890" s="360" t="s">
        <v>18</v>
      </c>
      <c r="X4890" s="360">
        <v>19</v>
      </c>
      <c r="Y4890" s="360" t="s">
        <v>42</v>
      </c>
      <c r="Z4890" s="360">
        <v>3</v>
      </c>
      <c r="AA4890" s="360">
        <v>87</v>
      </c>
      <c r="AB4890" s="360">
        <v>3.4</v>
      </c>
    </row>
    <row r="4891" spans="20:28" x14ac:dyDescent="0.2">
      <c r="T4891" s="358" t="str">
        <f t="shared" si="186"/>
        <v>2008AllSexMaori19Hanging, strangulation and suffocation</v>
      </c>
      <c r="U4891" s="360">
        <v>2008</v>
      </c>
      <c r="V4891" s="360" t="s">
        <v>17</v>
      </c>
      <c r="W4891" s="360" t="s">
        <v>18</v>
      </c>
      <c r="X4891" s="360">
        <v>19</v>
      </c>
      <c r="Y4891" s="360" t="s">
        <v>43</v>
      </c>
      <c r="Z4891" s="360">
        <v>76</v>
      </c>
      <c r="AA4891" s="360">
        <v>87</v>
      </c>
      <c r="AB4891" s="360">
        <v>87.4</v>
      </c>
    </row>
    <row r="4892" spans="20:28" x14ac:dyDescent="0.2">
      <c r="T4892" s="358" t="str">
        <f t="shared" si="186"/>
        <v>2008AllSexMaori19Other</v>
      </c>
      <c r="U4892" s="360">
        <v>2008</v>
      </c>
      <c r="V4892" s="360" t="s">
        <v>17</v>
      </c>
      <c r="W4892" s="360" t="s">
        <v>18</v>
      </c>
      <c r="X4892" s="360">
        <v>19</v>
      </c>
      <c r="Y4892" s="360" t="s">
        <v>45</v>
      </c>
      <c r="Z4892" s="360">
        <v>2</v>
      </c>
      <c r="AA4892" s="360">
        <v>87</v>
      </c>
      <c r="AB4892" s="360">
        <v>2.2999999999999998</v>
      </c>
    </row>
    <row r="4893" spans="20:28" x14ac:dyDescent="0.2">
      <c r="T4893" s="358" t="str">
        <f t="shared" si="186"/>
        <v>2008AllSexMaori19Poisoning by gases and vapours</v>
      </c>
      <c r="U4893" s="360">
        <v>2008</v>
      </c>
      <c r="V4893" s="360" t="s">
        <v>17</v>
      </c>
      <c r="W4893" s="360" t="s">
        <v>18</v>
      </c>
      <c r="X4893" s="360">
        <v>19</v>
      </c>
      <c r="Y4893" s="360" t="s">
        <v>46</v>
      </c>
      <c r="Z4893" s="360">
        <v>2</v>
      </c>
      <c r="AA4893" s="360">
        <v>87</v>
      </c>
      <c r="AB4893" s="360">
        <v>2.2999999999999998</v>
      </c>
    </row>
    <row r="4894" spans="20:28" x14ac:dyDescent="0.2">
      <c r="T4894" s="358" t="str">
        <f t="shared" si="186"/>
        <v>2008AllSexMaori19Poisoning by solids and liquids</v>
      </c>
      <c r="U4894" s="360">
        <v>2008</v>
      </c>
      <c r="V4894" s="360" t="s">
        <v>17</v>
      </c>
      <c r="W4894" s="360" t="s">
        <v>18</v>
      </c>
      <c r="X4894" s="360">
        <v>19</v>
      </c>
      <c r="Y4894" s="360" t="s">
        <v>47</v>
      </c>
      <c r="Z4894" s="360">
        <v>3</v>
      </c>
      <c r="AA4894" s="360">
        <v>87</v>
      </c>
      <c r="AB4894" s="360">
        <v>3.4</v>
      </c>
    </row>
    <row r="4895" spans="20:28" x14ac:dyDescent="0.2">
      <c r="T4895" s="358" t="str">
        <f t="shared" si="186"/>
        <v>2008AllSexMaori19Sharp object</v>
      </c>
      <c r="U4895" s="360">
        <v>2008</v>
      </c>
      <c r="V4895" s="360" t="s">
        <v>17</v>
      </c>
      <c r="W4895" s="360" t="s">
        <v>18</v>
      </c>
      <c r="X4895" s="360">
        <v>19</v>
      </c>
      <c r="Y4895" s="360" t="s">
        <v>48</v>
      </c>
      <c r="Z4895" s="360">
        <v>1</v>
      </c>
      <c r="AA4895" s="360">
        <v>87</v>
      </c>
      <c r="AB4895" s="360">
        <v>1.1000000000000001</v>
      </c>
    </row>
    <row r="4896" spans="20:28" x14ac:dyDescent="0.2">
      <c r="T4896" s="358" t="str">
        <f t="shared" si="186"/>
        <v>2008AllSexNon-Maori19Firearms and explosives</v>
      </c>
      <c r="U4896" s="360">
        <v>2008</v>
      </c>
      <c r="V4896" s="360" t="s">
        <v>17</v>
      </c>
      <c r="W4896" s="360" t="s">
        <v>19</v>
      </c>
      <c r="X4896" s="360">
        <v>19</v>
      </c>
      <c r="Y4896" s="360" t="s">
        <v>42</v>
      </c>
      <c r="Z4896" s="360">
        <v>39</v>
      </c>
      <c r="AA4896" s="360">
        <v>431</v>
      </c>
      <c r="AB4896" s="360">
        <v>9</v>
      </c>
    </row>
    <row r="4897" spans="20:28" x14ac:dyDescent="0.2">
      <c r="T4897" s="358" t="str">
        <f t="shared" si="186"/>
        <v>2008AllSexNon-Maori19Hanging, strangulation and suffocation</v>
      </c>
      <c r="U4897" s="360">
        <v>2008</v>
      </c>
      <c r="V4897" s="360" t="s">
        <v>17</v>
      </c>
      <c r="W4897" s="360" t="s">
        <v>19</v>
      </c>
      <c r="X4897" s="360">
        <v>19</v>
      </c>
      <c r="Y4897" s="360" t="s">
        <v>43</v>
      </c>
      <c r="Z4897" s="360">
        <v>214</v>
      </c>
      <c r="AA4897" s="360">
        <v>431</v>
      </c>
      <c r="AB4897" s="360">
        <v>49.7</v>
      </c>
    </row>
    <row r="4898" spans="20:28" x14ac:dyDescent="0.2">
      <c r="T4898" s="358" t="str">
        <f t="shared" si="186"/>
        <v>2008AllSexNon-Maori19Jumping from a high place</v>
      </c>
      <c r="U4898" s="360">
        <v>2008</v>
      </c>
      <c r="V4898" s="360" t="s">
        <v>17</v>
      </c>
      <c r="W4898" s="360" t="s">
        <v>19</v>
      </c>
      <c r="X4898" s="360">
        <v>19</v>
      </c>
      <c r="Y4898" s="360" t="s">
        <v>44</v>
      </c>
      <c r="Z4898" s="360">
        <v>14</v>
      </c>
      <c r="AA4898" s="360">
        <v>431</v>
      </c>
      <c r="AB4898" s="360">
        <v>3.2</v>
      </c>
    </row>
    <row r="4899" spans="20:28" x14ac:dyDescent="0.2">
      <c r="T4899" s="358" t="str">
        <f t="shared" si="186"/>
        <v>2008AllSexNon-Maori19Other</v>
      </c>
      <c r="U4899" s="360">
        <v>2008</v>
      </c>
      <c r="V4899" s="360" t="s">
        <v>17</v>
      </c>
      <c r="W4899" s="360" t="s">
        <v>19</v>
      </c>
      <c r="X4899" s="360">
        <v>19</v>
      </c>
      <c r="Y4899" s="360" t="s">
        <v>45</v>
      </c>
      <c r="Z4899" s="360">
        <v>18</v>
      </c>
      <c r="AA4899" s="360">
        <v>431</v>
      </c>
      <c r="AB4899" s="360">
        <v>4.2</v>
      </c>
    </row>
    <row r="4900" spans="20:28" x14ac:dyDescent="0.2">
      <c r="T4900" s="358" t="str">
        <f t="shared" si="186"/>
        <v>2008AllSexNon-Maori19Poisoning by gases and vapours</v>
      </c>
      <c r="U4900" s="360">
        <v>2008</v>
      </c>
      <c r="V4900" s="360" t="s">
        <v>17</v>
      </c>
      <c r="W4900" s="360" t="s">
        <v>19</v>
      </c>
      <c r="X4900" s="360">
        <v>19</v>
      </c>
      <c r="Y4900" s="360" t="s">
        <v>46</v>
      </c>
      <c r="Z4900" s="360">
        <v>73</v>
      </c>
      <c r="AA4900" s="360">
        <v>431</v>
      </c>
      <c r="AB4900" s="360">
        <v>16.899999999999999</v>
      </c>
    </row>
    <row r="4901" spans="20:28" x14ac:dyDescent="0.2">
      <c r="T4901" s="358" t="str">
        <f t="shared" si="186"/>
        <v>2008AllSexNon-Maori19Poisoning by solids and liquids</v>
      </c>
      <c r="U4901" s="360">
        <v>2008</v>
      </c>
      <c r="V4901" s="360" t="s">
        <v>17</v>
      </c>
      <c r="W4901" s="360" t="s">
        <v>19</v>
      </c>
      <c r="X4901" s="360">
        <v>19</v>
      </c>
      <c r="Y4901" s="360" t="s">
        <v>47</v>
      </c>
      <c r="Z4901" s="360">
        <v>52</v>
      </c>
      <c r="AA4901" s="360">
        <v>431</v>
      </c>
      <c r="AB4901" s="360">
        <v>12.1</v>
      </c>
    </row>
    <row r="4902" spans="20:28" x14ac:dyDescent="0.2">
      <c r="T4902" s="358" t="str">
        <f t="shared" si="186"/>
        <v>2008AllSexNon-Maori19Sharp object</v>
      </c>
      <c r="U4902" s="360">
        <v>2008</v>
      </c>
      <c r="V4902" s="360" t="s">
        <v>17</v>
      </c>
      <c r="W4902" s="360" t="s">
        <v>19</v>
      </c>
      <c r="X4902" s="360">
        <v>19</v>
      </c>
      <c r="Y4902" s="360" t="s">
        <v>48</v>
      </c>
      <c r="Z4902" s="360">
        <v>13</v>
      </c>
      <c r="AA4902" s="360">
        <v>431</v>
      </c>
      <c r="AB4902" s="360">
        <v>3</v>
      </c>
    </row>
    <row r="4903" spans="20:28" x14ac:dyDescent="0.2">
      <c r="T4903" s="358" t="str">
        <f t="shared" si="186"/>
        <v>2008AllSexNon-Maori19Submersion (drowning)</v>
      </c>
      <c r="U4903" s="360">
        <v>2008</v>
      </c>
      <c r="V4903" s="360" t="s">
        <v>17</v>
      </c>
      <c r="W4903" s="360" t="s">
        <v>19</v>
      </c>
      <c r="X4903" s="360">
        <v>19</v>
      </c>
      <c r="Y4903" s="360" t="s">
        <v>49</v>
      </c>
      <c r="Z4903" s="360">
        <v>8</v>
      </c>
      <c r="AA4903" s="360">
        <v>431</v>
      </c>
      <c r="AB4903" s="360">
        <v>1.9</v>
      </c>
    </row>
    <row r="4904" spans="20:28" x14ac:dyDescent="0.2">
      <c r="T4904" s="358" t="str">
        <f t="shared" si="186"/>
        <v>2008FemaleAllEth19Firearms and explosives</v>
      </c>
      <c r="U4904" s="360">
        <v>2008</v>
      </c>
      <c r="V4904" s="360" t="s">
        <v>8</v>
      </c>
      <c r="W4904" s="360" t="s">
        <v>27</v>
      </c>
      <c r="X4904" s="360">
        <v>19</v>
      </c>
      <c r="Y4904" s="360" t="s">
        <v>42</v>
      </c>
      <c r="Z4904" s="360">
        <v>2</v>
      </c>
      <c r="AA4904" s="360">
        <v>139</v>
      </c>
      <c r="AB4904" s="360">
        <v>1.4</v>
      </c>
    </row>
    <row r="4905" spans="20:28" x14ac:dyDescent="0.2">
      <c r="T4905" s="358" t="str">
        <f t="shared" si="186"/>
        <v>2008FemaleAllEth19Hanging, strangulation and suffocation</v>
      </c>
      <c r="U4905" s="360">
        <v>2008</v>
      </c>
      <c r="V4905" s="360" t="s">
        <v>8</v>
      </c>
      <c r="W4905" s="360" t="s">
        <v>27</v>
      </c>
      <c r="X4905" s="360">
        <v>19</v>
      </c>
      <c r="Y4905" s="360" t="s">
        <v>43</v>
      </c>
      <c r="Z4905" s="360">
        <v>80</v>
      </c>
      <c r="AA4905" s="360">
        <v>139</v>
      </c>
      <c r="AB4905" s="360">
        <v>57.6</v>
      </c>
    </row>
    <row r="4906" spans="20:28" x14ac:dyDescent="0.2">
      <c r="T4906" s="358" t="str">
        <f t="shared" si="186"/>
        <v>2008FemaleAllEth19Jumping from a high place</v>
      </c>
      <c r="U4906" s="360">
        <v>2008</v>
      </c>
      <c r="V4906" s="360" t="s">
        <v>8</v>
      </c>
      <c r="W4906" s="360" t="s">
        <v>27</v>
      </c>
      <c r="X4906" s="360">
        <v>19</v>
      </c>
      <c r="Y4906" s="360" t="s">
        <v>44</v>
      </c>
      <c r="Z4906" s="360">
        <v>2</v>
      </c>
      <c r="AA4906" s="360">
        <v>139</v>
      </c>
      <c r="AB4906" s="360">
        <v>1.4</v>
      </c>
    </row>
    <row r="4907" spans="20:28" x14ac:dyDescent="0.2">
      <c r="T4907" s="358" t="str">
        <f t="shared" si="186"/>
        <v>2008FemaleAllEth19Other</v>
      </c>
      <c r="U4907" s="360">
        <v>2008</v>
      </c>
      <c r="V4907" s="360" t="s">
        <v>8</v>
      </c>
      <c r="W4907" s="360" t="s">
        <v>27</v>
      </c>
      <c r="X4907" s="360">
        <v>19</v>
      </c>
      <c r="Y4907" s="360" t="s">
        <v>45</v>
      </c>
      <c r="Z4907" s="360">
        <v>6</v>
      </c>
      <c r="AA4907" s="360">
        <v>139</v>
      </c>
      <c r="AB4907" s="360">
        <v>4.3</v>
      </c>
    </row>
    <row r="4908" spans="20:28" x14ac:dyDescent="0.2">
      <c r="T4908" s="358" t="str">
        <f t="shared" si="186"/>
        <v>2008FemaleAllEth19Poisoning by gases and vapours</v>
      </c>
      <c r="U4908" s="360">
        <v>2008</v>
      </c>
      <c r="V4908" s="360" t="s">
        <v>8</v>
      </c>
      <c r="W4908" s="360" t="s">
        <v>27</v>
      </c>
      <c r="X4908" s="360">
        <v>19</v>
      </c>
      <c r="Y4908" s="360" t="s">
        <v>46</v>
      </c>
      <c r="Z4908" s="360">
        <v>10</v>
      </c>
      <c r="AA4908" s="360">
        <v>139</v>
      </c>
      <c r="AB4908" s="360">
        <v>7.2</v>
      </c>
    </row>
    <row r="4909" spans="20:28" x14ac:dyDescent="0.2">
      <c r="T4909" s="358" t="str">
        <f t="shared" si="186"/>
        <v>2008FemaleAllEth19Poisoning by solids and liquids</v>
      </c>
      <c r="U4909" s="360">
        <v>2008</v>
      </c>
      <c r="V4909" s="360" t="s">
        <v>8</v>
      </c>
      <c r="W4909" s="360" t="s">
        <v>27</v>
      </c>
      <c r="X4909" s="360">
        <v>19</v>
      </c>
      <c r="Y4909" s="360" t="s">
        <v>47</v>
      </c>
      <c r="Z4909" s="360">
        <v>34</v>
      </c>
      <c r="AA4909" s="360">
        <v>139</v>
      </c>
      <c r="AB4909" s="360">
        <v>24.5</v>
      </c>
    </row>
    <row r="4910" spans="20:28" x14ac:dyDescent="0.2">
      <c r="T4910" s="358" t="str">
        <f t="shared" si="186"/>
        <v>2008FemaleAllEth19Sharp object</v>
      </c>
      <c r="U4910" s="360">
        <v>2008</v>
      </c>
      <c r="V4910" s="360" t="s">
        <v>8</v>
      </c>
      <c r="W4910" s="360" t="s">
        <v>27</v>
      </c>
      <c r="X4910" s="360">
        <v>19</v>
      </c>
      <c r="Y4910" s="360" t="s">
        <v>48</v>
      </c>
      <c r="Z4910" s="360">
        <v>2</v>
      </c>
      <c r="AA4910" s="360">
        <v>139</v>
      </c>
      <c r="AB4910" s="360">
        <v>1.4</v>
      </c>
    </row>
    <row r="4911" spans="20:28" x14ac:dyDescent="0.2">
      <c r="T4911" s="358" t="str">
        <f t="shared" si="186"/>
        <v>2008FemaleAllEth19Submersion (drowning)</v>
      </c>
      <c r="U4911" s="360">
        <v>2008</v>
      </c>
      <c r="V4911" s="360" t="s">
        <v>8</v>
      </c>
      <c r="W4911" s="360" t="s">
        <v>27</v>
      </c>
      <c r="X4911" s="360">
        <v>19</v>
      </c>
      <c r="Y4911" s="360" t="s">
        <v>49</v>
      </c>
      <c r="Z4911" s="360">
        <v>3</v>
      </c>
      <c r="AA4911" s="360">
        <v>139</v>
      </c>
      <c r="AB4911" s="360">
        <v>2.2000000000000002</v>
      </c>
    </row>
    <row r="4912" spans="20:28" x14ac:dyDescent="0.2">
      <c r="T4912" s="358" t="str">
        <f t="shared" si="186"/>
        <v>2008FemaleMaori19Firearms and explosives</v>
      </c>
      <c r="U4912" s="360">
        <v>2008</v>
      </c>
      <c r="V4912" s="360" t="s">
        <v>8</v>
      </c>
      <c r="W4912" s="360" t="s">
        <v>18</v>
      </c>
      <c r="X4912" s="360">
        <v>19</v>
      </c>
      <c r="Y4912" s="360" t="s">
        <v>42</v>
      </c>
      <c r="Z4912" s="360">
        <v>1</v>
      </c>
      <c r="AA4912" s="360">
        <v>31</v>
      </c>
      <c r="AB4912" s="360">
        <v>3.2</v>
      </c>
    </row>
    <row r="4913" spans="20:28" x14ac:dyDescent="0.2">
      <c r="T4913" s="358" t="str">
        <f t="shared" si="186"/>
        <v>2008FemaleMaori19Hanging, strangulation and suffocation</v>
      </c>
      <c r="U4913" s="360">
        <v>2008</v>
      </c>
      <c r="V4913" s="360" t="s">
        <v>8</v>
      </c>
      <c r="W4913" s="360" t="s">
        <v>18</v>
      </c>
      <c r="X4913" s="360">
        <v>19</v>
      </c>
      <c r="Y4913" s="360" t="s">
        <v>43</v>
      </c>
      <c r="Z4913" s="360">
        <v>28</v>
      </c>
      <c r="AA4913" s="360">
        <v>31</v>
      </c>
      <c r="AB4913" s="360">
        <v>90.3</v>
      </c>
    </row>
    <row r="4914" spans="20:28" x14ac:dyDescent="0.2">
      <c r="T4914" s="358" t="str">
        <f t="shared" si="186"/>
        <v>2008FemaleMaori19Poisoning by solids and liquids</v>
      </c>
      <c r="U4914" s="360">
        <v>2008</v>
      </c>
      <c r="V4914" s="360" t="s">
        <v>8</v>
      </c>
      <c r="W4914" s="360" t="s">
        <v>18</v>
      </c>
      <c r="X4914" s="360">
        <v>19</v>
      </c>
      <c r="Y4914" s="360" t="s">
        <v>47</v>
      </c>
      <c r="Z4914" s="360">
        <v>2</v>
      </c>
      <c r="AA4914" s="360">
        <v>31</v>
      </c>
      <c r="AB4914" s="360">
        <v>6.5</v>
      </c>
    </row>
    <row r="4915" spans="20:28" x14ac:dyDescent="0.2">
      <c r="T4915" s="358" t="str">
        <f t="shared" si="186"/>
        <v>2008FemaleNon-Maori19Firearms and explosives</v>
      </c>
      <c r="U4915" s="360">
        <v>2008</v>
      </c>
      <c r="V4915" s="360" t="s">
        <v>8</v>
      </c>
      <c r="W4915" s="360" t="s">
        <v>19</v>
      </c>
      <c r="X4915" s="360">
        <v>19</v>
      </c>
      <c r="Y4915" s="360" t="s">
        <v>42</v>
      </c>
      <c r="Z4915" s="360">
        <v>1</v>
      </c>
      <c r="AA4915" s="360">
        <v>108</v>
      </c>
      <c r="AB4915" s="360">
        <v>0.9</v>
      </c>
    </row>
    <row r="4916" spans="20:28" x14ac:dyDescent="0.2">
      <c r="T4916" s="358" t="str">
        <f t="shared" si="186"/>
        <v>2008FemaleNon-Maori19Hanging, strangulation and suffocation</v>
      </c>
      <c r="U4916" s="360">
        <v>2008</v>
      </c>
      <c r="V4916" s="360" t="s">
        <v>8</v>
      </c>
      <c r="W4916" s="360" t="s">
        <v>19</v>
      </c>
      <c r="X4916" s="360">
        <v>19</v>
      </c>
      <c r="Y4916" s="360" t="s">
        <v>43</v>
      </c>
      <c r="Z4916" s="360">
        <v>52</v>
      </c>
      <c r="AA4916" s="360">
        <v>108</v>
      </c>
      <c r="AB4916" s="360">
        <v>48.1</v>
      </c>
    </row>
    <row r="4917" spans="20:28" x14ac:dyDescent="0.2">
      <c r="T4917" s="358" t="str">
        <f t="shared" si="186"/>
        <v>2008FemaleNon-Maori19Jumping from a high place</v>
      </c>
      <c r="U4917" s="360">
        <v>2008</v>
      </c>
      <c r="V4917" s="360" t="s">
        <v>8</v>
      </c>
      <c r="W4917" s="360" t="s">
        <v>19</v>
      </c>
      <c r="X4917" s="360">
        <v>19</v>
      </c>
      <c r="Y4917" s="360" t="s">
        <v>44</v>
      </c>
      <c r="Z4917" s="360">
        <v>2</v>
      </c>
      <c r="AA4917" s="360">
        <v>108</v>
      </c>
      <c r="AB4917" s="360">
        <v>1.9</v>
      </c>
    </row>
    <row r="4918" spans="20:28" x14ac:dyDescent="0.2">
      <c r="T4918" s="358" t="str">
        <f t="shared" si="186"/>
        <v>2008FemaleNon-Maori19Other</v>
      </c>
      <c r="U4918" s="360">
        <v>2008</v>
      </c>
      <c r="V4918" s="360" t="s">
        <v>8</v>
      </c>
      <c r="W4918" s="360" t="s">
        <v>19</v>
      </c>
      <c r="X4918" s="360">
        <v>19</v>
      </c>
      <c r="Y4918" s="360" t="s">
        <v>45</v>
      </c>
      <c r="Z4918" s="360">
        <v>6</v>
      </c>
      <c r="AA4918" s="360">
        <v>108</v>
      </c>
      <c r="AB4918" s="360">
        <v>5.6</v>
      </c>
    </row>
    <row r="4919" spans="20:28" x14ac:dyDescent="0.2">
      <c r="T4919" s="358" t="str">
        <f t="shared" si="186"/>
        <v>2008FemaleNon-Maori19Poisoning by gases and vapours</v>
      </c>
      <c r="U4919" s="360">
        <v>2008</v>
      </c>
      <c r="V4919" s="360" t="s">
        <v>8</v>
      </c>
      <c r="W4919" s="360" t="s">
        <v>19</v>
      </c>
      <c r="X4919" s="360">
        <v>19</v>
      </c>
      <c r="Y4919" s="360" t="s">
        <v>46</v>
      </c>
      <c r="Z4919" s="360">
        <v>10</v>
      </c>
      <c r="AA4919" s="360">
        <v>108</v>
      </c>
      <c r="AB4919" s="360">
        <v>9.3000000000000007</v>
      </c>
    </row>
    <row r="4920" spans="20:28" x14ac:dyDescent="0.2">
      <c r="T4920" s="358" t="str">
        <f t="shared" si="186"/>
        <v>2008FemaleNon-Maori19Poisoning by solids and liquids</v>
      </c>
      <c r="U4920" s="360">
        <v>2008</v>
      </c>
      <c r="V4920" s="360" t="s">
        <v>8</v>
      </c>
      <c r="W4920" s="360" t="s">
        <v>19</v>
      </c>
      <c r="X4920" s="360">
        <v>19</v>
      </c>
      <c r="Y4920" s="360" t="s">
        <v>47</v>
      </c>
      <c r="Z4920" s="360">
        <v>32</v>
      </c>
      <c r="AA4920" s="360">
        <v>108</v>
      </c>
      <c r="AB4920" s="360">
        <v>29.6</v>
      </c>
    </row>
    <row r="4921" spans="20:28" x14ac:dyDescent="0.2">
      <c r="T4921" s="358" t="str">
        <f t="shared" si="186"/>
        <v>2008FemaleNon-Maori19Sharp object</v>
      </c>
      <c r="U4921" s="360">
        <v>2008</v>
      </c>
      <c r="V4921" s="360" t="s">
        <v>8</v>
      </c>
      <c r="W4921" s="360" t="s">
        <v>19</v>
      </c>
      <c r="X4921" s="360">
        <v>19</v>
      </c>
      <c r="Y4921" s="360" t="s">
        <v>48</v>
      </c>
      <c r="Z4921" s="360">
        <v>2</v>
      </c>
      <c r="AA4921" s="360">
        <v>108</v>
      </c>
      <c r="AB4921" s="360">
        <v>1.9</v>
      </c>
    </row>
    <row r="4922" spans="20:28" x14ac:dyDescent="0.2">
      <c r="T4922" s="358" t="str">
        <f t="shared" si="186"/>
        <v>2008FemaleNon-Maori19Submersion (drowning)</v>
      </c>
      <c r="U4922" s="360">
        <v>2008</v>
      </c>
      <c r="V4922" s="360" t="s">
        <v>8</v>
      </c>
      <c r="W4922" s="360" t="s">
        <v>19</v>
      </c>
      <c r="X4922" s="360">
        <v>19</v>
      </c>
      <c r="Y4922" s="360" t="s">
        <v>49</v>
      </c>
      <c r="Z4922" s="360">
        <v>3</v>
      </c>
      <c r="AA4922" s="360">
        <v>108</v>
      </c>
      <c r="AB4922" s="360">
        <v>2.8</v>
      </c>
    </row>
    <row r="4923" spans="20:28" x14ac:dyDescent="0.2">
      <c r="T4923" s="358" t="str">
        <f t="shared" si="186"/>
        <v>2008MaleAllEth19Firearms and explosives</v>
      </c>
      <c r="U4923" s="360">
        <v>2008</v>
      </c>
      <c r="V4923" s="360" t="s">
        <v>20</v>
      </c>
      <c r="W4923" s="360" t="s">
        <v>27</v>
      </c>
      <c r="X4923" s="360">
        <v>19</v>
      </c>
      <c r="Y4923" s="360" t="s">
        <v>42</v>
      </c>
      <c r="Z4923" s="360">
        <v>40</v>
      </c>
      <c r="AA4923" s="360">
        <v>379</v>
      </c>
      <c r="AB4923" s="360">
        <v>10.6</v>
      </c>
    </row>
    <row r="4924" spans="20:28" x14ac:dyDescent="0.2">
      <c r="T4924" s="358" t="str">
        <f t="shared" si="186"/>
        <v>2008MaleAllEth19Hanging, strangulation and suffocation</v>
      </c>
      <c r="U4924" s="360">
        <v>2008</v>
      </c>
      <c r="V4924" s="360" t="s">
        <v>20</v>
      </c>
      <c r="W4924" s="360" t="s">
        <v>27</v>
      </c>
      <c r="X4924" s="360">
        <v>19</v>
      </c>
      <c r="Y4924" s="360" t="s">
        <v>43</v>
      </c>
      <c r="Z4924" s="360">
        <v>210</v>
      </c>
      <c r="AA4924" s="360">
        <v>379</v>
      </c>
      <c r="AB4924" s="360">
        <v>55.4</v>
      </c>
    </row>
    <row r="4925" spans="20:28" x14ac:dyDescent="0.2">
      <c r="T4925" s="358" t="str">
        <f t="shared" si="186"/>
        <v>2008MaleAllEth19Jumping from a high place</v>
      </c>
      <c r="U4925" s="360">
        <v>2008</v>
      </c>
      <c r="V4925" s="360" t="s">
        <v>20</v>
      </c>
      <c r="W4925" s="360" t="s">
        <v>27</v>
      </c>
      <c r="X4925" s="360">
        <v>19</v>
      </c>
      <c r="Y4925" s="360" t="s">
        <v>44</v>
      </c>
      <c r="Z4925" s="360">
        <v>12</v>
      </c>
      <c r="AA4925" s="360">
        <v>379</v>
      </c>
      <c r="AB4925" s="360">
        <v>3.2</v>
      </c>
    </row>
    <row r="4926" spans="20:28" x14ac:dyDescent="0.2">
      <c r="T4926" s="358" t="str">
        <f t="shared" si="186"/>
        <v>2008MaleAllEth19Other</v>
      </c>
      <c r="U4926" s="360">
        <v>2008</v>
      </c>
      <c r="V4926" s="360" t="s">
        <v>20</v>
      </c>
      <c r="W4926" s="360" t="s">
        <v>27</v>
      </c>
      <c r="X4926" s="360">
        <v>19</v>
      </c>
      <c r="Y4926" s="360" t="s">
        <v>45</v>
      </c>
      <c r="Z4926" s="360">
        <v>14</v>
      </c>
      <c r="AA4926" s="360">
        <v>379</v>
      </c>
      <c r="AB4926" s="360">
        <v>3.7</v>
      </c>
    </row>
    <row r="4927" spans="20:28" x14ac:dyDescent="0.2">
      <c r="T4927" s="358" t="str">
        <f t="shared" si="186"/>
        <v>2008MaleAllEth19Poisoning by gases and vapours</v>
      </c>
      <c r="U4927" s="360">
        <v>2008</v>
      </c>
      <c r="V4927" s="360" t="s">
        <v>20</v>
      </c>
      <c r="W4927" s="360" t="s">
        <v>27</v>
      </c>
      <c r="X4927" s="360">
        <v>19</v>
      </c>
      <c r="Y4927" s="360" t="s">
        <v>46</v>
      </c>
      <c r="Z4927" s="360">
        <v>65</v>
      </c>
      <c r="AA4927" s="360">
        <v>379</v>
      </c>
      <c r="AB4927" s="360">
        <v>17.2</v>
      </c>
    </row>
    <row r="4928" spans="20:28" x14ac:dyDescent="0.2">
      <c r="T4928" s="358" t="str">
        <f t="shared" si="186"/>
        <v>2008MaleAllEth19Poisoning by solids and liquids</v>
      </c>
      <c r="U4928" s="360">
        <v>2008</v>
      </c>
      <c r="V4928" s="360" t="s">
        <v>20</v>
      </c>
      <c r="W4928" s="360" t="s">
        <v>27</v>
      </c>
      <c r="X4928" s="360">
        <v>19</v>
      </c>
      <c r="Y4928" s="360" t="s">
        <v>47</v>
      </c>
      <c r="Z4928" s="360">
        <v>21</v>
      </c>
      <c r="AA4928" s="360">
        <v>379</v>
      </c>
      <c r="AB4928" s="360">
        <v>5.5</v>
      </c>
    </row>
    <row r="4929" spans="20:28" x14ac:dyDescent="0.2">
      <c r="T4929" s="358" t="str">
        <f t="shared" si="186"/>
        <v>2008MaleAllEth19Sharp object</v>
      </c>
      <c r="U4929" s="360">
        <v>2008</v>
      </c>
      <c r="V4929" s="360" t="s">
        <v>20</v>
      </c>
      <c r="W4929" s="360" t="s">
        <v>27</v>
      </c>
      <c r="X4929" s="360">
        <v>19</v>
      </c>
      <c r="Y4929" s="360" t="s">
        <v>48</v>
      </c>
      <c r="Z4929" s="360">
        <v>12</v>
      </c>
      <c r="AA4929" s="360">
        <v>379</v>
      </c>
      <c r="AB4929" s="360">
        <v>3.2</v>
      </c>
    </row>
    <row r="4930" spans="20:28" x14ac:dyDescent="0.2">
      <c r="T4930" s="358" t="str">
        <f t="shared" si="186"/>
        <v>2008MaleAllEth19Submersion (drowning)</v>
      </c>
      <c r="U4930" s="360">
        <v>2008</v>
      </c>
      <c r="V4930" s="360" t="s">
        <v>20</v>
      </c>
      <c r="W4930" s="360" t="s">
        <v>27</v>
      </c>
      <c r="X4930" s="360">
        <v>19</v>
      </c>
      <c r="Y4930" s="360" t="s">
        <v>49</v>
      </c>
      <c r="Z4930" s="360">
        <v>5</v>
      </c>
      <c r="AA4930" s="360">
        <v>379</v>
      </c>
      <c r="AB4930" s="360">
        <v>1.3</v>
      </c>
    </row>
    <row r="4931" spans="20:28" x14ac:dyDescent="0.2">
      <c r="T4931" s="358" t="str">
        <f t="shared" si="186"/>
        <v>2008MaleMaori19Firearms and explosives</v>
      </c>
      <c r="U4931" s="360">
        <v>2008</v>
      </c>
      <c r="V4931" s="360" t="s">
        <v>20</v>
      </c>
      <c r="W4931" s="360" t="s">
        <v>18</v>
      </c>
      <c r="X4931" s="360">
        <v>19</v>
      </c>
      <c r="Y4931" s="360" t="s">
        <v>42</v>
      </c>
      <c r="Z4931" s="360">
        <v>2</v>
      </c>
      <c r="AA4931" s="360">
        <v>56</v>
      </c>
      <c r="AB4931" s="360">
        <v>3.6</v>
      </c>
    </row>
    <row r="4932" spans="20:28" x14ac:dyDescent="0.2">
      <c r="T4932" s="358" t="str">
        <f t="shared" si="186"/>
        <v>2008MaleMaori19Hanging, strangulation and suffocation</v>
      </c>
      <c r="U4932" s="360">
        <v>2008</v>
      </c>
      <c r="V4932" s="360" t="s">
        <v>20</v>
      </c>
      <c r="W4932" s="360" t="s">
        <v>18</v>
      </c>
      <c r="X4932" s="360">
        <v>19</v>
      </c>
      <c r="Y4932" s="360" t="s">
        <v>43</v>
      </c>
      <c r="Z4932" s="360">
        <v>48</v>
      </c>
      <c r="AA4932" s="360">
        <v>56</v>
      </c>
      <c r="AB4932" s="360">
        <v>85.7</v>
      </c>
    </row>
    <row r="4933" spans="20:28" x14ac:dyDescent="0.2">
      <c r="T4933" s="358" t="str">
        <f t="shared" ref="T4933:T4996" si="187">U4933&amp;V4933&amp;W4933&amp;X4933&amp;Y4933</f>
        <v>2008MaleMaori19Other</v>
      </c>
      <c r="U4933" s="360">
        <v>2008</v>
      </c>
      <c r="V4933" s="360" t="s">
        <v>20</v>
      </c>
      <c r="W4933" s="360" t="s">
        <v>18</v>
      </c>
      <c r="X4933" s="360">
        <v>19</v>
      </c>
      <c r="Y4933" s="360" t="s">
        <v>45</v>
      </c>
      <c r="Z4933" s="360">
        <v>2</v>
      </c>
      <c r="AA4933" s="360">
        <v>56</v>
      </c>
      <c r="AB4933" s="360">
        <v>3.6</v>
      </c>
    </row>
    <row r="4934" spans="20:28" x14ac:dyDescent="0.2">
      <c r="T4934" s="358" t="str">
        <f t="shared" si="187"/>
        <v>2008MaleMaori19Poisoning by gases and vapours</v>
      </c>
      <c r="U4934" s="360">
        <v>2008</v>
      </c>
      <c r="V4934" s="360" t="s">
        <v>20</v>
      </c>
      <c r="W4934" s="360" t="s">
        <v>18</v>
      </c>
      <c r="X4934" s="360">
        <v>19</v>
      </c>
      <c r="Y4934" s="360" t="s">
        <v>46</v>
      </c>
      <c r="Z4934" s="360">
        <v>2</v>
      </c>
      <c r="AA4934" s="360">
        <v>56</v>
      </c>
      <c r="AB4934" s="360">
        <v>3.6</v>
      </c>
    </row>
    <row r="4935" spans="20:28" x14ac:dyDescent="0.2">
      <c r="T4935" s="358" t="str">
        <f t="shared" si="187"/>
        <v>2008MaleMaori19Poisoning by solids and liquids</v>
      </c>
      <c r="U4935" s="360">
        <v>2008</v>
      </c>
      <c r="V4935" s="360" t="s">
        <v>20</v>
      </c>
      <c r="W4935" s="360" t="s">
        <v>18</v>
      </c>
      <c r="X4935" s="360">
        <v>19</v>
      </c>
      <c r="Y4935" s="360" t="s">
        <v>47</v>
      </c>
      <c r="Z4935" s="360">
        <v>1</v>
      </c>
      <c r="AA4935" s="360">
        <v>56</v>
      </c>
      <c r="AB4935" s="360">
        <v>1.8</v>
      </c>
    </row>
    <row r="4936" spans="20:28" x14ac:dyDescent="0.2">
      <c r="T4936" s="358" t="str">
        <f t="shared" si="187"/>
        <v>2008MaleMaori19Sharp object</v>
      </c>
      <c r="U4936" s="360">
        <v>2008</v>
      </c>
      <c r="V4936" s="360" t="s">
        <v>20</v>
      </c>
      <c r="W4936" s="360" t="s">
        <v>18</v>
      </c>
      <c r="X4936" s="360">
        <v>19</v>
      </c>
      <c r="Y4936" s="360" t="s">
        <v>48</v>
      </c>
      <c r="Z4936" s="360">
        <v>1</v>
      </c>
      <c r="AA4936" s="360">
        <v>56</v>
      </c>
      <c r="AB4936" s="360">
        <v>1.8</v>
      </c>
    </row>
    <row r="4937" spans="20:28" x14ac:dyDescent="0.2">
      <c r="T4937" s="358" t="str">
        <f t="shared" si="187"/>
        <v>2008MaleNon-Maori19Firearms and explosives</v>
      </c>
      <c r="U4937" s="360">
        <v>2008</v>
      </c>
      <c r="V4937" s="360" t="s">
        <v>20</v>
      </c>
      <c r="W4937" s="360" t="s">
        <v>19</v>
      </c>
      <c r="X4937" s="360">
        <v>19</v>
      </c>
      <c r="Y4937" s="360" t="s">
        <v>42</v>
      </c>
      <c r="Z4937" s="360">
        <v>38</v>
      </c>
      <c r="AA4937" s="360">
        <v>323</v>
      </c>
      <c r="AB4937" s="360">
        <v>11.8</v>
      </c>
    </row>
    <row r="4938" spans="20:28" x14ac:dyDescent="0.2">
      <c r="T4938" s="358" t="str">
        <f t="shared" si="187"/>
        <v>2008MaleNon-Maori19Hanging, strangulation and suffocation</v>
      </c>
      <c r="U4938" s="360">
        <v>2008</v>
      </c>
      <c r="V4938" s="360" t="s">
        <v>20</v>
      </c>
      <c r="W4938" s="360" t="s">
        <v>19</v>
      </c>
      <c r="X4938" s="360">
        <v>19</v>
      </c>
      <c r="Y4938" s="360" t="s">
        <v>43</v>
      </c>
      <c r="Z4938" s="360">
        <v>162</v>
      </c>
      <c r="AA4938" s="360">
        <v>323</v>
      </c>
      <c r="AB4938" s="360">
        <v>50.2</v>
      </c>
    </row>
    <row r="4939" spans="20:28" x14ac:dyDescent="0.2">
      <c r="T4939" s="358" t="str">
        <f t="shared" si="187"/>
        <v>2008MaleNon-Maori19Jumping from a high place</v>
      </c>
      <c r="U4939" s="360">
        <v>2008</v>
      </c>
      <c r="V4939" s="360" t="s">
        <v>20</v>
      </c>
      <c r="W4939" s="360" t="s">
        <v>19</v>
      </c>
      <c r="X4939" s="360">
        <v>19</v>
      </c>
      <c r="Y4939" s="360" t="s">
        <v>44</v>
      </c>
      <c r="Z4939" s="360">
        <v>12</v>
      </c>
      <c r="AA4939" s="360">
        <v>323</v>
      </c>
      <c r="AB4939" s="360">
        <v>3.7</v>
      </c>
    </row>
    <row r="4940" spans="20:28" x14ac:dyDescent="0.2">
      <c r="T4940" s="358" t="str">
        <f t="shared" si="187"/>
        <v>2008MaleNon-Maori19Other</v>
      </c>
      <c r="U4940" s="360">
        <v>2008</v>
      </c>
      <c r="V4940" s="360" t="s">
        <v>20</v>
      </c>
      <c r="W4940" s="360" t="s">
        <v>19</v>
      </c>
      <c r="X4940" s="360">
        <v>19</v>
      </c>
      <c r="Y4940" s="360" t="s">
        <v>45</v>
      </c>
      <c r="Z4940" s="360">
        <v>12</v>
      </c>
      <c r="AA4940" s="360">
        <v>323</v>
      </c>
      <c r="AB4940" s="360">
        <v>3.7</v>
      </c>
    </row>
    <row r="4941" spans="20:28" x14ac:dyDescent="0.2">
      <c r="T4941" s="358" t="str">
        <f t="shared" si="187"/>
        <v>2008MaleNon-Maori19Poisoning by gases and vapours</v>
      </c>
      <c r="U4941" s="360">
        <v>2008</v>
      </c>
      <c r="V4941" s="360" t="s">
        <v>20</v>
      </c>
      <c r="W4941" s="360" t="s">
        <v>19</v>
      </c>
      <c r="X4941" s="360">
        <v>19</v>
      </c>
      <c r="Y4941" s="360" t="s">
        <v>46</v>
      </c>
      <c r="Z4941" s="360">
        <v>63</v>
      </c>
      <c r="AA4941" s="360">
        <v>323</v>
      </c>
      <c r="AB4941" s="360">
        <v>19.5</v>
      </c>
    </row>
    <row r="4942" spans="20:28" x14ac:dyDescent="0.2">
      <c r="T4942" s="358" t="str">
        <f t="shared" si="187"/>
        <v>2008MaleNon-Maori19Poisoning by solids and liquids</v>
      </c>
      <c r="U4942" s="360">
        <v>2008</v>
      </c>
      <c r="V4942" s="360" t="s">
        <v>20</v>
      </c>
      <c r="W4942" s="360" t="s">
        <v>19</v>
      </c>
      <c r="X4942" s="360">
        <v>19</v>
      </c>
      <c r="Y4942" s="360" t="s">
        <v>47</v>
      </c>
      <c r="Z4942" s="360">
        <v>20</v>
      </c>
      <c r="AA4942" s="360">
        <v>323</v>
      </c>
      <c r="AB4942" s="360">
        <v>6.2</v>
      </c>
    </row>
    <row r="4943" spans="20:28" x14ac:dyDescent="0.2">
      <c r="T4943" s="358" t="str">
        <f t="shared" si="187"/>
        <v>2008MaleNon-Maori19Sharp object</v>
      </c>
      <c r="U4943" s="360">
        <v>2008</v>
      </c>
      <c r="V4943" s="360" t="s">
        <v>20</v>
      </c>
      <c r="W4943" s="360" t="s">
        <v>19</v>
      </c>
      <c r="X4943" s="360">
        <v>19</v>
      </c>
      <c r="Y4943" s="360" t="s">
        <v>48</v>
      </c>
      <c r="Z4943" s="360">
        <v>11</v>
      </c>
      <c r="AA4943" s="360">
        <v>323</v>
      </c>
      <c r="AB4943" s="360">
        <v>3.4</v>
      </c>
    </row>
    <row r="4944" spans="20:28" x14ac:dyDescent="0.2">
      <c r="T4944" s="358" t="str">
        <f t="shared" si="187"/>
        <v>2008MaleNon-Maori19Submersion (drowning)</v>
      </c>
      <c r="U4944" s="360">
        <v>2008</v>
      </c>
      <c r="V4944" s="360" t="s">
        <v>20</v>
      </c>
      <c r="W4944" s="360" t="s">
        <v>19</v>
      </c>
      <c r="X4944" s="360">
        <v>19</v>
      </c>
      <c r="Y4944" s="360" t="s">
        <v>49</v>
      </c>
      <c r="Z4944" s="360">
        <v>5</v>
      </c>
      <c r="AA4944" s="360">
        <v>323</v>
      </c>
      <c r="AB4944" s="360">
        <v>1.5</v>
      </c>
    </row>
    <row r="4945" spans="20:28" x14ac:dyDescent="0.2">
      <c r="T4945" s="358" t="str">
        <f t="shared" si="187"/>
        <v>2009AllSexAllEth19Firearms and explosives</v>
      </c>
      <c r="U4945" s="360">
        <v>2009</v>
      </c>
      <c r="V4945" s="360" t="s">
        <v>17</v>
      </c>
      <c r="W4945" s="360" t="s">
        <v>27</v>
      </c>
      <c r="X4945" s="360">
        <v>19</v>
      </c>
      <c r="Y4945" s="360" t="s">
        <v>42</v>
      </c>
      <c r="Z4945" s="360">
        <v>53</v>
      </c>
      <c r="AA4945" s="360">
        <v>512</v>
      </c>
      <c r="AB4945" s="360">
        <v>10.4</v>
      </c>
    </row>
    <row r="4946" spans="20:28" x14ac:dyDescent="0.2">
      <c r="T4946" s="358" t="str">
        <f t="shared" si="187"/>
        <v>2009AllSexAllEth19Hanging, strangulation and suffocation</v>
      </c>
      <c r="U4946" s="360">
        <v>2009</v>
      </c>
      <c r="V4946" s="360" t="s">
        <v>17</v>
      </c>
      <c r="W4946" s="360" t="s">
        <v>27</v>
      </c>
      <c r="X4946" s="360">
        <v>19</v>
      </c>
      <c r="Y4946" s="360" t="s">
        <v>43</v>
      </c>
      <c r="Z4946" s="360">
        <v>302</v>
      </c>
      <c r="AA4946" s="360">
        <v>512</v>
      </c>
      <c r="AB4946" s="360">
        <v>59</v>
      </c>
    </row>
    <row r="4947" spans="20:28" x14ac:dyDescent="0.2">
      <c r="T4947" s="358" t="str">
        <f t="shared" si="187"/>
        <v>2009AllSexAllEth19Jumping from a high place</v>
      </c>
      <c r="U4947" s="360">
        <v>2009</v>
      </c>
      <c r="V4947" s="360" t="s">
        <v>17</v>
      </c>
      <c r="W4947" s="360" t="s">
        <v>27</v>
      </c>
      <c r="X4947" s="360">
        <v>19</v>
      </c>
      <c r="Y4947" s="360" t="s">
        <v>44</v>
      </c>
      <c r="Z4947" s="360">
        <v>17</v>
      </c>
      <c r="AA4947" s="360">
        <v>512</v>
      </c>
      <c r="AB4947" s="360">
        <v>3.3</v>
      </c>
    </row>
    <row r="4948" spans="20:28" x14ac:dyDescent="0.2">
      <c r="T4948" s="358" t="str">
        <f t="shared" si="187"/>
        <v>2009AllSexAllEth19Other</v>
      </c>
      <c r="U4948" s="360">
        <v>2009</v>
      </c>
      <c r="V4948" s="360" t="s">
        <v>17</v>
      </c>
      <c r="W4948" s="360" t="s">
        <v>27</v>
      </c>
      <c r="X4948" s="360">
        <v>19</v>
      </c>
      <c r="Y4948" s="360" t="s">
        <v>45</v>
      </c>
      <c r="Z4948" s="360">
        <v>15</v>
      </c>
      <c r="AA4948" s="360">
        <v>512</v>
      </c>
      <c r="AB4948" s="360">
        <v>2.9</v>
      </c>
    </row>
    <row r="4949" spans="20:28" x14ac:dyDescent="0.2">
      <c r="T4949" s="358" t="str">
        <f t="shared" si="187"/>
        <v>2009AllSexAllEth19Poisoning by gases and vapours</v>
      </c>
      <c r="U4949" s="360">
        <v>2009</v>
      </c>
      <c r="V4949" s="360" t="s">
        <v>17</v>
      </c>
      <c r="W4949" s="360" t="s">
        <v>27</v>
      </c>
      <c r="X4949" s="360">
        <v>19</v>
      </c>
      <c r="Y4949" s="360" t="s">
        <v>46</v>
      </c>
      <c r="Z4949" s="360">
        <v>50</v>
      </c>
      <c r="AA4949" s="360">
        <v>512</v>
      </c>
      <c r="AB4949" s="360">
        <v>9.8000000000000007</v>
      </c>
    </row>
    <row r="4950" spans="20:28" x14ac:dyDescent="0.2">
      <c r="T4950" s="358" t="str">
        <f t="shared" si="187"/>
        <v>2009AllSexAllEth19Poisoning by solids and liquids</v>
      </c>
      <c r="U4950" s="360">
        <v>2009</v>
      </c>
      <c r="V4950" s="360" t="s">
        <v>17</v>
      </c>
      <c r="W4950" s="360" t="s">
        <v>27</v>
      </c>
      <c r="X4950" s="360">
        <v>19</v>
      </c>
      <c r="Y4950" s="360" t="s">
        <v>47</v>
      </c>
      <c r="Z4950" s="360">
        <v>59</v>
      </c>
      <c r="AA4950" s="360">
        <v>512</v>
      </c>
      <c r="AB4950" s="360">
        <v>11.5</v>
      </c>
    </row>
    <row r="4951" spans="20:28" x14ac:dyDescent="0.2">
      <c r="T4951" s="358" t="str">
        <f t="shared" si="187"/>
        <v>2009AllSexAllEth19Sharp object</v>
      </c>
      <c r="U4951" s="360">
        <v>2009</v>
      </c>
      <c r="V4951" s="360" t="s">
        <v>17</v>
      </c>
      <c r="W4951" s="360" t="s">
        <v>27</v>
      </c>
      <c r="X4951" s="360">
        <v>19</v>
      </c>
      <c r="Y4951" s="360" t="s">
        <v>48</v>
      </c>
      <c r="Z4951" s="360">
        <v>10</v>
      </c>
      <c r="AA4951" s="360">
        <v>512</v>
      </c>
      <c r="AB4951" s="360">
        <v>2</v>
      </c>
    </row>
    <row r="4952" spans="20:28" x14ac:dyDescent="0.2">
      <c r="T4952" s="358" t="str">
        <f t="shared" si="187"/>
        <v>2009AllSexAllEth19Submersion (drowning)</v>
      </c>
      <c r="U4952" s="360">
        <v>2009</v>
      </c>
      <c r="V4952" s="360" t="s">
        <v>17</v>
      </c>
      <c r="W4952" s="360" t="s">
        <v>27</v>
      </c>
      <c r="X4952" s="360">
        <v>19</v>
      </c>
      <c r="Y4952" s="360" t="s">
        <v>49</v>
      </c>
      <c r="Z4952" s="360">
        <v>6</v>
      </c>
      <c r="AA4952" s="360">
        <v>512</v>
      </c>
      <c r="AB4952" s="360">
        <v>1.2</v>
      </c>
    </row>
    <row r="4953" spans="20:28" x14ac:dyDescent="0.2">
      <c r="T4953" s="358" t="str">
        <f t="shared" si="187"/>
        <v>2009AllSexMaori19Firearms and explosives</v>
      </c>
      <c r="U4953" s="360">
        <v>2009</v>
      </c>
      <c r="V4953" s="360" t="s">
        <v>17</v>
      </c>
      <c r="W4953" s="360" t="s">
        <v>18</v>
      </c>
      <c r="X4953" s="360">
        <v>19</v>
      </c>
      <c r="Y4953" s="360" t="s">
        <v>42</v>
      </c>
      <c r="Z4953" s="360">
        <v>3</v>
      </c>
      <c r="AA4953" s="360">
        <v>83</v>
      </c>
      <c r="AB4953" s="360">
        <v>3.6</v>
      </c>
    </row>
    <row r="4954" spans="20:28" x14ac:dyDescent="0.2">
      <c r="T4954" s="358" t="str">
        <f t="shared" si="187"/>
        <v>2009AllSexMaori19Hanging, strangulation and suffocation</v>
      </c>
      <c r="U4954" s="360">
        <v>2009</v>
      </c>
      <c r="V4954" s="360" t="s">
        <v>17</v>
      </c>
      <c r="W4954" s="360" t="s">
        <v>18</v>
      </c>
      <c r="X4954" s="360">
        <v>19</v>
      </c>
      <c r="Y4954" s="360" t="s">
        <v>43</v>
      </c>
      <c r="Z4954" s="360">
        <v>70</v>
      </c>
      <c r="AA4954" s="360">
        <v>83</v>
      </c>
      <c r="AB4954" s="360">
        <v>84.3</v>
      </c>
    </row>
    <row r="4955" spans="20:28" x14ac:dyDescent="0.2">
      <c r="T4955" s="358" t="str">
        <f t="shared" si="187"/>
        <v>2009AllSexMaori19Jumping from a high place</v>
      </c>
      <c r="U4955" s="360">
        <v>2009</v>
      </c>
      <c r="V4955" s="360" t="s">
        <v>17</v>
      </c>
      <c r="W4955" s="360" t="s">
        <v>18</v>
      </c>
      <c r="X4955" s="360">
        <v>19</v>
      </c>
      <c r="Y4955" s="360" t="s">
        <v>44</v>
      </c>
      <c r="Z4955" s="360">
        <v>3</v>
      </c>
      <c r="AA4955" s="360">
        <v>83</v>
      </c>
      <c r="AB4955" s="360">
        <v>3.6</v>
      </c>
    </row>
    <row r="4956" spans="20:28" x14ac:dyDescent="0.2">
      <c r="T4956" s="358" t="str">
        <f t="shared" si="187"/>
        <v>2009AllSexMaori19Poisoning by gases and vapours</v>
      </c>
      <c r="U4956" s="360">
        <v>2009</v>
      </c>
      <c r="V4956" s="360" t="s">
        <v>17</v>
      </c>
      <c r="W4956" s="360" t="s">
        <v>18</v>
      </c>
      <c r="X4956" s="360">
        <v>19</v>
      </c>
      <c r="Y4956" s="360" t="s">
        <v>46</v>
      </c>
      <c r="Z4956" s="360">
        <v>3</v>
      </c>
      <c r="AA4956" s="360">
        <v>83</v>
      </c>
      <c r="AB4956" s="360">
        <v>3.6</v>
      </c>
    </row>
    <row r="4957" spans="20:28" x14ac:dyDescent="0.2">
      <c r="T4957" s="358" t="str">
        <f t="shared" si="187"/>
        <v>2009AllSexMaori19Poisoning by solids and liquids</v>
      </c>
      <c r="U4957" s="360">
        <v>2009</v>
      </c>
      <c r="V4957" s="360" t="s">
        <v>17</v>
      </c>
      <c r="W4957" s="360" t="s">
        <v>18</v>
      </c>
      <c r="X4957" s="360">
        <v>19</v>
      </c>
      <c r="Y4957" s="360" t="s">
        <v>47</v>
      </c>
      <c r="Z4957" s="360">
        <v>4</v>
      </c>
      <c r="AA4957" s="360">
        <v>83</v>
      </c>
      <c r="AB4957" s="360">
        <v>4.8</v>
      </c>
    </row>
    <row r="4958" spans="20:28" x14ac:dyDescent="0.2">
      <c r="T4958" s="358" t="str">
        <f t="shared" si="187"/>
        <v>2009AllSexNon-Maori19Firearms and explosives</v>
      </c>
      <c r="U4958" s="360">
        <v>2009</v>
      </c>
      <c r="V4958" s="360" t="s">
        <v>17</v>
      </c>
      <c r="W4958" s="360" t="s">
        <v>19</v>
      </c>
      <c r="X4958" s="360">
        <v>19</v>
      </c>
      <c r="Y4958" s="360" t="s">
        <v>42</v>
      </c>
      <c r="Z4958" s="360">
        <v>50</v>
      </c>
      <c r="AA4958" s="360">
        <v>429</v>
      </c>
      <c r="AB4958" s="360">
        <v>11.7</v>
      </c>
    </row>
    <row r="4959" spans="20:28" x14ac:dyDescent="0.2">
      <c r="T4959" s="358" t="str">
        <f t="shared" si="187"/>
        <v>2009AllSexNon-Maori19Hanging, strangulation and suffocation</v>
      </c>
      <c r="U4959" s="360">
        <v>2009</v>
      </c>
      <c r="V4959" s="360" t="s">
        <v>17</v>
      </c>
      <c r="W4959" s="360" t="s">
        <v>19</v>
      </c>
      <c r="X4959" s="360">
        <v>19</v>
      </c>
      <c r="Y4959" s="360" t="s">
        <v>43</v>
      </c>
      <c r="Z4959" s="360">
        <v>232</v>
      </c>
      <c r="AA4959" s="360">
        <v>429</v>
      </c>
      <c r="AB4959" s="360">
        <v>54.1</v>
      </c>
    </row>
    <row r="4960" spans="20:28" x14ac:dyDescent="0.2">
      <c r="T4960" s="358" t="str">
        <f t="shared" si="187"/>
        <v>2009AllSexNon-Maori19Jumping from a high place</v>
      </c>
      <c r="U4960" s="360">
        <v>2009</v>
      </c>
      <c r="V4960" s="360" t="s">
        <v>17</v>
      </c>
      <c r="W4960" s="360" t="s">
        <v>19</v>
      </c>
      <c r="X4960" s="360">
        <v>19</v>
      </c>
      <c r="Y4960" s="360" t="s">
        <v>44</v>
      </c>
      <c r="Z4960" s="360">
        <v>14</v>
      </c>
      <c r="AA4960" s="360">
        <v>429</v>
      </c>
      <c r="AB4960" s="360">
        <v>3.3</v>
      </c>
    </row>
    <row r="4961" spans="20:28" x14ac:dyDescent="0.2">
      <c r="T4961" s="358" t="str">
        <f t="shared" si="187"/>
        <v>2009AllSexNon-Maori19Other</v>
      </c>
      <c r="U4961" s="360">
        <v>2009</v>
      </c>
      <c r="V4961" s="360" t="s">
        <v>17</v>
      </c>
      <c r="W4961" s="360" t="s">
        <v>19</v>
      </c>
      <c r="X4961" s="360">
        <v>19</v>
      </c>
      <c r="Y4961" s="360" t="s">
        <v>45</v>
      </c>
      <c r="Z4961" s="360">
        <v>15</v>
      </c>
      <c r="AA4961" s="360">
        <v>429</v>
      </c>
      <c r="AB4961" s="360">
        <v>3.5</v>
      </c>
    </row>
    <row r="4962" spans="20:28" x14ac:dyDescent="0.2">
      <c r="T4962" s="358" t="str">
        <f t="shared" si="187"/>
        <v>2009AllSexNon-Maori19Poisoning by gases and vapours</v>
      </c>
      <c r="U4962" s="360">
        <v>2009</v>
      </c>
      <c r="V4962" s="360" t="s">
        <v>17</v>
      </c>
      <c r="W4962" s="360" t="s">
        <v>19</v>
      </c>
      <c r="X4962" s="360">
        <v>19</v>
      </c>
      <c r="Y4962" s="360" t="s">
        <v>46</v>
      </c>
      <c r="Z4962" s="360">
        <v>47</v>
      </c>
      <c r="AA4962" s="360">
        <v>429</v>
      </c>
      <c r="AB4962" s="360">
        <v>11</v>
      </c>
    </row>
    <row r="4963" spans="20:28" x14ac:dyDescent="0.2">
      <c r="T4963" s="358" t="str">
        <f t="shared" si="187"/>
        <v>2009AllSexNon-Maori19Poisoning by solids and liquids</v>
      </c>
      <c r="U4963" s="360">
        <v>2009</v>
      </c>
      <c r="V4963" s="360" t="s">
        <v>17</v>
      </c>
      <c r="W4963" s="360" t="s">
        <v>19</v>
      </c>
      <c r="X4963" s="360">
        <v>19</v>
      </c>
      <c r="Y4963" s="360" t="s">
        <v>47</v>
      </c>
      <c r="Z4963" s="360">
        <v>55</v>
      </c>
      <c r="AA4963" s="360">
        <v>429</v>
      </c>
      <c r="AB4963" s="360">
        <v>12.8</v>
      </c>
    </row>
    <row r="4964" spans="20:28" x14ac:dyDescent="0.2">
      <c r="T4964" s="358" t="str">
        <f t="shared" si="187"/>
        <v>2009AllSexNon-Maori19Sharp object</v>
      </c>
      <c r="U4964" s="360">
        <v>2009</v>
      </c>
      <c r="V4964" s="360" t="s">
        <v>17</v>
      </c>
      <c r="W4964" s="360" t="s">
        <v>19</v>
      </c>
      <c r="X4964" s="360">
        <v>19</v>
      </c>
      <c r="Y4964" s="360" t="s">
        <v>48</v>
      </c>
      <c r="Z4964" s="360">
        <v>10</v>
      </c>
      <c r="AA4964" s="360">
        <v>429</v>
      </c>
      <c r="AB4964" s="360">
        <v>2.2999999999999998</v>
      </c>
    </row>
    <row r="4965" spans="20:28" x14ac:dyDescent="0.2">
      <c r="T4965" s="358" t="str">
        <f t="shared" si="187"/>
        <v>2009AllSexNon-Maori19Submersion (drowning)</v>
      </c>
      <c r="U4965" s="360">
        <v>2009</v>
      </c>
      <c r="V4965" s="360" t="s">
        <v>17</v>
      </c>
      <c r="W4965" s="360" t="s">
        <v>19</v>
      </c>
      <c r="X4965" s="360">
        <v>19</v>
      </c>
      <c r="Y4965" s="360" t="s">
        <v>49</v>
      </c>
      <c r="Z4965" s="360">
        <v>6</v>
      </c>
      <c r="AA4965" s="360">
        <v>429</v>
      </c>
      <c r="AB4965" s="360">
        <v>1.4</v>
      </c>
    </row>
    <row r="4966" spans="20:28" x14ac:dyDescent="0.2">
      <c r="T4966" s="358" t="str">
        <f t="shared" si="187"/>
        <v>2009FemaleAllEth19Hanging, strangulation and suffocation</v>
      </c>
      <c r="U4966" s="360">
        <v>2009</v>
      </c>
      <c r="V4966" s="360" t="s">
        <v>8</v>
      </c>
      <c r="W4966" s="360" t="s">
        <v>27</v>
      </c>
      <c r="X4966" s="360">
        <v>19</v>
      </c>
      <c r="Y4966" s="360" t="s">
        <v>43</v>
      </c>
      <c r="Z4966" s="360">
        <v>64</v>
      </c>
      <c r="AA4966" s="360">
        <v>118</v>
      </c>
      <c r="AB4966" s="360">
        <v>54.2</v>
      </c>
    </row>
    <row r="4967" spans="20:28" x14ac:dyDescent="0.2">
      <c r="T4967" s="358" t="str">
        <f t="shared" si="187"/>
        <v>2009FemaleAllEth19Jumping from a high place</v>
      </c>
      <c r="U4967" s="360">
        <v>2009</v>
      </c>
      <c r="V4967" s="360" t="s">
        <v>8</v>
      </c>
      <c r="W4967" s="360" t="s">
        <v>27</v>
      </c>
      <c r="X4967" s="360">
        <v>19</v>
      </c>
      <c r="Y4967" s="360" t="s">
        <v>44</v>
      </c>
      <c r="Z4967" s="360">
        <v>5</v>
      </c>
      <c r="AA4967" s="360">
        <v>118</v>
      </c>
      <c r="AB4967" s="360">
        <v>4.2</v>
      </c>
    </row>
    <row r="4968" spans="20:28" x14ac:dyDescent="0.2">
      <c r="T4968" s="358" t="str">
        <f t="shared" si="187"/>
        <v>2009FemaleAllEth19Other</v>
      </c>
      <c r="U4968" s="360">
        <v>2009</v>
      </c>
      <c r="V4968" s="360" t="s">
        <v>8</v>
      </c>
      <c r="W4968" s="360" t="s">
        <v>27</v>
      </c>
      <c r="X4968" s="360">
        <v>19</v>
      </c>
      <c r="Y4968" s="360" t="s">
        <v>45</v>
      </c>
      <c r="Z4968" s="360">
        <v>6</v>
      </c>
      <c r="AA4968" s="360">
        <v>118</v>
      </c>
      <c r="AB4968" s="360">
        <v>5.0999999999999996</v>
      </c>
    </row>
    <row r="4969" spans="20:28" x14ac:dyDescent="0.2">
      <c r="T4969" s="358" t="str">
        <f t="shared" si="187"/>
        <v>2009FemaleAllEth19Poisoning by gases and vapours</v>
      </c>
      <c r="U4969" s="360">
        <v>2009</v>
      </c>
      <c r="V4969" s="360" t="s">
        <v>8</v>
      </c>
      <c r="W4969" s="360" t="s">
        <v>27</v>
      </c>
      <c r="X4969" s="360">
        <v>19</v>
      </c>
      <c r="Y4969" s="360" t="s">
        <v>46</v>
      </c>
      <c r="Z4969" s="360">
        <v>11</v>
      </c>
      <c r="AA4969" s="360">
        <v>118</v>
      </c>
      <c r="AB4969" s="360">
        <v>9.3000000000000007</v>
      </c>
    </row>
    <row r="4970" spans="20:28" x14ac:dyDescent="0.2">
      <c r="T4970" s="358" t="str">
        <f t="shared" si="187"/>
        <v>2009FemaleAllEth19Poisoning by solids and liquids</v>
      </c>
      <c r="U4970" s="360">
        <v>2009</v>
      </c>
      <c r="V4970" s="360" t="s">
        <v>8</v>
      </c>
      <c r="W4970" s="360" t="s">
        <v>27</v>
      </c>
      <c r="X4970" s="360">
        <v>19</v>
      </c>
      <c r="Y4970" s="360" t="s">
        <v>47</v>
      </c>
      <c r="Z4970" s="360">
        <v>27</v>
      </c>
      <c r="AA4970" s="360">
        <v>118</v>
      </c>
      <c r="AB4970" s="360">
        <v>22.9</v>
      </c>
    </row>
    <row r="4971" spans="20:28" x14ac:dyDescent="0.2">
      <c r="T4971" s="358" t="str">
        <f t="shared" si="187"/>
        <v>2009FemaleAllEth19Sharp object</v>
      </c>
      <c r="U4971" s="360">
        <v>2009</v>
      </c>
      <c r="V4971" s="360" t="s">
        <v>8</v>
      </c>
      <c r="W4971" s="360" t="s">
        <v>27</v>
      </c>
      <c r="X4971" s="360">
        <v>19</v>
      </c>
      <c r="Y4971" s="360" t="s">
        <v>48</v>
      </c>
      <c r="Z4971" s="360">
        <v>2</v>
      </c>
      <c r="AA4971" s="360">
        <v>118</v>
      </c>
      <c r="AB4971" s="360">
        <v>1.7</v>
      </c>
    </row>
    <row r="4972" spans="20:28" x14ac:dyDescent="0.2">
      <c r="T4972" s="358" t="str">
        <f t="shared" si="187"/>
        <v>2009FemaleAllEth19Submersion (drowning)</v>
      </c>
      <c r="U4972" s="360">
        <v>2009</v>
      </c>
      <c r="V4972" s="360" t="s">
        <v>8</v>
      </c>
      <c r="W4972" s="360" t="s">
        <v>27</v>
      </c>
      <c r="X4972" s="360">
        <v>19</v>
      </c>
      <c r="Y4972" s="360" t="s">
        <v>49</v>
      </c>
      <c r="Z4972" s="360">
        <v>3</v>
      </c>
      <c r="AA4972" s="360">
        <v>118</v>
      </c>
      <c r="AB4972" s="360">
        <v>2.5</v>
      </c>
    </row>
    <row r="4973" spans="20:28" x14ac:dyDescent="0.2">
      <c r="T4973" s="358" t="str">
        <f t="shared" si="187"/>
        <v>2009FemaleMaori19Hanging, strangulation and suffocation</v>
      </c>
      <c r="U4973" s="360">
        <v>2009</v>
      </c>
      <c r="V4973" s="360" t="s">
        <v>8</v>
      </c>
      <c r="W4973" s="360" t="s">
        <v>18</v>
      </c>
      <c r="X4973" s="360">
        <v>19</v>
      </c>
      <c r="Y4973" s="360" t="s">
        <v>43</v>
      </c>
      <c r="Z4973" s="360">
        <v>22</v>
      </c>
      <c r="AA4973" s="360">
        <v>25</v>
      </c>
      <c r="AB4973" s="360">
        <v>88</v>
      </c>
    </row>
    <row r="4974" spans="20:28" x14ac:dyDescent="0.2">
      <c r="T4974" s="358" t="str">
        <f t="shared" si="187"/>
        <v>2009FemaleMaori19Poisoning by gases and vapours</v>
      </c>
      <c r="U4974" s="360">
        <v>2009</v>
      </c>
      <c r="V4974" s="360" t="s">
        <v>8</v>
      </c>
      <c r="W4974" s="360" t="s">
        <v>18</v>
      </c>
      <c r="X4974" s="360">
        <v>19</v>
      </c>
      <c r="Y4974" s="360" t="s">
        <v>46</v>
      </c>
      <c r="Z4974" s="360">
        <v>1</v>
      </c>
      <c r="AA4974" s="360">
        <v>25</v>
      </c>
      <c r="AB4974" s="360">
        <v>4</v>
      </c>
    </row>
    <row r="4975" spans="20:28" x14ac:dyDescent="0.2">
      <c r="T4975" s="358" t="str">
        <f t="shared" si="187"/>
        <v>2009FemaleMaori19Poisoning by solids and liquids</v>
      </c>
      <c r="U4975" s="360">
        <v>2009</v>
      </c>
      <c r="V4975" s="360" t="s">
        <v>8</v>
      </c>
      <c r="W4975" s="360" t="s">
        <v>18</v>
      </c>
      <c r="X4975" s="360">
        <v>19</v>
      </c>
      <c r="Y4975" s="360" t="s">
        <v>47</v>
      </c>
      <c r="Z4975" s="360">
        <v>2</v>
      </c>
      <c r="AA4975" s="360">
        <v>25</v>
      </c>
      <c r="AB4975" s="360">
        <v>8</v>
      </c>
    </row>
    <row r="4976" spans="20:28" x14ac:dyDescent="0.2">
      <c r="T4976" s="358" t="str">
        <f t="shared" si="187"/>
        <v>2009FemaleNon-Maori19Hanging, strangulation and suffocation</v>
      </c>
      <c r="U4976" s="360">
        <v>2009</v>
      </c>
      <c r="V4976" s="360" t="s">
        <v>8</v>
      </c>
      <c r="W4976" s="360" t="s">
        <v>19</v>
      </c>
      <c r="X4976" s="360">
        <v>19</v>
      </c>
      <c r="Y4976" s="360" t="s">
        <v>43</v>
      </c>
      <c r="Z4976" s="360">
        <v>42</v>
      </c>
      <c r="AA4976" s="360">
        <v>93</v>
      </c>
      <c r="AB4976" s="360">
        <v>45.2</v>
      </c>
    </row>
    <row r="4977" spans="20:28" x14ac:dyDescent="0.2">
      <c r="T4977" s="358" t="str">
        <f t="shared" si="187"/>
        <v>2009FemaleNon-Maori19Jumping from a high place</v>
      </c>
      <c r="U4977" s="360">
        <v>2009</v>
      </c>
      <c r="V4977" s="360" t="s">
        <v>8</v>
      </c>
      <c r="W4977" s="360" t="s">
        <v>19</v>
      </c>
      <c r="X4977" s="360">
        <v>19</v>
      </c>
      <c r="Y4977" s="360" t="s">
        <v>44</v>
      </c>
      <c r="Z4977" s="360">
        <v>5</v>
      </c>
      <c r="AA4977" s="360">
        <v>93</v>
      </c>
      <c r="AB4977" s="360">
        <v>5.4</v>
      </c>
    </row>
    <row r="4978" spans="20:28" x14ac:dyDescent="0.2">
      <c r="T4978" s="358" t="str">
        <f t="shared" si="187"/>
        <v>2009FemaleNon-Maori19Other</v>
      </c>
      <c r="U4978" s="360">
        <v>2009</v>
      </c>
      <c r="V4978" s="360" t="s">
        <v>8</v>
      </c>
      <c r="W4978" s="360" t="s">
        <v>19</v>
      </c>
      <c r="X4978" s="360">
        <v>19</v>
      </c>
      <c r="Y4978" s="360" t="s">
        <v>45</v>
      </c>
      <c r="Z4978" s="360">
        <v>6</v>
      </c>
      <c r="AA4978" s="360">
        <v>93</v>
      </c>
      <c r="AB4978" s="360">
        <v>6.5</v>
      </c>
    </row>
    <row r="4979" spans="20:28" x14ac:dyDescent="0.2">
      <c r="T4979" s="358" t="str">
        <f t="shared" si="187"/>
        <v>2009FemaleNon-Maori19Poisoning by gases and vapours</v>
      </c>
      <c r="U4979" s="360">
        <v>2009</v>
      </c>
      <c r="V4979" s="360" t="s">
        <v>8</v>
      </c>
      <c r="W4979" s="360" t="s">
        <v>19</v>
      </c>
      <c r="X4979" s="360">
        <v>19</v>
      </c>
      <c r="Y4979" s="360" t="s">
        <v>46</v>
      </c>
      <c r="Z4979" s="360">
        <v>10</v>
      </c>
      <c r="AA4979" s="360">
        <v>93</v>
      </c>
      <c r="AB4979" s="360">
        <v>10.8</v>
      </c>
    </row>
    <row r="4980" spans="20:28" x14ac:dyDescent="0.2">
      <c r="T4980" s="358" t="str">
        <f t="shared" si="187"/>
        <v>2009FemaleNon-Maori19Poisoning by solids and liquids</v>
      </c>
      <c r="U4980" s="360">
        <v>2009</v>
      </c>
      <c r="V4980" s="360" t="s">
        <v>8</v>
      </c>
      <c r="W4980" s="360" t="s">
        <v>19</v>
      </c>
      <c r="X4980" s="360">
        <v>19</v>
      </c>
      <c r="Y4980" s="360" t="s">
        <v>47</v>
      </c>
      <c r="Z4980" s="360">
        <v>25</v>
      </c>
      <c r="AA4980" s="360">
        <v>93</v>
      </c>
      <c r="AB4980" s="360">
        <v>26.9</v>
      </c>
    </row>
    <row r="4981" spans="20:28" x14ac:dyDescent="0.2">
      <c r="T4981" s="358" t="str">
        <f t="shared" si="187"/>
        <v>2009FemaleNon-Maori19Sharp object</v>
      </c>
      <c r="U4981" s="360">
        <v>2009</v>
      </c>
      <c r="V4981" s="360" t="s">
        <v>8</v>
      </c>
      <c r="W4981" s="360" t="s">
        <v>19</v>
      </c>
      <c r="X4981" s="360">
        <v>19</v>
      </c>
      <c r="Y4981" s="360" t="s">
        <v>48</v>
      </c>
      <c r="Z4981" s="360">
        <v>2</v>
      </c>
      <c r="AA4981" s="360">
        <v>93</v>
      </c>
      <c r="AB4981" s="360">
        <v>2.2000000000000002</v>
      </c>
    </row>
    <row r="4982" spans="20:28" x14ac:dyDescent="0.2">
      <c r="T4982" s="358" t="str">
        <f t="shared" si="187"/>
        <v>2009FemaleNon-Maori19Submersion (drowning)</v>
      </c>
      <c r="U4982" s="360">
        <v>2009</v>
      </c>
      <c r="V4982" s="360" t="s">
        <v>8</v>
      </c>
      <c r="W4982" s="360" t="s">
        <v>19</v>
      </c>
      <c r="X4982" s="360">
        <v>19</v>
      </c>
      <c r="Y4982" s="360" t="s">
        <v>49</v>
      </c>
      <c r="Z4982" s="360">
        <v>3</v>
      </c>
      <c r="AA4982" s="360">
        <v>93</v>
      </c>
      <c r="AB4982" s="360">
        <v>3.2</v>
      </c>
    </row>
    <row r="4983" spans="20:28" x14ac:dyDescent="0.2">
      <c r="T4983" s="358" t="str">
        <f t="shared" si="187"/>
        <v>2009MaleAllEth19Firearms and explosives</v>
      </c>
      <c r="U4983" s="360">
        <v>2009</v>
      </c>
      <c r="V4983" s="360" t="s">
        <v>20</v>
      </c>
      <c r="W4983" s="360" t="s">
        <v>27</v>
      </c>
      <c r="X4983" s="360">
        <v>19</v>
      </c>
      <c r="Y4983" s="360" t="s">
        <v>42</v>
      </c>
      <c r="Z4983" s="360">
        <v>53</v>
      </c>
      <c r="AA4983" s="360">
        <v>394</v>
      </c>
      <c r="AB4983" s="360">
        <v>13.5</v>
      </c>
    </row>
    <row r="4984" spans="20:28" x14ac:dyDescent="0.2">
      <c r="T4984" s="358" t="str">
        <f t="shared" si="187"/>
        <v>2009MaleAllEth19Hanging, strangulation and suffocation</v>
      </c>
      <c r="U4984" s="360">
        <v>2009</v>
      </c>
      <c r="V4984" s="360" t="s">
        <v>20</v>
      </c>
      <c r="W4984" s="360" t="s">
        <v>27</v>
      </c>
      <c r="X4984" s="360">
        <v>19</v>
      </c>
      <c r="Y4984" s="360" t="s">
        <v>43</v>
      </c>
      <c r="Z4984" s="360">
        <v>238</v>
      </c>
      <c r="AA4984" s="360">
        <v>394</v>
      </c>
      <c r="AB4984" s="360">
        <v>60.4</v>
      </c>
    </row>
    <row r="4985" spans="20:28" x14ac:dyDescent="0.2">
      <c r="T4985" s="358" t="str">
        <f t="shared" si="187"/>
        <v>2009MaleAllEth19Jumping from a high place</v>
      </c>
      <c r="U4985" s="360">
        <v>2009</v>
      </c>
      <c r="V4985" s="360" t="s">
        <v>20</v>
      </c>
      <c r="W4985" s="360" t="s">
        <v>27</v>
      </c>
      <c r="X4985" s="360">
        <v>19</v>
      </c>
      <c r="Y4985" s="360" t="s">
        <v>44</v>
      </c>
      <c r="Z4985" s="360">
        <v>12</v>
      </c>
      <c r="AA4985" s="360">
        <v>394</v>
      </c>
      <c r="AB4985" s="360">
        <v>3</v>
      </c>
    </row>
    <row r="4986" spans="20:28" x14ac:dyDescent="0.2">
      <c r="T4986" s="358" t="str">
        <f t="shared" si="187"/>
        <v>2009MaleAllEth19Other</v>
      </c>
      <c r="U4986" s="360">
        <v>2009</v>
      </c>
      <c r="V4986" s="360" t="s">
        <v>20</v>
      </c>
      <c r="W4986" s="360" t="s">
        <v>27</v>
      </c>
      <c r="X4986" s="360">
        <v>19</v>
      </c>
      <c r="Y4986" s="360" t="s">
        <v>45</v>
      </c>
      <c r="Z4986" s="360">
        <v>9</v>
      </c>
      <c r="AA4986" s="360">
        <v>394</v>
      </c>
      <c r="AB4986" s="360">
        <v>2.2999999999999998</v>
      </c>
    </row>
    <row r="4987" spans="20:28" x14ac:dyDescent="0.2">
      <c r="T4987" s="358" t="str">
        <f t="shared" si="187"/>
        <v>2009MaleAllEth19Poisoning by gases and vapours</v>
      </c>
      <c r="U4987" s="360">
        <v>2009</v>
      </c>
      <c r="V4987" s="360" t="s">
        <v>20</v>
      </c>
      <c r="W4987" s="360" t="s">
        <v>27</v>
      </c>
      <c r="X4987" s="360">
        <v>19</v>
      </c>
      <c r="Y4987" s="360" t="s">
        <v>46</v>
      </c>
      <c r="Z4987" s="360">
        <v>39</v>
      </c>
      <c r="AA4987" s="360">
        <v>394</v>
      </c>
      <c r="AB4987" s="360">
        <v>9.9</v>
      </c>
    </row>
    <row r="4988" spans="20:28" x14ac:dyDescent="0.2">
      <c r="T4988" s="358" t="str">
        <f t="shared" si="187"/>
        <v>2009MaleAllEth19Poisoning by solids and liquids</v>
      </c>
      <c r="U4988" s="360">
        <v>2009</v>
      </c>
      <c r="V4988" s="360" t="s">
        <v>20</v>
      </c>
      <c r="W4988" s="360" t="s">
        <v>27</v>
      </c>
      <c r="X4988" s="360">
        <v>19</v>
      </c>
      <c r="Y4988" s="360" t="s">
        <v>47</v>
      </c>
      <c r="Z4988" s="360">
        <v>32</v>
      </c>
      <c r="AA4988" s="360">
        <v>394</v>
      </c>
      <c r="AB4988" s="360">
        <v>8.1</v>
      </c>
    </row>
    <row r="4989" spans="20:28" x14ac:dyDescent="0.2">
      <c r="T4989" s="358" t="str">
        <f t="shared" si="187"/>
        <v>2009MaleAllEth19Sharp object</v>
      </c>
      <c r="U4989" s="360">
        <v>2009</v>
      </c>
      <c r="V4989" s="360" t="s">
        <v>20</v>
      </c>
      <c r="W4989" s="360" t="s">
        <v>27</v>
      </c>
      <c r="X4989" s="360">
        <v>19</v>
      </c>
      <c r="Y4989" s="360" t="s">
        <v>48</v>
      </c>
      <c r="Z4989" s="360">
        <v>8</v>
      </c>
      <c r="AA4989" s="360">
        <v>394</v>
      </c>
      <c r="AB4989" s="360">
        <v>2</v>
      </c>
    </row>
    <row r="4990" spans="20:28" x14ac:dyDescent="0.2">
      <c r="T4990" s="358" t="str">
        <f t="shared" si="187"/>
        <v>2009MaleAllEth19Submersion (drowning)</v>
      </c>
      <c r="U4990" s="360">
        <v>2009</v>
      </c>
      <c r="V4990" s="360" t="s">
        <v>20</v>
      </c>
      <c r="W4990" s="360" t="s">
        <v>27</v>
      </c>
      <c r="X4990" s="360">
        <v>19</v>
      </c>
      <c r="Y4990" s="360" t="s">
        <v>49</v>
      </c>
      <c r="Z4990" s="360">
        <v>3</v>
      </c>
      <c r="AA4990" s="360">
        <v>394</v>
      </c>
      <c r="AB4990" s="360">
        <v>0.8</v>
      </c>
    </row>
    <row r="4991" spans="20:28" x14ac:dyDescent="0.2">
      <c r="T4991" s="358" t="str">
        <f t="shared" si="187"/>
        <v>2009MaleMaori19Firearms and explosives</v>
      </c>
      <c r="U4991" s="360">
        <v>2009</v>
      </c>
      <c r="V4991" s="360" t="s">
        <v>20</v>
      </c>
      <c r="W4991" s="360" t="s">
        <v>18</v>
      </c>
      <c r="X4991" s="360">
        <v>19</v>
      </c>
      <c r="Y4991" s="360" t="s">
        <v>42</v>
      </c>
      <c r="Z4991" s="360">
        <v>3</v>
      </c>
      <c r="AA4991" s="360">
        <v>58</v>
      </c>
      <c r="AB4991" s="360">
        <v>5.2</v>
      </c>
    </row>
    <row r="4992" spans="20:28" x14ac:dyDescent="0.2">
      <c r="T4992" s="358" t="str">
        <f t="shared" si="187"/>
        <v>2009MaleMaori19Hanging, strangulation and suffocation</v>
      </c>
      <c r="U4992" s="360">
        <v>2009</v>
      </c>
      <c r="V4992" s="360" t="s">
        <v>20</v>
      </c>
      <c r="W4992" s="360" t="s">
        <v>18</v>
      </c>
      <c r="X4992" s="360">
        <v>19</v>
      </c>
      <c r="Y4992" s="360" t="s">
        <v>43</v>
      </c>
      <c r="Z4992" s="360">
        <v>48</v>
      </c>
      <c r="AA4992" s="360">
        <v>58</v>
      </c>
      <c r="AB4992" s="360">
        <v>82.8</v>
      </c>
    </row>
    <row r="4993" spans="20:28" x14ac:dyDescent="0.2">
      <c r="T4993" s="358" t="str">
        <f t="shared" si="187"/>
        <v>2009MaleMaori19Jumping from a high place</v>
      </c>
      <c r="U4993" s="360">
        <v>2009</v>
      </c>
      <c r="V4993" s="360" t="s">
        <v>20</v>
      </c>
      <c r="W4993" s="360" t="s">
        <v>18</v>
      </c>
      <c r="X4993" s="360">
        <v>19</v>
      </c>
      <c r="Y4993" s="360" t="s">
        <v>44</v>
      </c>
      <c r="Z4993" s="360">
        <v>3</v>
      </c>
      <c r="AA4993" s="360">
        <v>58</v>
      </c>
      <c r="AB4993" s="360">
        <v>5.2</v>
      </c>
    </row>
    <row r="4994" spans="20:28" x14ac:dyDescent="0.2">
      <c r="T4994" s="358" t="str">
        <f t="shared" si="187"/>
        <v>2009MaleMaori19Poisoning by gases and vapours</v>
      </c>
      <c r="U4994" s="360">
        <v>2009</v>
      </c>
      <c r="V4994" s="360" t="s">
        <v>20</v>
      </c>
      <c r="W4994" s="360" t="s">
        <v>18</v>
      </c>
      <c r="X4994" s="360">
        <v>19</v>
      </c>
      <c r="Y4994" s="360" t="s">
        <v>46</v>
      </c>
      <c r="Z4994" s="360">
        <v>2</v>
      </c>
      <c r="AA4994" s="360">
        <v>58</v>
      </c>
      <c r="AB4994" s="360">
        <v>3.4</v>
      </c>
    </row>
    <row r="4995" spans="20:28" x14ac:dyDescent="0.2">
      <c r="T4995" s="358" t="str">
        <f t="shared" si="187"/>
        <v>2009MaleMaori19Poisoning by solids and liquids</v>
      </c>
      <c r="U4995" s="360">
        <v>2009</v>
      </c>
      <c r="V4995" s="360" t="s">
        <v>20</v>
      </c>
      <c r="W4995" s="360" t="s">
        <v>18</v>
      </c>
      <c r="X4995" s="360">
        <v>19</v>
      </c>
      <c r="Y4995" s="360" t="s">
        <v>47</v>
      </c>
      <c r="Z4995" s="360">
        <v>2</v>
      </c>
      <c r="AA4995" s="360">
        <v>58</v>
      </c>
      <c r="AB4995" s="360">
        <v>3.4</v>
      </c>
    </row>
    <row r="4996" spans="20:28" x14ac:dyDescent="0.2">
      <c r="T4996" s="358" t="str">
        <f t="shared" si="187"/>
        <v>2009MaleNon-Maori19Firearms and explosives</v>
      </c>
      <c r="U4996" s="360">
        <v>2009</v>
      </c>
      <c r="V4996" s="360" t="s">
        <v>20</v>
      </c>
      <c r="W4996" s="360" t="s">
        <v>19</v>
      </c>
      <c r="X4996" s="360">
        <v>19</v>
      </c>
      <c r="Y4996" s="360" t="s">
        <v>42</v>
      </c>
      <c r="Z4996" s="360">
        <v>50</v>
      </c>
      <c r="AA4996" s="360">
        <v>336</v>
      </c>
      <c r="AB4996" s="360">
        <v>14.9</v>
      </c>
    </row>
    <row r="4997" spans="20:28" x14ac:dyDescent="0.2">
      <c r="T4997" s="358" t="str">
        <f t="shared" ref="T4997:T5060" si="188">U4997&amp;V4997&amp;W4997&amp;X4997&amp;Y4997</f>
        <v>2009MaleNon-Maori19Hanging, strangulation and suffocation</v>
      </c>
      <c r="U4997" s="360">
        <v>2009</v>
      </c>
      <c r="V4997" s="360" t="s">
        <v>20</v>
      </c>
      <c r="W4997" s="360" t="s">
        <v>19</v>
      </c>
      <c r="X4997" s="360">
        <v>19</v>
      </c>
      <c r="Y4997" s="360" t="s">
        <v>43</v>
      </c>
      <c r="Z4997" s="360">
        <v>190</v>
      </c>
      <c r="AA4997" s="360">
        <v>336</v>
      </c>
      <c r="AB4997" s="360">
        <v>56.5</v>
      </c>
    </row>
    <row r="4998" spans="20:28" x14ac:dyDescent="0.2">
      <c r="T4998" s="358" t="str">
        <f t="shared" si="188"/>
        <v>2009MaleNon-Maori19Jumping from a high place</v>
      </c>
      <c r="U4998" s="360">
        <v>2009</v>
      </c>
      <c r="V4998" s="360" t="s">
        <v>20</v>
      </c>
      <c r="W4998" s="360" t="s">
        <v>19</v>
      </c>
      <c r="X4998" s="360">
        <v>19</v>
      </c>
      <c r="Y4998" s="360" t="s">
        <v>44</v>
      </c>
      <c r="Z4998" s="360">
        <v>9</v>
      </c>
      <c r="AA4998" s="360">
        <v>336</v>
      </c>
      <c r="AB4998" s="360">
        <v>2.7</v>
      </c>
    </row>
    <row r="4999" spans="20:28" x14ac:dyDescent="0.2">
      <c r="T4999" s="358" t="str">
        <f t="shared" si="188"/>
        <v>2009MaleNon-Maori19Other</v>
      </c>
      <c r="U4999" s="360">
        <v>2009</v>
      </c>
      <c r="V4999" s="360" t="s">
        <v>20</v>
      </c>
      <c r="W4999" s="360" t="s">
        <v>19</v>
      </c>
      <c r="X4999" s="360">
        <v>19</v>
      </c>
      <c r="Y4999" s="360" t="s">
        <v>45</v>
      </c>
      <c r="Z4999" s="360">
        <v>9</v>
      </c>
      <c r="AA4999" s="360">
        <v>336</v>
      </c>
      <c r="AB4999" s="360">
        <v>2.7</v>
      </c>
    </row>
    <row r="5000" spans="20:28" x14ac:dyDescent="0.2">
      <c r="T5000" s="358" t="str">
        <f t="shared" si="188"/>
        <v>2009MaleNon-Maori19Poisoning by gases and vapours</v>
      </c>
      <c r="U5000" s="360">
        <v>2009</v>
      </c>
      <c r="V5000" s="360" t="s">
        <v>20</v>
      </c>
      <c r="W5000" s="360" t="s">
        <v>19</v>
      </c>
      <c r="X5000" s="360">
        <v>19</v>
      </c>
      <c r="Y5000" s="360" t="s">
        <v>46</v>
      </c>
      <c r="Z5000" s="360">
        <v>37</v>
      </c>
      <c r="AA5000" s="360">
        <v>336</v>
      </c>
      <c r="AB5000" s="360">
        <v>11</v>
      </c>
    </row>
    <row r="5001" spans="20:28" x14ac:dyDescent="0.2">
      <c r="T5001" s="358" t="str">
        <f t="shared" si="188"/>
        <v>2009MaleNon-Maori19Poisoning by solids and liquids</v>
      </c>
      <c r="U5001" s="360">
        <v>2009</v>
      </c>
      <c r="V5001" s="360" t="s">
        <v>20</v>
      </c>
      <c r="W5001" s="360" t="s">
        <v>19</v>
      </c>
      <c r="X5001" s="360">
        <v>19</v>
      </c>
      <c r="Y5001" s="360" t="s">
        <v>47</v>
      </c>
      <c r="Z5001" s="360">
        <v>30</v>
      </c>
      <c r="AA5001" s="360">
        <v>336</v>
      </c>
      <c r="AB5001" s="360">
        <v>8.9</v>
      </c>
    </row>
    <row r="5002" spans="20:28" x14ac:dyDescent="0.2">
      <c r="T5002" s="358" t="str">
        <f t="shared" si="188"/>
        <v>2009MaleNon-Maori19Sharp object</v>
      </c>
      <c r="U5002" s="360">
        <v>2009</v>
      </c>
      <c r="V5002" s="360" t="s">
        <v>20</v>
      </c>
      <c r="W5002" s="360" t="s">
        <v>19</v>
      </c>
      <c r="X5002" s="360">
        <v>19</v>
      </c>
      <c r="Y5002" s="360" t="s">
        <v>48</v>
      </c>
      <c r="Z5002" s="360">
        <v>8</v>
      </c>
      <c r="AA5002" s="360">
        <v>336</v>
      </c>
      <c r="AB5002" s="360">
        <v>2.4</v>
      </c>
    </row>
    <row r="5003" spans="20:28" x14ac:dyDescent="0.2">
      <c r="T5003" s="358" t="str">
        <f t="shared" si="188"/>
        <v>2009MaleNon-Maori19Submersion (drowning)</v>
      </c>
      <c r="U5003" s="360">
        <v>2009</v>
      </c>
      <c r="V5003" s="360" t="s">
        <v>20</v>
      </c>
      <c r="W5003" s="360" t="s">
        <v>19</v>
      </c>
      <c r="X5003" s="360">
        <v>19</v>
      </c>
      <c r="Y5003" s="360" t="s">
        <v>49</v>
      </c>
      <c r="Z5003" s="360">
        <v>3</v>
      </c>
      <c r="AA5003" s="360">
        <v>336</v>
      </c>
      <c r="AB5003" s="360">
        <v>0.9</v>
      </c>
    </row>
    <row r="5004" spans="20:28" x14ac:dyDescent="0.2">
      <c r="T5004" s="358" t="str">
        <f t="shared" si="188"/>
        <v>2010AllSexAllEth19Firearms and explosives</v>
      </c>
      <c r="U5004" s="360">
        <v>2010</v>
      </c>
      <c r="V5004" s="360" t="s">
        <v>17</v>
      </c>
      <c r="W5004" s="360" t="s">
        <v>27</v>
      </c>
      <c r="X5004" s="360">
        <v>19</v>
      </c>
      <c r="Y5004" s="360" t="s">
        <v>42</v>
      </c>
      <c r="Z5004" s="360">
        <v>42</v>
      </c>
      <c r="AA5004" s="360">
        <v>534</v>
      </c>
      <c r="AB5004" s="360">
        <v>7.9</v>
      </c>
    </row>
    <row r="5005" spans="20:28" x14ac:dyDescent="0.2">
      <c r="T5005" s="358" t="str">
        <f t="shared" si="188"/>
        <v>2010AllSexAllEth19Hanging, strangulation and suffocation</v>
      </c>
      <c r="U5005" s="360">
        <v>2010</v>
      </c>
      <c r="V5005" s="360" t="s">
        <v>17</v>
      </c>
      <c r="W5005" s="360" t="s">
        <v>27</v>
      </c>
      <c r="X5005" s="360">
        <v>19</v>
      </c>
      <c r="Y5005" s="360" t="s">
        <v>43</v>
      </c>
      <c r="Z5005" s="360">
        <v>313</v>
      </c>
      <c r="AA5005" s="360">
        <v>534</v>
      </c>
      <c r="AB5005" s="360">
        <v>58.6</v>
      </c>
    </row>
    <row r="5006" spans="20:28" x14ac:dyDescent="0.2">
      <c r="T5006" s="358" t="str">
        <f t="shared" si="188"/>
        <v>2010AllSexAllEth19Jumping from a high place</v>
      </c>
      <c r="U5006" s="360">
        <v>2010</v>
      </c>
      <c r="V5006" s="360" t="s">
        <v>17</v>
      </c>
      <c r="W5006" s="360" t="s">
        <v>27</v>
      </c>
      <c r="X5006" s="360">
        <v>19</v>
      </c>
      <c r="Y5006" s="360" t="s">
        <v>44</v>
      </c>
      <c r="Z5006" s="360">
        <v>13</v>
      </c>
      <c r="AA5006" s="360">
        <v>534</v>
      </c>
      <c r="AB5006" s="360">
        <v>2.4</v>
      </c>
    </row>
    <row r="5007" spans="20:28" x14ac:dyDescent="0.2">
      <c r="T5007" s="358" t="str">
        <f t="shared" si="188"/>
        <v>2010AllSexAllEth19Other</v>
      </c>
      <c r="U5007" s="360">
        <v>2010</v>
      </c>
      <c r="V5007" s="360" t="s">
        <v>17</v>
      </c>
      <c r="W5007" s="360" t="s">
        <v>27</v>
      </c>
      <c r="X5007" s="360">
        <v>19</v>
      </c>
      <c r="Y5007" s="360" t="s">
        <v>45</v>
      </c>
      <c r="Z5007" s="360">
        <v>20</v>
      </c>
      <c r="AA5007" s="360">
        <v>534</v>
      </c>
      <c r="AB5007" s="360">
        <v>3.7</v>
      </c>
    </row>
    <row r="5008" spans="20:28" x14ac:dyDescent="0.2">
      <c r="T5008" s="358" t="str">
        <f t="shared" si="188"/>
        <v>2010AllSexAllEth19Poisoning by gases and vapours</v>
      </c>
      <c r="U5008" s="360">
        <v>2010</v>
      </c>
      <c r="V5008" s="360" t="s">
        <v>17</v>
      </c>
      <c r="W5008" s="360" t="s">
        <v>27</v>
      </c>
      <c r="X5008" s="360">
        <v>19</v>
      </c>
      <c r="Y5008" s="360" t="s">
        <v>46</v>
      </c>
      <c r="Z5008" s="360">
        <v>61</v>
      </c>
      <c r="AA5008" s="360">
        <v>534</v>
      </c>
      <c r="AB5008" s="360">
        <v>11.4</v>
      </c>
    </row>
    <row r="5009" spans="20:28" x14ac:dyDescent="0.2">
      <c r="T5009" s="358" t="str">
        <f t="shared" si="188"/>
        <v>2010AllSexAllEth19Poisoning by solids and liquids</v>
      </c>
      <c r="U5009" s="360">
        <v>2010</v>
      </c>
      <c r="V5009" s="360" t="s">
        <v>17</v>
      </c>
      <c r="W5009" s="360" t="s">
        <v>27</v>
      </c>
      <c r="X5009" s="360">
        <v>19</v>
      </c>
      <c r="Y5009" s="360" t="s">
        <v>47</v>
      </c>
      <c r="Z5009" s="360">
        <v>67</v>
      </c>
      <c r="AA5009" s="360">
        <v>534</v>
      </c>
      <c r="AB5009" s="360">
        <v>12.5</v>
      </c>
    </row>
    <row r="5010" spans="20:28" x14ac:dyDescent="0.2">
      <c r="T5010" s="358" t="str">
        <f t="shared" si="188"/>
        <v>2010AllSexAllEth19Sharp object</v>
      </c>
      <c r="U5010" s="360">
        <v>2010</v>
      </c>
      <c r="V5010" s="360" t="s">
        <v>17</v>
      </c>
      <c r="W5010" s="360" t="s">
        <v>27</v>
      </c>
      <c r="X5010" s="360">
        <v>19</v>
      </c>
      <c r="Y5010" s="360" t="s">
        <v>48</v>
      </c>
      <c r="Z5010" s="360">
        <v>9</v>
      </c>
      <c r="AA5010" s="360">
        <v>534</v>
      </c>
      <c r="AB5010" s="360">
        <v>1.7</v>
      </c>
    </row>
    <row r="5011" spans="20:28" x14ac:dyDescent="0.2">
      <c r="T5011" s="358" t="str">
        <f t="shared" si="188"/>
        <v>2010AllSexAllEth19Submersion (drowning)</v>
      </c>
      <c r="U5011" s="360">
        <v>2010</v>
      </c>
      <c r="V5011" s="360" t="s">
        <v>17</v>
      </c>
      <c r="W5011" s="360" t="s">
        <v>27</v>
      </c>
      <c r="X5011" s="360">
        <v>19</v>
      </c>
      <c r="Y5011" s="360" t="s">
        <v>49</v>
      </c>
      <c r="Z5011" s="360">
        <v>9</v>
      </c>
      <c r="AA5011" s="360">
        <v>534</v>
      </c>
      <c r="AB5011" s="360">
        <v>1.7</v>
      </c>
    </row>
    <row r="5012" spans="20:28" x14ac:dyDescent="0.2">
      <c r="T5012" s="358" t="str">
        <f t="shared" si="188"/>
        <v>2010AllSexMaori19Firearms and explosives</v>
      </c>
      <c r="U5012" s="360">
        <v>2010</v>
      </c>
      <c r="V5012" s="360" t="s">
        <v>17</v>
      </c>
      <c r="W5012" s="360" t="s">
        <v>18</v>
      </c>
      <c r="X5012" s="360">
        <v>19</v>
      </c>
      <c r="Y5012" s="360" t="s">
        <v>42</v>
      </c>
      <c r="Z5012" s="360">
        <v>4</v>
      </c>
      <c r="AA5012" s="360">
        <v>102</v>
      </c>
      <c r="AB5012" s="360">
        <v>3.9</v>
      </c>
    </row>
    <row r="5013" spans="20:28" x14ac:dyDescent="0.2">
      <c r="T5013" s="358" t="str">
        <f t="shared" si="188"/>
        <v>2010AllSexMaori19Hanging, strangulation and suffocation</v>
      </c>
      <c r="U5013" s="360">
        <v>2010</v>
      </c>
      <c r="V5013" s="360" t="s">
        <v>17</v>
      </c>
      <c r="W5013" s="360" t="s">
        <v>18</v>
      </c>
      <c r="X5013" s="360">
        <v>19</v>
      </c>
      <c r="Y5013" s="360" t="s">
        <v>43</v>
      </c>
      <c r="Z5013" s="360">
        <v>78</v>
      </c>
      <c r="AA5013" s="360">
        <v>102</v>
      </c>
      <c r="AB5013" s="360">
        <v>76.5</v>
      </c>
    </row>
    <row r="5014" spans="20:28" x14ac:dyDescent="0.2">
      <c r="T5014" s="358" t="str">
        <f t="shared" si="188"/>
        <v>2010AllSexMaori19Jumping from a high place</v>
      </c>
      <c r="U5014" s="360">
        <v>2010</v>
      </c>
      <c r="V5014" s="360" t="s">
        <v>17</v>
      </c>
      <c r="W5014" s="360" t="s">
        <v>18</v>
      </c>
      <c r="X5014" s="360">
        <v>19</v>
      </c>
      <c r="Y5014" s="360" t="s">
        <v>44</v>
      </c>
      <c r="Z5014" s="360">
        <v>1</v>
      </c>
      <c r="AA5014" s="360">
        <v>102</v>
      </c>
      <c r="AB5014" s="360">
        <v>1</v>
      </c>
    </row>
    <row r="5015" spans="20:28" x14ac:dyDescent="0.2">
      <c r="T5015" s="358" t="str">
        <f t="shared" si="188"/>
        <v>2010AllSexMaori19Other</v>
      </c>
      <c r="U5015" s="360">
        <v>2010</v>
      </c>
      <c r="V5015" s="360" t="s">
        <v>17</v>
      </c>
      <c r="W5015" s="360" t="s">
        <v>18</v>
      </c>
      <c r="X5015" s="360">
        <v>19</v>
      </c>
      <c r="Y5015" s="360" t="s">
        <v>45</v>
      </c>
      <c r="Z5015" s="360">
        <v>3</v>
      </c>
      <c r="AA5015" s="360">
        <v>102</v>
      </c>
      <c r="AB5015" s="360">
        <v>2.9</v>
      </c>
    </row>
    <row r="5016" spans="20:28" x14ac:dyDescent="0.2">
      <c r="T5016" s="358" t="str">
        <f t="shared" si="188"/>
        <v>2010AllSexMaori19Poisoning by gases and vapours</v>
      </c>
      <c r="U5016" s="360">
        <v>2010</v>
      </c>
      <c r="V5016" s="360" t="s">
        <v>17</v>
      </c>
      <c r="W5016" s="360" t="s">
        <v>18</v>
      </c>
      <c r="X5016" s="360">
        <v>19</v>
      </c>
      <c r="Y5016" s="360" t="s">
        <v>46</v>
      </c>
      <c r="Z5016" s="360">
        <v>4</v>
      </c>
      <c r="AA5016" s="360">
        <v>102</v>
      </c>
      <c r="AB5016" s="360">
        <v>3.9</v>
      </c>
    </row>
    <row r="5017" spans="20:28" x14ac:dyDescent="0.2">
      <c r="T5017" s="358" t="str">
        <f t="shared" si="188"/>
        <v>2010AllSexMaori19Poisoning by solids and liquids</v>
      </c>
      <c r="U5017" s="360">
        <v>2010</v>
      </c>
      <c r="V5017" s="360" t="s">
        <v>17</v>
      </c>
      <c r="W5017" s="360" t="s">
        <v>18</v>
      </c>
      <c r="X5017" s="360">
        <v>19</v>
      </c>
      <c r="Y5017" s="360" t="s">
        <v>47</v>
      </c>
      <c r="Z5017" s="360">
        <v>11</v>
      </c>
      <c r="AA5017" s="360">
        <v>102</v>
      </c>
      <c r="AB5017" s="360">
        <v>10.8</v>
      </c>
    </row>
    <row r="5018" spans="20:28" x14ac:dyDescent="0.2">
      <c r="T5018" s="358" t="str">
        <f t="shared" si="188"/>
        <v>2010AllSexMaori19Sharp object</v>
      </c>
      <c r="U5018" s="360">
        <v>2010</v>
      </c>
      <c r="V5018" s="360" t="s">
        <v>17</v>
      </c>
      <c r="W5018" s="360" t="s">
        <v>18</v>
      </c>
      <c r="X5018" s="360">
        <v>19</v>
      </c>
      <c r="Y5018" s="360" t="s">
        <v>48</v>
      </c>
      <c r="Z5018" s="360">
        <v>1</v>
      </c>
      <c r="AA5018" s="360">
        <v>102</v>
      </c>
      <c r="AB5018" s="360">
        <v>1</v>
      </c>
    </row>
    <row r="5019" spans="20:28" x14ac:dyDescent="0.2">
      <c r="T5019" s="358" t="str">
        <f t="shared" si="188"/>
        <v>2010AllSexNon-Maori19Firearms and explosives</v>
      </c>
      <c r="U5019" s="360">
        <v>2010</v>
      </c>
      <c r="V5019" s="360" t="s">
        <v>17</v>
      </c>
      <c r="W5019" s="360" t="s">
        <v>19</v>
      </c>
      <c r="X5019" s="360">
        <v>19</v>
      </c>
      <c r="Y5019" s="360" t="s">
        <v>42</v>
      </c>
      <c r="Z5019" s="360">
        <v>38</v>
      </c>
      <c r="AA5019" s="360">
        <v>432</v>
      </c>
      <c r="AB5019" s="360">
        <v>8.8000000000000007</v>
      </c>
    </row>
    <row r="5020" spans="20:28" x14ac:dyDescent="0.2">
      <c r="T5020" s="358" t="str">
        <f t="shared" si="188"/>
        <v>2010AllSexNon-Maori19Hanging, strangulation and suffocation</v>
      </c>
      <c r="U5020" s="360">
        <v>2010</v>
      </c>
      <c r="V5020" s="360" t="s">
        <v>17</v>
      </c>
      <c r="W5020" s="360" t="s">
        <v>19</v>
      </c>
      <c r="X5020" s="360">
        <v>19</v>
      </c>
      <c r="Y5020" s="360" t="s">
        <v>43</v>
      </c>
      <c r="Z5020" s="360">
        <v>235</v>
      </c>
      <c r="AA5020" s="360">
        <v>432</v>
      </c>
      <c r="AB5020" s="360">
        <v>54.4</v>
      </c>
    </row>
    <row r="5021" spans="20:28" x14ac:dyDescent="0.2">
      <c r="T5021" s="358" t="str">
        <f t="shared" si="188"/>
        <v>2010AllSexNon-Maori19Jumping from a high place</v>
      </c>
      <c r="U5021" s="360">
        <v>2010</v>
      </c>
      <c r="V5021" s="360" t="s">
        <v>17</v>
      </c>
      <c r="W5021" s="360" t="s">
        <v>19</v>
      </c>
      <c r="X5021" s="360">
        <v>19</v>
      </c>
      <c r="Y5021" s="360" t="s">
        <v>44</v>
      </c>
      <c r="Z5021" s="360">
        <v>12</v>
      </c>
      <c r="AA5021" s="360">
        <v>432</v>
      </c>
      <c r="AB5021" s="360">
        <v>2.8</v>
      </c>
    </row>
    <row r="5022" spans="20:28" x14ac:dyDescent="0.2">
      <c r="T5022" s="358" t="str">
        <f t="shared" si="188"/>
        <v>2010AllSexNon-Maori19Other</v>
      </c>
      <c r="U5022" s="360">
        <v>2010</v>
      </c>
      <c r="V5022" s="360" t="s">
        <v>17</v>
      </c>
      <c r="W5022" s="360" t="s">
        <v>19</v>
      </c>
      <c r="X5022" s="360">
        <v>19</v>
      </c>
      <c r="Y5022" s="360" t="s">
        <v>45</v>
      </c>
      <c r="Z5022" s="360">
        <v>17</v>
      </c>
      <c r="AA5022" s="360">
        <v>432</v>
      </c>
      <c r="AB5022" s="360">
        <v>3.9</v>
      </c>
    </row>
    <row r="5023" spans="20:28" x14ac:dyDescent="0.2">
      <c r="T5023" s="358" t="str">
        <f t="shared" si="188"/>
        <v>2010AllSexNon-Maori19Poisoning by gases and vapours</v>
      </c>
      <c r="U5023" s="360">
        <v>2010</v>
      </c>
      <c r="V5023" s="360" t="s">
        <v>17</v>
      </c>
      <c r="W5023" s="360" t="s">
        <v>19</v>
      </c>
      <c r="X5023" s="360">
        <v>19</v>
      </c>
      <c r="Y5023" s="360" t="s">
        <v>46</v>
      </c>
      <c r="Z5023" s="360">
        <v>57</v>
      </c>
      <c r="AA5023" s="360">
        <v>432</v>
      </c>
      <c r="AB5023" s="360">
        <v>13.2</v>
      </c>
    </row>
    <row r="5024" spans="20:28" x14ac:dyDescent="0.2">
      <c r="T5024" s="358" t="str">
        <f t="shared" si="188"/>
        <v>2010AllSexNon-Maori19Poisoning by solids and liquids</v>
      </c>
      <c r="U5024" s="360">
        <v>2010</v>
      </c>
      <c r="V5024" s="360" t="s">
        <v>17</v>
      </c>
      <c r="W5024" s="360" t="s">
        <v>19</v>
      </c>
      <c r="X5024" s="360">
        <v>19</v>
      </c>
      <c r="Y5024" s="360" t="s">
        <v>47</v>
      </c>
      <c r="Z5024" s="360">
        <v>56</v>
      </c>
      <c r="AA5024" s="360">
        <v>432</v>
      </c>
      <c r="AB5024" s="360">
        <v>13</v>
      </c>
    </row>
    <row r="5025" spans="20:28" x14ac:dyDescent="0.2">
      <c r="T5025" s="358" t="str">
        <f t="shared" si="188"/>
        <v>2010AllSexNon-Maori19Sharp object</v>
      </c>
      <c r="U5025" s="360">
        <v>2010</v>
      </c>
      <c r="V5025" s="360" t="s">
        <v>17</v>
      </c>
      <c r="W5025" s="360" t="s">
        <v>19</v>
      </c>
      <c r="X5025" s="360">
        <v>19</v>
      </c>
      <c r="Y5025" s="360" t="s">
        <v>48</v>
      </c>
      <c r="Z5025" s="360">
        <v>8</v>
      </c>
      <c r="AA5025" s="360">
        <v>432</v>
      </c>
      <c r="AB5025" s="360">
        <v>1.9</v>
      </c>
    </row>
    <row r="5026" spans="20:28" x14ac:dyDescent="0.2">
      <c r="T5026" s="358" t="str">
        <f t="shared" si="188"/>
        <v>2010AllSexNon-Maori19Submersion (drowning)</v>
      </c>
      <c r="U5026" s="360">
        <v>2010</v>
      </c>
      <c r="V5026" s="360" t="s">
        <v>17</v>
      </c>
      <c r="W5026" s="360" t="s">
        <v>19</v>
      </c>
      <c r="X5026" s="360">
        <v>19</v>
      </c>
      <c r="Y5026" s="360" t="s">
        <v>49</v>
      </c>
      <c r="Z5026" s="360">
        <v>9</v>
      </c>
      <c r="AA5026" s="360">
        <v>432</v>
      </c>
      <c r="AB5026" s="360">
        <v>2.1</v>
      </c>
    </row>
    <row r="5027" spans="20:28" x14ac:dyDescent="0.2">
      <c r="T5027" s="358" t="str">
        <f t="shared" si="188"/>
        <v>2010FemaleAllEth19Firearms and explosives</v>
      </c>
      <c r="U5027" s="360">
        <v>2010</v>
      </c>
      <c r="V5027" s="360" t="s">
        <v>8</v>
      </c>
      <c r="W5027" s="360" t="s">
        <v>27</v>
      </c>
      <c r="X5027" s="360">
        <v>19</v>
      </c>
      <c r="Y5027" s="360" t="s">
        <v>42</v>
      </c>
      <c r="Z5027" s="360">
        <v>2</v>
      </c>
      <c r="AA5027" s="360">
        <v>147</v>
      </c>
      <c r="AB5027" s="360">
        <v>1.4</v>
      </c>
    </row>
    <row r="5028" spans="20:28" x14ac:dyDescent="0.2">
      <c r="T5028" s="358" t="str">
        <f t="shared" si="188"/>
        <v>2010FemaleAllEth19Hanging, strangulation and suffocation</v>
      </c>
      <c r="U5028" s="360">
        <v>2010</v>
      </c>
      <c r="V5028" s="360" t="s">
        <v>8</v>
      </c>
      <c r="W5028" s="360" t="s">
        <v>27</v>
      </c>
      <c r="X5028" s="360">
        <v>19</v>
      </c>
      <c r="Y5028" s="360" t="s">
        <v>43</v>
      </c>
      <c r="Z5028" s="360">
        <v>80</v>
      </c>
      <c r="AA5028" s="360">
        <v>147</v>
      </c>
      <c r="AB5028" s="360">
        <v>54.4</v>
      </c>
    </row>
    <row r="5029" spans="20:28" x14ac:dyDescent="0.2">
      <c r="T5029" s="358" t="str">
        <f t="shared" si="188"/>
        <v>2010FemaleAllEth19Jumping from a high place</v>
      </c>
      <c r="U5029" s="360">
        <v>2010</v>
      </c>
      <c r="V5029" s="360" t="s">
        <v>8</v>
      </c>
      <c r="W5029" s="360" t="s">
        <v>27</v>
      </c>
      <c r="X5029" s="360">
        <v>19</v>
      </c>
      <c r="Y5029" s="360" t="s">
        <v>44</v>
      </c>
      <c r="Z5029" s="360">
        <v>3</v>
      </c>
      <c r="AA5029" s="360">
        <v>147</v>
      </c>
      <c r="AB5029" s="360">
        <v>2</v>
      </c>
    </row>
    <row r="5030" spans="20:28" x14ac:dyDescent="0.2">
      <c r="T5030" s="358" t="str">
        <f t="shared" si="188"/>
        <v>2010FemaleAllEth19Other</v>
      </c>
      <c r="U5030" s="360">
        <v>2010</v>
      </c>
      <c r="V5030" s="360" t="s">
        <v>8</v>
      </c>
      <c r="W5030" s="360" t="s">
        <v>27</v>
      </c>
      <c r="X5030" s="360">
        <v>19</v>
      </c>
      <c r="Y5030" s="360" t="s">
        <v>45</v>
      </c>
      <c r="Z5030" s="360">
        <v>6</v>
      </c>
      <c r="AA5030" s="360">
        <v>147</v>
      </c>
      <c r="AB5030" s="360">
        <v>4.0999999999999996</v>
      </c>
    </row>
    <row r="5031" spans="20:28" x14ac:dyDescent="0.2">
      <c r="T5031" s="358" t="str">
        <f t="shared" si="188"/>
        <v>2010FemaleAllEth19Poisoning by gases and vapours</v>
      </c>
      <c r="U5031" s="360">
        <v>2010</v>
      </c>
      <c r="V5031" s="360" t="s">
        <v>8</v>
      </c>
      <c r="W5031" s="360" t="s">
        <v>27</v>
      </c>
      <c r="X5031" s="360">
        <v>19</v>
      </c>
      <c r="Y5031" s="360" t="s">
        <v>46</v>
      </c>
      <c r="Z5031" s="360">
        <v>10</v>
      </c>
      <c r="AA5031" s="360">
        <v>147</v>
      </c>
      <c r="AB5031" s="360">
        <v>6.8</v>
      </c>
    </row>
    <row r="5032" spans="20:28" x14ac:dyDescent="0.2">
      <c r="T5032" s="358" t="str">
        <f t="shared" si="188"/>
        <v>2010FemaleAllEth19Poisoning by solids and liquids</v>
      </c>
      <c r="U5032" s="360">
        <v>2010</v>
      </c>
      <c r="V5032" s="360" t="s">
        <v>8</v>
      </c>
      <c r="W5032" s="360" t="s">
        <v>27</v>
      </c>
      <c r="X5032" s="360">
        <v>19</v>
      </c>
      <c r="Y5032" s="360" t="s">
        <v>47</v>
      </c>
      <c r="Z5032" s="360">
        <v>39</v>
      </c>
      <c r="AA5032" s="360">
        <v>147</v>
      </c>
      <c r="AB5032" s="360">
        <v>26.5</v>
      </c>
    </row>
    <row r="5033" spans="20:28" x14ac:dyDescent="0.2">
      <c r="T5033" s="358" t="str">
        <f t="shared" si="188"/>
        <v>2010FemaleAllEth19Sharp object</v>
      </c>
      <c r="U5033" s="360">
        <v>2010</v>
      </c>
      <c r="V5033" s="360" t="s">
        <v>8</v>
      </c>
      <c r="W5033" s="360" t="s">
        <v>27</v>
      </c>
      <c r="X5033" s="360">
        <v>19</v>
      </c>
      <c r="Y5033" s="360" t="s">
        <v>48</v>
      </c>
      <c r="Z5033" s="360">
        <v>2</v>
      </c>
      <c r="AA5033" s="360">
        <v>147</v>
      </c>
      <c r="AB5033" s="360">
        <v>1.4</v>
      </c>
    </row>
    <row r="5034" spans="20:28" x14ac:dyDescent="0.2">
      <c r="T5034" s="358" t="str">
        <f t="shared" si="188"/>
        <v>2010FemaleAllEth19Submersion (drowning)</v>
      </c>
      <c r="U5034" s="360">
        <v>2010</v>
      </c>
      <c r="V5034" s="360" t="s">
        <v>8</v>
      </c>
      <c r="W5034" s="360" t="s">
        <v>27</v>
      </c>
      <c r="X5034" s="360">
        <v>19</v>
      </c>
      <c r="Y5034" s="360" t="s">
        <v>49</v>
      </c>
      <c r="Z5034" s="360">
        <v>5</v>
      </c>
      <c r="AA5034" s="360">
        <v>147</v>
      </c>
      <c r="AB5034" s="360">
        <v>3.4</v>
      </c>
    </row>
    <row r="5035" spans="20:28" x14ac:dyDescent="0.2">
      <c r="T5035" s="358" t="str">
        <f t="shared" si="188"/>
        <v>2010FemaleMaori19Firearms and explosives</v>
      </c>
      <c r="U5035" s="360">
        <v>2010</v>
      </c>
      <c r="V5035" s="360" t="s">
        <v>8</v>
      </c>
      <c r="W5035" s="360" t="s">
        <v>18</v>
      </c>
      <c r="X5035" s="360">
        <v>19</v>
      </c>
      <c r="Y5035" s="360" t="s">
        <v>42</v>
      </c>
      <c r="Z5035" s="360">
        <v>1</v>
      </c>
      <c r="AA5035" s="360">
        <v>30</v>
      </c>
      <c r="AB5035" s="360">
        <v>3.3</v>
      </c>
    </row>
    <row r="5036" spans="20:28" x14ac:dyDescent="0.2">
      <c r="T5036" s="358" t="str">
        <f t="shared" si="188"/>
        <v>2010FemaleMaori19Hanging, strangulation and suffocation</v>
      </c>
      <c r="U5036" s="360">
        <v>2010</v>
      </c>
      <c r="V5036" s="360" t="s">
        <v>8</v>
      </c>
      <c r="W5036" s="360" t="s">
        <v>18</v>
      </c>
      <c r="X5036" s="360">
        <v>19</v>
      </c>
      <c r="Y5036" s="360" t="s">
        <v>43</v>
      </c>
      <c r="Z5036" s="360">
        <v>21</v>
      </c>
      <c r="AA5036" s="360">
        <v>30</v>
      </c>
      <c r="AB5036" s="360">
        <v>70</v>
      </c>
    </row>
    <row r="5037" spans="20:28" x14ac:dyDescent="0.2">
      <c r="T5037" s="358" t="str">
        <f t="shared" si="188"/>
        <v>2010FemaleMaori19Jumping from a high place</v>
      </c>
      <c r="U5037" s="360">
        <v>2010</v>
      </c>
      <c r="V5037" s="360" t="s">
        <v>8</v>
      </c>
      <c r="W5037" s="360" t="s">
        <v>18</v>
      </c>
      <c r="X5037" s="360">
        <v>19</v>
      </c>
      <c r="Y5037" s="360" t="s">
        <v>44</v>
      </c>
      <c r="Z5037" s="360">
        <v>1</v>
      </c>
      <c r="AA5037" s="360">
        <v>30</v>
      </c>
      <c r="AB5037" s="360">
        <v>3.3</v>
      </c>
    </row>
    <row r="5038" spans="20:28" x14ac:dyDescent="0.2">
      <c r="T5038" s="358" t="str">
        <f t="shared" si="188"/>
        <v>2010FemaleMaori19Poisoning by solids and liquids</v>
      </c>
      <c r="U5038" s="360">
        <v>2010</v>
      </c>
      <c r="V5038" s="360" t="s">
        <v>8</v>
      </c>
      <c r="W5038" s="360" t="s">
        <v>18</v>
      </c>
      <c r="X5038" s="360">
        <v>19</v>
      </c>
      <c r="Y5038" s="360" t="s">
        <v>47</v>
      </c>
      <c r="Z5038" s="360">
        <v>7</v>
      </c>
      <c r="AA5038" s="360">
        <v>30</v>
      </c>
      <c r="AB5038" s="360">
        <v>23.3</v>
      </c>
    </row>
    <row r="5039" spans="20:28" x14ac:dyDescent="0.2">
      <c r="T5039" s="358" t="str">
        <f t="shared" si="188"/>
        <v>2010FemaleNon-Maori19Firearms and explosives</v>
      </c>
      <c r="U5039" s="360">
        <v>2010</v>
      </c>
      <c r="V5039" s="360" t="s">
        <v>8</v>
      </c>
      <c r="W5039" s="360" t="s">
        <v>19</v>
      </c>
      <c r="X5039" s="360">
        <v>19</v>
      </c>
      <c r="Y5039" s="360" t="s">
        <v>42</v>
      </c>
      <c r="Z5039" s="360">
        <v>1</v>
      </c>
      <c r="AA5039" s="360">
        <v>117</v>
      </c>
      <c r="AB5039" s="360">
        <v>0.9</v>
      </c>
    </row>
    <row r="5040" spans="20:28" x14ac:dyDescent="0.2">
      <c r="T5040" s="358" t="str">
        <f t="shared" si="188"/>
        <v>2010FemaleNon-Maori19Hanging, strangulation and suffocation</v>
      </c>
      <c r="U5040" s="360">
        <v>2010</v>
      </c>
      <c r="V5040" s="360" t="s">
        <v>8</v>
      </c>
      <c r="W5040" s="360" t="s">
        <v>19</v>
      </c>
      <c r="X5040" s="360">
        <v>19</v>
      </c>
      <c r="Y5040" s="360" t="s">
        <v>43</v>
      </c>
      <c r="Z5040" s="360">
        <v>59</v>
      </c>
      <c r="AA5040" s="360">
        <v>117</v>
      </c>
      <c r="AB5040" s="360">
        <v>50.4</v>
      </c>
    </row>
    <row r="5041" spans="20:28" x14ac:dyDescent="0.2">
      <c r="T5041" s="358" t="str">
        <f t="shared" si="188"/>
        <v>2010FemaleNon-Maori19Jumping from a high place</v>
      </c>
      <c r="U5041" s="360">
        <v>2010</v>
      </c>
      <c r="V5041" s="360" t="s">
        <v>8</v>
      </c>
      <c r="W5041" s="360" t="s">
        <v>19</v>
      </c>
      <c r="X5041" s="360">
        <v>19</v>
      </c>
      <c r="Y5041" s="360" t="s">
        <v>44</v>
      </c>
      <c r="Z5041" s="360">
        <v>2</v>
      </c>
      <c r="AA5041" s="360">
        <v>117</v>
      </c>
      <c r="AB5041" s="360">
        <v>1.7</v>
      </c>
    </row>
    <row r="5042" spans="20:28" x14ac:dyDescent="0.2">
      <c r="T5042" s="358" t="str">
        <f t="shared" si="188"/>
        <v>2010FemaleNon-Maori19Other</v>
      </c>
      <c r="U5042" s="360">
        <v>2010</v>
      </c>
      <c r="V5042" s="360" t="s">
        <v>8</v>
      </c>
      <c r="W5042" s="360" t="s">
        <v>19</v>
      </c>
      <c r="X5042" s="360">
        <v>19</v>
      </c>
      <c r="Y5042" s="360" t="s">
        <v>45</v>
      </c>
      <c r="Z5042" s="360">
        <v>6</v>
      </c>
      <c r="AA5042" s="360">
        <v>117</v>
      </c>
      <c r="AB5042" s="360">
        <v>5.0999999999999996</v>
      </c>
    </row>
    <row r="5043" spans="20:28" x14ac:dyDescent="0.2">
      <c r="T5043" s="358" t="str">
        <f t="shared" si="188"/>
        <v>2010FemaleNon-Maori19Poisoning by gases and vapours</v>
      </c>
      <c r="U5043" s="360">
        <v>2010</v>
      </c>
      <c r="V5043" s="360" t="s">
        <v>8</v>
      </c>
      <c r="W5043" s="360" t="s">
        <v>19</v>
      </c>
      <c r="X5043" s="360">
        <v>19</v>
      </c>
      <c r="Y5043" s="360" t="s">
        <v>46</v>
      </c>
      <c r="Z5043" s="360">
        <v>10</v>
      </c>
      <c r="AA5043" s="360">
        <v>117</v>
      </c>
      <c r="AB5043" s="360">
        <v>8.5</v>
      </c>
    </row>
    <row r="5044" spans="20:28" x14ac:dyDescent="0.2">
      <c r="T5044" s="358" t="str">
        <f t="shared" si="188"/>
        <v>2010FemaleNon-Maori19Poisoning by solids and liquids</v>
      </c>
      <c r="U5044" s="360">
        <v>2010</v>
      </c>
      <c r="V5044" s="360" t="s">
        <v>8</v>
      </c>
      <c r="W5044" s="360" t="s">
        <v>19</v>
      </c>
      <c r="X5044" s="360">
        <v>19</v>
      </c>
      <c r="Y5044" s="360" t="s">
        <v>47</v>
      </c>
      <c r="Z5044" s="360">
        <v>32</v>
      </c>
      <c r="AA5044" s="360">
        <v>117</v>
      </c>
      <c r="AB5044" s="360">
        <v>27.4</v>
      </c>
    </row>
    <row r="5045" spans="20:28" x14ac:dyDescent="0.2">
      <c r="T5045" s="358" t="str">
        <f t="shared" si="188"/>
        <v>2010FemaleNon-Maori19Sharp object</v>
      </c>
      <c r="U5045" s="360">
        <v>2010</v>
      </c>
      <c r="V5045" s="360" t="s">
        <v>8</v>
      </c>
      <c r="W5045" s="360" t="s">
        <v>19</v>
      </c>
      <c r="X5045" s="360">
        <v>19</v>
      </c>
      <c r="Y5045" s="360" t="s">
        <v>48</v>
      </c>
      <c r="Z5045" s="360">
        <v>2</v>
      </c>
      <c r="AA5045" s="360">
        <v>117</v>
      </c>
      <c r="AB5045" s="360">
        <v>1.7</v>
      </c>
    </row>
    <row r="5046" spans="20:28" x14ac:dyDescent="0.2">
      <c r="T5046" s="358" t="str">
        <f t="shared" si="188"/>
        <v>2010FemaleNon-Maori19Submersion (drowning)</v>
      </c>
      <c r="U5046" s="360">
        <v>2010</v>
      </c>
      <c r="V5046" s="360" t="s">
        <v>8</v>
      </c>
      <c r="W5046" s="360" t="s">
        <v>19</v>
      </c>
      <c r="X5046" s="360">
        <v>19</v>
      </c>
      <c r="Y5046" s="360" t="s">
        <v>49</v>
      </c>
      <c r="Z5046" s="360">
        <v>5</v>
      </c>
      <c r="AA5046" s="360">
        <v>117</v>
      </c>
      <c r="AB5046" s="360">
        <v>4.3</v>
      </c>
    </row>
    <row r="5047" spans="20:28" x14ac:dyDescent="0.2">
      <c r="T5047" s="358" t="str">
        <f t="shared" si="188"/>
        <v>2010MaleAllEth19Firearms and explosives</v>
      </c>
      <c r="U5047" s="360">
        <v>2010</v>
      </c>
      <c r="V5047" s="360" t="s">
        <v>20</v>
      </c>
      <c r="W5047" s="360" t="s">
        <v>27</v>
      </c>
      <c r="X5047" s="360">
        <v>19</v>
      </c>
      <c r="Y5047" s="360" t="s">
        <v>42</v>
      </c>
      <c r="Z5047" s="360">
        <v>40</v>
      </c>
      <c r="AA5047" s="360">
        <v>387</v>
      </c>
      <c r="AB5047" s="360">
        <v>10.3</v>
      </c>
    </row>
    <row r="5048" spans="20:28" x14ac:dyDescent="0.2">
      <c r="T5048" s="358" t="str">
        <f t="shared" si="188"/>
        <v>2010MaleAllEth19Hanging, strangulation and suffocation</v>
      </c>
      <c r="U5048" s="360">
        <v>2010</v>
      </c>
      <c r="V5048" s="360" t="s">
        <v>20</v>
      </c>
      <c r="W5048" s="360" t="s">
        <v>27</v>
      </c>
      <c r="X5048" s="360">
        <v>19</v>
      </c>
      <c r="Y5048" s="360" t="s">
        <v>43</v>
      </c>
      <c r="Z5048" s="360">
        <v>233</v>
      </c>
      <c r="AA5048" s="360">
        <v>387</v>
      </c>
      <c r="AB5048" s="360">
        <v>60.2</v>
      </c>
    </row>
    <row r="5049" spans="20:28" x14ac:dyDescent="0.2">
      <c r="T5049" s="358" t="str">
        <f t="shared" si="188"/>
        <v>2010MaleAllEth19Jumping from a high place</v>
      </c>
      <c r="U5049" s="360">
        <v>2010</v>
      </c>
      <c r="V5049" s="360" t="s">
        <v>20</v>
      </c>
      <c r="W5049" s="360" t="s">
        <v>27</v>
      </c>
      <c r="X5049" s="360">
        <v>19</v>
      </c>
      <c r="Y5049" s="360" t="s">
        <v>44</v>
      </c>
      <c r="Z5049" s="360">
        <v>10</v>
      </c>
      <c r="AA5049" s="360">
        <v>387</v>
      </c>
      <c r="AB5049" s="360">
        <v>2.6</v>
      </c>
    </row>
    <row r="5050" spans="20:28" x14ac:dyDescent="0.2">
      <c r="T5050" s="358" t="str">
        <f t="shared" si="188"/>
        <v>2010MaleAllEth19Other</v>
      </c>
      <c r="U5050" s="360">
        <v>2010</v>
      </c>
      <c r="V5050" s="360" t="s">
        <v>20</v>
      </c>
      <c r="W5050" s="360" t="s">
        <v>27</v>
      </c>
      <c r="X5050" s="360">
        <v>19</v>
      </c>
      <c r="Y5050" s="360" t="s">
        <v>45</v>
      </c>
      <c r="Z5050" s="360">
        <v>14</v>
      </c>
      <c r="AA5050" s="360">
        <v>387</v>
      </c>
      <c r="AB5050" s="360">
        <v>3.6</v>
      </c>
    </row>
    <row r="5051" spans="20:28" x14ac:dyDescent="0.2">
      <c r="T5051" s="358" t="str">
        <f t="shared" si="188"/>
        <v>2010MaleAllEth19Poisoning by gases and vapours</v>
      </c>
      <c r="U5051" s="360">
        <v>2010</v>
      </c>
      <c r="V5051" s="360" t="s">
        <v>20</v>
      </c>
      <c r="W5051" s="360" t="s">
        <v>27</v>
      </c>
      <c r="X5051" s="360">
        <v>19</v>
      </c>
      <c r="Y5051" s="360" t="s">
        <v>46</v>
      </c>
      <c r="Z5051" s="360">
        <v>51</v>
      </c>
      <c r="AA5051" s="360">
        <v>387</v>
      </c>
      <c r="AB5051" s="360">
        <v>13.2</v>
      </c>
    </row>
    <row r="5052" spans="20:28" x14ac:dyDescent="0.2">
      <c r="T5052" s="358" t="str">
        <f t="shared" si="188"/>
        <v>2010MaleAllEth19Poisoning by solids and liquids</v>
      </c>
      <c r="U5052" s="360">
        <v>2010</v>
      </c>
      <c r="V5052" s="360" t="s">
        <v>20</v>
      </c>
      <c r="W5052" s="360" t="s">
        <v>27</v>
      </c>
      <c r="X5052" s="360">
        <v>19</v>
      </c>
      <c r="Y5052" s="360" t="s">
        <v>47</v>
      </c>
      <c r="Z5052" s="360">
        <v>28</v>
      </c>
      <c r="AA5052" s="360">
        <v>387</v>
      </c>
      <c r="AB5052" s="360">
        <v>7.2</v>
      </c>
    </row>
    <row r="5053" spans="20:28" x14ac:dyDescent="0.2">
      <c r="T5053" s="358" t="str">
        <f t="shared" si="188"/>
        <v>2010MaleAllEth19Sharp object</v>
      </c>
      <c r="U5053" s="360">
        <v>2010</v>
      </c>
      <c r="V5053" s="360" t="s">
        <v>20</v>
      </c>
      <c r="W5053" s="360" t="s">
        <v>27</v>
      </c>
      <c r="X5053" s="360">
        <v>19</v>
      </c>
      <c r="Y5053" s="360" t="s">
        <v>48</v>
      </c>
      <c r="Z5053" s="360">
        <v>7</v>
      </c>
      <c r="AA5053" s="360">
        <v>387</v>
      </c>
      <c r="AB5053" s="360">
        <v>1.8</v>
      </c>
    </row>
    <row r="5054" spans="20:28" x14ac:dyDescent="0.2">
      <c r="T5054" s="358" t="str">
        <f t="shared" si="188"/>
        <v>2010MaleAllEth19Submersion (drowning)</v>
      </c>
      <c r="U5054" s="360">
        <v>2010</v>
      </c>
      <c r="V5054" s="360" t="s">
        <v>20</v>
      </c>
      <c r="W5054" s="360" t="s">
        <v>27</v>
      </c>
      <c r="X5054" s="360">
        <v>19</v>
      </c>
      <c r="Y5054" s="360" t="s">
        <v>49</v>
      </c>
      <c r="Z5054" s="360">
        <v>4</v>
      </c>
      <c r="AA5054" s="360">
        <v>387</v>
      </c>
      <c r="AB5054" s="360">
        <v>1</v>
      </c>
    </row>
    <row r="5055" spans="20:28" x14ac:dyDescent="0.2">
      <c r="T5055" s="358" t="str">
        <f t="shared" si="188"/>
        <v>2010MaleMaori19Firearms and explosives</v>
      </c>
      <c r="U5055" s="360">
        <v>2010</v>
      </c>
      <c r="V5055" s="360" t="s">
        <v>20</v>
      </c>
      <c r="W5055" s="360" t="s">
        <v>18</v>
      </c>
      <c r="X5055" s="360">
        <v>19</v>
      </c>
      <c r="Y5055" s="360" t="s">
        <v>42</v>
      </c>
      <c r="Z5055" s="360">
        <v>3</v>
      </c>
      <c r="AA5055" s="360">
        <v>72</v>
      </c>
      <c r="AB5055" s="360">
        <v>4.2</v>
      </c>
    </row>
    <row r="5056" spans="20:28" x14ac:dyDescent="0.2">
      <c r="T5056" s="358" t="str">
        <f t="shared" si="188"/>
        <v>2010MaleMaori19Hanging, strangulation and suffocation</v>
      </c>
      <c r="U5056" s="360">
        <v>2010</v>
      </c>
      <c r="V5056" s="360" t="s">
        <v>20</v>
      </c>
      <c r="W5056" s="360" t="s">
        <v>18</v>
      </c>
      <c r="X5056" s="360">
        <v>19</v>
      </c>
      <c r="Y5056" s="360" t="s">
        <v>43</v>
      </c>
      <c r="Z5056" s="360">
        <v>57</v>
      </c>
      <c r="AA5056" s="360">
        <v>72</v>
      </c>
      <c r="AB5056" s="360">
        <v>79.2</v>
      </c>
    </row>
    <row r="5057" spans="20:28" x14ac:dyDescent="0.2">
      <c r="T5057" s="358" t="str">
        <f t="shared" si="188"/>
        <v>2010MaleMaori19Other</v>
      </c>
      <c r="U5057" s="360">
        <v>2010</v>
      </c>
      <c r="V5057" s="360" t="s">
        <v>20</v>
      </c>
      <c r="W5057" s="360" t="s">
        <v>18</v>
      </c>
      <c r="X5057" s="360">
        <v>19</v>
      </c>
      <c r="Y5057" s="360" t="s">
        <v>45</v>
      </c>
      <c r="Z5057" s="360">
        <v>3</v>
      </c>
      <c r="AA5057" s="360">
        <v>72</v>
      </c>
      <c r="AB5057" s="360">
        <v>4.2</v>
      </c>
    </row>
    <row r="5058" spans="20:28" x14ac:dyDescent="0.2">
      <c r="T5058" s="358" t="str">
        <f t="shared" si="188"/>
        <v>2010MaleMaori19Poisoning by gases and vapours</v>
      </c>
      <c r="U5058" s="360">
        <v>2010</v>
      </c>
      <c r="V5058" s="360" t="s">
        <v>20</v>
      </c>
      <c r="W5058" s="360" t="s">
        <v>18</v>
      </c>
      <c r="X5058" s="360">
        <v>19</v>
      </c>
      <c r="Y5058" s="360" t="s">
        <v>46</v>
      </c>
      <c r="Z5058" s="360">
        <v>4</v>
      </c>
      <c r="AA5058" s="360">
        <v>72</v>
      </c>
      <c r="AB5058" s="360">
        <v>5.6</v>
      </c>
    </row>
    <row r="5059" spans="20:28" x14ac:dyDescent="0.2">
      <c r="T5059" s="358" t="str">
        <f t="shared" si="188"/>
        <v>2010MaleMaori19Poisoning by solids and liquids</v>
      </c>
      <c r="U5059" s="360">
        <v>2010</v>
      </c>
      <c r="V5059" s="360" t="s">
        <v>20</v>
      </c>
      <c r="W5059" s="360" t="s">
        <v>18</v>
      </c>
      <c r="X5059" s="360">
        <v>19</v>
      </c>
      <c r="Y5059" s="360" t="s">
        <v>47</v>
      </c>
      <c r="Z5059" s="360">
        <v>4</v>
      </c>
      <c r="AA5059" s="360">
        <v>72</v>
      </c>
      <c r="AB5059" s="360">
        <v>5.6</v>
      </c>
    </row>
    <row r="5060" spans="20:28" x14ac:dyDescent="0.2">
      <c r="T5060" s="358" t="str">
        <f t="shared" si="188"/>
        <v>2010MaleMaori19Sharp object</v>
      </c>
      <c r="U5060" s="360">
        <v>2010</v>
      </c>
      <c r="V5060" s="360" t="s">
        <v>20</v>
      </c>
      <c r="W5060" s="360" t="s">
        <v>18</v>
      </c>
      <c r="X5060" s="360">
        <v>19</v>
      </c>
      <c r="Y5060" s="360" t="s">
        <v>48</v>
      </c>
      <c r="Z5060" s="360">
        <v>1</v>
      </c>
      <c r="AA5060" s="360">
        <v>72</v>
      </c>
      <c r="AB5060" s="360">
        <v>1.4</v>
      </c>
    </row>
    <row r="5061" spans="20:28" x14ac:dyDescent="0.2">
      <c r="T5061" s="358" t="str">
        <f t="shared" ref="T5061:T5124" si="189">U5061&amp;V5061&amp;W5061&amp;X5061&amp;Y5061</f>
        <v>2010MaleNon-Maori19Firearms and explosives</v>
      </c>
      <c r="U5061" s="360">
        <v>2010</v>
      </c>
      <c r="V5061" s="360" t="s">
        <v>20</v>
      </c>
      <c r="W5061" s="360" t="s">
        <v>19</v>
      </c>
      <c r="X5061" s="360">
        <v>19</v>
      </c>
      <c r="Y5061" s="360" t="s">
        <v>42</v>
      </c>
      <c r="Z5061" s="360">
        <v>37</v>
      </c>
      <c r="AA5061" s="360">
        <v>315</v>
      </c>
      <c r="AB5061" s="360">
        <v>11.7</v>
      </c>
    </row>
    <row r="5062" spans="20:28" x14ac:dyDescent="0.2">
      <c r="T5062" s="358" t="str">
        <f t="shared" si="189"/>
        <v>2010MaleNon-Maori19Hanging, strangulation and suffocation</v>
      </c>
      <c r="U5062" s="360">
        <v>2010</v>
      </c>
      <c r="V5062" s="360" t="s">
        <v>20</v>
      </c>
      <c r="W5062" s="360" t="s">
        <v>19</v>
      </c>
      <c r="X5062" s="360">
        <v>19</v>
      </c>
      <c r="Y5062" s="360" t="s">
        <v>43</v>
      </c>
      <c r="Z5062" s="360">
        <v>176</v>
      </c>
      <c r="AA5062" s="360">
        <v>315</v>
      </c>
      <c r="AB5062" s="360">
        <v>55.9</v>
      </c>
    </row>
    <row r="5063" spans="20:28" x14ac:dyDescent="0.2">
      <c r="T5063" s="358" t="str">
        <f t="shared" si="189"/>
        <v>2010MaleNon-Maori19Jumping from a high place</v>
      </c>
      <c r="U5063" s="360">
        <v>2010</v>
      </c>
      <c r="V5063" s="360" t="s">
        <v>20</v>
      </c>
      <c r="W5063" s="360" t="s">
        <v>19</v>
      </c>
      <c r="X5063" s="360">
        <v>19</v>
      </c>
      <c r="Y5063" s="360" t="s">
        <v>44</v>
      </c>
      <c r="Z5063" s="360">
        <v>10</v>
      </c>
      <c r="AA5063" s="360">
        <v>315</v>
      </c>
      <c r="AB5063" s="360">
        <v>3.2</v>
      </c>
    </row>
    <row r="5064" spans="20:28" x14ac:dyDescent="0.2">
      <c r="T5064" s="358" t="str">
        <f t="shared" si="189"/>
        <v>2010MaleNon-Maori19Other</v>
      </c>
      <c r="U5064" s="360">
        <v>2010</v>
      </c>
      <c r="V5064" s="360" t="s">
        <v>20</v>
      </c>
      <c r="W5064" s="360" t="s">
        <v>19</v>
      </c>
      <c r="X5064" s="360">
        <v>19</v>
      </c>
      <c r="Y5064" s="360" t="s">
        <v>45</v>
      </c>
      <c r="Z5064" s="360">
        <v>11</v>
      </c>
      <c r="AA5064" s="360">
        <v>315</v>
      </c>
      <c r="AB5064" s="360">
        <v>3.5</v>
      </c>
    </row>
    <row r="5065" spans="20:28" x14ac:dyDescent="0.2">
      <c r="T5065" s="358" t="str">
        <f t="shared" si="189"/>
        <v>2010MaleNon-Maori19Poisoning by gases and vapours</v>
      </c>
      <c r="U5065" s="360">
        <v>2010</v>
      </c>
      <c r="V5065" s="360" t="s">
        <v>20</v>
      </c>
      <c r="W5065" s="360" t="s">
        <v>19</v>
      </c>
      <c r="X5065" s="360">
        <v>19</v>
      </c>
      <c r="Y5065" s="360" t="s">
        <v>46</v>
      </c>
      <c r="Z5065" s="360">
        <v>47</v>
      </c>
      <c r="AA5065" s="360">
        <v>315</v>
      </c>
      <c r="AB5065" s="360">
        <v>14.9</v>
      </c>
    </row>
    <row r="5066" spans="20:28" x14ac:dyDescent="0.2">
      <c r="T5066" s="358" t="str">
        <f t="shared" si="189"/>
        <v>2010MaleNon-Maori19Poisoning by solids and liquids</v>
      </c>
      <c r="U5066" s="360">
        <v>2010</v>
      </c>
      <c r="V5066" s="360" t="s">
        <v>20</v>
      </c>
      <c r="W5066" s="360" t="s">
        <v>19</v>
      </c>
      <c r="X5066" s="360">
        <v>19</v>
      </c>
      <c r="Y5066" s="360" t="s">
        <v>47</v>
      </c>
      <c r="Z5066" s="360">
        <v>24</v>
      </c>
      <c r="AA5066" s="360">
        <v>315</v>
      </c>
      <c r="AB5066" s="360">
        <v>7.6</v>
      </c>
    </row>
    <row r="5067" spans="20:28" x14ac:dyDescent="0.2">
      <c r="T5067" s="358" t="str">
        <f t="shared" si="189"/>
        <v>2010MaleNon-Maori19Sharp object</v>
      </c>
      <c r="U5067" s="360">
        <v>2010</v>
      </c>
      <c r="V5067" s="360" t="s">
        <v>20</v>
      </c>
      <c r="W5067" s="360" t="s">
        <v>19</v>
      </c>
      <c r="X5067" s="360">
        <v>19</v>
      </c>
      <c r="Y5067" s="360" t="s">
        <v>48</v>
      </c>
      <c r="Z5067" s="360">
        <v>6</v>
      </c>
      <c r="AA5067" s="360">
        <v>315</v>
      </c>
      <c r="AB5067" s="360">
        <v>1.9</v>
      </c>
    </row>
    <row r="5068" spans="20:28" x14ac:dyDescent="0.2">
      <c r="T5068" s="358" t="str">
        <f t="shared" si="189"/>
        <v>2010MaleNon-Maori19Submersion (drowning)</v>
      </c>
      <c r="U5068" s="360">
        <v>2010</v>
      </c>
      <c r="V5068" s="360" t="s">
        <v>20</v>
      </c>
      <c r="W5068" s="360" t="s">
        <v>19</v>
      </c>
      <c r="X5068" s="360">
        <v>19</v>
      </c>
      <c r="Y5068" s="360" t="s">
        <v>49</v>
      </c>
      <c r="Z5068" s="360">
        <v>4</v>
      </c>
      <c r="AA5068" s="360">
        <v>315</v>
      </c>
      <c r="AB5068" s="360">
        <v>1.3</v>
      </c>
    </row>
    <row r="5069" spans="20:28" x14ac:dyDescent="0.2">
      <c r="T5069" s="358" t="str">
        <f t="shared" si="189"/>
        <v>2011AllSexAllEth19Firearms and explosives</v>
      </c>
      <c r="U5069" s="360">
        <v>2011</v>
      </c>
      <c r="V5069" s="360" t="s">
        <v>17</v>
      </c>
      <c r="W5069" s="360" t="s">
        <v>27</v>
      </c>
      <c r="X5069" s="360">
        <v>19</v>
      </c>
      <c r="Y5069" s="360" t="s">
        <v>42</v>
      </c>
      <c r="Z5069" s="360">
        <v>36</v>
      </c>
      <c r="AA5069" s="360">
        <v>494</v>
      </c>
      <c r="AB5069" s="360">
        <v>7.3</v>
      </c>
    </row>
    <row r="5070" spans="20:28" x14ac:dyDescent="0.2">
      <c r="T5070" s="358" t="str">
        <f t="shared" si="189"/>
        <v>2011AllSexAllEth19Hanging, strangulation and suffocation</v>
      </c>
      <c r="U5070" s="360">
        <v>2011</v>
      </c>
      <c r="V5070" s="360" t="s">
        <v>17</v>
      </c>
      <c r="W5070" s="360" t="s">
        <v>27</v>
      </c>
      <c r="X5070" s="360">
        <v>19</v>
      </c>
      <c r="Y5070" s="360" t="s">
        <v>43</v>
      </c>
      <c r="Z5070" s="360">
        <v>302</v>
      </c>
      <c r="AA5070" s="360">
        <v>494</v>
      </c>
      <c r="AB5070" s="360">
        <v>61.1</v>
      </c>
    </row>
    <row r="5071" spans="20:28" x14ac:dyDescent="0.2">
      <c r="T5071" s="358" t="str">
        <f t="shared" si="189"/>
        <v>2011AllSexAllEth19Jumping from a high place</v>
      </c>
      <c r="U5071" s="360">
        <v>2011</v>
      </c>
      <c r="V5071" s="360" t="s">
        <v>17</v>
      </c>
      <c r="W5071" s="360" t="s">
        <v>27</v>
      </c>
      <c r="X5071" s="360">
        <v>19</v>
      </c>
      <c r="Y5071" s="360" t="s">
        <v>44</v>
      </c>
      <c r="Z5071" s="360">
        <v>12</v>
      </c>
      <c r="AA5071" s="360">
        <v>494</v>
      </c>
      <c r="AB5071" s="360">
        <v>2.4</v>
      </c>
    </row>
    <row r="5072" spans="20:28" x14ac:dyDescent="0.2">
      <c r="T5072" s="358" t="str">
        <f t="shared" si="189"/>
        <v>2011AllSexAllEth19Other</v>
      </c>
      <c r="U5072" s="360">
        <v>2011</v>
      </c>
      <c r="V5072" s="360" t="s">
        <v>17</v>
      </c>
      <c r="W5072" s="360" t="s">
        <v>27</v>
      </c>
      <c r="X5072" s="360">
        <v>19</v>
      </c>
      <c r="Y5072" s="360" t="s">
        <v>45</v>
      </c>
      <c r="Z5072" s="360">
        <v>18</v>
      </c>
      <c r="AA5072" s="360">
        <v>494</v>
      </c>
      <c r="AB5072" s="360">
        <v>3.6</v>
      </c>
    </row>
    <row r="5073" spans="20:28" x14ac:dyDescent="0.2">
      <c r="T5073" s="358" t="str">
        <f t="shared" si="189"/>
        <v>2011AllSexAllEth19Poisoning by gases and vapours</v>
      </c>
      <c r="U5073" s="360">
        <v>2011</v>
      </c>
      <c r="V5073" s="360" t="s">
        <v>17</v>
      </c>
      <c r="W5073" s="360" t="s">
        <v>27</v>
      </c>
      <c r="X5073" s="360">
        <v>19</v>
      </c>
      <c r="Y5073" s="360" t="s">
        <v>46</v>
      </c>
      <c r="Z5073" s="360">
        <v>48</v>
      </c>
      <c r="AA5073" s="360">
        <v>494</v>
      </c>
      <c r="AB5073" s="360">
        <v>9.6999999999999993</v>
      </c>
    </row>
    <row r="5074" spans="20:28" x14ac:dyDescent="0.2">
      <c r="T5074" s="358" t="str">
        <f t="shared" si="189"/>
        <v>2011AllSexAllEth19Poisoning by solids and liquids</v>
      </c>
      <c r="U5074" s="360">
        <v>2011</v>
      </c>
      <c r="V5074" s="360" t="s">
        <v>17</v>
      </c>
      <c r="W5074" s="360" t="s">
        <v>27</v>
      </c>
      <c r="X5074" s="360">
        <v>19</v>
      </c>
      <c r="Y5074" s="360" t="s">
        <v>47</v>
      </c>
      <c r="Z5074" s="360">
        <v>56</v>
      </c>
      <c r="AA5074" s="360">
        <v>494</v>
      </c>
      <c r="AB5074" s="360">
        <v>11.3</v>
      </c>
    </row>
    <row r="5075" spans="20:28" x14ac:dyDescent="0.2">
      <c r="T5075" s="358" t="str">
        <f t="shared" si="189"/>
        <v>2011AllSexAllEth19Sharp object</v>
      </c>
      <c r="U5075" s="360">
        <v>2011</v>
      </c>
      <c r="V5075" s="360" t="s">
        <v>17</v>
      </c>
      <c r="W5075" s="360" t="s">
        <v>27</v>
      </c>
      <c r="X5075" s="360">
        <v>19</v>
      </c>
      <c r="Y5075" s="360" t="s">
        <v>48</v>
      </c>
      <c r="Z5075" s="360">
        <v>7</v>
      </c>
      <c r="AA5075" s="360">
        <v>494</v>
      </c>
      <c r="AB5075" s="360">
        <v>1.4</v>
      </c>
    </row>
    <row r="5076" spans="20:28" x14ac:dyDescent="0.2">
      <c r="T5076" s="358" t="str">
        <f t="shared" si="189"/>
        <v>2011AllSexAllEth19Submersion (drowning)</v>
      </c>
      <c r="U5076" s="360">
        <v>2011</v>
      </c>
      <c r="V5076" s="360" t="s">
        <v>17</v>
      </c>
      <c r="W5076" s="360" t="s">
        <v>27</v>
      </c>
      <c r="X5076" s="360">
        <v>19</v>
      </c>
      <c r="Y5076" s="360" t="s">
        <v>49</v>
      </c>
      <c r="Z5076" s="360">
        <v>15</v>
      </c>
      <c r="AA5076" s="360">
        <v>494</v>
      </c>
      <c r="AB5076" s="360">
        <v>3</v>
      </c>
    </row>
    <row r="5077" spans="20:28" x14ac:dyDescent="0.2">
      <c r="T5077" s="358" t="str">
        <f t="shared" si="189"/>
        <v>2011AllSexMaori19Firearms and explosives</v>
      </c>
      <c r="U5077" s="360">
        <v>2011</v>
      </c>
      <c r="V5077" s="360" t="s">
        <v>17</v>
      </c>
      <c r="W5077" s="360" t="s">
        <v>18</v>
      </c>
      <c r="X5077" s="360">
        <v>19</v>
      </c>
      <c r="Y5077" s="360" t="s">
        <v>42</v>
      </c>
      <c r="Z5077" s="360">
        <v>2</v>
      </c>
      <c r="AA5077" s="360">
        <v>113</v>
      </c>
      <c r="AB5077" s="360">
        <v>1.8</v>
      </c>
    </row>
    <row r="5078" spans="20:28" x14ac:dyDescent="0.2">
      <c r="T5078" s="358" t="str">
        <f t="shared" si="189"/>
        <v>2011AllSexMaori19Hanging, strangulation and suffocation</v>
      </c>
      <c r="U5078" s="360">
        <v>2011</v>
      </c>
      <c r="V5078" s="360" t="s">
        <v>17</v>
      </c>
      <c r="W5078" s="360" t="s">
        <v>18</v>
      </c>
      <c r="X5078" s="360">
        <v>19</v>
      </c>
      <c r="Y5078" s="360" t="s">
        <v>43</v>
      </c>
      <c r="Z5078" s="360">
        <v>96</v>
      </c>
      <c r="AA5078" s="360">
        <v>113</v>
      </c>
      <c r="AB5078" s="360">
        <v>85</v>
      </c>
    </row>
    <row r="5079" spans="20:28" x14ac:dyDescent="0.2">
      <c r="T5079" s="358" t="str">
        <f t="shared" si="189"/>
        <v>2011AllSexMaori19Jumping from a high place</v>
      </c>
      <c r="U5079" s="360">
        <v>2011</v>
      </c>
      <c r="V5079" s="360" t="s">
        <v>17</v>
      </c>
      <c r="W5079" s="360" t="s">
        <v>18</v>
      </c>
      <c r="X5079" s="360">
        <v>19</v>
      </c>
      <c r="Y5079" s="360" t="s">
        <v>44</v>
      </c>
      <c r="Z5079" s="360">
        <v>2</v>
      </c>
      <c r="AA5079" s="360">
        <v>113</v>
      </c>
      <c r="AB5079" s="360">
        <v>1.8</v>
      </c>
    </row>
    <row r="5080" spans="20:28" x14ac:dyDescent="0.2">
      <c r="T5080" s="358" t="str">
        <f t="shared" si="189"/>
        <v>2011AllSexMaori19Other</v>
      </c>
      <c r="U5080" s="360">
        <v>2011</v>
      </c>
      <c r="V5080" s="360" t="s">
        <v>17</v>
      </c>
      <c r="W5080" s="360" t="s">
        <v>18</v>
      </c>
      <c r="X5080" s="360">
        <v>19</v>
      </c>
      <c r="Y5080" s="360" t="s">
        <v>45</v>
      </c>
      <c r="Z5080" s="360">
        <v>3</v>
      </c>
      <c r="AA5080" s="360">
        <v>113</v>
      </c>
      <c r="AB5080" s="360">
        <v>2.7</v>
      </c>
    </row>
    <row r="5081" spans="20:28" x14ac:dyDescent="0.2">
      <c r="T5081" s="358" t="str">
        <f t="shared" si="189"/>
        <v>2011AllSexMaori19Poisoning by gases and vapours</v>
      </c>
      <c r="U5081" s="360">
        <v>2011</v>
      </c>
      <c r="V5081" s="360" t="s">
        <v>17</v>
      </c>
      <c r="W5081" s="360" t="s">
        <v>18</v>
      </c>
      <c r="X5081" s="360">
        <v>19</v>
      </c>
      <c r="Y5081" s="360" t="s">
        <v>46</v>
      </c>
      <c r="Z5081" s="360">
        <v>5</v>
      </c>
      <c r="AA5081" s="360">
        <v>113</v>
      </c>
      <c r="AB5081" s="360">
        <v>4.4000000000000004</v>
      </c>
    </row>
    <row r="5082" spans="20:28" x14ac:dyDescent="0.2">
      <c r="T5082" s="358" t="str">
        <f t="shared" si="189"/>
        <v>2011AllSexMaori19Poisoning by solids and liquids</v>
      </c>
      <c r="U5082" s="360">
        <v>2011</v>
      </c>
      <c r="V5082" s="360" t="s">
        <v>17</v>
      </c>
      <c r="W5082" s="360" t="s">
        <v>18</v>
      </c>
      <c r="X5082" s="360">
        <v>19</v>
      </c>
      <c r="Y5082" s="360" t="s">
        <v>47</v>
      </c>
      <c r="Z5082" s="360">
        <v>3</v>
      </c>
      <c r="AA5082" s="360">
        <v>113</v>
      </c>
      <c r="AB5082" s="360">
        <v>2.7</v>
      </c>
    </row>
    <row r="5083" spans="20:28" x14ac:dyDescent="0.2">
      <c r="T5083" s="358" t="str">
        <f t="shared" si="189"/>
        <v>2011AllSexMaori19Sharp object</v>
      </c>
      <c r="U5083" s="360">
        <v>2011</v>
      </c>
      <c r="V5083" s="360" t="s">
        <v>17</v>
      </c>
      <c r="W5083" s="360" t="s">
        <v>18</v>
      </c>
      <c r="X5083" s="360">
        <v>19</v>
      </c>
      <c r="Y5083" s="360" t="s">
        <v>48</v>
      </c>
      <c r="Z5083" s="360">
        <v>1</v>
      </c>
      <c r="AA5083" s="360">
        <v>113</v>
      </c>
      <c r="AB5083" s="360">
        <v>0.9</v>
      </c>
    </row>
    <row r="5084" spans="20:28" x14ac:dyDescent="0.2">
      <c r="T5084" s="358" t="str">
        <f t="shared" si="189"/>
        <v>2011AllSexMaori19Submersion (drowning)</v>
      </c>
      <c r="U5084" s="360">
        <v>2011</v>
      </c>
      <c r="V5084" s="360" t="s">
        <v>17</v>
      </c>
      <c r="W5084" s="360" t="s">
        <v>18</v>
      </c>
      <c r="X5084" s="360">
        <v>19</v>
      </c>
      <c r="Y5084" s="360" t="s">
        <v>49</v>
      </c>
      <c r="Z5084" s="360">
        <v>1</v>
      </c>
      <c r="AA5084" s="360">
        <v>113</v>
      </c>
      <c r="AB5084" s="360">
        <v>0.9</v>
      </c>
    </row>
    <row r="5085" spans="20:28" x14ac:dyDescent="0.2">
      <c r="T5085" s="358" t="str">
        <f t="shared" si="189"/>
        <v>2011AllSexNon-Maori19Firearms and explosives</v>
      </c>
      <c r="U5085" s="360">
        <v>2011</v>
      </c>
      <c r="V5085" s="360" t="s">
        <v>17</v>
      </c>
      <c r="W5085" s="360" t="s">
        <v>19</v>
      </c>
      <c r="X5085" s="360">
        <v>19</v>
      </c>
      <c r="Y5085" s="360" t="s">
        <v>42</v>
      </c>
      <c r="Z5085" s="360">
        <v>34</v>
      </c>
      <c r="AA5085" s="360">
        <v>381</v>
      </c>
      <c r="AB5085" s="360">
        <v>8.9</v>
      </c>
    </row>
    <row r="5086" spans="20:28" x14ac:dyDescent="0.2">
      <c r="T5086" s="358" t="str">
        <f t="shared" si="189"/>
        <v>2011AllSexNon-Maori19Hanging, strangulation and suffocation</v>
      </c>
      <c r="U5086" s="360">
        <v>2011</v>
      </c>
      <c r="V5086" s="360" t="s">
        <v>17</v>
      </c>
      <c r="W5086" s="360" t="s">
        <v>19</v>
      </c>
      <c r="X5086" s="360">
        <v>19</v>
      </c>
      <c r="Y5086" s="360" t="s">
        <v>43</v>
      </c>
      <c r="Z5086" s="360">
        <v>206</v>
      </c>
      <c r="AA5086" s="360">
        <v>381</v>
      </c>
      <c r="AB5086" s="360">
        <v>54.1</v>
      </c>
    </row>
    <row r="5087" spans="20:28" x14ac:dyDescent="0.2">
      <c r="T5087" s="358" t="str">
        <f t="shared" si="189"/>
        <v>2011AllSexNon-Maori19Jumping from a high place</v>
      </c>
      <c r="U5087" s="360">
        <v>2011</v>
      </c>
      <c r="V5087" s="360" t="s">
        <v>17</v>
      </c>
      <c r="W5087" s="360" t="s">
        <v>19</v>
      </c>
      <c r="X5087" s="360">
        <v>19</v>
      </c>
      <c r="Y5087" s="360" t="s">
        <v>44</v>
      </c>
      <c r="Z5087" s="360">
        <v>10</v>
      </c>
      <c r="AA5087" s="360">
        <v>381</v>
      </c>
      <c r="AB5087" s="360">
        <v>2.6</v>
      </c>
    </row>
    <row r="5088" spans="20:28" x14ac:dyDescent="0.2">
      <c r="T5088" s="358" t="str">
        <f t="shared" si="189"/>
        <v>2011AllSexNon-Maori19Other</v>
      </c>
      <c r="U5088" s="360">
        <v>2011</v>
      </c>
      <c r="V5088" s="360" t="s">
        <v>17</v>
      </c>
      <c r="W5088" s="360" t="s">
        <v>19</v>
      </c>
      <c r="X5088" s="360">
        <v>19</v>
      </c>
      <c r="Y5088" s="360" t="s">
        <v>45</v>
      </c>
      <c r="Z5088" s="360">
        <v>15</v>
      </c>
      <c r="AA5088" s="360">
        <v>381</v>
      </c>
      <c r="AB5088" s="360">
        <v>3.9</v>
      </c>
    </row>
    <row r="5089" spans="20:28" x14ac:dyDescent="0.2">
      <c r="T5089" s="358" t="str">
        <f t="shared" si="189"/>
        <v>2011AllSexNon-Maori19Poisoning by gases and vapours</v>
      </c>
      <c r="U5089" s="360">
        <v>2011</v>
      </c>
      <c r="V5089" s="360" t="s">
        <v>17</v>
      </c>
      <c r="W5089" s="360" t="s">
        <v>19</v>
      </c>
      <c r="X5089" s="360">
        <v>19</v>
      </c>
      <c r="Y5089" s="360" t="s">
        <v>46</v>
      </c>
      <c r="Z5089" s="360">
        <v>43</v>
      </c>
      <c r="AA5089" s="360">
        <v>381</v>
      </c>
      <c r="AB5089" s="360">
        <v>11.3</v>
      </c>
    </row>
    <row r="5090" spans="20:28" x14ac:dyDescent="0.2">
      <c r="T5090" s="358" t="str">
        <f t="shared" si="189"/>
        <v>2011AllSexNon-Maori19Poisoning by solids and liquids</v>
      </c>
      <c r="U5090" s="360">
        <v>2011</v>
      </c>
      <c r="V5090" s="360" t="s">
        <v>17</v>
      </c>
      <c r="W5090" s="360" t="s">
        <v>19</v>
      </c>
      <c r="X5090" s="360">
        <v>19</v>
      </c>
      <c r="Y5090" s="360" t="s">
        <v>47</v>
      </c>
      <c r="Z5090" s="360">
        <v>53</v>
      </c>
      <c r="AA5090" s="360">
        <v>381</v>
      </c>
      <c r="AB5090" s="360">
        <v>13.9</v>
      </c>
    </row>
    <row r="5091" spans="20:28" x14ac:dyDescent="0.2">
      <c r="T5091" s="358" t="str">
        <f t="shared" si="189"/>
        <v>2011AllSexNon-Maori19Sharp object</v>
      </c>
      <c r="U5091" s="360">
        <v>2011</v>
      </c>
      <c r="V5091" s="360" t="s">
        <v>17</v>
      </c>
      <c r="W5091" s="360" t="s">
        <v>19</v>
      </c>
      <c r="X5091" s="360">
        <v>19</v>
      </c>
      <c r="Y5091" s="360" t="s">
        <v>48</v>
      </c>
      <c r="Z5091" s="360">
        <v>6</v>
      </c>
      <c r="AA5091" s="360">
        <v>381</v>
      </c>
      <c r="AB5091" s="360">
        <v>1.6</v>
      </c>
    </row>
    <row r="5092" spans="20:28" x14ac:dyDescent="0.2">
      <c r="T5092" s="358" t="str">
        <f t="shared" si="189"/>
        <v>2011AllSexNon-Maori19Submersion (drowning)</v>
      </c>
      <c r="U5092" s="360">
        <v>2011</v>
      </c>
      <c r="V5092" s="360" t="s">
        <v>17</v>
      </c>
      <c r="W5092" s="360" t="s">
        <v>19</v>
      </c>
      <c r="X5092" s="360">
        <v>19</v>
      </c>
      <c r="Y5092" s="360" t="s">
        <v>49</v>
      </c>
      <c r="Z5092" s="360">
        <v>14</v>
      </c>
      <c r="AA5092" s="360">
        <v>381</v>
      </c>
      <c r="AB5092" s="360">
        <v>3.7</v>
      </c>
    </row>
    <row r="5093" spans="20:28" x14ac:dyDescent="0.2">
      <c r="T5093" s="358" t="str">
        <f t="shared" si="189"/>
        <v>2011FemaleAllEth19Firearms and explosives</v>
      </c>
      <c r="U5093" s="360">
        <v>2011</v>
      </c>
      <c r="V5093" s="360" t="s">
        <v>8</v>
      </c>
      <c r="W5093" s="360" t="s">
        <v>27</v>
      </c>
      <c r="X5093" s="360">
        <v>19</v>
      </c>
      <c r="Y5093" s="360" t="s">
        <v>42</v>
      </c>
      <c r="Z5093" s="360">
        <v>2</v>
      </c>
      <c r="AA5093" s="360">
        <v>117</v>
      </c>
      <c r="AB5093" s="360">
        <v>1.7</v>
      </c>
    </row>
    <row r="5094" spans="20:28" x14ac:dyDescent="0.2">
      <c r="T5094" s="358" t="str">
        <f t="shared" si="189"/>
        <v>2011FemaleAllEth19Hanging, strangulation and suffocation</v>
      </c>
      <c r="U5094" s="360">
        <v>2011</v>
      </c>
      <c r="V5094" s="360" t="s">
        <v>8</v>
      </c>
      <c r="W5094" s="360" t="s">
        <v>27</v>
      </c>
      <c r="X5094" s="360">
        <v>19</v>
      </c>
      <c r="Y5094" s="360" t="s">
        <v>43</v>
      </c>
      <c r="Z5094" s="360">
        <v>69</v>
      </c>
      <c r="AA5094" s="360">
        <v>117</v>
      </c>
      <c r="AB5094" s="360">
        <v>59</v>
      </c>
    </row>
    <row r="5095" spans="20:28" x14ac:dyDescent="0.2">
      <c r="T5095" s="358" t="str">
        <f t="shared" si="189"/>
        <v>2011FemaleAllEth19Jumping from a high place</v>
      </c>
      <c r="U5095" s="360">
        <v>2011</v>
      </c>
      <c r="V5095" s="360" t="s">
        <v>8</v>
      </c>
      <c r="W5095" s="360" t="s">
        <v>27</v>
      </c>
      <c r="X5095" s="360">
        <v>19</v>
      </c>
      <c r="Y5095" s="360" t="s">
        <v>44</v>
      </c>
      <c r="Z5095" s="360">
        <v>3</v>
      </c>
      <c r="AA5095" s="360">
        <v>117</v>
      </c>
      <c r="AB5095" s="360">
        <v>2.6</v>
      </c>
    </row>
    <row r="5096" spans="20:28" x14ac:dyDescent="0.2">
      <c r="T5096" s="358" t="str">
        <f t="shared" si="189"/>
        <v>2011FemaleAllEth19Other</v>
      </c>
      <c r="U5096" s="360">
        <v>2011</v>
      </c>
      <c r="V5096" s="360" t="s">
        <v>8</v>
      </c>
      <c r="W5096" s="360" t="s">
        <v>27</v>
      </c>
      <c r="X5096" s="360">
        <v>19</v>
      </c>
      <c r="Y5096" s="360" t="s">
        <v>45</v>
      </c>
      <c r="Z5096" s="360">
        <v>5</v>
      </c>
      <c r="AA5096" s="360">
        <v>117</v>
      </c>
      <c r="AB5096" s="360">
        <v>4.3</v>
      </c>
    </row>
    <row r="5097" spans="20:28" x14ac:dyDescent="0.2">
      <c r="T5097" s="358" t="str">
        <f t="shared" si="189"/>
        <v>2011FemaleAllEth19Poisoning by gases and vapours</v>
      </c>
      <c r="U5097" s="360">
        <v>2011</v>
      </c>
      <c r="V5097" s="360" t="s">
        <v>8</v>
      </c>
      <c r="W5097" s="360" t="s">
        <v>27</v>
      </c>
      <c r="X5097" s="360">
        <v>19</v>
      </c>
      <c r="Y5097" s="360" t="s">
        <v>46</v>
      </c>
      <c r="Z5097" s="360">
        <v>5</v>
      </c>
      <c r="AA5097" s="360">
        <v>117</v>
      </c>
      <c r="AB5097" s="360">
        <v>4.3</v>
      </c>
    </row>
    <row r="5098" spans="20:28" x14ac:dyDescent="0.2">
      <c r="T5098" s="358" t="str">
        <f t="shared" si="189"/>
        <v>2011FemaleAllEth19Poisoning by solids and liquids</v>
      </c>
      <c r="U5098" s="360">
        <v>2011</v>
      </c>
      <c r="V5098" s="360" t="s">
        <v>8</v>
      </c>
      <c r="W5098" s="360" t="s">
        <v>27</v>
      </c>
      <c r="X5098" s="360">
        <v>19</v>
      </c>
      <c r="Y5098" s="360" t="s">
        <v>47</v>
      </c>
      <c r="Z5098" s="360">
        <v>25</v>
      </c>
      <c r="AA5098" s="360">
        <v>117</v>
      </c>
      <c r="AB5098" s="360">
        <v>21.4</v>
      </c>
    </row>
    <row r="5099" spans="20:28" x14ac:dyDescent="0.2">
      <c r="T5099" s="358" t="str">
        <f t="shared" si="189"/>
        <v>2011FemaleAllEth19Sharp object</v>
      </c>
      <c r="U5099" s="360">
        <v>2011</v>
      </c>
      <c r="V5099" s="360" t="s">
        <v>8</v>
      </c>
      <c r="W5099" s="360" t="s">
        <v>27</v>
      </c>
      <c r="X5099" s="360">
        <v>19</v>
      </c>
      <c r="Y5099" s="360" t="s">
        <v>48</v>
      </c>
      <c r="Z5099" s="360">
        <v>1</v>
      </c>
      <c r="AA5099" s="360">
        <v>117</v>
      </c>
      <c r="AB5099" s="360">
        <v>0.9</v>
      </c>
    </row>
    <row r="5100" spans="20:28" x14ac:dyDescent="0.2">
      <c r="T5100" s="358" t="str">
        <f t="shared" si="189"/>
        <v>2011FemaleAllEth19Submersion (drowning)</v>
      </c>
      <c r="U5100" s="360">
        <v>2011</v>
      </c>
      <c r="V5100" s="360" t="s">
        <v>8</v>
      </c>
      <c r="W5100" s="360" t="s">
        <v>27</v>
      </c>
      <c r="X5100" s="360">
        <v>19</v>
      </c>
      <c r="Y5100" s="360" t="s">
        <v>49</v>
      </c>
      <c r="Z5100" s="360">
        <v>7</v>
      </c>
      <c r="AA5100" s="360">
        <v>117</v>
      </c>
      <c r="AB5100" s="360">
        <v>6</v>
      </c>
    </row>
    <row r="5101" spans="20:28" x14ac:dyDescent="0.2">
      <c r="T5101" s="358" t="str">
        <f t="shared" si="189"/>
        <v>2011FemaleMaori19Hanging, strangulation and suffocation</v>
      </c>
      <c r="U5101" s="360">
        <v>2011</v>
      </c>
      <c r="V5101" s="360" t="s">
        <v>8</v>
      </c>
      <c r="W5101" s="360" t="s">
        <v>18</v>
      </c>
      <c r="X5101" s="360">
        <v>19</v>
      </c>
      <c r="Y5101" s="360" t="s">
        <v>43</v>
      </c>
      <c r="Z5101" s="360">
        <v>30</v>
      </c>
      <c r="AA5101" s="360">
        <v>32</v>
      </c>
      <c r="AB5101" s="360">
        <v>93.8</v>
      </c>
    </row>
    <row r="5102" spans="20:28" x14ac:dyDescent="0.2">
      <c r="T5102" s="358" t="str">
        <f t="shared" si="189"/>
        <v>2011FemaleMaori19Jumping from a high place</v>
      </c>
      <c r="U5102" s="360">
        <v>2011</v>
      </c>
      <c r="V5102" s="360" t="s">
        <v>8</v>
      </c>
      <c r="W5102" s="360" t="s">
        <v>18</v>
      </c>
      <c r="X5102" s="360">
        <v>19</v>
      </c>
      <c r="Y5102" s="360" t="s">
        <v>44</v>
      </c>
      <c r="Z5102" s="360">
        <v>1</v>
      </c>
      <c r="AA5102" s="360">
        <v>32</v>
      </c>
      <c r="AB5102" s="360">
        <v>3.1</v>
      </c>
    </row>
    <row r="5103" spans="20:28" x14ac:dyDescent="0.2">
      <c r="T5103" s="358" t="str">
        <f t="shared" si="189"/>
        <v>2011FemaleMaori19Poisoning by solids and liquids</v>
      </c>
      <c r="U5103" s="360">
        <v>2011</v>
      </c>
      <c r="V5103" s="360" t="s">
        <v>8</v>
      </c>
      <c r="W5103" s="360" t="s">
        <v>18</v>
      </c>
      <c r="X5103" s="360">
        <v>19</v>
      </c>
      <c r="Y5103" s="360" t="s">
        <v>47</v>
      </c>
      <c r="Z5103" s="360">
        <v>1</v>
      </c>
      <c r="AA5103" s="360">
        <v>32</v>
      </c>
      <c r="AB5103" s="360">
        <v>3.1</v>
      </c>
    </row>
    <row r="5104" spans="20:28" x14ac:dyDescent="0.2">
      <c r="T5104" s="358" t="str">
        <f t="shared" si="189"/>
        <v>2011FemaleNon-Maori19Firearms and explosives</v>
      </c>
      <c r="U5104" s="360">
        <v>2011</v>
      </c>
      <c r="V5104" s="360" t="s">
        <v>8</v>
      </c>
      <c r="W5104" s="360" t="s">
        <v>19</v>
      </c>
      <c r="X5104" s="360">
        <v>19</v>
      </c>
      <c r="Y5104" s="360" t="s">
        <v>42</v>
      </c>
      <c r="Z5104" s="360">
        <v>2</v>
      </c>
      <c r="AA5104" s="360">
        <v>85</v>
      </c>
      <c r="AB5104" s="360">
        <v>2.4</v>
      </c>
    </row>
    <row r="5105" spans="20:28" x14ac:dyDescent="0.2">
      <c r="T5105" s="358" t="str">
        <f t="shared" si="189"/>
        <v>2011FemaleNon-Maori19Hanging, strangulation and suffocation</v>
      </c>
      <c r="U5105" s="360">
        <v>2011</v>
      </c>
      <c r="V5105" s="360" t="s">
        <v>8</v>
      </c>
      <c r="W5105" s="360" t="s">
        <v>19</v>
      </c>
      <c r="X5105" s="360">
        <v>19</v>
      </c>
      <c r="Y5105" s="360" t="s">
        <v>43</v>
      </c>
      <c r="Z5105" s="360">
        <v>39</v>
      </c>
      <c r="AA5105" s="360">
        <v>85</v>
      </c>
      <c r="AB5105" s="360">
        <v>45.9</v>
      </c>
    </row>
    <row r="5106" spans="20:28" x14ac:dyDescent="0.2">
      <c r="T5106" s="358" t="str">
        <f t="shared" si="189"/>
        <v>2011FemaleNon-Maori19Jumping from a high place</v>
      </c>
      <c r="U5106" s="360">
        <v>2011</v>
      </c>
      <c r="V5106" s="360" t="s">
        <v>8</v>
      </c>
      <c r="W5106" s="360" t="s">
        <v>19</v>
      </c>
      <c r="X5106" s="360">
        <v>19</v>
      </c>
      <c r="Y5106" s="360" t="s">
        <v>44</v>
      </c>
      <c r="Z5106" s="360">
        <v>2</v>
      </c>
      <c r="AA5106" s="360">
        <v>85</v>
      </c>
      <c r="AB5106" s="360">
        <v>2.4</v>
      </c>
    </row>
    <row r="5107" spans="20:28" x14ac:dyDescent="0.2">
      <c r="T5107" s="358" t="str">
        <f t="shared" si="189"/>
        <v>2011FemaleNon-Maori19Other</v>
      </c>
      <c r="U5107" s="360">
        <v>2011</v>
      </c>
      <c r="V5107" s="360" t="s">
        <v>8</v>
      </c>
      <c r="W5107" s="360" t="s">
        <v>19</v>
      </c>
      <c r="X5107" s="360">
        <v>19</v>
      </c>
      <c r="Y5107" s="360" t="s">
        <v>45</v>
      </c>
      <c r="Z5107" s="360">
        <v>5</v>
      </c>
      <c r="AA5107" s="360">
        <v>85</v>
      </c>
      <c r="AB5107" s="360">
        <v>5.9</v>
      </c>
    </row>
    <row r="5108" spans="20:28" x14ac:dyDescent="0.2">
      <c r="T5108" s="358" t="str">
        <f t="shared" si="189"/>
        <v>2011FemaleNon-Maori19Poisoning by gases and vapours</v>
      </c>
      <c r="U5108" s="360">
        <v>2011</v>
      </c>
      <c r="V5108" s="360" t="s">
        <v>8</v>
      </c>
      <c r="W5108" s="360" t="s">
        <v>19</v>
      </c>
      <c r="X5108" s="360">
        <v>19</v>
      </c>
      <c r="Y5108" s="360" t="s">
        <v>46</v>
      </c>
      <c r="Z5108" s="360">
        <v>5</v>
      </c>
      <c r="AA5108" s="360">
        <v>85</v>
      </c>
      <c r="AB5108" s="360">
        <v>5.9</v>
      </c>
    </row>
    <row r="5109" spans="20:28" x14ac:dyDescent="0.2">
      <c r="T5109" s="358" t="str">
        <f t="shared" si="189"/>
        <v>2011FemaleNon-Maori19Poisoning by solids and liquids</v>
      </c>
      <c r="U5109" s="360">
        <v>2011</v>
      </c>
      <c r="V5109" s="360" t="s">
        <v>8</v>
      </c>
      <c r="W5109" s="360" t="s">
        <v>19</v>
      </c>
      <c r="X5109" s="360">
        <v>19</v>
      </c>
      <c r="Y5109" s="360" t="s">
        <v>47</v>
      </c>
      <c r="Z5109" s="360">
        <v>24</v>
      </c>
      <c r="AA5109" s="360">
        <v>85</v>
      </c>
      <c r="AB5109" s="360">
        <v>28.2</v>
      </c>
    </row>
    <row r="5110" spans="20:28" x14ac:dyDescent="0.2">
      <c r="T5110" s="358" t="str">
        <f t="shared" si="189"/>
        <v>2011FemaleNon-Maori19Sharp object</v>
      </c>
      <c r="U5110" s="360">
        <v>2011</v>
      </c>
      <c r="V5110" s="360" t="s">
        <v>8</v>
      </c>
      <c r="W5110" s="360" t="s">
        <v>19</v>
      </c>
      <c r="X5110" s="360">
        <v>19</v>
      </c>
      <c r="Y5110" s="360" t="s">
        <v>48</v>
      </c>
      <c r="Z5110" s="360">
        <v>1</v>
      </c>
      <c r="AA5110" s="360">
        <v>85</v>
      </c>
      <c r="AB5110" s="360">
        <v>1.2</v>
      </c>
    </row>
    <row r="5111" spans="20:28" x14ac:dyDescent="0.2">
      <c r="T5111" s="358" t="str">
        <f t="shared" si="189"/>
        <v>2011FemaleNon-Maori19Submersion (drowning)</v>
      </c>
      <c r="U5111" s="360">
        <v>2011</v>
      </c>
      <c r="V5111" s="360" t="s">
        <v>8</v>
      </c>
      <c r="W5111" s="360" t="s">
        <v>19</v>
      </c>
      <c r="X5111" s="360">
        <v>19</v>
      </c>
      <c r="Y5111" s="360" t="s">
        <v>49</v>
      </c>
      <c r="Z5111" s="360">
        <v>7</v>
      </c>
      <c r="AA5111" s="360">
        <v>85</v>
      </c>
      <c r="AB5111" s="360">
        <v>8.1999999999999993</v>
      </c>
    </row>
    <row r="5112" spans="20:28" x14ac:dyDescent="0.2">
      <c r="T5112" s="358" t="str">
        <f t="shared" si="189"/>
        <v>2011MaleAllEth19Firearms and explosives</v>
      </c>
      <c r="U5112" s="360">
        <v>2011</v>
      </c>
      <c r="V5112" s="360" t="s">
        <v>20</v>
      </c>
      <c r="W5112" s="360" t="s">
        <v>27</v>
      </c>
      <c r="X5112" s="360">
        <v>19</v>
      </c>
      <c r="Y5112" s="360" t="s">
        <v>42</v>
      </c>
      <c r="Z5112" s="360">
        <v>34</v>
      </c>
      <c r="AA5112" s="360">
        <v>377</v>
      </c>
      <c r="AB5112" s="360">
        <v>9</v>
      </c>
    </row>
    <row r="5113" spans="20:28" x14ac:dyDescent="0.2">
      <c r="T5113" s="358" t="str">
        <f t="shared" si="189"/>
        <v>2011MaleAllEth19Hanging, strangulation and suffocation</v>
      </c>
      <c r="U5113" s="360">
        <v>2011</v>
      </c>
      <c r="V5113" s="360" t="s">
        <v>20</v>
      </c>
      <c r="W5113" s="360" t="s">
        <v>27</v>
      </c>
      <c r="X5113" s="360">
        <v>19</v>
      </c>
      <c r="Y5113" s="360" t="s">
        <v>43</v>
      </c>
      <c r="Z5113" s="360">
        <v>233</v>
      </c>
      <c r="AA5113" s="360">
        <v>377</v>
      </c>
      <c r="AB5113" s="360">
        <v>61.8</v>
      </c>
    </row>
    <row r="5114" spans="20:28" x14ac:dyDescent="0.2">
      <c r="T5114" s="358" t="str">
        <f t="shared" si="189"/>
        <v>2011MaleAllEth19Jumping from a high place</v>
      </c>
      <c r="U5114" s="360">
        <v>2011</v>
      </c>
      <c r="V5114" s="360" t="s">
        <v>20</v>
      </c>
      <c r="W5114" s="360" t="s">
        <v>27</v>
      </c>
      <c r="X5114" s="360">
        <v>19</v>
      </c>
      <c r="Y5114" s="360" t="s">
        <v>44</v>
      </c>
      <c r="Z5114" s="360">
        <v>9</v>
      </c>
      <c r="AA5114" s="360">
        <v>377</v>
      </c>
      <c r="AB5114" s="360">
        <v>2.4</v>
      </c>
    </row>
    <row r="5115" spans="20:28" x14ac:dyDescent="0.2">
      <c r="T5115" s="358" t="str">
        <f t="shared" si="189"/>
        <v>2011MaleAllEth19Other</v>
      </c>
      <c r="U5115" s="360">
        <v>2011</v>
      </c>
      <c r="V5115" s="360" t="s">
        <v>20</v>
      </c>
      <c r="W5115" s="360" t="s">
        <v>27</v>
      </c>
      <c r="X5115" s="360">
        <v>19</v>
      </c>
      <c r="Y5115" s="360" t="s">
        <v>45</v>
      </c>
      <c r="Z5115" s="360">
        <v>13</v>
      </c>
      <c r="AA5115" s="360">
        <v>377</v>
      </c>
      <c r="AB5115" s="360">
        <v>3.4</v>
      </c>
    </row>
    <row r="5116" spans="20:28" x14ac:dyDescent="0.2">
      <c r="T5116" s="358" t="str">
        <f t="shared" si="189"/>
        <v>2011MaleAllEth19Poisoning by gases and vapours</v>
      </c>
      <c r="U5116" s="360">
        <v>2011</v>
      </c>
      <c r="V5116" s="360" t="s">
        <v>20</v>
      </c>
      <c r="W5116" s="360" t="s">
        <v>27</v>
      </c>
      <c r="X5116" s="360">
        <v>19</v>
      </c>
      <c r="Y5116" s="360" t="s">
        <v>46</v>
      </c>
      <c r="Z5116" s="360">
        <v>43</v>
      </c>
      <c r="AA5116" s="360">
        <v>377</v>
      </c>
      <c r="AB5116" s="360">
        <v>11.4</v>
      </c>
    </row>
    <row r="5117" spans="20:28" x14ac:dyDescent="0.2">
      <c r="T5117" s="358" t="str">
        <f t="shared" si="189"/>
        <v>2011MaleAllEth19Poisoning by solids and liquids</v>
      </c>
      <c r="U5117" s="360">
        <v>2011</v>
      </c>
      <c r="V5117" s="360" t="s">
        <v>20</v>
      </c>
      <c r="W5117" s="360" t="s">
        <v>27</v>
      </c>
      <c r="X5117" s="360">
        <v>19</v>
      </c>
      <c r="Y5117" s="360" t="s">
        <v>47</v>
      </c>
      <c r="Z5117" s="360">
        <v>31</v>
      </c>
      <c r="AA5117" s="360">
        <v>377</v>
      </c>
      <c r="AB5117" s="360">
        <v>8.1999999999999993</v>
      </c>
    </row>
    <row r="5118" spans="20:28" x14ac:dyDescent="0.2">
      <c r="T5118" s="358" t="str">
        <f t="shared" si="189"/>
        <v>2011MaleAllEth19Sharp object</v>
      </c>
      <c r="U5118" s="360">
        <v>2011</v>
      </c>
      <c r="V5118" s="360" t="s">
        <v>20</v>
      </c>
      <c r="W5118" s="360" t="s">
        <v>27</v>
      </c>
      <c r="X5118" s="360">
        <v>19</v>
      </c>
      <c r="Y5118" s="360" t="s">
        <v>48</v>
      </c>
      <c r="Z5118" s="360">
        <v>6</v>
      </c>
      <c r="AA5118" s="360">
        <v>377</v>
      </c>
      <c r="AB5118" s="360">
        <v>1.6</v>
      </c>
    </row>
    <row r="5119" spans="20:28" x14ac:dyDescent="0.2">
      <c r="T5119" s="358" t="str">
        <f t="shared" si="189"/>
        <v>2011MaleAllEth19Submersion (drowning)</v>
      </c>
      <c r="U5119" s="360">
        <v>2011</v>
      </c>
      <c r="V5119" s="360" t="s">
        <v>20</v>
      </c>
      <c r="W5119" s="360" t="s">
        <v>27</v>
      </c>
      <c r="X5119" s="360">
        <v>19</v>
      </c>
      <c r="Y5119" s="360" t="s">
        <v>49</v>
      </c>
      <c r="Z5119" s="360">
        <v>8</v>
      </c>
      <c r="AA5119" s="360">
        <v>377</v>
      </c>
      <c r="AB5119" s="360">
        <v>2.1</v>
      </c>
    </row>
    <row r="5120" spans="20:28" x14ac:dyDescent="0.2">
      <c r="T5120" s="358" t="str">
        <f t="shared" si="189"/>
        <v>2011MaleMaori19Firearms and explosives</v>
      </c>
      <c r="U5120" s="360">
        <v>2011</v>
      </c>
      <c r="V5120" s="360" t="s">
        <v>20</v>
      </c>
      <c r="W5120" s="360" t="s">
        <v>18</v>
      </c>
      <c r="X5120" s="360">
        <v>19</v>
      </c>
      <c r="Y5120" s="360" t="s">
        <v>42</v>
      </c>
      <c r="Z5120" s="360">
        <v>2</v>
      </c>
      <c r="AA5120" s="360">
        <v>81</v>
      </c>
      <c r="AB5120" s="360">
        <v>2.5</v>
      </c>
    </row>
    <row r="5121" spans="20:28" x14ac:dyDescent="0.2">
      <c r="T5121" s="358" t="str">
        <f t="shared" si="189"/>
        <v>2011MaleMaori19Hanging, strangulation and suffocation</v>
      </c>
      <c r="U5121" s="360">
        <v>2011</v>
      </c>
      <c r="V5121" s="360" t="s">
        <v>20</v>
      </c>
      <c r="W5121" s="360" t="s">
        <v>18</v>
      </c>
      <c r="X5121" s="360">
        <v>19</v>
      </c>
      <c r="Y5121" s="360" t="s">
        <v>43</v>
      </c>
      <c r="Z5121" s="360">
        <v>66</v>
      </c>
      <c r="AA5121" s="360">
        <v>81</v>
      </c>
      <c r="AB5121" s="360">
        <v>81.5</v>
      </c>
    </row>
    <row r="5122" spans="20:28" x14ac:dyDescent="0.2">
      <c r="T5122" s="358" t="str">
        <f t="shared" si="189"/>
        <v>2011MaleMaori19Jumping from a high place</v>
      </c>
      <c r="U5122" s="360">
        <v>2011</v>
      </c>
      <c r="V5122" s="360" t="s">
        <v>20</v>
      </c>
      <c r="W5122" s="360" t="s">
        <v>18</v>
      </c>
      <c r="X5122" s="360">
        <v>19</v>
      </c>
      <c r="Y5122" s="360" t="s">
        <v>44</v>
      </c>
      <c r="Z5122" s="360">
        <v>1</v>
      </c>
      <c r="AA5122" s="360">
        <v>81</v>
      </c>
      <c r="AB5122" s="360">
        <v>1.2</v>
      </c>
    </row>
    <row r="5123" spans="20:28" x14ac:dyDescent="0.2">
      <c r="T5123" s="358" t="str">
        <f t="shared" si="189"/>
        <v>2011MaleMaori19Other</v>
      </c>
      <c r="U5123" s="360">
        <v>2011</v>
      </c>
      <c r="V5123" s="360" t="s">
        <v>20</v>
      </c>
      <c r="W5123" s="360" t="s">
        <v>18</v>
      </c>
      <c r="X5123" s="360">
        <v>19</v>
      </c>
      <c r="Y5123" s="360" t="s">
        <v>45</v>
      </c>
      <c r="Z5123" s="360">
        <v>3</v>
      </c>
      <c r="AA5123" s="360">
        <v>81</v>
      </c>
      <c r="AB5123" s="360">
        <v>3.7</v>
      </c>
    </row>
    <row r="5124" spans="20:28" x14ac:dyDescent="0.2">
      <c r="T5124" s="358" t="str">
        <f t="shared" si="189"/>
        <v>2011MaleMaori19Poisoning by gases and vapours</v>
      </c>
      <c r="U5124" s="360">
        <v>2011</v>
      </c>
      <c r="V5124" s="360" t="s">
        <v>20</v>
      </c>
      <c r="W5124" s="360" t="s">
        <v>18</v>
      </c>
      <c r="X5124" s="360">
        <v>19</v>
      </c>
      <c r="Y5124" s="360" t="s">
        <v>46</v>
      </c>
      <c r="Z5124" s="360">
        <v>5</v>
      </c>
      <c r="AA5124" s="360">
        <v>81</v>
      </c>
      <c r="AB5124" s="360">
        <v>6.2</v>
      </c>
    </row>
    <row r="5125" spans="20:28" x14ac:dyDescent="0.2">
      <c r="T5125" s="358" t="str">
        <f t="shared" ref="T5125:T5188" si="190">U5125&amp;V5125&amp;W5125&amp;X5125&amp;Y5125</f>
        <v>2011MaleMaori19Poisoning by solids and liquids</v>
      </c>
      <c r="U5125" s="360">
        <v>2011</v>
      </c>
      <c r="V5125" s="360" t="s">
        <v>20</v>
      </c>
      <c r="W5125" s="360" t="s">
        <v>18</v>
      </c>
      <c r="X5125" s="360">
        <v>19</v>
      </c>
      <c r="Y5125" s="360" t="s">
        <v>47</v>
      </c>
      <c r="Z5125" s="360">
        <v>2</v>
      </c>
      <c r="AA5125" s="360">
        <v>81</v>
      </c>
      <c r="AB5125" s="360">
        <v>2.5</v>
      </c>
    </row>
    <row r="5126" spans="20:28" x14ac:dyDescent="0.2">
      <c r="T5126" s="358" t="str">
        <f t="shared" si="190"/>
        <v>2011MaleMaori19Sharp object</v>
      </c>
      <c r="U5126" s="360">
        <v>2011</v>
      </c>
      <c r="V5126" s="360" t="s">
        <v>20</v>
      </c>
      <c r="W5126" s="360" t="s">
        <v>18</v>
      </c>
      <c r="X5126" s="360">
        <v>19</v>
      </c>
      <c r="Y5126" s="360" t="s">
        <v>48</v>
      </c>
      <c r="Z5126" s="360">
        <v>1</v>
      </c>
      <c r="AA5126" s="360">
        <v>81</v>
      </c>
      <c r="AB5126" s="360">
        <v>1.2</v>
      </c>
    </row>
    <row r="5127" spans="20:28" x14ac:dyDescent="0.2">
      <c r="T5127" s="358" t="str">
        <f t="shared" si="190"/>
        <v>2011MaleMaori19Submersion (drowning)</v>
      </c>
      <c r="U5127" s="360">
        <v>2011</v>
      </c>
      <c r="V5127" s="360" t="s">
        <v>20</v>
      </c>
      <c r="W5127" s="360" t="s">
        <v>18</v>
      </c>
      <c r="X5127" s="360">
        <v>19</v>
      </c>
      <c r="Y5127" s="360" t="s">
        <v>49</v>
      </c>
      <c r="Z5127" s="360">
        <v>1</v>
      </c>
      <c r="AA5127" s="360">
        <v>81</v>
      </c>
      <c r="AB5127" s="360">
        <v>1.2</v>
      </c>
    </row>
    <row r="5128" spans="20:28" x14ac:dyDescent="0.2">
      <c r="T5128" s="358" t="str">
        <f t="shared" si="190"/>
        <v>2011MaleNon-Maori19Firearms and explosives</v>
      </c>
      <c r="U5128" s="360">
        <v>2011</v>
      </c>
      <c r="V5128" s="360" t="s">
        <v>20</v>
      </c>
      <c r="W5128" s="360" t="s">
        <v>19</v>
      </c>
      <c r="X5128" s="360">
        <v>19</v>
      </c>
      <c r="Y5128" s="360" t="s">
        <v>42</v>
      </c>
      <c r="Z5128" s="360">
        <v>32</v>
      </c>
      <c r="AA5128" s="360">
        <v>296</v>
      </c>
      <c r="AB5128" s="360">
        <v>10.8</v>
      </c>
    </row>
    <row r="5129" spans="20:28" x14ac:dyDescent="0.2">
      <c r="T5129" s="358" t="str">
        <f t="shared" si="190"/>
        <v>2011MaleNon-Maori19Hanging, strangulation and suffocation</v>
      </c>
      <c r="U5129" s="360">
        <v>2011</v>
      </c>
      <c r="V5129" s="360" t="s">
        <v>20</v>
      </c>
      <c r="W5129" s="360" t="s">
        <v>19</v>
      </c>
      <c r="X5129" s="360">
        <v>19</v>
      </c>
      <c r="Y5129" s="360" t="s">
        <v>43</v>
      </c>
      <c r="Z5129" s="360">
        <v>167</v>
      </c>
      <c r="AA5129" s="360">
        <v>296</v>
      </c>
      <c r="AB5129" s="360">
        <v>56.4</v>
      </c>
    </row>
    <row r="5130" spans="20:28" x14ac:dyDescent="0.2">
      <c r="T5130" s="358" t="str">
        <f t="shared" si="190"/>
        <v>2011MaleNon-Maori19Jumping from a high place</v>
      </c>
      <c r="U5130" s="360">
        <v>2011</v>
      </c>
      <c r="V5130" s="360" t="s">
        <v>20</v>
      </c>
      <c r="W5130" s="360" t="s">
        <v>19</v>
      </c>
      <c r="X5130" s="360">
        <v>19</v>
      </c>
      <c r="Y5130" s="360" t="s">
        <v>44</v>
      </c>
      <c r="Z5130" s="360">
        <v>8</v>
      </c>
      <c r="AA5130" s="360">
        <v>296</v>
      </c>
      <c r="AB5130" s="360">
        <v>2.7</v>
      </c>
    </row>
    <row r="5131" spans="20:28" x14ac:dyDescent="0.2">
      <c r="T5131" s="358" t="str">
        <f t="shared" si="190"/>
        <v>2011MaleNon-Maori19Other</v>
      </c>
      <c r="U5131" s="360">
        <v>2011</v>
      </c>
      <c r="V5131" s="360" t="s">
        <v>20</v>
      </c>
      <c r="W5131" s="360" t="s">
        <v>19</v>
      </c>
      <c r="X5131" s="360">
        <v>19</v>
      </c>
      <c r="Y5131" s="360" t="s">
        <v>45</v>
      </c>
      <c r="Z5131" s="360">
        <v>10</v>
      </c>
      <c r="AA5131" s="360">
        <v>296</v>
      </c>
      <c r="AB5131" s="360">
        <v>3.4</v>
      </c>
    </row>
    <row r="5132" spans="20:28" x14ac:dyDescent="0.2">
      <c r="T5132" s="358" t="str">
        <f t="shared" si="190"/>
        <v>2011MaleNon-Maori19Poisoning by gases and vapours</v>
      </c>
      <c r="U5132" s="360">
        <v>2011</v>
      </c>
      <c r="V5132" s="360" t="s">
        <v>20</v>
      </c>
      <c r="W5132" s="360" t="s">
        <v>19</v>
      </c>
      <c r="X5132" s="360">
        <v>19</v>
      </c>
      <c r="Y5132" s="360" t="s">
        <v>46</v>
      </c>
      <c r="Z5132" s="360">
        <v>38</v>
      </c>
      <c r="AA5132" s="360">
        <v>296</v>
      </c>
      <c r="AB5132" s="360">
        <v>12.8</v>
      </c>
    </row>
    <row r="5133" spans="20:28" x14ac:dyDescent="0.2">
      <c r="T5133" s="358" t="str">
        <f t="shared" si="190"/>
        <v>2011MaleNon-Maori19Poisoning by solids and liquids</v>
      </c>
      <c r="U5133" s="360">
        <v>2011</v>
      </c>
      <c r="V5133" s="360" t="s">
        <v>20</v>
      </c>
      <c r="W5133" s="360" t="s">
        <v>19</v>
      </c>
      <c r="X5133" s="360">
        <v>19</v>
      </c>
      <c r="Y5133" s="360" t="s">
        <v>47</v>
      </c>
      <c r="Z5133" s="360">
        <v>29</v>
      </c>
      <c r="AA5133" s="360">
        <v>296</v>
      </c>
      <c r="AB5133" s="360">
        <v>9.8000000000000007</v>
      </c>
    </row>
    <row r="5134" spans="20:28" x14ac:dyDescent="0.2">
      <c r="T5134" s="358" t="str">
        <f t="shared" si="190"/>
        <v>2011MaleNon-Maori19Sharp object</v>
      </c>
      <c r="U5134" s="360">
        <v>2011</v>
      </c>
      <c r="V5134" s="360" t="s">
        <v>20</v>
      </c>
      <c r="W5134" s="360" t="s">
        <v>19</v>
      </c>
      <c r="X5134" s="360">
        <v>19</v>
      </c>
      <c r="Y5134" s="360" t="s">
        <v>48</v>
      </c>
      <c r="Z5134" s="360">
        <v>5</v>
      </c>
      <c r="AA5134" s="360">
        <v>296</v>
      </c>
      <c r="AB5134" s="360">
        <v>1.7</v>
      </c>
    </row>
    <row r="5135" spans="20:28" x14ac:dyDescent="0.2">
      <c r="T5135" s="358" t="str">
        <f t="shared" si="190"/>
        <v>2011MaleNon-Maori19Submersion (drowning)</v>
      </c>
      <c r="U5135" s="360">
        <v>2011</v>
      </c>
      <c r="V5135" s="360" t="s">
        <v>20</v>
      </c>
      <c r="W5135" s="360" t="s">
        <v>19</v>
      </c>
      <c r="X5135" s="360">
        <v>19</v>
      </c>
      <c r="Y5135" s="360" t="s">
        <v>49</v>
      </c>
      <c r="Z5135" s="360">
        <v>7</v>
      </c>
      <c r="AA5135" s="360">
        <v>296</v>
      </c>
      <c r="AB5135" s="360">
        <v>2.4</v>
      </c>
    </row>
    <row r="5136" spans="20:28" x14ac:dyDescent="0.2">
      <c r="T5136" s="358" t="str">
        <f t="shared" si="190"/>
        <v>2012AllSexAllEth19Firearms and explosives</v>
      </c>
      <c r="U5136" s="360">
        <v>2012</v>
      </c>
      <c r="V5136" s="360" t="s">
        <v>17</v>
      </c>
      <c r="W5136" s="360" t="s">
        <v>27</v>
      </c>
      <c r="X5136" s="360">
        <v>19</v>
      </c>
      <c r="Y5136" s="360" t="s">
        <v>42</v>
      </c>
      <c r="Z5136" s="360">
        <v>47</v>
      </c>
      <c r="AA5136" s="360">
        <v>550</v>
      </c>
      <c r="AB5136" s="360">
        <v>8.5</v>
      </c>
    </row>
    <row r="5137" spans="20:28" x14ac:dyDescent="0.2">
      <c r="T5137" s="358" t="str">
        <f t="shared" si="190"/>
        <v>2012AllSexAllEth19Hanging, strangulation and suffocation</v>
      </c>
      <c r="U5137" s="360">
        <v>2012</v>
      </c>
      <c r="V5137" s="360" t="s">
        <v>17</v>
      </c>
      <c r="W5137" s="360" t="s">
        <v>27</v>
      </c>
      <c r="X5137" s="360">
        <v>19</v>
      </c>
      <c r="Y5137" s="360" t="s">
        <v>43</v>
      </c>
      <c r="Z5137" s="360">
        <v>343</v>
      </c>
      <c r="AA5137" s="360">
        <v>550</v>
      </c>
      <c r="AB5137" s="360">
        <v>62.4</v>
      </c>
    </row>
    <row r="5138" spans="20:28" x14ac:dyDescent="0.2">
      <c r="T5138" s="358" t="str">
        <f t="shared" si="190"/>
        <v>2012AllSexAllEth19Jumping from a high place</v>
      </c>
      <c r="U5138" s="360">
        <v>2012</v>
      </c>
      <c r="V5138" s="360" t="s">
        <v>17</v>
      </c>
      <c r="W5138" s="360" t="s">
        <v>27</v>
      </c>
      <c r="X5138" s="360">
        <v>19</v>
      </c>
      <c r="Y5138" s="360" t="s">
        <v>44</v>
      </c>
      <c r="Z5138" s="360">
        <v>16</v>
      </c>
      <c r="AA5138" s="360">
        <v>550</v>
      </c>
      <c r="AB5138" s="360">
        <v>2.9</v>
      </c>
    </row>
    <row r="5139" spans="20:28" x14ac:dyDescent="0.2">
      <c r="T5139" s="358" t="str">
        <f t="shared" si="190"/>
        <v>2012AllSexAllEth19Other</v>
      </c>
      <c r="U5139" s="360">
        <v>2012</v>
      </c>
      <c r="V5139" s="360" t="s">
        <v>17</v>
      </c>
      <c r="W5139" s="360" t="s">
        <v>27</v>
      </c>
      <c r="X5139" s="360">
        <v>19</v>
      </c>
      <c r="Y5139" s="360" t="s">
        <v>45</v>
      </c>
      <c r="Z5139" s="360">
        <v>19</v>
      </c>
      <c r="AA5139" s="360">
        <v>550</v>
      </c>
      <c r="AB5139" s="360">
        <v>3.5</v>
      </c>
    </row>
    <row r="5140" spans="20:28" x14ac:dyDescent="0.2">
      <c r="T5140" s="358" t="str">
        <f t="shared" si="190"/>
        <v>2012AllSexAllEth19Poisoning by gases and vapours</v>
      </c>
      <c r="U5140" s="360">
        <v>2012</v>
      </c>
      <c r="V5140" s="360" t="s">
        <v>17</v>
      </c>
      <c r="W5140" s="360" t="s">
        <v>27</v>
      </c>
      <c r="X5140" s="360">
        <v>19</v>
      </c>
      <c r="Y5140" s="360" t="s">
        <v>46</v>
      </c>
      <c r="Z5140" s="360">
        <v>43</v>
      </c>
      <c r="AA5140" s="360">
        <v>550</v>
      </c>
      <c r="AB5140" s="360">
        <v>7.8</v>
      </c>
    </row>
    <row r="5141" spans="20:28" x14ac:dyDescent="0.2">
      <c r="T5141" s="358" t="str">
        <f t="shared" si="190"/>
        <v>2012AllSexAllEth19Poisoning by solids and liquids</v>
      </c>
      <c r="U5141" s="360">
        <v>2012</v>
      </c>
      <c r="V5141" s="360" t="s">
        <v>17</v>
      </c>
      <c r="W5141" s="360" t="s">
        <v>27</v>
      </c>
      <c r="X5141" s="360">
        <v>19</v>
      </c>
      <c r="Y5141" s="360" t="s">
        <v>47</v>
      </c>
      <c r="Z5141" s="360">
        <v>64</v>
      </c>
      <c r="AA5141" s="360">
        <v>550</v>
      </c>
      <c r="AB5141" s="360">
        <v>11.6</v>
      </c>
    </row>
    <row r="5142" spans="20:28" x14ac:dyDescent="0.2">
      <c r="T5142" s="358" t="str">
        <f t="shared" si="190"/>
        <v>2012AllSexAllEth19Sharp object</v>
      </c>
      <c r="U5142" s="360">
        <v>2012</v>
      </c>
      <c r="V5142" s="360" t="s">
        <v>17</v>
      </c>
      <c r="W5142" s="360" t="s">
        <v>27</v>
      </c>
      <c r="X5142" s="360">
        <v>19</v>
      </c>
      <c r="Y5142" s="360" t="s">
        <v>48</v>
      </c>
      <c r="Z5142" s="360">
        <v>13</v>
      </c>
      <c r="AA5142" s="360">
        <v>550</v>
      </c>
      <c r="AB5142" s="360">
        <v>2.4</v>
      </c>
    </row>
    <row r="5143" spans="20:28" x14ac:dyDescent="0.2">
      <c r="T5143" s="358" t="str">
        <f t="shared" si="190"/>
        <v>2012AllSexAllEth19Submersion (drowning)</v>
      </c>
      <c r="U5143" s="360">
        <v>2012</v>
      </c>
      <c r="V5143" s="360" t="s">
        <v>17</v>
      </c>
      <c r="W5143" s="360" t="s">
        <v>27</v>
      </c>
      <c r="X5143" s="360">
        <v>19</v>
      </c>
      <c r="Y5143" s="360" t="s">
        <v>49</v>
      </c>
      <c r="Z5143" s="360">
        <v>5</v>
      </c>
      <c r="AA5143" s="360">
        <v>550</v>
      </c>
      <c r="AB5143" s="360">
        <v>0.9</v>
      </c>
    </row>
    <row r="5144" spans="20:28" x14ac:dyDescent="0.2">
      <c r="T5144" s="358" t="str">
        <f t="shared" si="190"/>
        <v>2012AllSexMaori19Firearms and explosives</v>
      </c>
      <c r="U5144" s="360">
        <v>2012</v>
      </c>
      <c r="V5144" s="360" t="s">
        <v>17</v>
      </c>
      <c r="W5144" s="360" t="s">
        <v>18</v>
      </c>
      <c r="X5144" s="360">
        <v>19</v>
      </c>
      <c r="Y5144" s="360" t="s">
        <v>42</v>
      </c>
      <c r="Z5144" s="360">
        <v>5</v>
      </c>
      <c r="AA5144" s="360">
        <v>119</v>
      </c>
      <c r="AB5144" s="360">
        <v>4.2</v>
      </c>
    </row>
    <row r="5145" spans="20:28" x14ac:dyDescent="0.2">
      <c r="T5145" s="358" t="str">
        <f t="shared" si="190"/>
        <v>2012AllSexMaori19Hanging, strangulation and suffocation</v>
      </c>
      <c r="U5145" s="360">
        <v>2012</v>
      </c>
      <c r="V5145" s="360" t="s">
        <v>17</v>
      </c>
      <c r="W5145" s="360" t="s">
        <v>18</v>
      </c>
      <c r="X5145" s="360">
        <v>19</v>
      </c>
      <c r="Y5145" s="360" t="s">
        <v>43</v>
      </c>
      <c r="Z5145" s="360">
        <v>106</v>
      </c>
      <c r="AA5145" s="360">
        <v>119</v>
      </c>
      <c r="AB5145" s="360">
        <v>89.1</v>
      </c>
    </row>
    <row r="5146" spans="20:28" x14ac:dyDescent="0.2">
      <c r="T5146" s="358" t="str">
        <f t="shared" si="190"/>
        <v>2012AllSexMaori19Jumping from a high place</v>
      </c>
      <c r="U5146" s="360">
        <v>2012</v>
      </c>
      <c r="V5146" s="360" t="s">
        <v>17</v>
      </c>
      <c r="W5146" s="360" t="s">
        <v>18</v>
      </c>
      <c r="X5146" s="360">
        <v>19</v>
      </c>
      <c r="Y5146" s="360" t="s">
        <v>44</v>
      </c>
      <c r="Z5146" s="360">
        <v>1</v>
      </c>
      <c r="AA5146" s="360">
        <v>119</v>
      </c>
      <c r="AB5146" s="360">
        <v>0.8</v>
      </c>
    </row>
    <row r="5147" spans="20:28" x14ac:dyDescent="0.2">
      <c r="T5147" s="358" t="str">
        <f t="shared" si="190"/>
        <v>2012AllSexMaori19Other</v>
      </c>
      <c r="U5147" s="360">
        <v>2012</v>
      </c>
      <c r="V5147" s="360" t="s">
        <v>17</v>
      </c>
      <c r="W5147" s="360" t="s">
        <v>18</v>
      </c>
      <c r="X5147" s="360">
        <v>19</v>
      </c>
      <c r="Y5147" s="360" t="s">
        <v>45</v>
      </c>
      <c r="Z5147" s="360">
        <v>2</v>
      </c>
      <c r="AA5147" s="360">
        <v>119</v>
      </c>
      <c r="AB5147" s="360">
        <v>1.7</v>
      </c>
    </row>
    <row r="5148" spans="20:28" x14ac:dyDescent="0.2">
      <c r="T5148" s="358" t="str">
        <f t="shared" si="190"/>
        <v>2012AllSexMaori19Poisoning by gases and vapours</v>
      </c>
      <c r="U5148" s="360">
        <v>2012</v>
      </c>
      <c r="V5148" s="360" t="s">
        <v>17</v>
      </c>
      <c r="W5148" s="360" t="s">
        <v>18</v>
      </c>
      <c r="X5148" s="360">
        <v>19</v>
      </c>
      <c r="Y5148" s="360" t="s">
        <v>46</v>
      </c>
      <c r="Z5148" s="360">
        <v>2</v>
      </c>
      <c r="AA5148" s="360">
        <v>119</v>
      </c>
      <c r="AB5148" s="360">
        <v>1.7</v>
      </c>
    </row>
    <row r="5149" spans="20:28" x14ac:dyDescent="0.2">
      <c r="T5149" s="358" t="str">
        <f t="shared" si="190"/>
        <v>2012AllSexMaori19Poisoning by solids and liquids</v>
      </c>
      <c r="U5149" s="360">
        <v>2012</v>
      </c>
      <c r="V5149" s="360" t="s">
        <v>17</v>
      </c>
      <c r="W5149" s="360" t="s">
        <v>18</v>
      </c>
      <c r="X5149" s="360">
        <v>19</v>
      </c>
      <c r="Y5149" s="360" t="s">
        <v>47</v>
      </c>
      <c r="Z5149" s="360">
        <v>2</v>
      </c>
      <c r="AA5149" s="360">
        <v>119</v>
      </c>
      <c r="AB5149" s="360">
        <v>1.7</v>
      </c>
    </row>
    <row r="5150" spans="20:28" x14ac:dyDescent="0.2">
      <c r="T5150" s="358" t="str">
        <f t="shared" si="190"/>
        <v>2012AllSexMaori19Sharp object</v>
      </c>
      <c r="U5150" s="360">
        <v>2012</v>
      </c>
      <c r="V5150" s="360" t="s">
        <v>17</v>
      </c>
      <c r="W5150" s="360" t="s">
        <v>18</v>
      </c>
      <c r="X5150" s="360">
        <v>19</v>
      </c>
      <c r="Y5150" s="360" t="s">
        <v>48</v>
      </c>
      <c r="Z5150" s="360">
        <v>1</v>
      </c>
      <c r="AA5150" s="360">
        <v>119</v>
      </c>
      <c r="AB5150" s="360">
        <v>0.8</v>
      </c>
    </row>
    <row r="5151" spans="20:28" x14ac:dyDescent="0.2">
      <c r="T5151" s="358" t="str">
        <f t="shared" si="190"/>
        <v>2012AllSexNon-Maori19Firearms and explosives</v>
      </c>
      <c r="U5151" s="360">
        <v>2012</v>
      </c>
      <c r="V5151" s="360" t="s">
        <v>17</v>
      </c>
      <c r="W5151" s="360" t="s">
        <v>19</v>
      </c>
      <c r="X5151" s="360">
        <v>19</v>
      </c>
      <c r="Y5151" s="360" t="s">
        <v>42</v>
      </c>
      <c r="Z5151" s="360">
        <v>42</v>
      </c>
      <c r="AA5151" s="360">
        <v>431</v>
      </c>
      <c r="AB5151" s="360">
        <v>9.6999999999999993</v>
      </c>
    </row>
    <row r="5152" spans="20:28" x14ac:dyDescent="0.2">
      <c r="T5152" s="358" t="str">
        <f t="shared" si="190"/>
        <v>2012AllSexNon-Maori19Hanging, strangulation and suffocation</v>
      </c>
      <c r="U5152" s="360">
        <v>2012</v>
      </c>
      <c r="V5152" s="360" t="s">
        <v>17</v>
      </c>
      <c r="W5152" s="360" t="s">
        <v>19</v>
      </c>
      <c r="X5152" s="360">
        <v>19</v>
      </c>
      <c r="Y5152" s="360" t="s">
        <v>43</v>
      </c>
      <c r="Z5152" s="360">
        <v>237</v>
      </c>
      <c r="AA5152" s="360">
        <v>431</v>
      </c>
      <c r="AB5152" s="360">
        <v>55</v>
      </c>
    </row>
    <row r="5153" spans="20:28" x14ac:dyDescent="0.2">
      <c r="T5153" s="358" t="str">
        <f t="shared" si="190"/>
        <v>2012AllSexNon-Maori19Jumping from a high place</v>
      </c>
      <c r="U5153" s="360">
        <v>2012</v>
      </c>
      <c r="V5153" s="360" t="s">
        <v>17</v>
      </c>
      <c r="W5153" s="360" t="s">
        <v>19</v>
      </c>
      <c r="X5153" s="360">
        <v>19</v>
      </c>
      <c r="Y5153" s="360" t="s">
        <v>44</v>
      </c>
      <c r="Z5153" s="360">
        <v>15</v>
      </c>
      <c r="AA5153" s="360">
        <v>431</v>
      </c>
      <c r="AB5153" s="360">
        <v>3.5</v>
      </c>
    </row>
    <row r="5154" spans="20:28" x14ac:dyDescent="0.2">
      <c r="T5154" s="358" t="str">
        <f t="shared" si="190"/>
        <v>2012AllSexNon-Maori19Other</v>
      </c>
      <c r="U5154" s="360">
        <v>2012</v>
      </c>
      <c r="V5154" s="360" t="s">
        <v>17</v>
      </c>
      <c r="W5154" s="360" t="s">
        <v>19</v>
      </c>
      <c r="X5154" s="360">
        <v>19</v>
      </c>
      <c r="Y5154" s="360" t="s">
        <v>45</v>
      </c>
      <c r="Z5154" s="360">
        <v>17</v>
      </c>
      <c r="AA5154" s="360">
        <v>431</v>
      </c>
      <c r="AB5154" s="360">
        <v>3.9</v>
      </c>
    </row>
    <row r="5155" spans="20:28" x14ac:dyDescent="0.2">
      <c r="T5155" s="358" t="str">
        <f t="shared" si="190"/>
        <v>2012AllSexNon-Maori19Poisoning by gases and vapours</v>
      </c>
      <c r="U5155" s="360">
        <v>2012</v>
      </c>
      <c r="V5155" s="360" t="s">
        <v>17</v>
      </c>
      <c r="W5155" s="360" t="s">
        <v>19</v>
      </c>
      <c r="X5155" s="360">
        <v>19</v>
      </c>
      <c r="Y5155" s="360" t="s">
        <v>46</v>
      </c>
      <c r="Z5155" s="360">
        <v>41</v>
      </c>
      <c r="AA5155" s="360">
        <v>431</v>
      </c>
      <c r="AB5155" s="360">
        <v>9.5</v>
      </c>
    </row>
    <row r="5156" spans="20:28" x14ac:dyDescent="0.2">
      <c r="T5156" s="358" t="str">
        <f t="shared" si="190"/>
        <v>2012AllSexNon-Maori19Poisoning by solids and liquids</v>
      </c>
      <c r="U5156" s="360">
        <v>2012</v>
      </c>
      <c r="V5156" s="360" t="s">
        <v>17</v>
      </c>
      <c r="W5156" s="360" t="s">
        <v>19</v>
      </c>
      <c r="X5156" s="360">
        <v>19</v>
      </c>
      <c r="Y5156" s="360" t="s">
        <v>47</v>
      </c>
      <c r="Z5156" s="360">
        <v>62</v>
      </c>
      <c r="AA5156" s="360">
        <v>431</v>
      </c>
      <c r="AB5156" s="360">
        <v>14.4</v>
      </c>
    </row>
    <row r="5157" spans="20:28" x14ac:dyDescent="0.2">
      <c r="T5157" s="358" t="str">
        <f t="shared" si="190"/>
        <v>2012AllSexNon-Maori19Sharp object</v>
      </c>
      <c r="U5157" s="360">
        <v>2012</v>
      </c>
      <c r="V5157" s="360" t="s">
        <v>17</v>
      </c>
      <c r="W5157" s="360" t="s">
        <v>19</v>
      </c>
      <c r="X5157" s="360">
        <v>19</v>
      </c>
      <c r="Y5157" s="360" t="s">
        <v>48</v>
      </c>
      <c r="Z5157" s="360">
        <v>12</v>
      </c>
      <c r="AA5157" s="360">
        <v>431</v>
      </c>
      <c r="AB5157" s="360">
        <v>2.8</v>
      </c>
    </row>
    <row r="5158" spans="20:28" x14ac:dyDescent="0.2">
      <c r="T5158" s="358" t="str">
        <f t="shared" si="190"/>
        <v>2012AllSexNon-Maori19Submersion (drowning)</v>
      </c>
      <c r="U5158" s="360">
        <v>2012</v>
      </c>
      <c r="V5158" s="360" t="s">
        <v>17</v>
      </c>
      <c r="W5158" s="360" t="s">
        <v>19</v>
      </c>
      <c r="X5158" s="360">
        <v>19</v>
      </c>
      <c r="Y5158" s="360" t="s">
        <v>49</v>
      </c>
      <c r="Z5158" s="360">
        <v>5</v>
      </c>
      <c r="AA5158" s="360">
        <v>431</v>
      </c>
      <c r="AB5158" s="360">
        <v>1.2</v>
      </c>
    </row>
    <row r="5159" spans="20:28" x14ac:dyDescent="0.2">
      <c r="T5159" s="358" t="str">
        <f t="shared" si="190"/>
        <v>2012FemaleAllEth19Firearms and explosives</v>
      </c>
      <c r="U5159" s="360">
        <v>2012</v>
      </c>
      <c r="V5159" s="360" t="s">
        <v>8</v>
      </c>
      <c r="W5159" s="360" t="s">
        <v>27</v>
      </c>
      <c r="X5159" s="360">
        <v>19</v>
      </c>
      <c r="Y5159" s="360" t="s">
        <v>42</v>
      </c>
      <c r="Z5159" s="360">
        <v>2</v>
      </c>
      <c r="AA5159" s="360">
        <v>145</v>
      </c>
      <c r="AB5159" s="360">
        <v>1.4</v>
      </c>
    </row>
    <row r="5160" spans="20:28" x14ac:dyDescent="0.2">
      <c r="T5160" s="358" t="str">
        <f t="shared" si="190"/>
        <v>2012FemaleAllEth19Hanging, strangulation and suffocation</v>
      </c>
      <c r="U5160" s="360">
        <v>2012</v>
      </c>
      <c r="V5160" s="360" t="s">
        <v>8</v>
      </c>
      <c r="W5160" s="360" t="s">
        <v>27</v>
      </c>
      <c r="X5160" s="360">
        <v>19</v>
      </c>
      <c r="Y5160" s="360" t="s">
        <v>43</v>
      </c>
      <c r="Z5160" s="360">
        <v>88</v>
      </c>
      <c r="AA5160" s="360">
        <v>145</v>
      </c>
      <c r="AB5160" s="360">
        <v>60.7</v>
      </c>
    </row>
    <row r="5161" spans="20:28" x14ac:dyDescent="0.2">
      <c r="T5161" s="358" t="str">
        <f t="shared" si="190"/>
        <v>2012FemaleAllEth19Jumping from a high place</v>
      </c>
      <c r="U5161" s="360">
        <v>2012</v>
      </c>
      <c r="V5161" s="360" t="s">
        <v>8</v>
      </c>
      <c r="W5161" s="360" t="s">
        <v>27</v>
      </c>
      <c r="X5161" s="360">
        <v>19</v>
      </c>
      <c r="Y5161" s="360" t="s">
        <v>44</v>
      </c>
      <c r="Z5161" s="360">
        <v>7</v>
      </c>
      <c r="AA5161" s="360">
        <v>145</v>
      </c>
      <c r="AB5161" s="360">
        <v>4.8</v>
      </c>
    </row>
    <row r="5162" spans="20:28" x14ac:dyDescent="0.2">
      <c r="T5162" s="358" t="str">
        <f t="shared" si="190"/>
        <v>2012FemaleAllEth19Other</v>
      </c>
      <c r="U5162" s="360">
        <v>2012</v>
      </c>
      <c r="V5162" s="360" t="s">
        <v>8</v>
      </c>
      <c r="W5162" s="360" t="s">
        <v>27</v>
      </c>
      <c r="X5162" s="360">
        <v>19</v>
      </c>
      <c r="Y5162" s="360" t="s">
        <v>45</v>
      </c>
      <c r="Z5162" s="360">
        <v>5</v>
      </c>
      <c r="AA5162" s="360">
        <v>145</v>
      </c>
      <c r="AB5162" s="360">
        <v>3.4</v>
      </c>
    </row>
    <row r="5163" spans="20:28" x14ac:dyDescent="0.2">
      <c r="T5163" s="358" t="str">
        <f t="shared" si="190"/>
        <v>2012FemaleAllEth19Poisoning by gases and vapours</v>
      </c>
      <c r="U5163" s="360">
        <v>2012</v>
      </c>
      <c r="V5163" s="360" t="s">
        <v>8</v>
      </c>
      <c r="W5163" s="360" t="s">
        <v>27</v>
      </c>
      <c r="X5163" s="360">
        <v>19</v>
      </c>
      <c r="Y5163" s="360" t="s">
        <v>46</v>
      </c>
      <c r="Z5163" s="360">
        <v>6</v>
      </c>
      <c r="AA5163" s="360">
        <v>145</v>
      </c>
      <c r="AB5163" s="360">
        <v>4.0999999999999996</v>
      </c>
    </row>
    <row r="5164" spans="20:28" x14ac:dyDescent="0.2">
      <c r="T5164" s="358" t="str">
        <f t="shared" si="190"/>
        <v>2012FemaleAllEth19Poisoning by solids and liquids</v>
      </c>
      <c r="U5164" s="360">
        <v>2012</v>
      </c>
      <c r="V5164" s="360" t="s">
        <v>8</v>
      </c>
      <c r="W5164" s="360" t="s">
        <v>27</v>
      </c>
      <c r="X5164" s="360">
        <v>19</v>
      </c>
      <c r="Y5164" s="360" t="s">
        <v>47</v>
      </c>
      <c r="Z5164" s="360">
        <v>35</v>
      </c>
      <c r="AA5164" s="360">
        <v>145</v>
      </c>
      <c r="AB5164" s="360">
        <v>24.1</v>
      </c>
    </row>
    <row r="5165" spans="20:28" x14ac:dyDescent="0.2">
      <c r="T5165" s="358" t="str">
        <f t="shared" si="190"/>
        <v>2012FemaleAllEth19Submersion (drowning)</v>
      </c>
      <c r="U5165" s="360">
        <v>2012</v>
      </c>
      <c r="V5165" s="360" t="s">
        <v>8</v>
      </c>
      <c r="W5165" s="360" t="s">
        <v>27</v>
      </c>
      <c r="X5165" s="360">
        <v>19</v>
      </c>
      <c r="Y5165" s="360" t="s">
        <v>49</v>
      </c>
      <c r="Z5165" s="360">
        <v>2</v>
      </c>
      <c r="AA5165" s="360">
        <v>145</v>
      </c>
      <c r="AB5165" s="360">
        <v>1.4</v>
      </c>
    </row>
    <row r="5166" spans="20:28" x14ac:dyDescent="0.2">
      <c r="T5166" s="358" t="str">
        <f t="shared" si="190"/>
        <v>2012FemaleMaori19Hanging, strangulation and suffocation</v>
      </c>
      <c r="U5166" s="360">
        <v>2012</v>
      </c>
      <c r="V5166" s="360" t="s">
        <v>8</v>
      </c>
      <c r="W5166" s="360" t="s">
        <v>18</v>
      </c>
      <c r="X5166" s="360">
        <v>19</v>
      </c>
      <c r="Y5166" s="360" t="s">
        <v>43</v>
      </c>
      <c r="Z5166" s="360">
        <v>35</v>
      </c>
      <c r="AA5166" s="360">
        <v>37</v>
      </c>
      <c r="AB5166" s="360">
        <v>94.6</v>
      </c>
    </row>
    <row r="5167" spans="20:28" x14ac:dyDescent="0.2">
      <c r="T5167" s="358" t="str">
        <f t="shared" si="190"/>
        <v>2012FemaleMaori19Jumping from a high place</v>
      </c>
      <c r="U5167" s="360">
        <v>2012</v>
      </c>
      <c r="V5167" s="360" t="s">
        <v>8</v>
      </c>
      <c r="W5167" s="360" t="s">
        <v>18</v>
      </c>
      <c r="X5167" s="360">
        <v>19</v>
      </c>
      <c r="Y5167" s="360" t="s">
        <v>44</v>
      </c>
      <c r="Z5167" s="360">
        <v>1</v>
      </c>
      <c r="AA5167" s="360">
        <v>37</v>
      </c>
      <c r="AB5167" s="360">
        <v>2.7</v>
      </c>
    </row>
    <row r="5168" spans="20:28" x14ac:dyDescent="0.2">
      <c r="T5168" s="358" t="str">
        <f t="shared" si="190"/>
        <v>2012FemaleMaori19Poisoning by solids and liquids</v>
      </c>
      <c r="U5168" s="360">
        <v>2012</v>
      </c>
      <c r="V5168" s="360" t="s">
        <v>8</v>
      </c>
      <c r="W5168" s="360" t="s">
        <v>18</v>
      </c>
      <c r="X5168" s="360">
        <v>19</v>
      </c>
      <c r="Y5168" s="360" t="s">
        <v>47</v>
      </c>
      <c r="Z5168" s="360">
        <v>1</v>
      </c>
      <c r="AA5168" s="360">
        <v>37</v>
      </c>
      <c r="AB5168" s="360">
        <v>2.7</v>
      </c>
    </row>
    <row r="5169" spans="20:28" x14ac:dyDescent="0.2">
      <c r="T5169" s="358" t="str">
        <f t="shared" si="190"/>
        <v>2012FemaleNon-Maori19Firearms and explosives</v>
      </c>
      <c r="U5169" s="360">
        <v>2012</v>
      </c>
      <c r="V5169" s="360" t="s">
        <v>8</v>
      </c>
      <c r="W5169" s="360" t="s">
        <v>19</v>
      </c>
      <c r="X5169" s="360">
        <v>19</v>
      </c>
      <c r="Y5169" s="360" t="s">
        <v>42</v>
      </c>
      <c r="Z5169" s="360">
        <v>2</v>
      </c>
      <c r="AA5169" s="360">
        <v>108</v>
      </c>
      <c r="AB5169" s="360">
        <v>1.9</v>
      </c>
    </row>
    <row r="5170" spans="20:28" x14ac:dyDescent="0.2">
      <c r="T5170" s="358" t="str">
        <f t="shared" si="190"/>
        <v>2012FemaleNon-Maori19Hanging, strangulation and suffocation</v>
      </c>
      <c r="U5170" s="360">
        <v>2012</v>
      </c>
      <c r="V5170" s="360" t="s">
        <v>8</v>
      </c>
      <c r="W5170" s="360" t="s">
        <v>19</v>
      </c>
      <c r="X5170" s="360">
        <v>19</v>
      </c>
      <c r="Y5170" s="360" t="s">
        <v>43</v>
      </c>
      <c r="Z5170" s="360">
        <v>53</v>
      </c>
      <c r="AA5170" s="360">
        <v>108</v>
      </c>
      <c r="AB5170" s="360">
        <v>49.1</v>
      </c>
    </row>
    <row r="5171" spans="20:28" x14ac:dyDescent="0.2">
      <c r="T5171" s="358" t="str">
        <f t="shared" si="190"/>
        <v>2012FemaleNon-Maori19Jumping from a high place</v>
      </c>
      <c r="U5171" s="360">
        <v>2012</v>
      </c>
      <c r="V5171" s="360" t="s">
        <v>8</v>
      </c>
      <c r="W5171" s="360" t="s">
        <v>19</v>
      </c>
      <c r="X5171" s="360">
        <v>19</v>
      </c>
      <c r="Y5171" s="360" t="s">
        <v>44</v>
      </c>
      <c r="Z5171" s="360">
        <v>6</v>
      </c>
      <c r="AA5171" s="360">
        <v>108</v>
      </c>
      <c r="AB5171" s="360">
        <v>5.6</v>
      </c>
    </row>
    <row r="5172" spans="20:28" x14ac:dyDescent="0.2">
      <c r="T5172" s="358" t="str">
        <f t="shared" si="190"/>
        <v>2012FemaleNon-Maori19Other</v>
      </c>
      <c r="U5172" s="360">
        <v>2012</v>
      </c>
      <c r="V5172" s="360" t="s">
        <v>8</v>
      </c>
      <c r="W5172" s="360" t="s">
        <v>19</v>
      </c>
      <c r="X5172" s="360">
        <v>19</v>
      </c>
      <c r="Y5172" s="360" t="s">
        <v>45</v>
      </c>
      <c r="Z5172" s="360">
        <v>5</v>
      </c>
      <c r="AA5172" s="360">
        <v>108</v>
      </c>
      <c r="AB5172" s="360">
        <v>4.5999999999999996</v>
      </c>
    </row>
    <row r="5173" spans="20:28" x14ac:dyDescent="0.2">
      <c r="T5173" s="358" t="str">
        <f t="shared" si="190"/>
        <v>2012FemaleNon-Maori19Poisoning by gases and vapours</v>
      </c>
      <c r="U5173" s="360">
        <v>2012</v>
      </c>
      <c r="V5173" s="360" t="s">
        <v>8</v>
      </c>
      <c r="W5173" s="360" t="s">
        <v>19</v>
      </c>
      <c r="X5173" s="360">
        <v>19</v>
      </c>
      <c r="Y5173" s="360" t="s">
        <v>46</v>
      </c>
      <c r="Z5173" s="360">
        <v>6</v>
      </c>
      <c r="AA5173" s="360">
        <v>108</v>
      </c>
      <c r="AB5173" s="360">
        <v>5.6</v>
      </c>
    </row>
    <row r="5174" spans="20:28" x14ac:dyDescent="0.2">
      <c r="T5174" s="358" t="str">
        <f t="shared" si="190"/>
        <v>2012FemaleNon-Maori19Poisoning by solids and liquids</v>
      </c>
      <c r="U5174" s="360">
        <v>2012</v>
      </c>
      <c r="V5174" s="360" t="s">
        <v>8</v>
      </c>
      <c r="W5174" s="360" t="s">
        <v>19</v>
      </c>
      <c r="X5174" s="360">
        <v>19</v>
      </c>
      <c r="Y5174" s="360" t="s">
        <v>47</v>
      </c>
      <c r="Z5174" s="360">
        <v>34</v>
      </c>
      <c r="AA5174" s="360">
        <v>108</v>
      </c>
      <c r="AB5174" s="360">
        <v>31.5</v>
      </c>
    </row>
    <row r="5175" spans="20:28" x14ac:dyDescent="0.2">
      <c r="T5175" s="358" t="str">
        <f t="shared" si="190"/>
        <v>2012FemaleNon-Maori19Submersion (drowning)</v>
      </c>
      <c r="U5175" s="360">
        <v>2012</v>
      </c>
      <c r="V5175" s="360" t="s">
        <v>8</v>
      </c>
      <c r="W5175" s="360" t="s">
        <v>19</v>
      </c>
      <c r="X5175" s="360">
        <v>19</v>
      </c>
      <c r="Y5175" s="360" t="s">
        <v>49</v>
      </c>
      <c r="Z5175" s="360">
        <v>2</v>
      </c>
      <c r="AA5175" s="360">
        <v>108</v>
      </c>
      <c r="AB5175" s="360">
        <v>1.9</v>
      </c>
    </row>
    <row r="5176" spans="20:28" x14ac:dyDescent="0.2">
      <c r="T5176" s="358" t="str">
        <f t="shared" si="190"/>
        <v>2012MaleAllEth19Firearms and explosives</v>
      </c>
      <c r="U5176" s="360">
        <v>2012</v>
      </c>
      <c r="V5176" s="360" t="s">
        <v>20</v>
      </c>
      <c r="W5176" s="360" t="s">
        <v>27</v>
      </c>
      <c r="X5176" s="360">
        <v>19</v>
      </c>
      <c r="Y5176" s="360" t="s">
        <v>42</v>
      </c>
      <c r="Z5176" s="360">
        <v>45</v>
      </c>
      <c r="AA5176" s="360">
        <v>405</v>
      </c>
      <c r="AB5176" s="360">
        <v>11.1</v>
      </c>
    </row>
    <row r="5177" spans="20:28" x14ac:dyDescent="0.2">
      <c r="T5177" s="358" t="str">
        <f t="shared" si="190"/>
        <v>2012MaleAllEth19Hanging, strangulation and suffocation</v>
      </c>
      <c r="U5177" s="360">
        <v>2012</v>
      </c>
      <c r="V5177" s="360" t="s">
        <v>20</v>
      </c>
      <c r="W5177" s="360" t="s">
        <v>27</v>
      </c>
      <c r="X5177" s="360">
        <v>19</v>
      </c>
      <c r="Y5177" s="360" t="s">
        <v>43</v>
      </c>
      <c r="Z5177" s="360">
        <v>255</v>
      </c>
      <c r="AA5177" s="360">
        <v>405</v>
      </c>
      <c r="AB5177" s="360">
        <v>63</v>
      </c>
    </row>
    <row r="5178" spans="20:28" x14ac:dyDescent="0.2">
      <c r="T5178" s="358" t="str">
        <f t="shared" si="190"/>
        <v>2012MaleAllEth19Jumping from a high place</v>
      </c>
      <c r="U5178" s="360">
        <v>2012</v>
      </c>
      <c r="V5178" s="360" t="s">
        <v>20</v>
      </c>
      <c r="W5178" s="360" t="s">
        <v>27</v>
      </c>
      <c r="X5178" s="360">
        <v>19</v>
      </c>
      <c r="Y5178" s="360" t="s">
        <v>44</v>
      </c>
      <c r="Z5178" s="360">
        <v>9</v>
      </c>
      <c r="AA5178" s="360">
        <v>405</v>
      </c>
      <c r="AB5178" s="360">
        <v>2.2000000000000002</v>
      </c>
    </row>
    <row r="5179" spans="20:28" x14ac:dyDescent="0.2">
      <c r="T5179" s="358" t="str">
        <f t="shared" si="190"/>
        <v>2012MaleAllEth19Other</v>
      </c>
      <c r="U5179" s="360">
        <v>2012</v>
      </c>
      <c r="V5179" s="360" t="s">
        <v>20</v>
      </c>
      <c r="W5179" s="360" t="s">
        <v>27</v>
      </c>
      <c r="X5179" s="360">
        <v>19</v>
      </c>
      <c r="Y5179" s="360" t="s">
        <v>45</v>
      </c>
      <c r="Z5179" s="360">
        <v>14</v>
      </c>
      <c r="AA5179" s="360">
        <v>405</v>
      </c>
      <c r="AB5179" s="360">
        <v>3.5</v>
      </c>
    </row>
    <row r="5180" spans="20:28" x14ac:dyDescent="0.2">
      <c r="T5180" s="358" t="str">
        <f t="shared" si="190"/>
        <v>2012MaleAllEth19Poisoning by gases and vapours</v>
      </c>
      <c r="U5180" s="360">
        <v>2012</v>
      </c>
      <c r="V5180" s="360" t="s">
        <v>20</v>
      </c>
      <c r="W5180" s="360" t="s">
        <v>27</v>
      </c>
      <c r="X5180" s="360">
        <v>19</v>
      </c>
      <c r="Y5180" s="360" t="s">
        <v>46</v>
      </c>
      <c r="Z5180" s="360">
        <v>37</v>
      </c>
      <c r="AA5180" s="360">
        <v>405</v>
      </c>
      <c r="AB5180" s="360">
        <v>9.1</v>
      </c>
    </row>
    <row r="5181" spans="20:28" x14ac:dyDescent="0.2">
      <c r="T5181" s="358" t="str">
        <f t="shared" si="190"/>
        <v>2012MaleAllEth19Poisoning by solids and liquids</v>
      </c>
      <c r="U5181" s="360">
        <v>2012</v>
      </c>
      <c r="V5181" s="360" t="s">
        <v>20</v>
      </c>
      <c r="W5181" s="360" t="s">
        <v>27</v>
      </c>
      <c r="X5181" s="360">
        <v>19</v>
      </c>
      <c r="Y5181" s="360" t="s">
        <v>47</v>
      </c>
      <c r="Z5181" s="360">
        <v>29</v>
      </c>
      <c r="AA5181" s="360">
        <v>405</v>
      </c>
      <c r="AB5181" s="360">
        <v>7.2</v>
      </c>
    </row>
    <row r="5182" spans="20:28" x14ac:dyDescent="0.2">
      <c r="T5182" s="358" t="str">
        <f t="shared" si="190"/>
        <v>2012MaleAllEth19Sharp object</v>
      </c>
      <c r="U5182" s="360">
        <v>2012</v>
      </c>
      <c r="V5182" s="360" t="s">
        <v>20</v>
      </c>
      <c r="W5182" s="360" t="s">
        <v>27</v>
      </c>
      <c r="X5182" s="360">
        <v>19</v>
      </c>
      <c r="Y5182" s="360" t="s">
        <v>48</v>
      </c>
      <c r="Z5182" s="360">
        <v>13</v>
      </c>
      <c r="AA5182" s="360">
        <v>405</v>
      </c>
      <c r="AB5182" s="360">
        <v>3.2</v>
      </c>
    </row>
    <row r="5183" spans="20:28" x14ac:dyDescent="0.2">
      <c r="T5183" s="358" t="str">
        <f t="shared" si="190"/>
        <v>2012MaleAllEth19Submersion (drowning)</v>
      </c>
      <c r="U5183" s="360">
        <v>2012</v>
      </c>
      <c r="V5183" s="360" t="s">
        <v>20</v>
      </c>
      <c r="W5183" s="360" t="s">
        <v>27</v>
      </c>
      <c r="X5183" s="360">
        <v>19</v>
      </c>
      <c r="Y5183" s="360" t="s">
        <v>49</v>
      </c>
      <c r="Z5183" s="360">
        <v>3</v>
      </c>
      <c r="AA5183" s="360">
        <v>405</v>
      </c>
      <c r="AB5183" s="360">
        <v>0.7</v>
      </c>
    </row>
    <row r="5184" spans="20:28" x14ac:dyDescent="0.2">
      <c r="T5184" s="358" t="str">
        <f t="shared" si="190"/>
        <v>2012MaleMaori19Firearms and explosives</v>
      </c>
      <c r="U5184" s="360">
        <v>2012</v>
      </c>
      <c r="V5184" s="360" t="s">
        <v>20</v>
      </c>
      <c r="W5184" s="360" t="s">
        <v>18</v>
      </c>
      <c r="X5184" s="360">
        <v>19</v>
      </c>
      <c r="Y5184" s="360" t="s">
        <v>42</v>
      </c>
      <c r="Z5184" s="360">
        <v>5</v>
      </c>
      <c r="AA5184" s="360">
        <v>82</v>
      </c>
      <c r="AB5184" s="360">
        <v>6.1</v>
      </c>
    </row>
    <row r="5185" spans="20:28" x14ac:dyDescent="0.2">
      <c r="T5185" s="358" t="str">
        <f t="shared" si="190"/>
        <v>2012MaleMaori19Hanging, strangulation and suffocation</v>
      </c>
      <c r="U5185" s="360">
        <v>2012</v>
      </c>
      <c r="V5185" s="360" t="s">
        <v>20</v>
      </c>
      <c r="W5185" s="360" t="s">
        <v>18</v>
      </c>
      <c r="X5185" s="360">
        <v>19</v>
      </c>
      <c r="Y5185" s="360" t="s">
        <v>43</v>
      </c>
      <c r="Z5185" s="360">
        <v>71</v>
      </c>
      <c r="AA5185" s="360">
        <v>82</v>
      </c>
      <c r="AB5185" s="360">
        <v>86.6</v>
      </c>
    </row>
    <row r="5186" spans="20:28" x14ac:dyDescent="0.2">
      <c r="T5186" s="358" t="str">
        <f t="shared" si="190"/>
        <v>2012MaleMaori19Other</v>
      </c>
      <c r="U5186" s="360">
        <v>2012</v>
      </c>
      <c r="V5186" s="360" t="s">
        <v>20</v>
      </c>
      <c r="W5186" s="360" t="s">
        <v>18</v>
      </c>
      <c r="X5186" s="360">
        <v>19</v>
      </c>
      <c r="Y5186" s="360" t="s">
        <v>45</v>
      </c>
      <c r="Z5186" s="360">
        <v>2</v>
      </c>
      <c r="AA5186" s="360">
        <v>82</v>
      </c>
      <c r="AB5186" s="360">
        <v>2.4</v>
      </c>
    </row>
    <row r="5187" spans="20:28" x14ac:dyDescent="0.2">
      <c r="T5187" s="358" t="str">
        <f t="shared" si="190"/>
        <v>2012MaleMaori19Poisoning by gases and vapours</v>
      </c>
      <c r="U5187" s="360">
        <v>2012</v>
      </c>
      <c r="V5187" s="360" t="s">
        <v>20</v>
      </c>
      <c r="W5187" s="360" t="s">
        <v>18</v>
      </c>
      <c r="X5187" s="360">
        <v>19</v>
      </c>
      <c r="Y5187" s="360" t="s">
        <v>46</v>
      </c>
      <c r="Z5187" s="360">
        <v>2</v>
      </c>
      <c r="AA5187" s="360">
        <v>82</v>
      </c>
      <c r="AB5187" s="360">
        <v>2.4</v>
      </c>
    </row>
    <row r="5188" spans="20:28" x14ac:dyDescent="0.2">
      <c r="T5188" s="358" t="str">
        <f t="shared" si="190"/>
        <v>2012MaleMaori19Poisoning by solids and liquids</v>
      </c>
      <c r="U5188" s="360">
        <v>2012</v>
      </c>
      <c r="V5188" s="360" t="s">
        <v>20</v>
      </c>
      <c r="W5188" s="360" t="s">
        <v>18</v>
      </c>
      <c r="X5188" s="360">
        <v>19</v>
      </c>
      <c r="Y5188" s="360" t="s">
        <v>47</v>
      </c>
      <c r="Z5188" s="360">
        <v>1</v>
      </c>
      <c r="AA5188" s="360">
        <v>82</v>
      </c>
      <c r="AB5188" s="360">
        <v>1.2</v>
      </c>
    </row>
    <row r="5189" spans="20:28" x14ac:dyDescent="0.2">
      <c r="T5189" s="358" t="str">
        <f t="shared" ref="T5189:T5252" si="191">U5189&amp;V5189&amp;W5189&amp;X5189&amp;Y5189</f>
        <v>2012MaleMaori19Sharp object</v>
      </c>
      <c r="U5189" s="360">
        <v>2012</v>
      </c>
      <c r="V5189" s="360" t="s">
        <v>20</v>
      </c>
      <c r="W5189" s="360" t="s">
        <v>18</v>
      </c>
      <c r="X5189" s="360">
        <v>19</v>
      </c>
      <c r="Y5189" s="360" t="s">
        <v>48</v>
      </c>
      <c r="Z5189" s="360">
        <v>1</v>
      </c>
      <c r="AA5189" s="360">
        <v>82</v>
      </c>
      <c r="AB5189" s="360">
        <v>1.2</v>
      </c>
    </row>
    <row r="5190" spans="20:28" x14ac:dyDescent="0.2">
      <c r="T5190" s="358" t="str">
        <f t="shared" si="191"/>
        <v>2012MaleNon-Maori19Firearms and explosives</v>
      </c>
      <c r="U5190" s="360">
        <v>2012</v>
      </c>
      <c r="V5190" s="360" t="s">
        <v>20</v>
      </c>
      <c r="W5190" s="360" t="s">
        <v>19</v>
      </c>
      <c r="X5190" s="360">
        <v>19</v>
      </c>
      <c r="Y5190" s="360" t="s">
        <v>42</v>
      </c>
      <c r="Z5190" s="360">
        <v>40</v>
      </c>
      <c r="AA5190" s="360">
        <v>323</v>
      </c>
      <c r="AB5190" s="360">
        <v>12.4</v>
      </c>
    </row>
    <row r="5191" spans="20:28" x14ac:dyDescent="0.2">
      <c r="T5191" s="358" t="str">
        <f t="shared" si="191"/>
        <v>2012MaleNon-Maori19Hanging, strangulation and suffocation</v>
      </c>
      <c r="U5191" s="360">
        <v>2012</v>
      </c>
      <c r="V5191" s="360" t="s">
        <v>20</v>
      </c>
      <c r="W5191" s="360" t="s">
        <v>19</v>
      </c>
      <c r="X5191" s="360">
        <v>19</v>
      </c>
      <c r="Y5191" s="360" t="s">
        <v>43</v>
      </c>
      <c r="Z5191" s="360">
        <v>184</v>
      </c>
      <c r="AA5191" s="360">
        <v>323</v>
      </c>
      <c r="AB5191" s="360">
        <v>57</v>
      </c>
    </row>
    <row r="5192" spans="20:28" x14ac:dyDescent="0.2">
      <c r="T5192" s="358" t="str">
        <f t="shared" si="191"/>
        <v>2012MaleNon-Maori19Jumping from a high place</v>
      </c>
      <c r="U5192" s="360">
        <v>2012</v>
      </c>
      <c r="V5192" s="360" t="s">
        <v>20</v>
      </c>
      <c r="W5192" s="360" t="s">
        <v>19</v>
      </c>
      <c r="X5192" s="360">
        <v>19</v>
      </c>
      <c r="Y5192" s="360" t="s">
        <v>44</v>
      </c>
      <c r="Z5192" s="360">
        <v>9</v>
      </c>
      <c r="AA5192" s="360">
        <v>323</v>
      </c>
      <c r="AB5192" s="360">
        <v>2.8</v>
      </c>
    </row>
    <row r="5193" spans="20:28" x14ac:dyDescent="0.2">
      <c r="T5193" s="358" t="str">
        <f t="shared" si="191"/>
        <v>2012MaleNon-Maori19Other</v>
      </c>
      <c r="U5193" s="360">
        <v>2012</v>
      </c>
      <c r="V5193" s="360" t="s">
        <v>20</v>
      </c>
      <c r="W5193" s="360" t="s">
        <v>19</v>
      </c>
      <c r="X5193" s="360">
        <v>19</v>
      </c>
      <c r="Y5193" s="360" t="s">
        <v>45</v>
      </c>
      <c r="Z5193" s="360">
        <v>12</v>
      </c>
      <c r="AA5193" s="360">
        <v>323</v>
      </c>
      <c r="AB5193" s="360">
        <v>3.7</v>
      </c>
    </row>
    <row r="5194" spans="20:28" x14ac:dyDescent="0.2">
      <c r="T5194" s="358" t="str">
        <f t="shared" si="191"/>
        <v>2012MaleNon-Maori19Poisoning by gases and vapours</v>
      </c>
      <c r="U5194" s="360">
        <v>2012</v>
      </c>
      <c r="V5194" s="360" t="s">
        <v>20</v>
      </c>
      <c r="W5194" s="360" t="s">
        <v>19</v>
      </c>
      <c r="X5194" s="360">
        <v>19</v>
      </c>
      <c r="Y5194" s="360" t="s">
        <v>46</v>
      </c>
      <c r="Z5194" s="360">
        <v>35</v>
      </c>
      <c r="AA5194" s="360">
        <v>323</v>
      </c>
      <c r="AB5194" s="360">
        <v>10.8</v>
      </c>
    </row>
    <row r="5195" spans="20:28" x14ac:dyDescent="0.2">
      <c r="T5195" s="358" t="str">
        <f t="shared" si="191"/>
        <v>2012MaleNon-Maori19Poisoning by solids and liquids</v>
      </c>
      <c r="U5195" s="360">
        <v>2012</v>
      </c>
      <c r="V5195" s="360" t="s">
        <v>20</v>
      </c>
      <c r="W5195" s="360" t="s">
        <v>19</v>
      </c>
      <c r="X5195" s="360">
        <v>19</v>
      </c>
      <c r="Y5195" s="360" t="s">
        <v>47</v>
      </c>
      <c r="Z5195" s="360">
        <v>28</v>
      </c>
      <c r="AA5195" s="360">
        <v>323</v>
      </c>
      <c r="AB5195" s="360">
        <v>8.6999999999999993</v>
      </c>
    </row>
    <row r="5196" spans="20:28" x14ac:dyDescent="0.2">
      <c r="T5196" s="358" t="str">
        <f t="shared" si="191"/>
        <v>2012MaleNon-Maori19Sharp object</v>
      </c>
      <c r="U5196" s="360">
        <v>2012</v>
      </c>
      <c r="V5196" s="360" t="s">
        <v>20</v>
      </c>
      <c r="W5196" s="360" t="s">
        <v>19</v>
      </c>
      <c r="X5196" s="360">
        <v>19</v>
      </c>
      <c r="Y5196" s="360" t="s">
        <v>48</v>
      </c>
      <c r="Z5196" s="360">
        <v>12</v>
      </c>
      <c r="AA5196" s="360">
        <v>323</v>
      </c>
      <c r="AB5196" s="360">
        <v>3.7</v>
      </c>
    </row>
    <row r="5197" spans="20:28" x14ac:dyDescent="0.2">
      <c r="T5197" s="358" t="str">
        <f t="shared" si="191"/>
        <v>2012MaleNon-Maori19Submersion (drowning)</v>
      </c>
      <c r="U5197" s="360">
        <v>2012</v>
      </c>
      <c r="V5197" s="360" t="s">
        <v>20</v>
      </c>
      <c r="W5197" s="360" t="s">
        <v>19</v>
      </c>
      <c r="X5197" s="360">
        <v>19</v>
      </c>
      <c r="Y5197" s="360" t="s">
        <v>49</v>
      </c>
      <c r="Z5197" s="360">
        <v>3</v>
      </c>
      <c r="AA5197" s="360">
        <v>323</v>
      </c>
      <c r="AB5197" s="360">
        <v>0.9</v>
      </c>
    </row>
    <row r="5198" spans="20:28" x14ac:dyDescent="0.2">
      <c r="T5198" s="358" t="str">
        <f t="shared" si="191"/>
        <v>2013AllSexAllEth19Firearms and explosives</v>
      </c>
      <c r="U5198" s="360">
        <v>2013</v>
      </c>
      <c r="V5198" s="360" t="s">
        <v>17</v>
      </c>
      <c r="W5198" s="360" t="s">
        <v>27</v>
      </c>
      <c r="X5198" s="360">
        <v>19</v>
      </c>
      <c r="Y5198" s="360" t="s">
        <v>42</v>
      </c>
      <c r="Z5198" s="360">
        <v>48</v>
      </c>
      <c r="AA5198" s="360">
        <v>514</v>
      </c>
      <c r="AB5198" s="360">
        <v>9.3000000000000007</v>
      </c>
    </row>
    <row r="5199" spans="20:28" x14ac:dyDescent="0.2">
      <c r="T5199" s="358" t="str">
        <f t="shared" si="191"/>
        <v>2013AllSexAllEth19Hanging, strangulation and suffocation</v>
      </c>
      <c r="U5199" s="360">
        <v>2013</v>
      </c>
      <c r="V5199" s="360" t="s">
        <v>17</v>
      </c>
      <c r="W5199" s="360" t="s">
        <v>27</v>
      </c>
      <c r="X5199" s="360">
        <v>19</v>
      </c>
      <c r="Y5199" s="360" t="s">
        <v>43</v>
      </c>
      <c r="Z5199" s="360">
        <v>294</v>
      </c>
      <c r="AA5199" s="360">
        <v>514</v>
      </c>
      <c r="AB5199" s="360">
        <v>57.2</v>
      </c>
    </row>
    <row r="5200" spans="20:28" x14ac:dyDescent="0.2">
      <c r="T5200" s="358" t="str">
        <f t="shared" si="191"/>
        <v>2013AllSexAllEth19Jumping from a high place</v>
      </c>
      <c r="U5200" s="360">
        <v>2013</v>
      </c>
      <c r="V5200" s="360" t="s">
        <v>17</v>
      </c>
      <c r="W5200" s="360" t="s">
        <v>27</v>
      </c>
      <c r="X5200" s="360">
        <v>19</v>
      </c>
      <c r="Y5200" s="360" t="s">
        <v>44</v>
      </c>
      <c r="Z5200" s="360">
        <v>14</v>
      </c>
      <c r="AA5200" s="360">
        <v>514</v>
      </c>
      <c r="AB5200" s="360">
        <v>2.7</v>
      </c>
    </row>
    <row r="5201" spans="20:28" x14ac:dyDescent="0.2">
      <c r="T5201" s="358" t="str">
        <f t="shared" si="191"/>
        <v>2013AllSexAllEth19Other</v>
      </c>
      <c r="U5201" s="360">
        <v>2013</v>
      </c>
      <c r="V5201" s="360" t="s">
        <v>17</v>
      </c>
      <c r="W5201" s="360" t="s">
        <v>27</v>
      </c>
      <c r="X5201" s="360">
        <v>19</v>
      </c>
      <c r="Y5201" s="360" t="s">
        <v>45</v>
      </c>
      <c r="Z5201" s="360">
        <v>19</v>
      </c>
      <c r="AA5201" s="360">
        <v>514</v>
      </c>
      <c r="AB5201" s="360">
        <v>3.7</v>
      </c>
    </row>
    <row r="5202" spans="20:28" x14ac:dyDescent="0.2">
      <c r="T5202" s="358" t="str">
        <f t="shared" si="191"/>
        <v>2013AllSexAllEth19Poisoning by gases and vapours</v>
      </c>
      <c r="U5202" s="360">
        <v>2013</v>
      </c>
      <c r="V5202" s="360" t="s">
        <v>17</v>
      </c>
      <c r="W5202" s="360" t="s">
        <v>27</v>
      </c>
      <c r="X5202" s="360">
        <v>19</v>
      </c>
      <c r="Y5202" s="360" t="s">
        <v>46</v>
      </c>
      <c r="Z5202" s="360">
        <v>45</v>
      </c>
      <c r="AA5202" s="360">
        <v>514</v>
      </c>
      <c r="AB5202" s="360">
        <v>8.8000000000000007</v>
      </c>
    </row>
    <row r="5203" spans="20:28" x14ac:dyDescent="0.2">
      <c r="T5203" s="358" t="str">
        <f t="shared" si="191"/>
        <v>2013AllSexAllEth19Poisoning by solids and liquids</v>
      </c>
      <c r="U5203" s="360">
        <v>2013</v>
      </c>
      <c r="V5203" s="360" t="s">
        <v>17</v>
      </c>
      <c r="W5203" s="360" t="s">
        <v>27</v>
      </c>
      <c r="X5203" s="360">
        <v>19</v>
      </c>
      <c r="Y5203" s="360" t="s">
        <v>47</v>
      </c>
      <c r="Z5203" s="360">
        <v>69</v>
      </c>
      <c r="AA5203" s="360">
        <v>514</v>
      </c>
      <c r="AB5203" s="360">
        <v>13.4</v>
      </c>
    </row>
    <row r="5204" spans="20:28" x14ac:dyDescent="0.2">
      <c r="T5204" s="358" t="str">
        <f t="shared" si="191"/>
        <v>2013AllSexAllEth19Sharp object</v>
      </c>
      <c r="U5204" s="360">
        <v>2013</v>
      </c>
      <c r="V5204" s="360" t="s">
        <v>17</v>
      </c>
      <c r="W5204" s="360" t="s">
        <v>27</v>
      </c>
      <c r="X5204" s="360">
        <v>19</v>
      </c>
      <c r="Y5204" s="360" t="s">
        <v>48</v>
      </c>
      <c r="Z5204" s="360">
        <v>10</v>
      </c>
      <c r="AA5204" s="360">
        <v>514</v>
      </c>
      <c r="AB5204" s="360">
        <v>1.9</v>
      </c>
    </row>
    <row r="5205" spans="20:28" x14ac:dyDescent="0.2">
      <c r="T5205" s="358" t="str">
        <f t="shared" si="191"/>
        <v>2013AllSexAllEth19Submersion (drowning)</v>
      </c>
      <c r="U5205" s="360">
        <v>2013</v>
      </c>
      <c r="V5205" s="360" t="s">
        <v>17</v>
      </c>
      <c r="W5205" s="360" t="s">
        <v>27</v>
      </c>
      <c r="X5205" s="360">
        <v>19</v>
      </c>
      <c r="Y5205" s="360" t="s">
        <v>49</v>
      </c>
      <c r="Z5205" s="360">
        <v>15</v>
      </c>
      <c r="AA5205" s="360">
        <v>514</v>
      </c>
      <c r="AB5205" s="360">
        <v>2.9</v>
      </c>
    </row>
    <row r="5206" spans="20:28" x14ac:dyDescent="0.2">
      <c r="T5206" s="358" t="str">
        <f t="shared" si="191"/>
        <v>2013AllSexMaori19Firearms and explosives</v>
      </c>
      <c r="U5206" s="360">
        <v>2013</v>
      </c>
      <c r="V5206" s="360" t="s">
        <v>17</v>
      </c>
      <c r="W5206" s="360" t="s">
        <v>18</v>
      </c>
      <c r="X5206" s="360">
        <v>19</v>
      </c>
      <c r="Y5206" s="360" t="s">
        <v>42</v>
      </c>
      <c r="Z5206" s="360">
        <v>2</v>
      </c>
      <c r="AA5206" s="360">
        <v>105</v>
      </c>
      <c r="AB5206" s="360">
        <v>1.9</v>
      </c>
    </row>
    <row r="5207" spans="20:28" x14ac:dyDescent="0.2">
      <c r="T5207" s="358" t="str">
        <f t="shared" si="191"/>
        <v>2013AllSexMaori19Hanging, strangulation and suffocation</v>
      </c>
      <c r="U5207" s="360">
        <v>2013</v>
      </c>
      <c r="V5207" s="360" t="s">
        <v>17</v>
      </c>
      <c r="W5207" s="360" t="s">
        <v>18</v>
      </c>
      <c r="X5207" s="360">
        <v>19</v>
      </c>
      <c r="Y5207" s="360" t="s">
        <v>43</v>
      </c>
      <c r="Z5207" s="360">
        <v>85</v>
      </c>
      <c r="AA5207" s="360">
        <v>105</v>
      </c>
      <c r="AB5207" s="360">
        <v>81</v>
      </c>
    </row>
    <row r="5208" spans="20:28" x14ac:dyDescent="0.2">
      <c r="T5208" s="358" t="str">
        <f t="shared" si="191"/>
        <v>2013AllSexMaori19Jumping from a high place</v>
      </c>
      <c r="U5208" s="360">
        <v>2013</v>
      </c>
      <c r="V5208" s="360" t="s">
        <v>17</v>
      </c>
      <c r="W5208" s="360" t="s">
        <v>18</v>
      </c>
      <c r="X5208" s="360">
        <v>19</v>
      </c>
      <c r="Y5208" s="360" t="s">
        <v>44</v>
      </c>
      <c r="Z5208" s="360">
        <v>2</v>
      </c>
      <c r="AA5208" s="360">
        <v>105</v>
      </c>
      <c r="AB5208" s="360">
        <v>1.9</v>
      </c>
    </row>
    <row r="5209" spans="20:28" x14ac:dyDescent="0.2">
      <c r="T5209" s="358" t="str">
        <f t="shared" si="191"/>
        <v>2013AllSexMaori19Other</v>
      </c>
      <c r="U5209" s="360">
        <v>2013</v>
      </c>
      <c r="V5209" s="360" t="s">
        <v>17</v>
      </c>
      <c r="W5209" s="360" t="s">
        <v>18</v>
      </c>
      <c r="X5209" s="360">
        <v>19</v>
      </c>
      <c r="Y5209" s="360" t="s">
        <v>45</v>
      </c>
      <c r="Z5209" s="360">
        <v>3</v>
      </c>
      <c r="AA5209" s="360">
        <v>105</v>
      </c>
      <c r="AB5209" s="360">
        <v>2.9</v>
      </c>
    </row>
    <row r="5210" spans="20:28" x14ac:dyDescent="0.2">
      <c r="T5210" s="358" t="str">
        <f t="shared" si="191"/>
        <v>2013AllSexMaori19Poisoning by gases and vapours</v>
      </c>
      <c r="U5210" s="360">
        <v>2013</v>
      </c>
      <c r="V5210" s="360" t="s">
        <v>17</v>
      </c>
      <c r="W5210" s="360" t="s">
        <v>18</v>
      </c>
      <c r="X5210" s="360">
        <v>19</v>
      </c>
      <c r="Y5210" s="360" t="s">
        <v>46</v>
      </c>
      <c r="Z5210" s="360">
        <v>5</v>
      </c>
      <c r="AA5210" s="360">
        <v>105</v>
      </c>
      <c r="AB5210" s="360">
        <v>4.8</v>
      </c>
    </row>
    <row r="5211" spans="20:28" x14ac:dyDescent="0.2">
      <c r="T5211" s="358" t="str">
        <f t="shared" si="191"/>
        <v>2013AllSexMaori19Poisoning by solids and liquids</v>
      </c>
      <c r="U5211" s="360">
        <v>2013</v>
      </c>
      <c r="V5211" s="360" t="s">
        <v>17</v>
      </c>
      <c r="W5211" s="360" t="s">
        <v>18</v>
      </c>
      <c r="X5211" s="360">
        <v>19</v>
      </c>
      <c r="Y5211" s="360" t="s">
        <v>47</v>
      </c>
      <c r="Z5211" s="360">
        <v>6</v>
      </c>
      <c r="AA5211" s="360">
        <v>105</v>
      </c>
      <c r="AB5211" s="360">
        <v>5.7</v>
      </c>
    </row>
    <row r="5212" spans="20:28" x14ac:dyDescent="0.2">
      <c r="T5212" s="358" t="str">
        <f t="shared" si="191"/>
        <v>2013AllSexMaori19Sharp object</v>
      </c>
      <c r="U5212" s="360">
        <v>2013</v>
      </c>
      <c r="V5212" s="360" t="s">
        <v>17</v>
      </c>
      <c r="W5212" s="360" t="s">
        <v>18</v>
      </c>
      <c r="X5212" s="360">
        <v>19</v>
      </c>
      <c r="Y5212" s="360" t="s">
        <v>48</v>
      </c>
      <c r="Z5212" s="360">
        <v>2</v>
      </c>
      <c r="AA5212" s="360">
        <v>105</v>
      </c>
      <c r="AB5212" s="360">
        <v>1.9</v>
      </c>
    </row>
    <row r="5213" spans="20:28" x14ac:dyDescent="0.2">
      <c r="T5213" s="358" t="str">
        <f t="shared" si="191"/>
        <v>2013AllSexNon-Maori19Firearms and explosives</v>
      </c>
      <c r="U5213" s="360">
        <v>2013</v>
      </c>
      <c r="V5213" s="360" t="s">
        <v>17</v>
      </c>
      <c r="W5213" s="360" t="s">
        <v>19</v>
      </c>
      <c r="X5213" s="360">
        <v>19</v>
      </c>
      <c r="Y5213" s="360" t="s">
        <v>42</v>
      </c>
      <c r="Z5213" s="360">
        <v>46</v>
      </c>
      <c r="AA5213" s="360">
        <v>409</v>
      </c>
      <c r="AB5213" s="360">
        <v>11.2</v>
      </c>
    </row>
    <row r="5214" spans="20:28" x14ac:dyDescent="0.2">
      <c r="T5214" s="358" t="str">
        <f t="shared" si="191"/>
        <v>2013AllSexNon-Maori19Hanging, strangulation and suffocation</v>
      </c>
      <c r="U5214" s="360">
        <v>2013</v>
      </c>
      <c r="V5214" s="360" t="s">
        <v>17</v>
      </c>
      <c r="W5214" s="360" t="s">
        <v>19</v>
      </c>
      <c r="X5214" s="360">
        <v>19</v>
      </c>
      <c r="Y5214" s="360" t="s">
        <v>43</v>
      </c>
      <c r="Z5214" s="360">
        <v>209</v>
      </c>
      <c r="AA5214" s="360">
        <v>409</v>
      </c>
      <c r="AB5214" s="360">
        <v>51.1</v>
      </c>
    </row>
    <row r="5215" spans="20:28" x14ac:dyDescent="0.2">
      <c r="T5215" s="358" t="str">
        <f t="shared" si="191"/>
        <v>2013AllSexNon-Maori19Jumping from a high place</v>
      </c>
      <c r="U5215" s="360">
        <v>2013</v>
      </c>
      <c r="V5215" s="360" t="s">
        <v>17</v>
      </c>
      <c r="W5215" s="360" t="s">
        <v>19</v>
      </c>
      <c r="X5215" s="360">
        <v>19</v>
      </c>
      <c r="Y5215" s="360" t="s">
        <v>44</v>
      </c>
      <c r="Z5215" s="360">
        <v>12</v>
      </c>
      <c r="AA5215" s="360">
        <v>409</v>
      </c>
      <c r="AB5215" s="360">
        <v>2.9</v>
      </c>
    </row>
    <row r="5216" spans="20:28" x14ac:dyDescent="0.2">
      <c r="T5216" s="358" t="str">
        <f t="shared" si="191"/>
        <v>2013AllSexNon-Maori19Other</v>
      </c>
      <c r="U5216" s="360">
        <v>2013</v>
      </c>
      <c r="V5216" s="360" t="s">
        <v>17</v>
      </c>
      <c r="W5216" s="360" t="s">
        <v>19</v>
      </c>
      <c r="X5216" s="360">
        <v>19</v>
      </c>
      <c r="Y5216" s="360" t="s">
        <v>45</v>
      </c>
      <c r="Z5216" s="360">
        <v>16</v>
      </c>
      <c r="AA5216" s="360">
        <v>409</v>
      </c>
      <c r="AB5216" s="360">
        <v>3.9</v>
      </c>
    </row>
    <row r="5217" spans="20:28" x14ac:dyDescent="0.2">
      <c r="T5217" s="358" t="str">
        <f t="shared" si="191"/>
        <v>2013AllSexNon-Maori19Poisoning by gases and vapours</v>
      </c>
      <c r="U5217" s="360">
        <v>2013</v>
      </c>
      <c r="V5217" s="360" t="s">
        <v>17</v>
      </c>
      <c r="W5217" s="360" t="s">
        <v>19</v>
      </c>
      <c r="X5217" s="360">
        <v>19</v>
      </c>
      <c r="Y5217" s="360" t="s">
        <v>46</v>
      </c>
      <c r="Z5217" s="360">
        <v>40</v>
      </c>
      <c r="AA5217" s="360">
        <v>409</v>
      </c>
      <c r="AB5217" s="360">
        <v>9.8000000000000007</v>
      </c>
    </row>
    <row r="5218" spans="20:28" x14ac:dyDescent="0.2">
      <c r="T5218" s="358" t="str">
        <f t="shared" si="191"/>
        <v>2013AllSexNon-Maori19Poisoning by solids and liquids</v>
      </c>
      <c r="U5218" s="360">
        <v>2013</v>
      </c>
      <c r="V5218" s="360" t="s">
        <v>17</v>
      </c>
      <c r="W5218" s="360" t="s">
        <v>19</v>
      </c>
      <c r="X5218" s="360">
        <v>19</v>
      </c>
      <c r="Y5218" s="360" t="s">
        <v>47</v>
      </c>
      <c r="Z5218" s="360">
        <v>63</v>
      </c>
      <c r="AA5218" s="360">
        <v>409</v>
      </c>
      <c r="AB5218" s="360">
        <v>15.4</v>
      </c>
    </row>
    <row r="5219" spans="20:28" x14ac:dyDescent="0.2">
      <c r="T5219" s="358" t="str">
        <f t="shared" si="191"/>
        <v>2013AllSexNon-Maori19Sharp object</v>
      </c>
      <c r="U5219" s="360">
        <v>2013</v>
      </c>
      <c r="V5219" s="360" t="s">
        <v>17</v>
      </c>
      <c r="W5219" s="360" t="s">
        <v>19</v>
      </c>
      <c r="X5219" s="360">
        <v>19</v>
      </c>
      <c r="Y5219" s="360" t="s">
        <v>48</v>
      </c>
      <c r="Z5219" s="360">
        <v>8</v>
      </c>
      <c r="AA5219" s="360">
        <v>409</v>
      </c>
      <c r="AB5219" s="360">
        <v>2</v>
      </c>
    </row>
    <row r="5220" spans="20:28" x14ac:dyDescent="0.2">
      <c r="T5220" s="358" t="str">
        <f t="shared" si="191"/>
        <v>2013AllSexNon-Maori19Submersion (drowning)</v>
      </c>
      <c r="U5220" s="360">
        <v>2013</v>
      </c>
      <c r="V5220" s="360" t="s">
        <v>17</v>
      </c>
      <c r="W5220" s="360" t="s">
        <v>19</v>
      </c>
      <c r="X5220" s="360">
        <v>19</v>
      </c>
      <c r="Y5220" s="360" t="s">
        <v>49</v>
      </c>
      <c r="Z5220" s="360">
        <v>15</v>
      </c>
      <c r="AA5220" s="360">
        <v>409</v>
      </c>
      <c r="AB5220" s="360">
        <v>3.7</v>
      </c>
    </row>
    <row r="5221" spans="20:28" x14ac:dyDescent="0.2">
      <c r="T5221" s="358" t="str">
        <f t="shared" si="191"/>
        <v>2013FemaleAllEth19Firearms and explosives</v>
      </c>
      <c r="U5221" s="360">
        <v>2013</v>
      </c>
      <c r="V5221" s="360" t="s">
        <v>8</v>
      </c>
      <c r="W5221" s="360" t="s">
        <v>27</v>
      </c>
      <c r="X5221" s="360">
        <v>19</v>
      </c>
      <c r="Y5221" s="360" t="s">
        <v>42</v>
      </c>
      <c r="Z5221" s="360">
        <v>2</v>
      </c>
      <c r="AA5221" s="360">
        <v>148</v>
      </c>
      <c r="AB5221" s="360">
        <v>1.4</v>
      </c>
    </row>
    <row r="5222" spans="20:28" x14ac:dyDescent="0.2">
      <c r="T5222" s="358" t="str">
        <f t="shared" si="191"/>
        <v>2013FemaleAllEth19Hanging, strangulation and suffocation</v>
      </c>
      <c r="U5222" s="360">
        <v>2013</v>
      </c>
      <c r="V5222" s="360" t="s">
        <v>8</v>
      </c>
      <c r="W5222" s="360" t="s">
        <v>27</v>
      </c>
      <c r="X5222" s="360">
        <v>19</v>
      </c>
      <c r="Y5222" s="360" t="s">
        <v>43</v>
      </c>
      <c r="Z5222" s="360">
        <v>82</v>
      </c>
      <c r="AA5222" s="360">
        <v>148</v>
      </c>
      <c r="AB5222" s="360">
        <v>55.4</v>
      </c>
    </row>
    <row r="5223" spans="20:28" x14ac:dyDescent="0.2">
      <c r="T5223" s="358" t="str">
        <f t="shared" si="191"/>
        <v>2013FemaleAllEth19Jumping from a high place</v>
      </c>
      <c r="U5223" s="360">
        <v>2013</v>
      </c>
      <c r="V5223" s="360" t="s">
        <v>8</v>
      </c>
      <c r="W5223" s="360" t="s">
        <v>27</v>
      </c>
      <c r="X5223" s="360">
        <v>19</v>
      </c>
      <c r="Y5223" s="360" t="s">
        <v>44</v>
      </c>
      <c r="Z5223" s="360">
        <v>5</v>
      </c>
      <c r="AA5223" s="360">
        <v>148</v>
      </c>
      <c r="AB5223" s="360">
        <v>3.4</v>
      </c>
    </row>
    <row r="5224" spans="20:28" x14ac:dyDescent="0.2">
      <c r="T5224" s="358" t="str">
        <f t="shared" si="191"/>
        <v>2013FemaleAllEth19Other</v>
      </c>
      <c r="U5224" s="360">
        <v>2013</v>
      </c>
      <c r="V5224" s="360" t="s">
        <v>8</v>
      </c>
      <c r="W5224" s="360" t="s">
        <v>27</v>
      </c>
      <c r="X5224" s="360">
        <v>19</v>
      </c>
      <c r="Y5224" s="360" t="s">
        <v>45</v>
      </c>
      <c r="Z5224" s="360">
        <v>6</v>
      </c>
      <c r="AA5224" s="360">
        <v>148</v>
      </c>
      <c r="AB5224" s="360">
        <v>4.0999999999999996</v>
      </c>
    </row>
    <row r="5225" spans="20:28" x14ac:dyDescent="0.2">
      <c r="T5225" s="358" t="str">
        <f t="shared" si="191"/>
        <v>2013FemaleAllEth19Poisoning by gases and vapours</v>
      </c>
      <c r="U5225" s="360">
        <v>2013</v>
      </c>
      <c r="V5225" s="360" t="s">
        <v>8</v>
      </c>
      <c r="W5225" s="360" t="s">
        <v>27</v>
      </c>
      <c r="X5225" s="360">
        <v>19</v>
      </c>
      <c r="Y5225" s="360" t="s">
        <v>46</v>
      </c>
      <c r="Z5225" s="360">
        <v>6</v>
      </c>
      <c r="AA5225" s="360">
        <v>148</v>
      </c>
      <c r="AB5225" s="360">
        <v>4.0999999999999996</v>
      </c>
    </row>
    <row r="5226" spans="20:28" x14ac:dyDescent="0.2">
      <c r="T5226" s="358" t="str">
        <f t="shared" si="191"/>
        <v>2013FemaleAllEth19Poisoning by solids and liquids</v>
      </c>
      <c r="U5226" s="360">
        <v>2013</v>
      </c>
      <c r="V5226" s="360" t="s">
        <v>8</v>
      </c>
      <c r="W5226" s="360" t="s">
        <v>27</v>
      </c>
      <c r="X5226" s="360">
        <v>19</v>
      </c>
      <c r="Y5226" s="360" t="s">
        <v>47</v>
      </c>
      <c r="Z5226" s="360">
        <v>38</v>
      </c>
      <c r="AA5226" s="360">
        <v>148</v>
      </c>
      <c r="AB5226" s="360">
        <v>25.7</v>
      </c>
    </row>
    <row r="5227" spans="20:28" x14ac:dyDescent="0.2">
      <c r="T5227" s="358" t="str">
        <f t="shared" si="191"/>
        <v>2013FemaleAllEth19Sharp object</v>
      </c>
      <c r="U5227" s="360">
        <v>2013</v>
      </c>
      <c r="V5227" s="360" t="s">
        <v>8</v>
      </c>
      <c r="W5227" s="360" t="s">
        <v>27</v>
      </c>
      <c r="X5227" s="360">
        <v>19</v>
      </c>
      <c r="Y5227" s="360" t="s">
        <v>48</v>
      </c>
      <c r="Z5227" s="360">
        <v>1</v>
      </c>
      <c r="AA5227" s="360">
        <v>148</v>
      </c>
      <c r="AB5227" s="360">
        <v>0.7</v>
      </c>
    </row>
    <row r="5228" spans="20:28" x14ac:dyDescent="0.2">
      <c r="T5228" s="358" t="str">
        <f t="shared" si="191"/>
        <v>2013FemaleAllEth19Submersion (drowning)</v>
      </c>
      <c r="U5228" s="360">
        <v>2013</v>
      </c>
      <c r="V5228" s="360" t="s">
        <v>8</v>
      </c>
      <c r="W5228" s="360" t="s">
        <v>27</v>
      </c>
      <c r="X5228" s="360">
        <v>19</v>
      </c>
      <c r="Y5228" s="360" t="s">
        <v>49</v>
      </c>
      <c r="Z5228" s="360">
        <v>8</v>
      </c>
      <c r="AA5228" s="360">
        <v>148</v>
      </c>
      <c r="AB5228" s="360">
        <v>5.4</v>
      </c>
    </row>
    <row r="5229" spans="20:28" x14ac:dyDescent="0.2">
      <c r="T5229" s="358" t="str">
        <f t="shared" si="191"/>
        <v>2013FemaleMaori19Firearms and explosives</v>
      </c>
      <c r="U5229" s="360">
        <v>2013</v>
      </c>
      <c r="V5229" s="360" t="s">
        <v>8</v>
      </c>
      <c r="W5229" s="360" t="s">
        <v>18</v>
      </c>
      <c r="X5229" s="360">
        <v>19</v>
      </c>
      <c r="Y5229" s="360" t="s">
        <v>42</v>
      </c>
      <c r="Z5229" s="360">
        <v>1</v>
      </c>
      <c r="AA5229" s="360">
        <v>39</v>
      </c>
      <c r="AB5229" s="360">
        <v>2.6</v>
      </c>
    </row>
    <row r="5230" spans="20:28" x14ac:dyDescent="0.2">
      <c r="T5230" s="358" t="str">
        <f t="shared" si="191"/>
        <v>2013FemaleMaori19Hanging, strangulation and suffocation</v>
      </c>
      <c r="U5230" s="360">
        <v>2013</v>
      </c>
      <c r="V5230" s="360" t="s">
        <v>8</v>
      </c>
      <c r="W5230" s="360" t="s">
        <v>18</v>
      </c>
      <c r="X5230" s="360">
        <v>19</v>
      </c>
      <c r="Y5230" s="360" t="s">
        <v>43</v>
      </c>
      <c r="Z5230" s="360">
        <v>32</v>
      </c>
      <c r="AA5230" s="360">
        <v>39</v>
      </c>
      <c r="AB5230" s="360">
        <v>82.1</v>
      </c>
    </row>
    <row r="5231" spans="20:28" x14ac:dyDescent="0.2">
      <c r="T5231" s="358" t="str">
        <f t="shared" si="191"/>
        <v>2013FemaleMaori19Poisoning by gases and vapours</v>
      </c>
      <c r="U5231" s="360">
        <v>2013</v>
      </c>
      <c r="V5231" s="360" t="s">
        <v>8</v>
      </c>
      <c r="W5231" s="360" t="s">
        <v>18</v>
      </c>
      <c r="X5231" s="360">
        <v>19</v>
      </c>
      <c r="Y5231" s="360" t="s">
        <v>46</v>
      </c>
      <c r="Z5231" s="360">
        <v>1</v>
      </c>
      <c r="AA5231" s="360">
        <v>39</v>
      </c>
      <c r="AB5231" s="360">
        <v>2.6</v>
      </c>
    </row>
    <row r="5232" spans="20:28" x14ac:dyDescent="0.2">
      <c r="T5232" s="358" t="str">
        <f t="shared" si="191"/>
        <v>2013FemaleMaori19Poisoning by solids and liquids</v>
      </c>
      <c r="U5232" s="360">
        <v>2013</v>
      </c>
      <c r="V5232" s="360" t="s">
        <v>8</v>
      </c>
      <c r="W5232" s="360" t="s">
        <v>18</v>
      </c>
      <c r="X5232" s="360">
        <v>19</v>
      </c>
      <c r="Y5232" s="360" t="s">
        <v>47</v>
      </c>
      <c r="Z5232" s="360">
        <v>5</v>
      </c>
      <c r="AA5232" s="360">
        <v>39</v>
      </c>
      <c r="AB5232" s="360">
        <v>12.8</v>
      </c>
    </row>
    <row r="5233" spans="20:28" x14ac:dyDescent="0.2">
      <c r="T5233" s="358" t="str">
        <f t="shared" si="191"/>
        <v>2013FemaleNon-Maori19Firearms and explosives</v>
      </c>
      <c r="U5233" s="360">
        <v>2013</v>
      </c>
      <c r="V5233" s="360" t="s">
        <v>8</v>
      </c>
      <c r="W5233" s="360" t="s">
        <v>19</v>
      </c>
      <c r="X5233" s="360">
        <v>19</v>
      </c>
      <c r="Y5233" s="360" t="s">
        <v>42</v>
      </c>
      <c r="Z5233" s="360">
        <v>1</v>
      </c>
      <c r="AA5233" s="360">
        <v>109</v>
      </c>
      <c r="AB5233" s="360">
        <v>0.9</v>
      </c>
    </row>
    <row r="5234" spans="20:28" x14ac:dyDescent="0.2">
      <c r="T5234" s="358" t="str">
        <f t="shared" si="191"/>
        <v>2013FemaleNon-Maori19Hanging, strangulation and suffocation</v>
      </c>
      <c r="U5234" s="360">
        <v>2013</v>
      </c>
      <c r="V5234" s="360" t="s">
        <v>8</v>
      </c>
      <c r="W5234" s="360" t="s">
        <v>19</v>
      </c>
      <c r="X5234" s="360">
        <v>19</v>
      </c>
      <c r="Y5234" s="360" t="s">
        <v>43</v>
      </c>
      <c r="Z5234" s="360">
        <v>50</v>
      </c>
      <c r="AA5234" s="360">
        <v>109</v>
      </c>
      <c r="AB5234" s="360">
        <v>45.9</v>
      </c>
    </row>
    <row r="5235" spans="20:28" x14ac:dyDescent="0.2">
      <c r="T5235" s="358" t="str">
        <f t="shared" si="191"/>
        <v>2013FemaleNon-Maori19Jumping from a high place</v>
      </c>
      <c r="U5235" s="360">
        <v>2013</v>
      </c>
      <c r="V5235" s="360" t="s">
        <v>8</v>
      </c>
      <c r="W5235" s="360" t="s">
        <v>19</v>
      </c>
      <c r="X5235" s="360">
        <v>19</v>
      </c>
      <c r="Y5235" s="360" t="s">
        <v>44</v>
      </c>
      <c r="Z5235" s="360">
        <v>5</v>
      </c>
      <c r="AA5235" s="360">
        <v>109</v>
      </c>
      <c r="AB5235" s="360">
        <v>4.5999999999999996</v>
      </c>
    </row>
    <row r="5236" spans="20:28" x14ac:dyDescent="0.2">
      <c r="T5236" s="358" t="str">
        <f t="shared" si="191"/>
        <v>2013FemaleNon-Maori19Other</v>
      </c>
      <c r="U5236" s="360">
        <v>2013</v>
      </c>
      <c r="V5236" s="360" t="s">
        <v>8</v>
      </c>
      <c r="W5236" s="360" t="s">
        <v>19</v>
      </c>
      <c r="X5236" s="360">
        <v>19</v>
      </c>
      <c r="Y5236" s="360" t="s">
        <v>45</v>
      </c>
      <c r="Z5236" s="360">
        <v>6</v>
      </c>
      <c r="AA5236" s="360">
        <v>109</v>
      </c>
      <c r="AB5236" s="360">
        <v>5.5</v>
      </c>
    </row>
    <row r="5237" spans="20:28" x14ac:dyDescent="0.2">
      <c r="T5237" s="358" t="str">
        <f t="shared" si="191"/>
        <v>2013FemaleNon-Maori19Poisoning by gases and vapours</v>
      </c>
      <c r="U5237" s="360">
        <v>2013</v>
      </c>
      <c r="V5237" s="360" t="s">
        <v>8</v>
      </c>
      <c r="W5237" s="360" t="s">
        <v>19</v>
      </c>
      <c r="X5237" s="360">
        <v>19</v>
      </c>
      <c r="Y5237" s="360" t="s">
        <v>46</v>
      </c>
      <c r="Z5237" s="360">
        <v>5</v>
      </c>
      <c r="AA5237" s="360">
        <v>109</v>
      </c>
      <c r="AB5237" s="360">
        <v>4.5999999999999996</v>
      </c>
    </row>
    <row r="5238" spans="20:28" x14ac:dyDescent="0.2">
      <c r="T5238" s="358" t="str">
        <f t="shared" si="191"/>
        <v>2013FemaleNon-Maori19Poisoning by solids and liquids</v>
      </c>
      <c r="U5238" s="360">
        <v>2013</v>
      </c>
      <c r="V5238" s="360" t="s">
        <v>8</v>
      </c>
      <c r="W5238" s="360" t="s">
        <v>19</v>
      </c>
      <c r="X5238" s="360">
        <v>19</v>
      </c>
      <c r="Y5238" s="360" t="s">
        <v>47</v>
      </c>
      <c r="Z5238" s="360">
        <v>33</v>
      </c>
      <c r="AA5238" s="360">
        <v>109</v>
      </c>
      <c r="AB5238" s="360">
        <v>30.3</v>
      </c>
    </row>
    <row r="5239" spans="20:28" x14ac:dyDescent="0.2">
      <c r="T5239" s="358" t="str">
        <f t="shared" si="191"/>
        <v>2013FemaleNon-Maori19Sharp object</v>
      </c>
      <c r="U5239" s="360">
        <v>2013</v>
      </c>
      <c r="V5239" s="360" t="s">
        <v>8</v>
      </c>
      <c r="W5239" s="360" t="s">
        <v>19</v>
      </c>
      <c r="X5239" s="360">
        <v>19</v>
      </c>
      <c r="Y5239" s="360" t="s">
        <v>48</v>
      </c>
      <c r="Z5239" s="360">
        <v>1</v>
      </c>
      <c r="AA5239" s="360">
        <v>109</v>
      </c>
      <c r="AB5239" s="360">
        <v>0.9</v>
      </c>
    </row>
    <row r="5240" spans="20:28" x14ac:dyDescent="0.2">
      <c r="T5240" s="358" t="str">
        <f t="shared" si="191"/>
        <v>2013FemaleNon-Maori19Submersion (drowning)</v>
      </c>
      <c r="U5240" s="360">
        <v>2013</v>
      </c>
      <c r="V5240" s="360" t="s">
        <v>8</v>
      </c>
      <c r="W5240" s="360" t="s">
        <v>19</v>
      </c>
      <c r="X5240" s="360">
        <v>19</v>
      </c>
      <c r="Y5240" s="360" t="s">
        <v>49</v>
      </c>
      <c r="Z5240" s="360">
        <v>8</v>
      </c>
      <c r="AA5240" s="360">
        <v>109</v>
      </c>
      <c r="AB5240" s="360">
        <v>7.3</v>
      </c>
    </row>
    <row r="5241" spans="20:28" x14ac:dyDescent="0.2">
      <c r="T5241" s="358" t="str">
        <f t="shared" si="191"/>
        <v>2013MaleAllEth19Firearms and explosives</v>
      </c>
      <c r="U5241" s="360">
        <v>2013</v>
      </c>
      <c r="V5241" s="360" t="s">
        <v>20</v>
      </c>
      <c r="W5241" s="360" t="s">
        <v>27</v>
      </c>
      <c r="X5241" s="360">
        <v>19</v>
      </c>
      <c r="Y5241" s="360" t="s">
        <v>42</v>
      </c>
      <c r="Z5241" s="360">
        <v>46</v>
      </c>
      <c r="AA5241" s="360">
        <v>366</v>
      </c>
      <c r="AB5241" s="360">
        <v>12.6</v>
      </c>
    </row>
    <row r="5242" spans="20:28" x14ac:dyDescent="0.2">
      <c r="T5242" s="358" t="str">
        <f t="shared" si="191"/>
        <v>2013MaleAllEth19Hanging, strangulation and suffocation</v>
      </c>
      <c r="U5242" s="360">
        <v>2013</v>
      </c>
      <c r="V5242" s="360" t="s">
        <v>20</v>
      </c>
      <c r="W5242" s="360" t="s">
        <v>27</v>
      </c>
      <c r="X5242" s="360">
        <v>19</v>
      </c>
      <c r="Y5242" s="360" t="s">
        <v>43</v>
      </c>
      <c r="Z5242" s="360">
        <v>212</v>
      </c>
      <c r="AA5242" s="360">
        <v>366</v>
      </c>
      <c r="AB5242" s="360">
        <v>57.9</v>
      </c>
    </row>
    <row r="5243" spans="20:28" x14ac:dyDescent="0.2">
      <c r="T5243" s="358" t="str">
        <f t="shared" si="191"/>
        <v>2013MaleAllEth19Jumping from a high place</v>
      </c>
      <c r="U5243" s="360">
        <v>2013</v>
      </c>
      <c r="V5243" s="360" t="s">
        <v>20</v>
      </c>
      <c r="W5243" s="360" t="s">
        <v>27</v>
      </c>
      <c r="X5243" s="360">
        <v>19</v>
      </c>
      <c r="Y5243" s="360" t="s">
        <v>44</v>
      </c>
      <c r="Z5243" s="360">
        <v>9</v>
      </c>
      <c r="AA5243" s="360">
        <v>366</v>
      </c>
      <c r="AB5243" s="360">
        <v>2.5</v>
      </c>
    </row>
    <row r="5244" spans="20:28" x14ac:dyDescent="0.2">
      <c r="T5244" s="358" t="str">
        <f t="shared" si="191"/>
        <v>2013MaleAllEth19Other</v>
      </c>
      <c r="U5244" s="360">
        <v>2013</v>
      </c>
      <c r="V5244" s="360" t="s">
        <v>20</v>
      </c>
      <c r="W5244" s="360" t="s">
        <v>27</v>
      </c>
      <c r="X5244" s="360">
        <v>19</v>
      </c>
      <c r="Y5244" s="360" t="s">
        <v>45</v>
      </c>
      <c r="Z5244" s="360">
        <v>13</v>
      </c>
      <c r="AA5244" s="360">
        <v>366</v>
      </c>
      <c r="AB5244" s="360">
        <v>3.6</v>
      </c>
    </row>
    <row r="5245" spans="20:28" x14ac:dyDescent="0.2">
      <c r="T5245" s="358" t="str">
        <f t="shared" si="191"/>
        <v>2013MaleAllEth19Poisoning by gases and vapours</v>
      </c>
      <c r="U5245" s="360">
        <v>2013</v>
      </c>
      <c r="V5245" s="360" t="s">
        <v>20</v>
      </c>
      <c r="W5245" s="360" t="s">
        <v>27</v>
      </c>
      <c r="X5245" s="360">
        <v>19</v>
      </c>
      <c r="Y5245" s="360" t="s">
        <v>46</v>
      </c>
      <c r="Z5245" s="360">
        <v>39</v>
      </c>
      <c r="AA5245" s="360">
        <v>366</v>
      </c>
      <c r="AB5245" s="360">
        <v>10.7</v>
      </c>
    </row>
    <row r="5246" spans="20:28" x14ac:dyDescent="0.2">
      <c r="T5246" s="358" t="str">
        <f t="shared" si="191"/>
        <v>2013MaleAllEth19Poisoning by solids and liquids</v>
      </c>
      <c r="U5246" s="360">
        <v>2013</v>
      </c>
      <c r="V5246" s="360" t="s">
        <v>20</v>
      </c>
      <c r="W5246" s="360" t="s">
        <v>27</v>
      </c>
      <c r="X5246" s="360">
        <v>19</v>
      </c>
      <c r="Y5246" s="360" t="s">
        <v>47</v>
      </c>
      <c r="Z5246" s="360">
        <v>31</v>
      </c>
      <c r="AA5246" s="360">
        <v>366</v>
      </c>
      <c r="AB5246" s="360">
        <v>8.5</v>
      </c>
    </row>
    <row r="5247" spans="20:28" x14ac:dyDescent="0.2">
      <c r="T5247" s="358" t="str">
        <f t="shared" si="191"/>
        <v>2013MaleAllEth19Sharp object</v>
      </c>
      <c r="U5247" s="360">
        <v>2013</v>
      </c>
      <c r="V5247" s="360" t="s">
        <v>20</v>
      </c>
      <c r="W5247" s="360" t="s">
        <v>27</v>
      </c>
      <c r="X5247" s="360">
        <v>19</v>
      </c>
      <c r="Y5247" s="360" t="s">
        <v>48</v>
      </c>
      <c r="Z5247" s="360">
        <v>9</v>
      </c>
      <c r="AA5247" s="360">
        <v>366</v>
      </c>
      <c r="AB5247" s="360">
        <v>2.5</v>
      </c>
    </row>
    <row r="5248" spans="20:28" x14ac:dyDescent="0.2">
      <c r="T5248" s="358" t="str">
        <f t="shared" si="191"/>
        <v>2013MaleAllEth19Submersion (drowning)</v>
      </c>
      <c r="U5248" s="360">
        <v>2013</v>
      </c>
      <c r="V5248" s="360" t="s">
        <v>20</v>
      </c>
      <c r="W5248" s="360" t="s">
        <v>27</v>
      </c>
      <c r="X5248" s="360">
        <v>19</v>
      </c>
      <c r="Y5248" s="360" t="s">
        <v>49</v>
      </c>
      <c r="Z5248" s="360">
        <v>7</v>
      </c>
      <c r="AA5248" s="360">
        <v>366</v>
      </c>
      <c r="AB5248" s="360">
        <v>1.9</v>
      </c>
    </row>
    <row r="5249" spans="20:28" x14ac:dyDescent="0.2">
      <c r="T5249" s="358" t="str">
        <f t="shared" si="191"/>
        <v>2013MaleMaori19Firearms and explosives</v>
      </c>
      <c r="U5249" s="360">
        <v>2013</v>
      </c>
      <c r="V5249" s="360" t="s">
        <v>20</v>
      </c>
      <c r="W5249" s="360" t="s">
        <v>18</v>
      </c>
      <c r="X5249" s="360">
        <v>19</v>
      </c>
      <c r="Y5249" s="360" t="s">
        <v>42</v>
      </c>
      <c r="Z5249" s="360">
        <v>1</v>
      </c>
      <c r="AA5249" s="360">
        <v>66</v>
      </c>
      <c r="AB5249" s="360">
        <v>1.5</v>
      </c>
    </row>
    <row r="5250" spans="20:28" x14ac:dyDescent="0.2">
      <c r="T5250" s="358" t="str">
        <f t="shared" si="191"/>
        <v>2013MaleMaori19Hanging, strangulation and suffocation</v>
      </c>
      <c r="U5250" s="360">
        <v>2013</v>
      </c>
      <c r="V5250" s="360" t="s">
        <v>20</v>
      </c>
      <c r="W5250" s="360" t="s">
        <v>18</v>
      </c>
      <c r="X5250" s="360">
        <v>19</v>
      </c>
      <c r="Y5250" s="360" t="s">
        <v>43</v>
      </c>
      <c r="Z5250" s="360">
        <v>53</v>
      </c>
      <c r="AA5250" s="360">
        <v>66</v>
      </c>
      <c r="AB5250" s="360">
        <v>80.3</v>
      </c>
    </row>
    <row r="5251" spans="20:28" x14ac:dyDescent="0.2">
      <c r="T5251" s="358" t="str">
        <f t="shared" si="191"/>
        <v>2013MaleMaori19Jumping from a high place</v>
      </c>
      <c r="U5251" s="360">
        <v>2013</v>
      </c>
      <c r="V5251" s="360" t="s">
        <v>20</v>
      </c>
      <c r="W5251" s="360" t="s">
        <v>18</v>
      </c>
      <c r="X5251" s="360">
        <v>19</v>
      </c>
      <c r="Y5251" s="360" t="s">
        <v>44</v>
      </c>
      <c r="Z5251" s="360">
        <v>2</v>
      </c>
      <c r="AA5251" s="360">
        <v>66</v>
      </c>
      <c r="AB5251" s="360">
        <v>3</v>
      </c>
    </row>
    <row r="5252" spans="20:28" x14ac:dyDescent="0.2">
      <c r="T5252" s="358" t="str">
        <f t="shared" si="191"/>
        <v>2013MaleMaori19Other</v>
      </c>
      <c r="U5252" s="360">
        <v>2013</v>
      </c>
      <c r="V5252" s="360" t="s">
        <v>20</v>
      </c>
      <c r="W5252" s="360" t="s">
        <v>18</v>
      </c>
      <c r="X5252" s="360">
        <v>19</v>
      </c>
      <c r="Y5252" s="360" t="s">
        <v>45</v>
      </c>
      <c r="Z5252" s="360">
        <v>3</v>
      </c>
      <c r="AA5252" s="360">
        <v>66</v>
      </c>
      <c r="AB5252" s="360">
        <v>4.5</v>
      </c>
    </row>
    <row r="5253" spans="20:28" x14ac:dyDescent="0.2">
      <c r="T5253" s="358" t="str">
        <f t="shared" ref="T5253:T5316" si="192">U5253&amp;V5253&amp;W5253&amp;X5253&amp;Y5253</f>
        <v>2013MaleMaori19Poisoning by gases and vapours</v>
      </c>
      <c r="U5253" s="360">
        <v>2013</v>
      </c>
      <c r="V5253" s="360" t="s">
        <v>20</v>
      </c>
      <c r="W5253" s="360" t="s">
        <v>18</v>
      </c>
      <c r="X5253" s="360">
        <v>19</v>
      </c>
      <c r="Y5253" s="360" t="s">
        <v>46</v>
      </c>
      <c r="Z5253" s="360">
        <v>4</v>
      </c>
      <c r="AA5253" s="360">
        <v>66</v>
      </c>
      <c r="AB5253" s="360">
        <v>6.1</v>
      </c>
    </row>
    <row r="5254" spans="20:28" x14ac:dyDescent="0.2">
      <c r="T5254" s="358" t="str">
        <f t="shared" si="192"/>
        <v>2013MaleMaori19Poisoning by solids and liquids</v>
      </c>
      <c r="U5254" s="360">
        <v>2013</v>
      </c>
      <c r="V5254" s="360" t="s">
        <v>20</v>
      </c>
      <c r="W5254" s="360" t="s">
        <v>18</v>
      </c>
      <c r="X5254" s="360">
        <v>19</v>
      </c>
      <c r="Y5254" s="360" t="s">
        <v>47</v>
      </c>
      <c r="Z5254" s="360">
        <v>1</v>
      </c>
      <c r="AA5254" s="360">
        <v>66</v>
      </c>
      <c r="AB5254" s="360">
        <v>1.5</v>
      </c>
    </row>
    <row r="5255" spans="20:28" x14ac:dyDescent="0.2">
      <c r="T5255" s="358" t="str">
        <f t="shared" si="192"/>
        <v>2013MaleMaori19Sharp object</v>
      </c>
      <c r="U5255" s="360">
        <v>2013</v>
      </c>
      <c r="V5255" s="360" t="s">
        <v>20</v>
      </c>
      <c r="W5255" s="360" t="s">
        <v>18</v>
      </c>
      <c r="X5255" s="360">
        <v>19</v>
      </c>
      <c r="Y5255" s="360" t="s">
        <v>48</v>
      </c>
      <c r="Z5255" s="360">
        <v>2</v>
      </c>
      <c r="AA5255" s="360">
        <v>66</v>
      </c>
      <c r="AB5255" s="360">
        <v>3</v>
      </c>
    </row>
    <row r="5256" spans="20:28" x14ac:dyDescent="0.2">
      <c r="T5256" s="358" t="str">
        <f t="shared" si="192"/>
        <v>2013MaleNon-Maori19Firearms and explosives</v>
      </c>
      <c r="U5256" s="360">
        <v>2013</v>
      </c>
      <c r="V5256" s="360" t="s">
        <v>20</v>
      </c>
      <c r="W5256" s="360" t="s">
        <v>19</v>
      </c>
      <c r="X5256" s="360">
        <v>19</v>
      </c>
      <c r="Y5256" s="360" t="s">
        <v>42</v>
      </c>
      <c r="Z5256" s="360">
        <v>45</v>
      </c>
      <c r="AA5256" s="360">
        <v>300</v>
      </c>
      <c r="AB5256" s="360">
        <v>15</v>
      </c>
    </row>
    <row r="5257" spans="20:28" x14ac:dyDescent="0.2">
      <c r="T5257" s="358" t="str">
        <f t="shared" si="192"/>
        <v>2013MaleNon-Maori19Hanging, strangulation and suffocation</v>
      </c>
      <c r="U5257" s="360">
        <v>2013</v>
      </c>
      <c r="V5257" s="360" t="s">
        <v>20</v>
      </c>
      <c r="W5257" s="360" t="s">
        <v>19</v>
      </c>
      <c r="X5257" s="360">
        <v>19</v>
      </c>
      <c r="Y5257" s="360" t="s">
        <v>43</v>
      </c>
      <c r="Z5257" s="360">
        <v>159</v>
      </c>
      <c r="AA5257" s="360">
        <v>300</v>
      </c>
      <c r="AB5257" s="360">
        <v>53</v>
      </c>
    </row>
    <row r="5258" spans="20:28" x14ac:dyDescent="0.2">
      <c r="T5258" s="358" t="str">
        <f t="shared" si="192"/>
        <v>2013MaleNon-Maori19Jumping from a high place</v>
      </c>
      <c r="U5258" s="360">
        <v>2013</v>
      </c>
      <c r="V5258" s="360" t="s">
        <v>20</v>
      </c>
      <c r="W5258" s="360" t="s">
        <v>19</v>
      </c>
      <c r="X5258" s="360">
        <v>19</v>
      </c>
      <c r="Y5258" s="360" t="s">
        <v>44</v>
      </c>
      <c r="Z5258" s="360">
        <v>7</v>
      </c>
      <c r="AA5258" s="360">
        <v>300</v>
      </c>
      <c r="AB5258" s="360">
        <v>2.2999999999999998</v>
      </c>
    </row>
    <row r="5259" spans="20:28" x14ac:dyDescent="0.2">
      <c r="T5259" s="358" t="str">
        <f t="shared" si="192"/>
        <v>2013MaleNon-Maori19Other</v>
      </c>
      <c r="U5259" s="360">
        <v>2013</v>
      </c>
      <c r="V5259" s="360" t="s">
        <v>20</v>
      </c>
      <c r="W5259" s="360" t="s">
        <v>19</v>
      </c>
      <c r="X5259" s="360">
        <v>19</v>
      </c>
      <c r="Y5259" s="360" t="s">
        <v>45</v>
      </c>
      <c r="Z5259" s="360">
        <v>10</v>
      </c>
      <c r="AA5259" s="360">
        <v>300</v>
      </c>
      <c r="AB5259" s="360">
        <v>3.3</v>
      </c>
    </row>
    <row r="5260" spans="20:28" x14ac:dyDescent="0.2">
      <c r="T5260" s="358" t="str">
        <f t="shared" si="192"/>
        <v>2013MaleNon-Maori19Poisoning by gases and vapours</v>
      </c>
      <c r="U5260" s="360">
        <v>2013</v>
      </c>
      <c r="V5260" s="360" t="s">
        <v>20</v>
      </c>
      <c r="W5260" s="360" t="s">
        <v>19</v>
      </c>
      <c r="X5260" s="360">
        <v>19</v>
      </c>
      <c r="Y5260" s="360" t="s">
        <v>46</v>
      </c>
      <c r="Z5260" s="360">
        <v>35</v>
      </c>
      <c r="AA5260" s="360">
        <v>300</v>
      </c>
      <c r="AB5260" s="360">
        <v>11.7</v>
      </c>
    </row>
    <row r="5261" spans="20:28" x14ac:dyDescent="0.2">
      <c r="T5261" s="358" t="str">
        <f t="shared" si="192"/>
        <v>2013MaleNon-Maori19Poisoning by solids and liquids</v>
      </c>
      <c r="U5261" s="360">
        <v>2013</v>
      </c>
      <c r="V5261" s="360" t="s">
        <v>20</v>
      </c>
      <c r="W5261" s="360" t="s">
        <v>19</v>
      </c>
      <c r="X5261" s="360">
        <v>19</v>
      </c>
      <c r="Y5261" s="360" t="s">
        <v>47</v>
      </c>
      <c r="Z5261" s="360">
        <v>30</v>
      </c>
      <c r="AA5261" s="360">
        <v>300</v>
      </c>
      <c r="AB5261" s="360">
        <v>10</v>
      </c>
    </row>
    <row r="5262" spans="20:28" x14ac:dyDescent="0.2">
      <c r="T5262" s="358" t="str">
        <f t="shared" si="192"/>
        <v>2013MaleNon-Maori19Sharp object</v>
      </c>
      <c r="U5262" s="360">
        <v>2013</v>
      </c>
      <c r="V5262" s="360" t="s">
        <v>20</v>
      </c>
      <c r="W5262" s="360" t="s">
        <v>19</v>
      </c>
      <c r="X5262" s="360">
        <v>19</v>
      </c>
      <c r="Y5262" s="360" t="s">
        <v>48</v>
      </c>
      <c r="Z5262" s="360">
        <v>7</v>
      </c>
      <c r="AA5262" s="360">
        <v>300</v>
      </c>
      <c r="AB5262" s="360">
        <v>2.2999999999999998</v>
      </c>
    </row>
    <row r="5263" spans="20:28" x14ac:dyDescent="0.2">
      <c r="T5263" s="358" t="str">
        <f t="shared" si="192"/>
        <v>2013MaleNon-Maori19Submersion (drowning)</v>
      </c>
      <c r="U5263" s="360">
        <v>2013</v>
      </c>
      <c r="V5263" s="360" t="s">
        <v>20</v>
      </c>
      <c r="W5263" s="360" t="s">
        <v>19</v>
      </c>
      <c r="X5263" s="360">
        <v>19</v>
      </c>
      <c r="Y5263" s="360" t="s">
        <v>49</v>
      </c>
      <c r="Z5263" s="360">
        <v>7</v>
      </c>
      <c r="AA5263" s="360">
        <v>300</v>
      </c>
      <c r="AB5263" s="360">
        <v>2.2999999999999998</v>
      </c>
    </row>
    <row r="5264" spans="20:28" x14ac:dyDescent="0.2">
      <c r="T5264" s="358" t="str">
        <f t="shared" si="192"/>
        <v>2014AllSexAllEth19Firearms and explosives</v>
      </c>
      <c r="U5264" s="360">
        <v>2014</v>
      </c>
      <c r="V5264" s="360" t="s">
        <v>17</v>
      </c>
      <c r="W5264" s="360" t="s">
        <v>27</v>
      </c>
      <c r="X5264" s="360">
        <v>19</v>
      </c>
      <c r="Y5264" s="360" t="s">
        <v>42</v>
      </c>
      <c r="Z5264" s="360">
        <v>41</v>
      </c>
      <c r="AA5264" s="360">
        <v>509</v>
      </c>
      <c r="AB5264" s="360">
        <v>8.1</v>
      </c>
    </row>
    <row r="5265" spans="20:28" x14ac:dyDescent="0.2">
      <c r="T5265" s="358" t="str">
        <f t="shared" si="192"/>
        <v>2014AllSexAllEth19Hanging, strangulation and suffocation</v>
      </c>
      <c r="U5265" s="360">
        <v>2014</v>
      </c>
      <c r="V5265" s="360" t="s">
        <v>17</v>
      </c>
      <c r="W5265" s="360" t="s">
        <v>27</v>
      </c>
      <c r="X5265" s="360">
        <v>19</v>
      </c>
      <c r="Y5265" s="360" t="s">
        <v>43</v>
      </c>
      <c r="Z5265" s="360">
        <v>310</v>
      </c>
      <c r="AA5265" s="360">
        <v>509</v>
      </c>
      <c r="AB5265" s="360">
        <v>60.9</v>
      </c>
    </row>
    <row r="5266" spans="20:28" x14ac:dyDescent="0.2">
      <c r="T5266" s="358" t="str">
        <f t="shared" si="192"/>
        <v>2014AllSexAllEth19Jumping from a high place</v>
      </c>
      <c r="U5266" s="360">
        <v>2014</v>
      </c>
      <c r="V5266" s="360" t="s">
        <v>17</v>
      </c>
      <c r="W5266" s="360" t="s">
        <v>27</v>
      </c>
      <c r="X5266" s="360">
        <v>19</v>
      </c>
      <c r="Y5266" s="360" t="s">
        <v>44</v>
      </c>
      <c r="Z5266" s="360">
        <v>17</v>
      </c>
      <c r="AA5266" s="360">
        <v>509</v>
      </c>
      <c r="AB5266" s="360">
        <v>3.3</v>
      </c>
    </row>
    <row r="5267" spans="20:28" x14ac:dyDescent="0.2">
      <c r="T5267" s="358" t="str">
        <f t="shared" si="192"/>
        <v>2014AllSexAllEth19Other</v>
      </c>
      <c r="U5267" s="360">
        <v>2014</v>
      </c>
      <c r="V5267" s="360" t="s">
        <v>17</v>
      </c>
      <c r="W5267" s="360" t="s">
        <v>27</v>
      </c>
      <c r="X5267" s="360">
        <v>19</v>
      </c>
      <c r="Y5267" s="360" t="s">
        <v>45</v>
      </c>
      <c r="Z5267" s="360">
        <v>16</v>
      </c>
      <c r="AA5267" s="360">
        <v>509</v>
      </c>
      <c r="AB5267" s="360">
        <v>3.1</v>
      </c>
    </row>
    <row r="5268" spans="20:28" x14ac:dyDescent="0.2">
      <c r="T5268" s="358" t="str">
        <f t="shared" si="192"/>
        <v>2014AllSexAllEth19Poisoning by gases and vapours</v>
      </c>
      <c r="U5268" s="360">
        <v>2014</v>
      </c>
      <c r="V5268" s="360" t="s">
        <v>17</v>
      </c>
      <c r="W5268" s="360" t="s">
        <v>27</v>
      </c>
      <c r="X5268" s="360">
        <v>19</v>
      </c>
      <c r="Y5268" s="360" t="s">
        <v>46</v>
      </c>
      <c r="Z5268" s="360">
        <v>41</v>
      </c>
      <c r="AA5268" s="360">
        <v>509</v>
      </c>
      <c r="AB5268" s="360">
        <v>8.1</v>
      </c>
    </row>
    <row r="5269" spans="20:28" x14ac:dyDescent="0.2">
      <c r="T5269" s="358" t="str">
        <f t="shared" si="192"/>
        <v>2014AllSexAllEth19Poisoning by solids and liquids</v>
      </c>
      <c r="U5269" s="360">
        <v>2014</v>
      </c>
      <c r="V5269" s="360" t="s">
        <v>17</v>
      </c>
      <c r="W5269" s="360" t="s">
        <v>27</v>
      </c>
      <c r="X5269" s="360">
        <v>19</v>
      </c>
      <c r="Y5269" s="360" t="s">
        <v>47</v>
      </c>
      <c r="Z5269" s="360">
        <v>64</v>
      </c>
      <c r="AA5269" s="360">
        <v>509</v>
      </c>
      <c r="AB5269" s="360">
        <v>12.6</v>
      </c>
    </row>
    <row r="5270" spans="20:28" x14ac:dyDescent="0.2">
      <c r="T5270" s="358" t="str">
        <f t="shared" si="192"/>
        <v>2014AllSexAllEth19Sharp object</v>
      </c>
      <c r="U5270" s="360">
        <v>2014</v>
      </c>
      <c r="V5270" s="360" t="s">
        <v>17</v>
      </c>
      <c r="W5270" s="360" t="s">
        <v>27</v>
      </c>
      <c r="X5270" s="360">
        <v>19</v>
      </c>
      <c r="Y5270" s="360" t="s">
        <v>48</v>
      </c>
      <c r="Z5270" s="360">
        <v>10</v>
      </c>
      <c r="AA5270" s="360">
        <v>509</v>
      </c>
      <c r="AB5270" s="360">
        <v>2</v>
      </c>
    </row>
    <row r="5271" spans="20:28" x14ac:dyDescent="0.2">
      <c r="T5271" s="358" t="str">
        <f t="shared" si="192"/>
        <v>2014AllSexAllEth19Submersion (drowning)</v>
      </c>
      <c r="U5271" s="360">
        <v>2014</v>
      </c>
      <c r="V5271" s="360" t="s">
        <v>17</v>
      </c>
      <c r="W5271" s="360" t="s">
        <v>27</v>
      </c>
      <c r="X5271" s="360">
        <v>19</v>
      </c>
      <c r="Y5271" s="360" t="s">
        <v>49</v>
      </c>
      <c r="Z5271" s="360">
        <v>10</v>
      </c>
      <c r="AA5271" s="360">
        <v>509</v>
      </c>
      <c r="AB5271" s="360">
        <v>2</v>
      </c>
    </row>
    <row r="5272" spans="20:28" x14ac:dyDescent="0.2">
      <c r="T5272" s="358" t="str">
        <f t="shared" si="192"/>
        <v>2014AllSexMaori19Firearms and explosives</v>
      </c>
      <c r="U5272" s="360">
        <v>2014</v>
      </c>
      <c r="V5272" s="360" t="s">
        <v>17</v>
      </c>
      <c r="W5272" s="360" t="s">
        <v>18</v>
      </c>
      <c r="X5272" s="360">
        <v>19</v>
      </c>
      <c r="Y5272" s="360" t="s">
        <v>42</v>
      </c>
      <c r="Z5272" s="360">
        <v>1</v>
      </c>
      <c r="AA5272" s="360">
        <v>92</v>
      </c>
      <c r="AB5272" s="360">
        <v>1.1000000000000001</v>
      </c>
    </row>
    <row r="5273" spans="20:28" x14ac:dyDescent="0.2">
      <c r="T5273" s="358" t="str">
        <f t="shared" si="192"/>
        <v>2014AllSexMaori19Hanging, strangulation and suffocation</v>
      </c>
      <c r="U5273" s="360">
        <v>2014</v>
      </c>
      <c r="V5273" s="360" t="s">
        <v>17</v>
      </c>
      <c r="W5273" s="360" t="s">
        <v>18</v>
      </c>
      <c r="X5273" s="360">
        <v>19</v>
      </c>
      <c r="Y5273" s="360" t="s">
        <v>43</v>
      </c>
      <c r="Z5273" s="360">
        <v>77</v>
      </c>
      <c r="AA5273" s="360">
        <v>92</v>
      </c>
      <c r="AB5273" s="360">
        <v>83.7</v>
      </c>
    </row>
    <row r="5274" spans="20:28" x14ac:dyDescent="0.2">
      <c r="T5274" s="358" t="str">
        <f t="shared" si="192"/>
        <v>2014AllSexMaori19Jumping from a high place</v>
      </c>
      <c r="U5274" s="360">
        <v>2014</v>
      </c>
      <c r="V5274" s="360" t="s">
        <v>17</v>
      </c>
      <c r="W5274" s="360" t="s">
        <v>18</v>
      </c>
      <c r="X5274" s="360">
        <v>19</v>
      </c>
      <c r="Y5274" s="360" t="s">
        <v>44</v>
      </c>
      <c r="Z5274" s="360">
        <v>1</v>
      </c>
      <c r="AA5274" s="360">
        <v>92</v>
      </c>
      <c r="AB5274" s="360">
        <v>1.1000000000000001</v>
      </c>
    </row>
    <row r="5275" spans="20:28" x14ac:dyDescent="0.2">
      <c r="T5275" s="358" t="str">
        <f t="shared" si="192"/>
        <v>2014AllSexMaori19Other</v>
      </c>
      <c r="U5275" s="360">
        <v>2014</v>
      </c>
      <c r="V5275" s="360" t="s">
        <v>17</v>
      </c>
      <c r="W5275" s="360" t="s">
        <v>18</v>
      </c>
      <c r="X5275" s="360">
        <v>19</v>
      </c>
      <c r="Y5275" s="360" t="s">
        <v>45</v>
      </c>
      <c r="Z5275" s="360">
        <v>4</v>
      </c>
      <c r="AA5275" s="360">
        <v>92</v>
      </c>
      <c r="AB5275" s="360">
        <v>4.3</v>
      </c>
    </row>
    <row r="5276" spans="20:28" x14ac:dyDescent="0.2">
      <c r="T5276" s="358" t="str">
        <f t="shared" si="192"/>
        <v>2014AllSexMaori19Poisoning by gases and vapours</v>
      </c>
      <c r="U5276" s="360">
        <v>2014</v>
      </c>
      <c r="V5276" s="360" t="s">
        <v>17</v>
      </c>
      <c r="W5276" s="360" t="s">
        <v>18</v>
      </c>
      <c r="X5276" s="360">
        <v>19</v>
      </c>
      <c r="Y5276" s="360" t="s">
        <v>46</v>
      </c>
      <c r="Z5276" s="360">
        <v>2</v>
      </c>
      <c r="AA5276" s="360">
        <v>92</v>
      </c>
      <c r="AB5276" s="360">
        <v>2.2000000000000002</v>
      </c>
    </row>
    <row r="5277" spans="20:28" x14ac:dyDescent="0.2">
      <c r="T5277" s="358" t="str">
        <f t="shared" si="192"/>
        <v>2014AllSexMaori19Poisoning by solids and liquids</v>
      </c>
      <c r="U5277" s="360">
        <v>2014</v>
      </c>
      <c r="V5277" s="360" t="s">
        <v>17</v>
      </c>
      <c r="W5277" s="360" t="s">
        <v>18</v>
      </c>
      <c r="X5277" s="360">
        <v>19</v>
      </c>
      <c r="Y5277" s="360" t="s">
        <v>47</v>
      </c>
      <c r="Z5277" s="360">
        <v>6</v>
      </c>
      <c r="AA5277" s="360">
        <v>92</v>
      </c>
      <c r="AB5277" s="360">
        <v>6.5</v>
      </c>
    </row>
    <row r="5278" spans="20:28" x14ac:dyDescent="0.2">
      <c r="T5278" s="358" t="str">
        <f t="shared" si="192"/>
        <v>2014AllSexMaori19Submersion (drowning)</v>
      </c>
      <c r="U5278" s="360">
        <v>2014</v>
      </c>
      <c r="V5278" s="360" t="s">
        <v>17</v>
      </c>
      <c r="W5278" s="360" t="s">
        <v>18</v>
      </c>
      <c r="X5278" s="360">
        <v>19</v>
      </c>
      <c r="Y5278" s="360" t="s">
        <v>49</v>
      </c>
      <c r="Z5278" s="360">
        <v>1</v>
      </c>
      <c r="AA5278" s="360">
        <v>92</v>
      </c>
      <c r="AB5278" s="360">
        <v>1.1000000000000001</v>
      </c>
    </row>
    <row r="5279" spans="20:28" x14ac:dyDescent="0.2">
      <c r="T5279" s="358" t="str">
        <f t="shared" si="192"/>
        <v>2014AllSexNon-Maori19Firearms and explosives</v>
      </c>
      <c r="U5279" s="360">
        <v>2014</v>
      </c>
      <c r="V5279" s="360" t="s">
        <v>17</v>
      </c>
      <c r="W5279" s="360" t="s">
        <v>19</v>
      </c>
      <c r="X5279" s="360">
        <v>19</v>
      </c>
      <c r="Y5279" s="360" t="s">
        <v>42</v>
      </c>
      <c r="Z5279" s="360">
        <v>40</v>
      </c>
      <c r="AA5279" s="360">
        <v>417</v>
      </c>
      <c r="AB5279" s="360">
        <v>9.6</v>
      </c>
    </row>
    <row r="5280" spans="20:28" x14ac:dyDescent="0.2">
      <c r="T5280" s="358" t="str">
        <f t="shared" si="192"/>
        <v>2014AllSexNon-Maori19Hanging, strangulation and suffocation</v>
      </c>
      <c r="U5280" s="360">
        <v>2014</v>
      </c>
      <c r="V5280" s="360" t="s">
        <v>17</v>
      </c>
      <c r="W5280" s="360" t="s">
        <v>19</v>
      </c>
      <c r="X5280" s="360">
        <v>19</v>
      </c>
      <c r="Y5280" s="360" t="s">
        <v>43</v>
      </c>
      <c r="Z5280" s="360">
        <v>233</v>
      </c>
      <c r="AA5280" s="360">
        <v>417</v>
      </c>
      <c r="AB5280" s="360">
        <v>55.9</v>
      </c>
    </row>
    <row r="5281" spans="20:28" x14ac:dyDescent="0.2">
      <c r="T5281" s="358" t="str">
        <f t="shared" si="192"/>
        <v>2014AllSexNon-Maori19Jumping from a high place</v>
      </c>
      <c r="U5281" s="360">
        <v>2014</v>
      </c>
      <c r="V5281" s="360" t="s">
        <v>17</v>
      </c>
      <c r="W5281" s="360" t="s">
        <v>19</v>
      </c>
      <c r="X5281" s="360">
        <v>19</v>
      </c>
      <c r="Y5281" s="360" t="s">
        <v>44</v>
      </c>
      <c r="Z5281" s="360">
        <v>16</v>
      </c>
      <c r="AA5281" s="360">
        <v>417</v>
      </c>
      <c r="AB5281" s="360">
        <v>3.8</v>
      </c>
    </row>
    <row r="5282" spans="20:28" x14ac:dyDescent="0.2">
      <c r="T5282" s="358" t="str">
        <f t="shared" si="192"/>
        <v>2014AllSexNon-Maori19Other</v>
      </c>
      <c r="U5282" s="360">
        <v>2014</v>
      </c>
      <c r="V5282" s="360" t="s">
        <v>17</v>
      </c>
      <c r="W5282" s="360" t="s">
        <v>19</v>
      </c>
      <c r="X5282" s="360">
        <v>19</v>
      </c>
      <c r="Y5282" s="360" t="s">
        <v>45</v>
      </c>
      <c r="Z5282" s="360">
        <v>12</v>
      </c>
      <c r="AA5282" s="360">
        <v>417</v>
      </c>
      <c r="AB5282" s="360">
        <v>2.9</v>
      </c>
    </row>
    <row r="5283" spans="20:28" x14ac:dyDescent="0.2">
      <c r="T5283" s="358" t="str">
        <f t="shared" si="192"/>
        <v>2014AllSexNon-Maori19Poisoning by gases and vapours</v>
      </c>
      <c r="U5283" s="360">
        <v>2014</v>
      </c>
      <c r="V5283" s="360" t="s">
        <v>17</v>
      </c>
      <c r="W5283" s="360" t="s">
        <v>19</v>
      </c>
      <c r="X5283" s="360">
        <v>19</v>
      </c>
      <c r="Y5283" s="360" t="s">
        <v>46</v>
      </c>
      <c r="Z5283" s="360">
        <v>39</v>
      </c>
      <c r="AA5283" s="360">
        <v>417</v>
      </c>
      <c r="AB5283" s="360">
        <v>9.4</v>
      </c>
    </row>
    <row r="5284" spans="20:28" x14ac:dyDescent="0.2">
      <c r="T5284" s="358" t="str">
        <f t="shared" si="192"/>
        <v>2014AllSexNon-Maori19Poisoning by solids and liquids</v>
      </c>
      <c r="U5284" s="360">
        <v>2014</v>
      </c>
      <c r="V5284" s="360" t="s">
        <v>17</v>
      </c>
      <c r="W5284" s="360" t="s">
        <v>19</v>
      </c>
      <c r="X5284" s="360">
        <v>19</v>
      </c>
      <c r="Y5284" s="360" t="s">
        <v>47</v>
      </c>
      <c r="Z5284" s="360">
        <v>58</v>
      </c>
      <c r="AA5284" s="360">
        <v>417</v>
      </c>
      <c r="AB5284" s="360">
        <v>13.9</v>
      </c>
    </row>
    <row r="5285" spans="20:28" x14ac:dyDescent="0.2">
      <c r="T5285" s="358" t="str">
        <f t="shared" si="192"/>
        <v>2014AllSexNon-Maori19Sharp object</v>
      </c>
      <c r="U5285" s="360">
        <v>2014</v>
      </c>
      <c r="V5285" s="360" t="s">
        <v>17</v>
      </c>
      <c r="W5285" s="360" t="s">
        <v>19</v>
      </c>
      <c r="X5285" s="360">
        <v>19</v>
      </c>
      <c r="Y5285" s="360" t="s">
        <v>48</v>
      </c>
      <c r="Z5285" s="360">
        <v>10</v>
      </c>
      <c r="AA5285" s="360">
        <v>417</v>
      </c>
      <c r="AB5285" s="360">
        <v>2.4</v>
      </c>
    </row>
    <row r="5286" spans="20:28" x14ac:dyDescent="0.2">
      <c r="T5286" s="358" t="str">
        <f t="shared" si="192"/>
        <v>2014AllSexNon-Maori19Submersion (drowning)</v>
      </c>
      <c r="U5286" s="360">
        <v>2014</v>
      </c>
      <c r="V5286" s="360" t="s">
        <v>17</v>
      </c>
      <c r="W5286" s="360" t="s">
        <v>19</v>
      </c>
      <c r="X5286" s="360">
        <v>19</v>
      </c>
      <c r="Y5286" s="360" t="s">
        <v>49</v>
      </c>
      <c r="Z5286" s="360">
        <v>9</v>
      </c>
      <c r="AA5286" s="360">
        <v>417</v>
      </c>
      <c r="AB5286" s="360">
        <v>2.2000000000000002</v>
      </c>
    </row>
    <row r="5287" spans="20:28" x14ac:dyDescent="0.2">
      <c r="T5287" s="358" t="str">
        <f t="shared" si="192"/>
        <v>2014FemaleAllEth19Firearms and explosives</v>
      </c>
      <c r="U5287" s="360">
        <v>2014</v>
      </c>
      <c r="V5287" s="360" t="s">
        <v>8</v>
      </c>
      <c r="W5287" s="360" t="s">
        <v>27</v>
      </c>
      <c r="X5287" s="360">
        <v>19</v>
      </c>
      <c r="Y5287" s="360" t="s">
        <v>42</v>
      </c>
      <c r="Z5287" s="360">
        <v>3</v>
      </c>
      <c r="AA5287" s="360">
        <v>130</v>
      </c>
      <c r="AB5287" s="360">
        <v>2.2999999999999998</v>
      </c>
    </row>
    <row r="5288" spans="20:28" x14ac:dyDescent="0.2">
      <c r="T5288" s="358" t="str">
        <f t="shared" si="192"/>
        <v>2014FemaleAllEth19Hanging, strangulation and suffocation</v>
      </c>
      <c r="U5288" s="360">
        <v>2014</v>
      </c>
      <c r="V5288" s="360" t="s">
        <v>8</v>
      </c>
      <c r="W5288" s="360" t="s">
        <v>27</v>
      </c>
      <c r="X5288" s="360">
        <v>19</v>
      </c>
      <c r="Y5288" s="360" t="s">
        <v>43</v>
      </c>
      <c r="Z5288" s="360">
        <v>69</v>
      </c>
      <c r="AA5288" s="360">
        <v>130</v>
      </c>
      <c r="AB5288" s="360">
        <v>53.1</v>
      </c>
    </row>
    <row r="5289" spans="20:28" x14ac:dyDescent="0.2">
      <c r="T5289" s="358" t="str">
        <f t="shared" si="192"/>
        <v>2014FemaleAllEth19Jumping from a high place</v>
      </c>
      <c r="U5289" s="360">
        <v>2014</v>
      </c>
      <c r="V5289" s="360" t="s">
        <v>8</v>
      </c>
      <c r="W5289" s="360" t="s">
        <v>27</v>
      </c>
      <c r="X5289" s="360">
        <v>19</v>
      </c>
      <c r="Y5289" s="360" t="s">
        <v>44</v>
      </c>
      <c r="Z5289" s="360">
        <v>5</v>
      </c>
      <c r="AA5289" s="360">
        <v>130</v>
      </c>
      <c r="AB5289" s="360">
        <v>3.8</v>
      </c>
    </row>
    <row r="5290" spans="20:28" x14ac:dyDescent="0.2">
      <c r="T5290" s="358" t="str">
        <f t="shared" si="192"/>
        <v>2014FemaleAllEth19Other</v>
      </c>
      <c r="U5290" s="360">
        <v>2014</v>
      </c>
      <c r="V5290" s="360" t="s">
        <v>8</v>
      </c>
      <c r="W5290" s="360" t="s">
        <v>27</v>
      </c>
      <c r="X5290" s="360">
        <v>19</v>
      </c>
      <c r="Y5290" s="360" t="s">
        <v>45</v>
      </c>
      <c r="Z5290" s="360">
        <v>2</v>
      </c>
      <c r="AA5290" s="360">
        <v>130</v>
      </c>
      <c r="AB5290" s="360">
        <v>1.5</v>
      </c>
    </row>
    <row r="5291" spans="20:28" x14ac:dyDescent="0.2">
      <c r="T5291" s="358" t="str">
        <f t="shared" si="192"/>
        <v>2014FemaleAllEth19Poisoning by gases and vapours</v>
      </c>
      <c r="U5291" s="360">
        <v>2014</v>
      </c>
      <c r="V5291" s="360" t="s">
        <v>8</v>
      </c>
      <c r="W5291" s="360" t="s">
        <v>27</v>
      </c>
      <c r="X5291" s="360">
        <v>19</v>
      </c>
      <c r="Y5291" s="360" t="s">
        <v>46</v>
      </c>
      <c r="Z5291" s="360">
        <v>9</v>
      </c>
      <c r="AA5291" s="360">
        <v>130</v>
      </c>
      <c r="AB5291" s="360">
        <v>6.9</v>
      </c>
    </row>
    <row r="5292" spans="20:28" x14ac:dyDescent="0.2">
      <c r="T5292" s="358" t="str">
        <f t="shared" si="192"/>
        <v>2014FemaleAllEth19Poisoning by solids and liquids</v>
      </c>
      <c r="U5292" s="360">
        <v>2014</v>
      </c>
      <c r="V5292" s="360" t="s">
        <v>8</v>
      </c>
      <c r="W5292" s="360" t="s">
        <v>27</v>
      </c>
      <c r="X5292" s="360">
        <v>19</v>
      </c>
      <c r="Y5292" s="360" t="s">
        <v>47</v>
      </c>
      <c r="Z5292" s="360">
        <v>34</v>
      </c>
      <c r="AA5292" s="360">
        <v>130</v>
      </c>
      <c r="AB5292" s="360">
        <v>26.2</v>
      </c>
    </row>
    <row r="5293" spans="20:28" x14ac:dyDescent="0.2">
      <c r="T5293" s="358" t="str">
        <f t="shared" si="192"/>
        <v>2014FemaleAllEth19Sharp object</v>
      </c>
      <c r="U5293" s="360">
        <v>2014</v>
      </c>
      <c r="V5293" s="360" t="s">
        <v>8</v>
      </c>
      <c r="W5293" s="360" t="s">
        <v>27</v>
      </c>
      <c r="X5293" s="360">
        <v>19</v>
      </c>
      <c r="Y5293" s="360" t="s">
        <v>48</v>
      </c>
      <c r="Z5293" s="360">
        <v>6</v>
      </c>
      <c r="AA5293" s="360">
        <v>130</v>
      </c>
      <c r="AB5293" s="360">
        <v>4.5999999999999996</v>
      </c>
    </row>
    <row r="5294" spans="20:28" x14ac:dyDescent="0.2">
      <c r="T5294" s="358" t="str">
        <f t="shared" si="192"/>
        <v>2014FemaleAllEth19Submersion (drowning)</v>
      </c>
      <c r="U5294" s="360">
        <v>2014</v>
      </c>
      <c r="V5294" s="360" t="s">
        <v>8</v>
      </c>
      <c r="W5294" s="360" t="s">
        <v>27</v>
      </c>
      <c r="X5294" s="360">
        <v>19</v>
      </c>
      <c r="Y5294" s="360" t="s">
        <v>49</v>
      </c>
      <c r="Z5294" s="360">
        <v>2</v>
      </c>
      <c r="AA5294" s="360">
        <v>130</v>
      </c>
      <c r="AB5294" s="360">
        <v>1.5</v>
      </c>
    </row>
    <row r="5295" spans="20:28" x14ac:dyDescent="0.2">
      <c r="T5295" s="358" t="str">
        <f t="shared" si="192"/>
        <v>2014FemaleMaori19Hanging, strangulation and suffocation</v>
      </c>
      <c r="U5295" s="360">
        <v>2014</v>
      </c>
      <c r="V5295" s="360" t="s">
        <v>8</v>
      </c>
      <c r="W5295" s="360" t="s">
        <v>18</v>
      </c>
      <c r="X5295" s="360">
        <v>19</v>
      </c>
      <c r="Y5295" s="360" t="s">
        <v>43</v>
      </c>
      <c r="Z5295" s="360">
        <v>20</v>
      </c>
      <c r="AA5295" s="360">
        <v>25</v>
      </c>
      <c r="AB5295" s="360">
        <v>80</v>
      </c>
    </row>
    <row r="5296" spans="20:28" x14ac:dyDescent="0.2">
      <c r="T5296" s="358" t="str">
        <f t="shared" si="192"/>
        <v>2014FemaleMaori19Jumping from a high place</v>
      </c>
      <c r="U5296" s="360">
        <v>2014</v>
      </c>
      <c r="V5296" s="360" t="s">
        <v>8</v>
      </c>
      <c r="W5296" s="360" t="s">
        <v>18</v>
      </c>
      <c r="X5296" s="360">
        <v>19</v>
      </c>
      <c r="Y5296" s="360" t="s">
        <v>44</v>
      </c>
      <c r="Z5296" s="360">
        <v>1</v>
      </c>
      <c r="AA5296" s="360">
        <v>25</v>
      </c>
      <c r="AB5296" s="360">
        <v>4</v>
      </c>
    </row>
    <row r="5297" spans="20:28" x14ac:dyDescent="0.2">
      <c r="T5297" s="358" t="str">
        <f t="shared" si="192"/>
        <v>2014FemaleMaori19Poisoning by solids and liquids</v>
      </c>
      <c r="U5297" s="360">
        <v>2014</v>
      </c>
      <c r="V5297" s="360" t="s">
        <v>8</v>
      </c>
      <c r="W5297" s="360" t="s">
        <v>18</v>
      </c>
      <c r="X5297" s="360">
        <v>19</v>
      </c>
      <c r="Y5297" s="360" t="s">
        <v>47</v>
      </c>
      <c r="Z5297" s="360">
        <v>4</v>
      </c>
      <c r="AA5297" s="360">
        <v>25</v>
      </c>
      <c r="AB5297" s="360">
        <v>16</v>
      </c>
    </row>
    <row r="5298" spans="20:28" x14ac:dyDescent="0.2">
      <c r="T5298" s="358" t="str">
        <f t="shared" si="192"/>
        <v>2014FemaleNon-Maori19Firearms and explosives</v>
      </c>
      <c r="U5298" s="360">
        <v>2014</v>
      </c>
      <c r="V5298" s="360" t="s">
        <v>8</v>
      </c>
      <c r="W5298" s="360" t="s">
        <v>19</v>
      </c>
      <c r="X5298" s="360">
        <v>19</v>
      </c>
      <c r="Y5298" s="360" t="s">
        <v>42</v>
      </c>
      <c r="Z5298" s="360">
        <v>3</v>
      </c>
      <c r="AA5298" s="360">
        <v>105</v>
      </c>
      <c r="AB5298" s="360">
        <v>2.9</v>
      </c>
    </row>
    <row r="5299" spans="20:28" x14ac:dyDescent="0.2">
      <c r="T5299" s="358" t="str">
        <f t="shared" si="192"/>
        <v>2014FemaleNon-Maori19Hanging, strangulation and suffocation</v>
      </c>
      <c r="U5299" s="360">
        <v>2014</v>
      </c>
      <c r="V5299" s="360" t="s">
        <v>8</v>
      </c>
      <c r="W5299" s="360" t="s">
        <v>19</v>
      </c>
      <c r="X5299" s="360">
        <v>19</v>
      </c>
      <c r="Y5299" s="360" t="s">
        <v>43</v>
      </c>
      <c r="Z5299" s="360">
        <v>49</v>
      </c>
      <c r="AA5299" s="360">
        <v>105</v>
      </c>
      <c r="AB5299" s="360">
        <v>46.7</v>
      </c>
    </row>
    <row r="5300" spans="20:28" x14ac:dyDescent="0.2">
      <c r="T5300" s="358" t="str">
        <f t="shared" si="192"/>
        <v>2014FemaleNon-Maori19Jumping from a high place</v>
      </c>
      <c r="U5300" s="360">
        <v>2014</v>
      </c>
      <c r="V5300" s="360" t="s">
        <v>8</v>
      </c>
      <c r="W5300" s="360" t="s">
        <v>19</v>
      </c>
      <c r="X5300" s="360">
        <v>19</v>
      </c>
      <c r="Y5300" s="360" t="s">
        <v>44</v>
      </c>
      <c r="Z5300" s="360">
        <v>4</v>
      </c>
      <c r="AA5300" s="360">
        <v>105</v>
      </c>
      <c r="AB5300" s="360">
        <v>3.8</v>
      </c>
    </row>
    <row r="5301" spans="20:28" x14ac:dyDescent="0.2">
      <c r="T5301" s="358" t="str">
        <f t="shared" si="192"/>
        <v>2014FemaleNon-Maori19Other</v>
      </c>
      <c r="U5301" s="360">
        <v>2014</v>
      </c>
      <c r="V5301" s="360" t="s">
        <v>8</v>
      </c>
      <c r="W5301" s="360" t="s">
        <v>19</v>
      </c>
      <c r="X5301" s="360">
        <v>19</v>
      </c>
      <c r="Y5301" s="360" t="s">
        <v>45</v>
      </c>
      <c r="Z5301" s="360">
        <v>2</v>
      </c>
      <c r="AA5301" s="360">
        <v>105</v>
      </c>
      <c r="AB5301" s="360">
        <v>1.9</v>
      </c>
    </row>
    <row r="5302" spans="20:28" x14ac:dyDescent="0.2">
      <c r="T5302" s="358" t="str">
        <f t="shared" si="192"/>
        <v>2014FemaleNon-Maori19Poisoning by gases and vapours</v>
      </c>
      <c r="U5302" s="360">
        <v>2014</v>
      </c>
      <c r="V5302" s="360" t="s">
        <v>8</v>
      </c>
      <c r="W5302" s="360" t="s">
        <v>19</v>
      </c>
      <c r="X5302" s="360">
        <v>19</v>
      </c>
      <c r="Y5302" s="360" t="s">
        <v>46</v>
      </c>
      <c r="Z5302" s="360">
        <v>9</v>
      </c>
      <c r="AA5302" s="360">
        <v>105</v>
      </c>
      <c r="AB5302" s="360">
        <v>8.6</v>
      </c>
    </row>
    <row r="5303" spans="20:28" x14ac:dyDescent="0.2">
      <c r="T5303" s="358" t="str">
        <f t="shared" si="192"/>
        <v>2014FemaleNon-Maori19Poisoning by solids and liquids</v>
      </c>
      <c r="U5303" s="360">
        <v>2014</v>
      </c>
      <c r="V5303" s="360" t="s">
        <v>8</v>
      </c>
      <c r="W5303" s="360" t="s">
        <v>19</v>
      </c>
      <c r="X5303" s="360">
        <v>19</v>
      </c>
      <c r="Y5303" s="360" t="s">
        <v>47</v>
      </c>
      <c r="Z5303" s="360">
        <v>30</v>
      </c>
      <c r="AA5303" s="360">
        <v>105</v>
      </c>
      <c r="AB5303" s="360">
        <v>28.6</v>
      </c>
    </row>
    <row r="5304" spans="20:28" x14ac:dyDescent="0.2">
      <c r="T5304" s="358" t="str">
        <f t="shared" si="192"/>
        <v>2014FemaleNon-Maori19Sharp object</v>
      </c>
      <c r="U5304" s="360">
        <v>2014</v>
      </c>
      <c r="V5304" s="360" t="s">
        <v>8</v>
      </c>
      <c r="W5304" s="360" t="s">
        <v>19</v>
      </c>
      <c r="X5304" s="360">
        <v>19</v>
      </c>
      <c r="Y5304" s="360" t="s">
        <v>48</v>
      </c>
      <c r="Z5304" s="360">
        <v>6</v>
      </c>
      <c r="AA5304" s="360">
        <v>105</v>
      </c>
      <c r="AB5304" s="360">
        <v>5.7</v>
      </c>
    </row>
    <row r="5305" spans="20:28" x14ac:dyDescent="0.2">
      <c r="T5305" s="358" t="str">
        <f t="shared" si="192"/>
        <v>2014FemaleNon-Maori19Submersion (drowning)</v>
      </c>
      <c r="U5305" s="360">
        <v>2014</v>
      </c>
      <c r="V5305" s="360" t="s">
        <v>8</v>
      </c>
      <c r="W5305" s="360" t="s">
        <v>19</v>
      </c>
      <c r="X5305" s="360">
        <v>19</v>
      </c>
      <c r="Y5305" s="360" t="s">
        <v>49</v>
      </c>
      <c r="Z5305" s="360">
        <v>2</v>
      </c>
      <c r="AA5305" s="360">
        <v>105</v>
      </c>
      <c r="AB5305" s="360">
        <v>1.9</v>
      </c>
    </row>
    <row r="5306" spans="20:28" x14ac:dyDescent="0.2">
      <c r="T5306" s="358" t="str">
        <f t="shared" si="192"/>
        <v>2014MaleAllEth19Firearms and explosives</v>
      </c>
      <c r="U5306" s="360">
        <v>2014</v>
      </c>
      <c r="V5306" s="360" t="s">
        <v>20</v>
      </c>
      <c r="W5306" s="360" t="s">
        <v>27</v>
      </c>
      <c r="X5306" s="360">
        <v>19</v>
      </c>
      <c r="Y5306" s="360" t="s">
        <v>42</v>
      </c>
      <c r="Z5306" s="360">
        <v>38</v>
      </c>
      <c r="AA5306" s="360">
        <v>379</v>
      </c>
      <c r="AB5306" s="360">
        <v>10</v>
      </c>
    </row>
    <row r="5307" spans="20:28" x14ac:dyDescent="0.2">
      <c r="T5307" s="358" t="str">
        <f t="shared" si="192"/>
        <v>2014MaleAllEth19Hanging, strangulation and suffocation</v>
      </c>
      <c r="U5307" s="360">
        <v>2014</v>
      </c>
      <c r="V5307" s="360" t="s">
        <v>20</v>
      </c>
      <c r="W5307" s="360" t="s">
        <v>27</v>
      </c>
      <c r="X5307" s="360">
        <v>19</v>
      </c>
      <c r="Y5307" s="360" t="s">
        <v>43</v>
      </c>
      <c r="Z5307" s="360">
        <v>241</v>
      </c>
      <c r="AA5307" s="360">
        <v>379</v>
      </c>
      <c r="AB5307" s="360">
        <v>63.6</v>
      </c>
    </row>
    <row r="5308" spans="20:28" x14ac:dyDescent="0.2">
      <c r="T5308" s="358" t="str">
        <f t="shared" si="192"/>
        <v>2014MaleAllEth19Jumping from a high place</v>
      </c>
      <c r="U5308" s="360">
        <v>2014</v>
      </c>
      <c r="V5308" s="360" t="s">
        <v>20</v>
      </c>
      <c r="W5308" s="360" t="s">
        <v>27</v>
      </c>
      <c r="X5308" s="360">
        <v>19</v>
      </c>
      <c r="Y5308" s="360" t="s">
        <v>44</v>
      </c>
      <c r="Z5308" s="360">
        <v>12</v>
      </c>
      <c r="AA5308" s="360">
        <v>379</v>
      </c>
      <c r="AB5308" s="360">
        <v>3.2</v>
      </c>
    </row>
    <row r="5309" spans="20:28" x14ac:dyDescent="0.2">
      <c r="T5309" s="358" t="str">
        <f t="shared" si="192"/>
        <v>2014MaleAllEth19Other</v>
      </c>
      <c r="U5309" s="360">
        <v>2014</v>
      </c>
      <c r="V5309" s="360" t="s">
        <v>20</v>
      </c>
      <c r="W5309" s="360" t="s">
        <v>27</v>
      </c>
      <c r="X5309" s="360">
        <v>19</v>
      </c>
      <c r="Y5309" s="360" t="s">
        <v>45</v>
      </c>
      <c r="Z5309" s="360">
        <v>14</v>
      </c>
      <c r="AA5309" s="360">
        <v>379</v>
      </c>
      <c r="AB5309" s="360">
        <v>3.7</v>
      </c>
    </row>
    <row r="5310" spans="20:28" x14ac:dyDescent="0.2">
      <c r="T5310" s="358" t="str">
        <f t="shared" si="192"/>
        <v>2014MaleAllEth19Poisoning by gases and vapours</v>
      </c>
      <c r="U5310" s="360">
        <v>2014</v>
      </c>
      <c r="V5310" s="360" t="s">
        <v>20</v>
      </c>
      <c r="W5310" s="360" t="s">
        <v>27</v>
      </c>
      <c r="X5310" s="360">
        <v>19</v>
      </c>
      <c r="Y5310" s="360" t="s">
        <v>46</v>
      </c>
      <c r="Z5310" s="360">
        <v>32</v>
      </c>
      <c r="AA5310" s="360">
        <v>379</v>
      </c>
      <c r="AB5310" s="360">
        <v>8.4</v>
      </c>
    </row>
    <row r="5311" spans="20:28" x14ac:dyDescent="0.2">
      <c r="T5311" s="358" t="str">
        <f t="shared" si="192"/>
        <v>2014MaleAllEth19Poisoning by solids and liquids</v>
      </c>
      <c r="U5311" s="360">
        <v>2014</v>
      </c>
      <c r="V5311" s="360" t="s">
        <v>20</v>
      </c>
      <c r="W5311" s="360" t="s">
        <v>27</v>
      </c>
      <c r="X5311" s="360">
        <v>19</v>
      </c>
      <c r="Y5311" s="360" t="s">
        <v>47</v>
      </c>
      <c r="Z5311" s="360">
        <v>30</v>
      </c>
      <c r="AA5311" s="360">
        <v>379</v>
      </c>
      <c r="AB5311" s="360">
        <v>7.9</v>
      </c>
    </row>
    <row r="5312" spans="20:28" x14ac:dyDescent="0.2">
      <c r="T5312" s="358" t="str">
        <f t="shared" si="192"/>
        <v>2014MaleAllEth19Sharp object</v>
      </c>
      <c r="U5312" s="360">
        <v>2014</v>
      </c>
      <c r="V5312" s="360" t="s">
        <v>20</v>
      </c>
      <c r="W5312" s="360" t="s">
        <v>27</v>
      </c>
      <c r="X5312" s="360">
        <v>19</v>
      </c>
      <c r="Y5312" s="360" t="s">
        <v>48</v>
      </c>
      <c r="Z5312" s="360">
        <v>4</v>
      </c>
      <c r="AA5312" s="360">
        <v>379</v>
      </c>
      <c r="AB5312" s="360">
        <v>1.1000000000000001</v>
      </c>
    </row>
    <row r="5313" spans="20:28" x14ac:dyDescent="0.2">
      <c r="T5313" s="358" t="str">
        <f t="shared" si="192"/>
        <v>2014MaleAllEth19Submersion (drowning)</v>
      </c>
      <c r="U5313" s="360">
        <v>2014</v>
      </c>
      <c r="V5313" s="360" t="s">
        <v>20</v>
      </c>
      <c r="W5313" s="360" t="s">
        <v>27</v>
      </c>
      <c r="X5313" s="360">
        <v>19</v>
      </c>
      <c r="Y5313" s="360" t="s">
        <v>49</v>
      </c>
      <c r="Z5313" s="360">
        <v>8</v>
      </c>
      <c r="AA5313" s="360">
        <v>379</v>
      </c>
      <c r="AB5313" s="360">
        <v>2.1</v>
      </c>
    </row>
    <row r="5314" spans="20:28" x14ac:dyDescent="0.2">
      <c r="T5314" s="358" t="str">
        <f t="shared" si="192"/>
        <v>2014MaleMaori19Firearms and explosives</v>
      </c>
      <c r="U5314" s="360">
        <v>2014</v>
      </c>
      <c r="V5314" s="360" t="s">
        <v>20</v>
      </c>
      <c r="W5314" s="360" t="s">
        <v>18</v>
      </c>
      <c r="X5314" s="360">
        <v>19</v>
      </c>
      <c r="Y5314" s="360" t="s">
        <v>42</v>
      </c>
      <c r="Z5314" s="360">
        <v>1</v>
      </c>
      <c r="AA5314" s="360">
        <v>67</v>
      </c>
      <c r="AB5314" s="360">
        <v>1.5</v>
      </c>
    </row>
    <row r="5315" spans="20:28" x14ac:dyDescent="0.2">
      <c r="T5315" s="358" t="str">
        <f t="shared" si="192"/>
        <v>2014MaleMaori19Hanging, strangulation and suffocation</v>
      </c>
      <c r="U5315" s="360">
        <v>2014</v>
      </c>
      <c r="V5315" s="360" t="s">
        <v>20</v>
      </c>
      <c r="W5315" s="360" t="s">
        <v>18</v>
      </c>
      <c r="X5315" s="360">
        <v>19</v>
      </c>
      <c r="Y5315" s="360" t="s">
        <v>43</v>
      </c>
      <c r="Z5315" s="360">
        <v>57</v>
      </c>
      <c r="AA5315" s="360">
        <v>67</v>
      </c>
      <c r="AB5315" s="360">
        <v>85.1</v>
      </c>
    </row>
    <row r="5316" spans="20:28" x14ac:dyDescent="0.2">
      <c r="T5316" s="358" t="str">
        <f t="shared" si="192"/>
        <v>2014MaleMaori19Other</v>
      </c>
      <c r="U5316" s="360">
        <v>2014</v>
      </c>
      <c r="V5316" s="360" t="s">
        <v>20</v>
      </c>
      <c r="W5316" s="360" t="s">
        <v>18</v>
      </c>
      <c r="X5316" s="360">
        <v>19</v>
      </c>
      <c r="Y5316" s="360" t="s">
        <v>45</v>
      </c>
      <c r="Z5316" s="360">
        <v>4</v>
      </c>
      <c r="AA5316" s="360">
        <v>67</v>
      </c>
      <c r="AB5316" s="360">
        <v>6</v>
      </c>
    </row>
    <row r="5317" spans="20:28" x14ac:dyDescent="0.2">
      <c r="T5317" s="358" t="str">
        <f t="shared" ref="T5317:T5380" si="193">U5317&amp;V5317&amp;W5317&amp;X5317&amp;Y5317</f>
        <v>2014MaleMaori19Poisoning by gases and vapours</v>
      </c>
      <c r="U5317" s="360">
        <v>2014</v>
      </c>
      <c r="V5317" s="360" t="s">
        <v>20</v>
      </c>
      <c r="W5317" s="360" t="s">
        <v>18</v>
      </c>
      <c r="X5317" s="360">
        <v>19</v>
      </c>
      <c r="Y5317" s="360" t="s">
        <v>46</v>
      </c>
      <c r="Z5317" s="360">
        <v>2</v>
      </c>
      <c r="AA5317" s="360">
        <v>67</v>
      </c>
      <c r="AB5317" s="360">
        <v>3</v>
      </c>
    </row>
    <row r="5318" spans="20:28" x14ac:dyDescent="0.2">
      <c r="T5318" s="358" t="str">
        <f t="shared" si="193"/>
        <v>2014MaleMaori19Poisoning by solids and liquids</v>
      </c>
      <c r="U5318" s="360">
        <v>2014</v>
      </c>
      <c r="V5318" s="360" t="s">
        <v>20</v>
      </c>
      <c r="W5318" s="360" t="s">
        <v>18</v>
      </c>
      <c r="X5318" s="360">
        <v>19</v>
      </c>
      <c r="Y5318" s="360" t="s">
        <v>47</v>
      </c>
      <c r="Z5318" s="360">
        <v>2</v>
      </c>
      <c r="AA5318" s="360">
        <v>67</v>
      </c>
      <c r="AB5318" s="360">
        <v>3</v>
      </c>
    </row>
    <row r="5319" spans="20:28" x14ac:dyDescent="0.2">
      <c r="T5319" s="358" t="str">
        <f t="shared" si="193"/>
        <v>2014MaleMaori19Submersion (drowning)</v>
      </c>
      <c r="U5319" s="360">
        <v>2014</v>
      </c>
      <c r="V5319" s="360" t="s">
        <v>20</v>
      </c>
      <c r="W5319" s="360" t="s">
        <v>18</v>
      </c>
      <c r="X5319" s="360">
        <v>19</v>
      </c>
      <c r="Y5319" s="360" t="s">
        <v>49</v>
      </c>
      <c r="Z5319" s="360">
        <v>1</v>
      </c>
      <c r="AA5319" s="360">
        <v>67</v>
      </c>
      <c r="AB5319" s="360">
        <v>1.5</v>
      </c>
    </row>
    <row r="5320" spans="20:28" x14ac:dyDescent="0.2">
      <c r="T5320" s="358" t="str">
        <f t="shared" si="193"/>
        <v>2014MaleNon-Maori19Firearms and explosives</v>
      </c>
      <c r="U5320" s="360">
        <v>2014</v>
      </c>
      <c r="V5320" s="360" t="s">
        <v>20</v>
      </c>
      <c r="W5320" s="360" t="s">
        <v>19</v>
      </c>
      <c r="X5320" s="360">
        <v>19</v>
      </c>
      <c r="Y5320" s="360" t="s">
        <v>42</v>
      </c>
      <c r="Z5320" s="360">
        <v>37</v>
      </c>
      <c r="AA5320" s="360">
        <v>312</v>
      </c>
      <c r="AB5320" s="360">
        <v>11.9</v>
      </c>
    </row>
    <row r="5321" spans="20:28" x14ac:dyDescent="0.2">
      <c r="T5321" s="358" t="str">
        <f t="shared" si="193"/>
        <v>2014MaleNon-Maori19Hanging, strangulation and suffocation</v>
      </c>
      <c r="U5321" s="360">
        <v>2014</v>
      </c>
      <c r="V5321" s="360" t="s">
        <v>20</v>
      </c>
      <c r="W5321" s="360" t="s">
        <v>19</v>
      </c>
      <c r="X5321" s="360">
        <v>19</v>
      </c>
      <c r="Y5321" s="360" t="s">
        <v>43</v>
      </c>
      <c r="Z5321" s="360">
        <v>184</v>
      </c>
      <c r="AA5321" s="360">
        <v>312</v>
      </c>
      <c r="AB5321" s="360">
        <v>59</v>
      </c>
    </row>
    <row r="5322" spans="20:28" x14ac:dyDescent="0.2">
      <c r="T5322" s="358" t="str">
        <f t="shared" si="193"/>
        <v>2014MaleNon-Maori19Jumping from a high place</v>
      </c>
      <c r="U5322" s="360">
        <v>2014</v>
      </c>
      <c r="V5322" s="360" t="s">
        <v>20</v>
      </c>
      <c r="W5322" s="360" t="s">
        <v>19</v>
      </c>
      <c r="X5322" s="360">
        <v>19</v>
      </c>
      <c r="Y5322" s="360" t="s">
        <v>44</v>
      </c>
      <c r="Z5322" s="360">
        <v>12</v>
      </c>
      <c r="AA5322" s="360">
        <v>312</v>
      </c>
      <c r="AB5322" s="360">
        <v>3.8</v>
      </c>
    </row>
    <row r="5323" spans="20:28" x14ac:dyDescent="0.2">
      <c r="T5323" s="358" t="str">
        <f t="shared" si="193"/>
        <v>2014MaleNon-Maori19Other</v>
      </c>
      <c r="U5323" s="360">
        <v>2014</v>
      </c>
      <c r="V5323" s="360" t="s">
        <v>20</v>
      </c>
      <c r="W5323" s="360" t="s">
        <v>19</v>
      </c>
      <c r="X5323" s="360">
        <v>19</v>
      </c>
      <c r="Y5323" s="360" t="s">
        <v>45</v>
      </c>
      <c r="Z5323" s="360">
        <v>10</v>
      </c>
      <c r="AA5323" s="360">
        <v>312</v>
      </c>
      <c r="AB5323" s="360">
        <v>3.2</v>
      </c>
    </row>
    <row r="5324" spans="20:28" x14ac:dyDescent="0.2">
      <c r="T5324" s="358" t="str">
        <f t="shared" si="193"/>
        <v>2014MaleNon-Maori19Poisoning by gases and vapours</v>
      </c>
      <c r="U5324" s="360">
        <v>2014</v>
      </c>
      <c r="V5324" s="360" t="s">
        <v>20</v>
      </c>
      <c r="W5324" s="360" t="s">
        <v>19</v>
      </c>
      <c r="X5324" s="360">
        <v>19</v>
      </c>
      <c r="Y5324" s="360" t="s">
        <v>46</v>
      </c>
      <c r="Z5324" s="360">
        <v>30</v>
      </c>
      <c r="AA5324" s="360">
        <v>312</v>
      </c>
      <c r="AB5324" s="360">
        <v>9.6</v>
      </c>
    </row>
    <row r="5325" spans="20:28" x14ac:dyDescent="0.2">
      <c r="T5325" s="358" t="str">
        <f t="shared" si="193"/>
        <v>2014MaleNon-Maori19Poisoning by solids and liquids</v>
      </c>
      <c r="U5325" s="360">
        <v>2014</v>
      </c>
      <c r="V5325" s="360" t="s">
        <v>20</v>
      </c>
      <c r="W5325" s="360" t="s">
        <v>19</v>
      </c>
      <c r="X5325" s="360">
        <v>19</v>
      </c>
      <c r="Y5325" s="360" t="s">
        <v>47</v>
      </c>
      <c r="Z5325" s="360">
        <v>28</v>
      </c>
      <c r="AA5325" s="360">
        <v>312</v>
      </c>
      <c r="AB5325" s="360">
        <v>9</v>
      </c>
    </row>
    <row r="5326" spans="20:28" x14ac:dyDescent="0.2">
      <c r="T5326" s="358" t="str">
        <f t="shared" si="193"/>
        <v>2014MaleNon-Maori19Sharp object</v>
      </c>
      <c r="U5326" s="360">
        <v>2014</v>
      </c>
      <c r="V5326" s="360" t="s">
        <v>20</v>
      </c>
      <c r="W5326" s="360" t="s">
        <v>19</v>
      </c>
      <c r="X5326" s="360">
        <v>19</v>
      </c>
      <c r="Y5326" s="360" t="s">
        <v>48</v>
      </c>
      <c r="Z5326" s="360">
        <v>4</v>
      </c>
      <c r="AA5326" s="360">
        <v>312</v>
      </c>
      <c r="AB5326" s="360">
        <v>1.3</v>
      </c>
    </row>
    <row r="5327" spans="20:28" x14ac:dyDescent="0.2">
      <c r="T5327" s="358" t="str">
        <f t="shared" si="193"/>
        <v>2014MaleNon-Maori19Submersion (drowning)</v>
      </c>
      <c r="U5327" s="360">
        <v>2014</v>
      </c>
      <c r="V5327" s="360" t="s">
        <v>20</v>
      </c>
      <c r="W5327" s="360" t="s">
        <v>19</v>
      </c>
      <c r="X5327" s="360">
        <v>19</v>
      </c>
      <c r="Y5327" s="360" t="s">
        <v>49</v>
      </c>
      <c r="Z5327" s="360">
        <v>7</v>
      </c>
      <c r="AA5327" s="360">
        <v>312</v>
      </c>
      <c r="AB5327" s="360">
        <v>2.2000000000000002</v>
      </c>
    </row>
    <row r="5328" spans="20:28" x14ac:dyDescent="0.2">
      <c r="T5328" s="358" t="str">
        <f t="shared" si="193"/>
        <v>2015AllSexAllEth19Firearms and explosives</v>
      </c>
      <c r="U5328" s="360">
        <v>2015</v>
      </c>
      <c r="V5328" s="360" t="s">
        <v>17</v>
      </c>
      <c r="W5328" s="360" t="s">
        <v>27</v>
      </c>
      <c r="X5328" s="360">
        <v>19</v>
      </c>
      <c r="Y5328" s="360" t="s">
        <v>42</v>
      </c>
      <c r="Z5328" s="360">
        <v>41</v>
      </c>
      <c r="AA5328" s="360">
        <v>525</v>
      </c>
      <c r="AB5328" s="360">
        <v>7.8</v>
      </c>
    </row>
    <row r="5329" spans="20:28" x14ac:dyDescent="0.2">
      <c r="T5329" s="358" t="str">
        <f t="shared" si="193"/>
        <v>2015AllSexAllEth19Hanging, strangulation and suffocation</v>
      </c>
      <c r="U5329" s="360">
        <v>2015</v>
      </c>
      <c r="V5329" s="360" t="s">
        <v>17</v>
      </c>
      <c r="W5329" s="360" t="s">
        <v>27</v>
      </c>
      <c r="X5329" s="360">
        <v>19</v>
      </c>
      <c r="Y5329" s="360" t="s">
        <v>43</v>
      </c>
      <c r="Z5329" s="360">
        <v>328</v>
      </c>
      <c r="AA5329" s="360">
        <v>525</v>
      </c>
      <c r="AB5329" s="360">
        <v>62.5</v>
      </c>
    </row>
    <row r="5330" spans="20:28" x14ac:dyDescent="0.2">
      <c r="T5330" s="358" t="str">
        <f t="shared" si="193"/>
        <v>2015AllSexAllEth19Jumping from a high place</v>
      </c>
      <c r="U5330" s="360">
        <v>2015</v>
      </c>
      <c r="V5330" s="360" t="s">
        <v>17</v>
      </c>
      <c r="W5330" s="360" t="s">
        <v>27</v>
      </c>
      <c r="X5330" s="360">
        <v>19</v>
      </c>
      <c r="Y5330" s="360" t="s">
        <v>44</v>
      </c>
      <c r="Z5330" s="360">
        <v>19</v>
      </c>
      <c r="AA5330" s="360">
        <v>525</v>
      </c>
      <c r="AB5330" s="360">
        <v>3.6</v>
      </c>
    </row>
    <row r="5331" spans="20:28" x14ac:dyDescent="0.2">
      <c r="T5331" s="358" t="str">
        <f t="shared" si="193"/>
        <v>2015AllSexAllEth19Other</v>
      </c>
      <c r="U5331" s="360">
        <v>2015</v>
      </c>
      <c r="V5331" s="360" t="s">
        <v>17</v>
      </c>
      <c r="W5331" s="360" t="s">
        <v>27</v>
      </c>
      <c r="X5331" s="360">
        <v>19</v>
      </c>
      <c r="Y5331" s="360" t="s">
        <v>45</v>
      </c>
      <c r="Z5331" s="360">
        <v>24</v>
      </c>
      <c r="AA5331" s="360">
        <v>525</v>
      </c>
      <c r="AB5331" s="360">
        <v>4.5999999999999996</v>
      </c>
    </row>
    <row r="5332" spans="20:28" x14ac:dyDescent="0.2">
      <c r="T5332" s="358" t="str">
        <f t="shared" si="193"/>
        <v>2015AllSexAllEth19Poisoning by gases and vapours</v>
      </c>
      <c r="U5332" s="360">
        <v>2015</v>
      </c>
      <c r="V5332" s="360" t="s">
        <v>17</v>
      </c>
      <c r="W5332" s="360" t="s">
        <v>27</v>
      </c>
      <c r="X5332" s="360">
        <v>19</v>
      </c>
      <c r="Y5332" s="360" t="s">
        <v>46</v>
      </c>
      <c r="Z5332" s="360">
        <v>46</v>
      </c>
      <c r="AA5332" s="360">
        <v>525</v>
      </c>
      <c r="AB5332" s="360">
        <v>8.8000000000000007</v>
      </c>
    </row>
    <row r="5333" spans="20:28" x14ac:dyDescent="0.2">
      <c r="T5333" s="358" t="str">
        <f t="shared" si="193"/>
        <v>2015AllSexAllEth19Poisoning by solids and liquids</v>
      </c>
      <c r="U5333" s="360">
        <v>2015</v>
      </c>
      <c r="V5333" s="360" t="s">
        <v>17</v>
      </c>
      <c r="W5333" s="360" t="s">
        <v>27</v>
      </c>
      <c r="X5333" s="360">
        <v>19</v>
      </c>
      <c r="Y5333" s="360" t="s">
        <v>47</v>
      </c>
      <c r="Z5333" s="360">
        <v>49</v>
      </c>
      <c r="AA5333" s="360">
        <v>525</v>
      </c>
      <c r="AB5333" s="360">
        <v>9.3000000000000007</v>
      </c>
    </row>
    <row r="5334" spans="20:28" x14ac:dyDescent="0.2">
      <c r="T5334" s="358" t="str">
        <f t="shared" si="193"/>
        <v>2015AllSexAllEth19Sharp object</v>
      </c>
      <c r="U5334" s="360">
        <v>2015</v>
      </c>
      <c r="V5334" s="360" t="s">
        <v>17</v>
      </c>
      <c r="W5334" s="360" t="s">
        <v>27</v>
      </c>
      <c r="X5334" s="360">
        <v>19</v>
      </c>
      <c r="Y5334" s="360" t="s">
        <v>48</v>
      </c>
      <c r="Z5334" s="360">
        <v>8</v>
      </c>
      <c r="AA5334" s="360">
        <v>525</v>
      </c>
      <c r="AB5334" s="360">
        <v>1.5</v>
      </c>
    </row>
    <row r="5335" spans="20:28" x14ac:dyDescent="0.2">
      <c r="T5335" s="358" t="str">
        <f t="shared" si="193"/>
        <v>2015AllSexAllEth19Submersion (drowning)</v>
      </c>
      <c r="U5335" s="360">
        <v>2015</v>
      </c>
      <c r="V5335" s="360" t="s">
        <v>17</v>
      </c>
      <c r="W5335" s="360" t="s">
        <v>27</v>
      </c>
      <c r="X5335" s="360">
        <v>19</v>
      </c>
      <c r="Y5335" s="360" t="s">
        <v>49</v>
      </c>
      <c r="Z5335" s="360">
        <v>10</v>
      </c>
      <c r="AA5335" s="360">
        <v>525</v>
      </c>
      <c r="AB5335" s="360">
        <v>1.9</v>
      </c>
    </row>
    <row r="5336" spans="20:28" x14ac:dyDescent="0.2">
      <c r="T5336" s="358" t="str">
        <f t="shared" si="193"/>
        <v>2015AllSexMaori19Firearms and explosives</v>
      </c>
      <c r="U5336" s="360">
        <v>2015</v>
      </c>
      <c r="V5336" s="360" t="s">
        <v>17</v>
      </c>
      <c r="W5336" s="360" t="s">
        <v>18</v>
      </c>
      <c r="X5336" s="360">
        <v>19</v>
      </c>
      <c r="Y5336" s="360" t="s">
        <v>42</v>
      </c>
      <c r="Z5336" s="360">
        <v>1</v>
      </c>
      <c r="AA5336" s="360">
        <v>118</v>
      </c>
      <c r="AB5336" s="360">
        <v>0.8</v>
      </c>
    </row>
    <row r="5337" spans="20:28" x14ac:dyDescent="0.2">
      <c r="T5337" s="358" t="str">
        <f t="shared" si="193"/>
        <v>2015AllSexMaori19Hanging, strangulation and suffocation</v>
      </c>
      <c r="U5337" s="360">
        <v>2015</v>
      </c>
      <c r="V5337" s="360" t="s">
        <v>17</v>
      </c>
      <c r="W5337" s="360" t="s">
        <v>18</v>
      </c>
      <c r="X5337" s="360">
        <v>19</v>
      </c>
      <c r="Y5337" s="360" t="s">
        <v>43</v>
      </c>
      <c r="Z5337" s="360">
        <v>106</v>
      </c>
      <c r="AA5337" s="360">
        <v>118</v>
      </c>
      <c r="AB5337" s="360">
        <v>89.8</v>
      </c>
    </row>
    <row r="5338" spans="20:28" x14ac:dyDescent="0.2">
      <c r="T5338" s="358" t="str">
        <f t="shared" si="193"/>
        <v>2015AllSexMaori19Other</v>
      </c>
      <c r="U5338" s="360">
        <v>2015</v>
      </c>
      <c r="V5338" s="360" t="s">
        <v>17</v>
      </c>
      <c r="W5338" s="360" t="s">
        <v>18</v>
      </c>
      <c r="X5338" s="360">
        <v>19</v>
      </c>
      <c r="Y5338" s="360" t="s">
        <v>45</v>
      </c>
      <c r="Z5338" s="360">
        <v>4</v>
      </c>
      <c r="AA5338" s="360">
        <v>118</v>
      </c>
      <c r="AB5338" s="360">
        <v>3.4</v>
      </c>
    </row>
    <row r="5339" spans="20:28" x14ac:dyDescent="0.2">
      <c r="T5339" s="358" t="str">
        <f t="shared" si="193"/>
        <v>2015AllSexMaori19Poisoning by gases and vapours</v>
      </c>
      <c r="U5339" s="360">
        <v>2015</v>
      </c>
      <c r="V5339" s="360" t="s">
        <v>17</v>
      </c>
      <c r="W5339" s="360" t="s">
        <v>18</v>
      </c>
      <c r="X5339" s="360">
        <v>19</v>
      </c>
      <c r="Y5339" s="360" t="s">
        <v>46</v>
      </c>
      <c r="Z5339" s="360">
        <v>4</v>
      </c>
      <c r="AA5339" s="360">
        <v>118</v>
      </c>
      <c r="AB5339" s="360">
        <v>3.4</v>
      </c>
    </row>
    <row r="5340" spans="20:28" x14ac:dyDescent="0.2">
      <c r="T5340" s="358" t="str">
        <f t="shared" si="193"/>
        <v>2015AllSexMaori19Poisoning by solids and liquids</v>
      </c>
      <c r="U5340" s="360">
        <v>2015</v>
      </c>
      <c r="V5340" s="360" t="s">
        <v>17</v>
      </c>
      <c r="W5340" s="360" t="s">
        <v>18</v>
      </c>
      <c r="X5340" s="360">
        <v>19</v>
      </c>
      <c r="Y5340" s="360" t="s">
        <v>47</v>
      </c>
      <c r="Z5340" s="360">
        <v>2</v>
      </c>
      <c r="AA5340" s="360">
        <v>118</v>
      </c>
      <c r="AB5340" s="360">
        <v>1.7</v>
      </c>
    </row>
    <row r="5341" spans="20:28" x14ac:dyDescent="0.2">
      <c r="T5341" s="358" t="str">
        <f t="shared" si="193"/>
        <v>2015AllSexMaori19Submersion (drowning)</v>
      </c>
      <c r="U5341" s="360">
        <v>2015</v>
      </c>
      <c r="V5341" s="360" t="s">
        <v>17</v>
      </c>
      <c r="W5341" s="360" t="s">
        <v>18</v>
      </c>
      <c r="X5341" s="360">
        <v>19</v>
      </c>
      <c r="Y5341" s="360" t="s">
        <v>49</v>
      </c>
      <c r="Z5341" s="360">
        <v>1</v>
      </c>
      <c r="AA5341" s="360">
        <v>118</v>
      </c>
      <c r="AB5341" s="360">
        <v>0.8</v>
      </c>
    </row>
    <row r="5342" spans="20:28" x14ac:dyDescent="0.2">
      <c r="T5342" s="358" t="str">
        <f t="shared" si="193"/>
        <v>2015AllSexNon-Maori19Firearms and explosives</v>
      </c>
      <c r="U5342" s="360">
        <v>2015</v>
      </c>
      <c r="V5342" s="360" t="s">
        <v>17</v>
      </c>
      <c r="W5342" s="360" t="s">
        <v>19</v>
      </c>
      <c r="X5342" s="360">
        <v>19</v>
      </c>
      <c r="Y5342" s="360" t="s">
        <v>42</v>
      </c>
      <c r="Z5342" s="360">
        <v>40</v>
      </c>
      <c r="AA5342" s="360">
        <v>407</v>
      </c>
      <c r="AB5342" s="360">
        <v>9.8000000000000007</v>
      </c>
    </row>
    <row r="5343" spans="20:28" x14ac:dyDescent="0.2">
      <c r="T5343" s="358" t="str">
        <f t="shared" si="193"/>
        <v>2015AllSexNon-Maori19Hanging, strangulation and suffocation</v>
      </c>
      <c r="U5343" s="360">
        <v>2015</v>
      </c>
      <c r="V5343" s="360" t="s">
        <v>17</v>
      </c>
      <c r="W5343" s="360" t="s">
        <v>19</v>
      </c>
      <c r="X5343" s="360">
        <v>19</v>
      </c>
      <c r="Y5343" s="360" t="s">
        <v>43</v>
      </c>
      <c r="Z5343" s="360">
        <v>222</v>
      </c>
      <c r="AA5343" s="360">
        <v>407</v>
      </c>
      <c r="AB5343" s="360">
        <v>54.5</v>
      </c>
    </row>
    <row r="5344" spans="20:28" x14ac:dyDescent="0.2">
      <c r="T5344" s="358" t="str">
        <f t="shared" si="193"/>
        <v>2015AllSexNon-Maori19Jumping from a high place</v>
      </c>
      <c r="U5344" s="360">
        <v>2015</v>
      </c>
      <c r="V5344" s="360" t="s">
        <v>17</v>
      </c>
      <c r="W5344" s="360" t="s">
        <v>19</v>
      </c>
      <c r="X5344" s="360">
        <v>19</v>
      </c>
      <c r="Y5344" s="360" t="s">
        <v>44</v>
      </c>
      <c r="Z5344" s="360">
        <v>19</v>
      </c>
      <c r="AA5344" s="360">
        <v>407</v>
      </c>
      <c r="AB5344" s="360">
        <v>4.7</v>
      </c>
    </row>
    <row r="5345" spans="20:28" x14ac:dyDescent="0.2">
      <c r="T5345" s="358" t="str">
        <f t="shared" si="193"/>
        <v>2015AllSexNon-Maori19Other</v>
      </c>
      <c r="U5345" s="360">
        <v>2015</v>
      </c>
      <c r="V5345" s="360" t="s">
        <v>17</v>
      </c>
      <c r="W5345" s="360" t="s">
        <v>19</v>
      </c>
      <c r="X5345" s="360">
        <v>19</v>
      </c>
      <c r="Y5345" s="360" t="s">
        <v>45</v>
      </c>
      <c r="Z5345" s="360">
        <v>20</v>
      </c>
      <c r="AA5345" s="360">
        <v>407</v>
      </c>
      <c r="AB5345" s="360">
        <v>4.9000000000000004</v>
      </c>
    </row>
    <row r="5346" spans="20:28" x14ac:dyDescent="0.2">
      <c r="T5346" s="358" t="str">
        <f t="shared" si="193"/>
        <v>2015AllSexNon-Maori19Poisoning by gases and vapours</v>
      </c>
      <c r="U5346" s="360">
        <v>2015</v>
      </c>
      <c r="V5346" s="360" t="s">
        <v>17</v>
      </c>
      <c r="W5346" s="360" t="s">
        <v>19</v>
      </c>
      <c r="X5346" s="360">
        <v>19</v>
      </c>
      <c r="Y5346" s="360" t="s">
        <v>46</v>
      </c>
      <c r="Z5346" s="360">
        <v>42</v>
      </c>
      <c r="AA5346" s="360">
        <v>407</v>
      </c>
      <c r="AB5346" s="360">
        <v>10.3</v>
      </c>
    </row>
    <row r="5347" spans="20:28" x14ac:dyDescent="0.2">
      <c r="T5347" s="358" t="str">
        <f t="shared" si="193"/>
        <v>2015AllSexNon-Maori19Poisoning by solids and liquids</v>
      </c>
      <c r="U5347" s="360">
        <v>2015</v>
      </c>
      <c r="V5347" s="360" t="s">
        <v>17</v>
      </c>
      <c r="W5347" s="360" t="s">
        <v>19</v>
      </c>
      <c r="X5347" s="360">
        <v>19</v>
      </c>
      <c r="Y5347" s="360" t="s">
        <v>47</v>
      </c>
      <c r="Z5347" s="360">
        <v>47</v>
      </c>
      <c r="AA5347" s="360">
        <v>407</v>
      </c>
      <c r="AB5347" s="360">
        <v>11.5</v>
      </c>
    </row>
    <row r="5348" spans="20:28" x14ac:dyDescent="0.2">
      <c r="T5348" s="358" t="str">
        <f t="shared" si="193"/>
        <v>2015AllSexNon-Maori19Sharp object</v>
      </c>
      <c r="U5348" s="360">
        <v>2015</v>
      </c>
      <c r="V5348" s="360" t="s">
        <v>17</v>
      </c>
      <c r="W5348" s="360" t="s">
        <v>19</v>
      </c>
      <c r="X5348" s="360">
        <v>19</v>
      </c>
      <c r="Y5348" s="360" t="s">
        <v>48</v>
      </c>
      <c r="Z5348" s="360">
        <v>8</v>
      </c>
      <c r="AA5348" s="360">
        <v>407</v>
      </c>
      <c r="AB5348" s="360">
        <v>2</v>
      </c>
    </row>
    <row r="5349" spans="20:28" x14ac:dyDescent="0.2">
      <c r="T5349" s="358" t="str">
        <f t="shared" si="193"/>
        <v>2015AllSexNon-Maori19Submersion (drowning)</v>
      </c>
      <c r="U5349" s="360">
        <v>2015</v>
      </c>
      <c r="V5349" s="360" t="s">
        <v>17</v>
      </c>
      <c r="W5349" s="360" t="s">
        <v>19</v>
      </c>
      <c r="X5349" s="360">
        <v>19</v>
      </c>
      <c r="Y5349" s="360" t="s">
        <v>49</v>
      </c>
      <c r="Z5349" s="360">
        <v>9</v>
      </c>
      <c r="AA5349" s="360">
        <v>407</v>
      </c>
      <c r="AB5349" s="360">
        <v>2.2000000000000002</v>
      </c>
    </row>
    <row r="5350" spans="20:28" x14ac:dyDescent="0.2">
      <c r="T5350" s="358" t="str">
        <f t="shared" si="193"/>
        <v>2015FemaleAllEth19Firearms and explosives</v>
      </c>
      <c r="U5350" s="360">
        <v>2015</v>
      </c>
      <c r="V5350" s="360" t="s">
        <v>8</v>
      </c>
      <c r="W5350" s="360" t="s">
        <v>27</v>
      </c>
      <c r="X5350" s="360">
        <v>19</v>
      </c>
      <c r="Y5350" s="360" t="s">
        <v>42</v>
      </c>
      <c r="Z5350" s="360">
        <v>3</v>
      </c>
      <c r="AA5350" s="360">
        <v>142</v>
      </c>
      <c r="AB5350" s="360">
        <v>2.1</v>
      </c>
    </row>
    <row r="5351" spans="20:28" x14ac:dyDescent="0.2">
      <c r="T5351" s="358" t="str">
        <f t="shared" si="193"/>
        <v>2015FemaleAllEth19Hanging, strangulation and suffocation</v>
      </c>
      <c r="U5351" s="360">
        <v>2015</v>
      </c>
      <c r="V5351" s="360" t="s">
        <v>8</v>
      </c>
      <c r="W5351" s="360" t="s">
        <v>27</v>
      </c>
      <c r="X5351" s="360">
        <v>19</v>
      </c>
      <c r="Y5351" s="360" t="s">
        <v>43</v>
      </c>
      <c r="Z5351" s="360">
        <v>84</v>
      </c>
      <c r="AA5351" s="360">
        <v>142</v>
      </c>
      <c r="AB5351" s="360">
        <v>59.2</v>
      </c>
    </row>
    <row r="5352" spans="20:28" x14ac:dyDescent="0.2">
      <c r="T5352" s="358" t="str">
        <f t="shared" si="193"/>
        <v>2015FemaleAllEth19Jumping from a high place</v>
      </c>
      <c r="U5352" s="360">
        <v>2015</v>
      </c>
      <c r="V5352" s="360" t="s">
        <v>8</v>
      </c>
      <c r="W5352" s="360" t="s">
        <v>27</v>
      </c>
      <c r="X5352" s="360">
        <v>19</v>
      </c>
      <c r="Y5352" s="360" t="s">
        <v>44</v>
      </c>
      <c r="Z5352" s="360">
        <v>3</v>
      </c>
      <c r="AA5352" s="360">
        <v>142</v>
      </c>
      <c r="AB5352" s="360">
        <v>2.1</v>
      </c>
    </row>
    <row r="5353" spans="20:28" x14ac:dyDescent="0.2">
      <c r="T5353" s="358" t="str">
        <f t="shared" si="193"/>
        <v>2015FemaleAllEth19Other</v>
      </c>
      <c r="U5353" s="360">
        <v>2015</v>
      </c>
      <c r="V5353" s="360" t="s">
        <v>8</v>
      </c>
      <c r="W5353" s="360" t="s">
        <v>27</v>
      </c>
      <c r="X5353" s="360">
        <v>19</v>
      </c>
      <c r="Y5353" s="360" t="s">
        <v>45</v>
      </c>
      <c r="Z5353" s="360">
        <v>8</v>
      </c>
      <c r="AA5353" s="360">
        <v>142</v>
      </c>
      <c r="AB5353" s="360">
        <v>5.6</v>
      </c>
    </row>
    <row r="5354" spans="20:28" x14ac:dyDescent="0.2">
      <c r="T5354" s="358" t="str">
        <f t="shared" si="193"/>
        <v>2015FemaleAllEth19Poisoning by gases and vapours</v>
      </c>
      <c r="U5354" s="360">
        <v>2015</v>
      </c>
      <c r="V5354" s="360" t="s">
        <v>8</v>
      </c>
      <c r="W5354" s="360" t="s">
        <v>27</v>
      </c>
      <c r="X5354" s="360">
        <v>19</v>
      </c>
      <c r="Y5354" s="360" t="s">
        <v>46</v>
      </c>
      <c r="Z5354" s="360">
        <v>8</v>
      </c>
      <c r="AA5354" s="360">
        <v>142</v>
      </c>
      <c r="AB5354" s="360">
        <v>5.6</v>
      </c>
    </row>
    <row r="5355" spans="20:28" x14ac:dyDescent="0.2">
      <c r="T5355" s="358" t="str">
        <f t="shared" si="193"/>
        <v>2015FemaleAllEth19Poisoning by solids and liquids</v>
      </c>
      <c r="U5355" s="360">
        <v>2015</v>
      </c>
      <c r="V5355" s="360" t="s">
        <v>8</v>
      </c>
      <c r="W5355" s="360" t="s">
        <v>27</v>
      </c>
      <c r="X5355" s="360">
        <v>19</v>
      </c>
      <c r="Y5355" s="360" t="s">
        <v>47</v>
      </c>
      <c r="Z5355" s="360">
        <v>33</v>
      </c>
      <c r="AA5355" s="360">
        <v>142</v>
      </c>
      <c r="AB5355" s="360">
        <v>23.2</v>
      </c>
    </row>
    <row r="5356" spans="20:28" x14ac:dyDescent="0.2">
      <c r="T5356" s="358" t="str">
        <f t="shared" si="193"/>
        <v>2015FemaleAllEth19Submersion (drowning)</v>
      </c>
      <c r="U5356" s="360">
        <v>2015</v>
      </c>
      <c r="V5356" s="360" t="s">
        <v>8</v>
      </c>
      <c r="W5356" s="360" t="s">
        <v>27</v>
      </c>
      <c r="X5356" s="360">
        <v>19</v>
      </c>
      <c r="Y5356" s="360" t="s">
        <v>49</v>
      </c>
      <c r="Z5356" s="360">
        <v>3</v>
      </c>
      <c r="AA5356" s="360">
        <v>142</v>
      </c>
      <c r="AB5356" s="360">
        <v>2.1</v>
      </c>
    </row>
    <row r="5357" spans="20:28" x14ac:dyDescent="0.2">
      <c r="T5357" s="358" t="str">
        <f t="shared" si="193"/>
        <v>2015FemaleMaori19Hanging, strangulation and suffocation</v>
      </c>
      <c r="U5357" s="360">
        <v>2015</v>
      </c>
      <c r="V5357" s="360" t="s">
        <v>8</v>
      </c>
      <c r="W5357" s="360" t="s">
        <v>18</v>
      </c>
      <c r="X5357" s="360">
        <v>19</v>
      </c>
      <c r="Y5357" s="360" t="s">
        <v>43</v>
      </c>
      <c r="Z5357" s="360">
        <v>37</v>
      </c>
      <c r="AA5357" s="360">
        <v>41</v>
      </c>
      <c r="AB5357" s="360">
        <v>90.2</v>
      </c>
    </row>
    <row r="5358" spans="20:28" x14ac:dyDescent="0.2">
      <c r="T5358" s="358" t="str">
        <f t="shared" si="193"/>
        <v>2015FemaleMaori19Other</v>
      </c>
      <c r="U5358" s="360">
        <v>2015</v>
      </c>
      <c r="V5358" s="360" t="s">
        <v>8</v>
      </c>
      <c r="W5358" s="360" t="s">
        <v>18</v>
      </c>
      <c r="X5358" s="360">
        <v>19</v>
      </c>
      <c r="Y5358" s="360" t="s">
        <v>45</v>
      </c>
      <c r="Z5358" s="360">
        <v>2</v>
      </c>
      <c r="AA5358" s="360">
        <v>41</v>
      </c>
      <c r="AB5358" s="360">
        <v>4.9000000000000004</v>
      </c>
    </row>
    <row r="5359" spans="20:28" x14ac:dyDescent="0.2">
      <c r="T5359" s="358" t="str">
        <f t="shared" si="193"/>
        <v>2015FemaleMaori19Poisoning by solids and liquids</v>
      </c>
      <c r="U5359" s="360">
        <v>2015</v>
      </c>
      <c r="V5359" s="360" t="s">
        <v>8</v>
      </c>
      <c r="W5359" s="360" t="s">
        <v>18</v>
      </c>
      <c r="X5359" s="360">
        <v>19</v>
      </c>
      <c r="Y5359" s="360" t="s">
        <v>47</v>
      </c>
      <c r="Z5359" s="360">
        <v>2</v>
      </c>
      <c r="AA5359" s="360">
        <v>41</v>
      </c>
      <c r="AB5359" s="360">
        <v>4.9000000000000004</v>
      </c>
    </row>
    <row r="5360" spans="20:28" x14ac:dyDescent="0.2">
      <c r="T5360" s="358" t="str">
        <f t="shared" si="193"/>
        <v>2015FemaleNon-Maori19Firearms and explosives</v>
      </c>
      <c r="U5360" s="360">
        <v>2015</v>
      </c>
      <c r="V5360" s="360" t="s">
        <v>8</v>
      </c>
      <c r="W5360" s="360" t="s">
        <v>19</v>
      </c>
      <c r="X5360" s="360">
        <v>19</v>
      </c>
      <c r="Y5360" s="360" t="s">
        <v>42</v>
      </c>
      <c r="Z5360" s="360">
        <v>3</v>
      </c>
      <c r="AA5360" s="360">
        <v>101</v>
      </c>
      <c r="AB5360" s="360">
        <v>3</v>
      </c>
    </row>
    <row r="5361" spans="20:28" x14ac:dyDescent="0.2">
      <c r="T5361" s="358" t="str">
        <f t="shared" si="193"/>
        <v>2015FemaleNon-Maori19Hanging, strangulation and suffocation</v>
      </c>
      <c r="U5361" s="360">
        <v>2015</v>
      </c>
      <c r="V5361" s="360" t="s">
        <v>8</v>
      </c>
      <c r="W5361" s="360" t="s">
        <v>19</v>
      </c>
      <c r="X5361" s="360">
        <v>19</v>
      </c>
      <c r="Y5361" s="360" t="s">
        <v>43</v>
      </c>
      <c r="Z5361" s="360">
        <v>47</v>
      </c>
      <c r="AA5361" s="360">
        <v>101</v>
      </c>
      <c r="AB5361" s="360">
        <v>46.5</v>
      </c>
    </row>
    <row r="5362" spans="20:28" x14ac:dyDescent="0.2">
      <c r="T5362" s="358" t="str">
        <f t="shared" si="193"/>
        <v>2015FemaleNon-Maori19Jumping from a high place</v>
      </c>
      <c r="U5362" s="360">
        <v>2015</v>
      </c>
      <c r="V5362" s="360" t="s">
        <v>8</v>
      </c>
      <c r="W5362" s="360" t="s">
        <v>19</v>
      </c>
      <c r="X5362" s="360">
        <v>19</v>
      </c>
      <c r="Y5362" s="360" t="s">
        <v>44</v>
      </c>
      <c r="Z5362" s="360">
        <v>3</v>
      </c>
      <c r="AA5362" s="360">
        <v>101</v>
      </c>
      <c r="AB5362" s="360">
        <v>3</v>
      </c>
    </row>
    <row r="5363" spans="20:28" x14ac:dyDescent="0.2">
      <c r="T5363" s="358" t="str">
        <f t="shared" si="193"/>
        <v>2015FemaleNon-Maori19Other</v>
      </c>
      <c r="U5363" s="360">
        <v>2015</v>
      </c>
      <c r="V5363" s="360" t="s">
        <v>8</v>
      </c>
      <c r="W5363" s="360" t="s">
        <v>19</v>
      </c>
      <c r="X5363" s="360">
        <v>19</v>
      </c>
      <c r="Y5363" s="360" t="s">
        <v>45</v>
      </c>
      <c r="Z5363" s="360">
        <v>6</v>
      </c>
      <c r="AA5363" s="360">
        <v>101</v>
      </c>
      <c r="AB5363" s="360">
        <v>5.9</v>
      </c>
    </row>
    <row r="5364" spans="20:28" x14ac:dyDescent="0.2">
      <c r="T5364" s="358" t="str">
        <f t="shared" si="193"/>
        <v>2015FemaleNon-Maori19Poisoning by gases and vapours</v>
      </c>
      <c r="U5364" s="360">
        <v>2015</v>
      </c>
      <c r="V5364" s="360" t="s">
        <v>8</v>
      </c>
      <c r="W5364" s="360" t="s">
        <v>19</v>
      </c>
      <c r="X5364" s="360">
        <v>19</v>
      </c>
      <c r="Y5364" s="360" t="s">
        <v>46</v>
      </c>
      <c r="Z5364" s="360">
        <v>8</v>
      </c>
      <c r="AA5364" s="360">
        <v>101</v>
      </c>
      <c r="AB5364" s="360">
        <v>7.9</v>
      </c>
    </row>
    <row r="5365" spans="20:28" x14ac:dyDescent="0.2">
      <c r="T5365" s="358" t="str">
        <f t="shared" si="193"/>
        <v>2015FemaleNon-Maori19Poisoning by solids and liquids</v>
      </c>
      <c r="U5365" s="360">
        <v>2015</v>
      </c>
      <c r="V5365" s="360" t="s">
        <v>8</v>
      </c>
      <c r="W5365" s="360" t="s">
        <v>19</v>
      </c>
      <c r="X5365" s="360">
        <v>19</v>
      </c>
      <c r="Y5365" s="360" t="s">
        <v>47</v>
      </c>
      <c r="Z5365" s="360">
        <v>31</v>
      </c>
      <c r="AA5365" s="360">
        <v>101</v>
      </c>
      <c r="AB5365" s="360">
        <v>30.7</v>
      </c>
    </row>
    <row r="5366" spans="20:28" x14ac:dyDescent="0.2">
      <c r="T5366" s="358" t="str">
        <f t="shared" si="193"/>
        <v>2015FemaleNon-Maori19Submersion (drowning)</v>
      </c>
      <c r="U5366" s="360">
        <v>2015</v>
      </c>
      <c r="V5366" s="360" t="s">
        <v>8</v>
      </c>
      <c r="W5366" s="360" t="s">
        <v>19</v>
      </c>
      <c r="X5366" s="360">
        <v>19</v>
      </c>
      <c r="Y5366" s="360" t="s">
        <v>49</v>
      </c>
      <c r="Z5366" s="360">
        <v>3</v>
      </c>
      <c r="AA5366" s="360">
        <v>101</v>
      </c>
      <c r="AB5366" s="360">
        <v>3</v>
      </c>
    </row>
    <row r="5367" spans="20:28" x14ac:dyDescent="0.2">
      <c r="T5367" s="358" t="str">
        <f t="shared" si="193"/>
        <v>2015MaleAllEth19Firearms and explosives</v>
      </c>
      <c r="U5367" s="360">
        <v>2015</v>
      </c>
      <c r="V5367" s="360" t="s">
        <v>20</v>
      </c>
      <c r="W5367" s="360" t="s">
        <v>27</v>
      </c>
      <c r="X5367" s="360">
        <v>19</v>
      </c>
      <c r="Y5367" s="360" t="s">
        <v>42</v>
      </c>
      <c r="Z5367" s="360">
        <v>38</v>
      </c>
      <c r="AA5367" s="360">
        <v>383</v>
      </c>
      <c r="AB5367" s="360">
        <v>9.9</v>
      </c>
    </row>
    <row r="5368" spans="20:28" x14ac:dyDescent="0.2">
      <c r="T5368" s="358" t="str">
        <f t="shared" si="193"/>
        <v>2015MaleAllEth19Hanging, strangulation and suffocation</v>
      </c>
      <c r="U5368" s="360">
        <v>2015</v>
      </c>
      <c r="V5368" s="360" t="s">
        <v>20</v>
      </c>
      <c r="W5368" s="360" t="s">
        <v>27</v>
      </c>
      <c r="X5368" s="360">
        <v>19</v>
      </c>
      <c r="Y5368" s="360" t="s">
        <v>43</v>
      </c>
      <c r="Z5368" s="360">
        <v>244</v>
      </c>
      <c r="AA5368" s="360">
        <v>383</v>
      </c>
      <c r="AB5368" s="360">
        <v>63.7</v>
      </c>
    </row>
    <row r="5369" spans="20:28" x14ac:dyDescent="0.2">
      <c r="T5369" s="358" t="str">
        <f t="shared" si="193"/>
        <v>2015MaleAllEth19Jumping from a high place</v>
      </c>
      <c r="U5369" s="360">
        <v>2015</v>
      </c>
      <c r="V5369" s="360" t="s">
        <v>20</v>
      </c>
      <c r="W5369" s="360" t="s">
        <v>27</v>
      </c>
      <c r="X5369" s="360">
        <v>19</v>
      </c>
      <c r="Y5369" s="360" t="s">
        <v>44</v>
      </c>
      <c r="Z5369" s="360">
        <v>16</v>
      </c>
      <c r="AA5369" s="360">
        <v>383</v>
      </c>
      <c r="AB5369" s="360">
        <v>4.2</v>
      </c>
    </row>
    <row r="5370" spans="20:28" x14ac:dyDescent="0.2">
      <c r="T5370" s="358" t="str">
        <f t="shared" si="193"/>
        <v>2015MaleAllEth19Other</v>
      </c>
      <c r="U5370" s="360">
        <v>2015</v>
      </c>
      <c r="V5370" s="360" t="s">
        <v>20</v>
      </c>
      <c r="W5370" s="360" t="s">
        <v>27</v>
      </c>
      <c r="X5370" s="360">
        <v>19</v>
      </c>
      <c r="Y5370" s="360" t="s">
        <v>45</v>
      </c>
      <c r="Z5370" s="360">
        <v>16</v>
      </c>
      <c r="AA5370" s="360">
        <v>383</v>
      </c>
      <c r="AB5370" s="360">
        <v>4.2</v>
      </c>
    </row>
    <row r="5371" spans="20:28" x14ac:dyDescent="0.2">
      <c r="T5371" s="358" t="str">
        <f t="shared" si="193"/>
        <v>2015MaleAllEth19Poisoning by gases and vapours</v>
      </c>
      <c r="U5371" s="360">
        <v>2015</v>
      </c>
      <c r="V5371" s="360" t="s">
        <v>20</v>
      </c>
      <c r="W5371" s="360" t="s">
        <v>27</v>
      </c>
      <c r="X5371" s="360">
        <v>19</v>
      </c>
      <c r="Y5371" s="360" t="s">
        <v>46</v>
      </c>
      <c r="Z5371" s="360">
        <v>38</v>
      </c>
      <c r="AA5371" s="360">
        <v>383</v>
      </c>
      <c r="AB5371" s="360">
        <v>9.9</v>
      </c>
    </row>
    <row r="5372" spans="20:28" x14ac:dyDescent="0.2">
      <c r="T5372" s="358" t="str">
        <f t="shared" si="193"/>
        <v>2015MaleAllEth19Poisoning by solids and liquids</v>
      </c>
      <c r="U5372" s="360">
        <v>2015</v>
      </c>
      <c r="V5372" s="360" t="s">
        <v>20</v>
      </c>
      <c r="W5372" s="360" t="s">
        <v>27</v>
      </c>
      <c r="X5372" s="360">
        <v>19</v>
      </c>
      <c r="Y5372" s="360" t="s">
        <v>47</v>
      </c>
      <c r="Z5372" s="360">
        <v>16</v>
      </c>
      <c r="AA5372" s="360">
        <v>383</v>
      </c>
      <c r="AB5372" s="360">
        <v>4.2</v>
      </c>
    </row>
    <row r="5373" spans="20:28" x14ac:dyDescent="0.2">
      <c r="T5373" s="358" t="str">
        <f t="shared" si="193"/>
        <v>2015MaleAllEth19Sharp object</v>
      </c>
      <c r="U5373" s="360">
        <v>2015</v>
      </c>
      <c r="V5373" s="360" t="s">
        <v>20</v>
      </c>
      <c r="W5373" s="360" t="s">
        <v>27</v>
      </c>
      <c r="X5373" s="360">
        <v>19</v>
      </c>
      <c r="Y5373" s="360" t="s">
        <v>48</v>
      </c>
      <c r="Z5373" s="360">
        <v>8</v>
      </c>
      <c r="AA5373" s="360">
        <v>383</v>
      </c>
      <c r="AB5373" s="360">
        <v>2.1</v>
      </c>
    </row>
    <row r="5374" spans="20:28" x14ac:dyDescent="0.2">
      <c r="T5374" s="358" t="str">
        <f t="shared" si="193"/>
        <v>2015MaleAllEth19Submersion (drowning)</v>
      </c>
      <c r="U5374" s="360">
        <v>2015</v>
      </c>
      <c r="V5374" s="360" t="s">
        <v>20</v>
      </c>
      <c r="W5374" s="360" t="s">
        <v>27</v>
      </c>
      <c r="X5374" s="360">
        <v>19</v>
      </c>
      <c r="Y5374" s="360" t="s">
        <v>49</v>
      </c>
      <c r="Z5374" s="360">
        <v>7</v>
      </c>
      <c r="AA5374" s="360">
        <v>383</v>
      </c>
      <c r="AB5374" s="360">
        <v>1.8</v>
      </c>
    </row>
    <row r="5375" spans="20:28" x14ac:dyDescent="0.2">
      <c r="T5375" s="358" t="str">
        <f t="shared" si="193"/>
        <v>2015MaleMaori19Firearms and explosives</v>
      </c>
      <c r="U5375" s="360">
        <v>2015</v>
      </c>
      <c r="V5375" s="360" t="s">
        <v>20</v>
      </c>
      <c r="W5375" s="360" t="s">
        <v>18</v>
      </c>
      <c r="X5375" s="360">
        <v>19</v>
      </c>
      <c r="Y5375" s="360" t="s">
        <v>42</v>
      </c>
      <c r="Z5375" s="360">
        <v>1</v>
      </c>
      <c r="AA5375" s="360">
        <v>77</v>
      </c>
      <c r="AB5375" s="360">
        <v>1.3</v>
      </c>
    </row>
    <row r="5376" spans="20:28" x14ac:dyDescent="0.2">
      <c r="T5376" s="358" t="str">
        <f t="shared" si="193"/>
        <v>2015MaleMaori19Hanging, strangulation and suffocation</v>
      </c>
      <c r="U5376" s="360">
        <v>2015</v>
      </c>
      <c r="V5376" s="360" t="s">
        <v>20</v>
      </c>
      <c r="W5376" s="360" t="s">
        <v>18</v>
      </c>
      <c r="X5376" s="360">
        <v>19</v>
      </c>
      <c r="Y5376" s="360" t="s">
        <v>43</v>
      </c>
      <c r="Z5376" s="360">
        <v>69</v>
      </c>
      <c r="AA5376" s="360">
        <v>77</v>
      </c>
      <c r="AB5376" s="360">
        <v>89.6</v>
      </c>
    </row>
    <row r="5377" spans="20:28" x14ac:dyDescent="0.2">
      <c r="T5377" s="358" t="str">
        <f t="shared" si="193"/>
        <v>2015MaleMaori19Other</v>
      </c>
      <c r="U5377" s="360">
        <v>2015</v>
      </c>
      <c r="V5377" s="360" t="s">
        <v>20</v>
      </c>
      <c r="W5377" s="360" t="s">
        <v>18</v>
      </c>
      <c r="X5377" s="360">
        <v>19</v>
      </c>
      <c r="Y5377" s="360" t="s">
        <v>45</v>
      </c>
      <c r="Z5377" s="360">
        <v>2</v>
      </c>
      <c r="AA5377" s="360">
        <v>77</v>
      </c>
      <c r="AB5377" s="360">
        <v>2.6</v>
      </c>
    </row>
    <row r="5378" spans="20:28" x14ac:dyDescent="0.2">
      <c r="T5378" s="358" t="str">
        <f t="shared" si="193"/>
        <v>2015MaleMaori19Poisoning by gases and vapours</v>
      </c>
      <c r="U5378" s="360">
        <v>2015</v>
      </c>
      <c r="V5378" s="360" t="s">
        <v>20</v>
      </c>
      <c r="W5378" s="360" t="s">
        <v>18</v>
      </c>
      <c r="X5378" s="360">
        <v>19</v>
      </c>
      <c r="Y5378" s="360" t="s">
        <v>46</v>
      </c>
      <c r="Z5378" s="360">
        <v>4</v>
      </c>
      <c r="AA5378" s="360">
        <v>77</v>
      </c>
      <c r="AB5378" s="360">
        <v>5.2</v>
      </c>
    </row>
    <row r="5379" spans="20:28" x14ac:dyDescent="0.2">
      <c r="T5379" s="358" t="str">
        <f t="shared" si="193"/>
        <v>2015MaleMaori19Submersion (drowning)</v>
      </c>
      <c r="U5379" s="360">
        <v>2015</v>
      </c>
      <c r="V5379" s="360" t="s">
        <v>20</v>
      </c>
      <c r="W5379" s="360" t="s">
        <v>18</v>
      </c>
      <c r="X5379" s="360">
        <v>19</v>
      </c>
      <c r="Y5379" s="360" t="s">
        <v>49</v>
      </c>
      <c r="Z5379" s="360">
        <v>1</v>
      </c>
      <c r="AA5379" s="360">
        <v>77</v>
      </c>
      <c r="AB5379" s="360">
        <v>1.3</v>
      </c>
    </row>
    <row r="5380" spans="20:28" x14ac:dyDescent="0.2">
      <c r="T5380" s="358" t="str">
        <f t="shared" si="193"/>
        <v>2015MaleNon-Maori19Firearms and explosives</v>
      </c>
      <c r="U5380" s="360">
        <v>2015</v>
      </c>
      <c r="V5380" s="360" t="s">
        <v>20</v>
      </c>
      <c r="W5380" s="360" t="s">
        <v>19</v>
      </c>
      <c r="X5380" s="360">
        <v>19</v>
      </c>
      <c r="Y5380" s="360" t="s">
        <v>42</v>
      </c>
      <c r="Z5380" s="360">
        <v>37</v>
      </c>
      <c r="AA5380" s="360">
        <v>306</v>
      </c>
      <c r="AB5380" s="360">
        <v>12.1</v>
      </c>
    </row>
    <row r="5381" spans="20:28" x14ac:dyDescent="0.2">
      <c r="T5381" s="358" t="str">
        <f t="shared" ref="T5381:T5387" si="194">U5381&amp;V5381&amp;W5381&amp;X5381&amp;Y5381</f>
        <v>2015MaleNon-Maori19Hanging, strangulation and suffocation</v>
      </c>
      <c r="U5381" s="360">
        <v>2015</v>
      </c>
      <c r="V5381" s="360" t="s">
        <v>20</v>
      </c>
      <c r="W5381" s="360" t="s">
        <v>19</v>
      </c>
      <c r="X5381" s="360">
        <v>19</v>
      </c>
      <c r="Y5381" s="360" t="s">
        <v>43</v>
      </c>
      <c r="Z5381" s="360">
        <v>175</v>
      </c>
      <c r="AA5381" s="360">
        <v>306</v>
      </c>
      <c r="AB5381" s="360">
        <v>57.2</v>
      </c>
    </row>
    <row r="5382" spans="20:28" x14ac:dyDescent="0.2">
      <c r="T5382" s="358" t="str">
        <f t="shared" si="194"/>
        <v>2015MaleNon-Maori19Jumping from a high place</v>
      </c>
      <c r="U5382" s="360">
        <v>2015</v>
      </c>
      <c r="V5382" s="360" t="s">
        <v>20</v>
      </c>
      <c r="W5382" s="360" t="s">
        <v>19</v>
      </c>
      <c r="X5382" s="360">
        <v>19</v>
      </c>
      <c r="Y5382" s="360" t="s">
        <v>44</v>
      </c>
      <c r="Z5382" s="360">
        <v>16</v>
      </c>
      <c r="AA5382" s="360">
        <v>306</v>
      </c>
      <c r="AB5382" s="360">
        <v>5.2</v>
      </c>
    </row>
    <row r="5383" spans="20:28" x14ac:dyDescent="0.2">
      <c r="T5383" s="358" t="str">
        <f t="shared" si="194"/>
        <v>2015MaleNon-Maori19Other</v>
      </c>
      <c r="U5383" s="360">
        <v>2015</v>
      </c>
      <c r="V5383" s="360" t="s">
        <v>20</v>
      </c>
      <c r="W5383" s="360" t="s">
        <v>19</v>
      </c>
      <c r="X5383" s="360">
        <v>19</v>
      </c>
      <c r="Y5383" s="360" t="s">
        <v>45</v>
      </c>
      <c r="Z5383" s="360">
        <v>14</v>
      </c>
      <c r="AA5383" s="360">
        <v>306</v>
      </c>
      <c r="AB5383" s="360">
        <v>4.5999999999999996</v>
      </c>
    </row>
    <row r="5384" spans="20:28" x14ac:dyDescent="0.2">
      <c r="T5384" s="358" t="str">
        <f t="shared" si="194"/>
        <v>2015MaleNon-Maori19Poisoning by gases and vapours</v>
      </c>
      <c r="U5384" s="360">
        <v>2015</v>
      </c>
      <c r="V5384" s="360" t="s">
        <v>20</v>
      </c>
      <c r="W5384" s="360" t="s">
        <v>19</v>
      </c>
      <c r="X5384" s="360">
        <v>19</v>
      </c>
      <c r="Y5384" s="360" t="s">
        <v>46</v>
      </c>
      <c r="Z5384" s="360">
        <v>34</v>
      </c>
      <c r="AA5384" s="360">
        <v>306</v>
      </c>
      <c r="AB5384" s="360">
        <v>11.1</v>
      </c>
    </row>
    <row r="5385" spans="20:28" x14ac:dyDescent="0.2">
      <c r="T5385" s="358" t="str">
        <f t="shared" si="194"/>
        <v>2015MaleNon-Maori19Poisoning by solids and liquids</v>
      </c>
      <c r="U5385" s="360">
        <v>2015</v>
      </c>
      <c r="V5385" s="360" t="s">
        <v>20</v>
      </c>
      <c r="W5385" s="360" t="s">
        <v>19</v>
      </c>
      <c r="X5385" s="360">
        <v>19</v>
      </c>
      <c r="Y5385" s="360" t="s">
        <v>47</v>
      </c>
      <c r="Z5385" s="360">
        <v>16</v>
      </c>
      <c r="AA5385" s="360">
        <v>306</v>
      </c>
      <c r="AB5385" s="360">
        <v>5.2</v>
      </c>
    </row>
    <row r="5386" spans="20:28" x14ac:dyDescent="0.2">
      <c r="T5386" s="358" t="str">
        <f t="shared" si="194"/>
        <v>2015MaleNon-Maori19Sharp object</v>
      </c>
      <c r="U5386" s="360">
        <v>2015</v>
      </c>
      <c r="V5386" s="360" t="s">
        <v>20</v>
      </c>
      <c r="W5386" s="360" t="s">
        <v>19</v>
      </c>
      <c r="X5386" s="360">
        <v>19</v>
      </c>
      <c r="Y5386" s="360" t="s">
        <v>48</v>
      </c>
      <c r="Z5386" s="360">
        <v>8</v>
      </c>
      <c r="AA5386" s="360">
        <v>306</v>
      </c>
      <c r="AB5386" s="360">
        <v>2.6</v>
      </c>
    </row>
    <row r="5387" spans="20:28" x14ac:dyDescent="0.2">
      <c r="T5387" s="358" t="str">
        <f t="shared" si="194"/>
        <v>2015MaleNon-Maori19Submersion (drowning)</v>
      </c>
      <c r="U5387" s="360">
        <v>2015</v>
      </c>
      <c r="V5387" s="360" t="s">
        <v>20</v>
      </c>
      <c r="W5387" s="360" t="s">
        <v>19</v>
      </c>
      <c r="X5387" s="360">
        <v>19</v>
      </c>
      <c r="Y5387" s="360" t="s">
        <v>49</v>
      </c>
      <c r="Z5387" s="360">
        <v>6</v>
      </c>
      <c r="AA5387" s="360">
        <v>306</v>
      </c>
      <c r="AB5387" s="360">
        <v>2</v>
      </c>
    </row>
  </sheetData>
  <sortState ref="J4:R4053">
    <sortCondition ref="O4:O4053"/>
    <sortCondition ref="N4:N4053"/>
    <sortCondition ref="L4:L4053"/>
    <sortCondition ref="M4:M4053"/>
    <sortCondition ref="K4:K4053"/>
  </sortState>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workbookViewId="0">
      <selection activeCell="J24" sqref="J24"/>
    </sheetView>
  </sheetViews>
  <sheetFormatPr defaultRowHeight="12.75" x14ac:dyDescent="0.2"/>
  <cols>
    <col min="2" max="2" width="11.42578125" customWidth="1"/>
  </cols>
  <sheetData>
    <row r="1" spans="1:26" x14ac:dyDescent="0.2">
      <c r="A1" s="6">
        <v>1</v>
      </c>
      <c r="B1" s="1" t="s">
        <v>2</v>
      </c>
      <c r="C1" s="1">
        <v>1</v>
      </c>
      <c r="D1" s="5"/>
      <c r="E1" s="7">
        <v>1</v>
      </c>
      <c r="F1" s="1" t="s">
        <v>0</v>
      </c>
      <c r="G1" s="1">
        <v>1</v>
      </c>
      <c r="H1" s="5"/>
      <c r="I1" s="6">
        <v>1</v>
      </c>
      <c r="J1" t="s">
        <v>21</v>
      </c>
      <c r="K1">
        <v>1</v>
      </c>
      <c r="M1" t="s">
        <v>30</v>
      </c>
      <c r="O1" s="506">
        <v>19</v>
      </c>
      <c r="P1" t="s">
        <v>9</v>
      </c>
      <c r="R1" t="s">
        <v>43</v>
      </c>
      <c r="W1" t="s">
        <v>18</v>
      </c>
      <c r="X1" t="s">
        <v>17</v>
      </c>
      <c r="Y1">
        <v>1</v>
      </c>
      <c r="Z1" t="s">
        <v>74</v>
      </c>
    </row>
    <row r="2" spans="1:26" x14ac:dyDescent="0.2">
      <c r="A2" s="6">
        <v>2</v>
      </c>
      <c r="B2" s="1" t="s">
        <v>3</v>
      </c>
      <c r="C2" s="1"/>
      <c r="D2" s="1"/>
      <c r="E2" s="7">
        <v>2</v>
      </c>
      <c r="F2" s="1" t="s">
        <v>20</v>
      </c>
      <c r="G2" s="1"/>
      <c r="H2" s="1"/>
      <c r="I2" s="6">
        <v>2</v>
      </c>
      <c r="J2" t="s">
        <v>22</v>
      </c>
      <c r="K2">
        <v>2</v>
      </c>
      <c r="M2" t="s">
        <v>31</v>
      </c>
      <c r="O2" s="506">
        <v>22</v>
      </c>
      <c r="P2" t="s">
        <v>23</v>
      </c>
      <c r="R2" t="s">
        <v>46</v>
      </c>
      <c r="W2" t="s">
        <v>79</v>
      </c>
      <c r="X2" t="s">
        <v>20</v>
      </c>
      <c r="Y2">
        <v>2</v>
      </c>
      <c r="Z2" t="s">
        <v>54</v>
      </c>
    </row>
    <row r="3" spans="1:26" x14ac:dyDescent="0.2">
      <c r="A3" s="6">
        <v>3</v>
      </c>
      <c r="B3" s="1" t="s">
        <v>4</v>
      </c>
      <c r="C3" s="1"/>
      <c r="D3" s="1"/>
      <c r="E3" s="7">
        <v>3</v>
      </c>
      <c r="F3" s="1" t="s">
        <v>8</v>
      </c>
      <c r="G3" s="1"/>
      <c r="H3" s="1"/>
      <c r="I3" s="5"/>
      <c r="M3" t="s">
        <v>32</v>
      </c>
      <c r="O3" s="506">
        <v>23</v>
      </c>
      <c r="P3" t="s">
        <v>24</v>
      </c>
      <c r="R3" t="s">
        <v>47</v>
      </c>
      <c r="W3" t="s">
        <v>78</v>
      </c>
      <c r="X3" t="s">
        <v>8</v>
      </c>
      <c r="Y3">
        <v>3</v>
      </c>
      <c r="Z3" t="s">
        <v>55</v>
      </c>
    </row>
    <row r="4" spans="1:26" x14ac:dyDescent="0.2">
      <c r="A4" s="5"/>
      <c r="B4" s="5"/>
      <c r="C4" s="5"/>
      <c r="D4" s="5"/>
      <c r="E4" s="5"/>
      <c r="F4" s="5"/>
      <c r="G4" s="5"/>
      <c r="H4" s="5"/>
      <c r="I4" s="5"/>
      <c r="M4" t="s">
        <v>33</v>
      </c>
      <c r="O4" s="506">
        <v>24</v>
      </c>
      <c r="P4" t="s">
        <v>25</v>
      </c>
      <c r="R4" t="s">
        <v>42</v>
      </c>
      <c r="W4" t="s">
        <v>45</v>
      </c>
      <c r="Y4">
        <v>4</v>
      </c>
      <c r="Z4" t="s">
        <v>56</v>
      </c>
    </row>
    <row r="5" spans="1:26" x14ac:dyDescent="0.2">
      <c r="M5" t="s">
        <v>34</v>
      </c>
      <c r="O5" s="506">
        <v>25</v>
      </c>
      <c r="P5" t="s">
        <v>26</v>
      </c>
      <c r="R5" t="s">
        <v>44</v>
      </c>
      <c r="Y5">
        <v>5</v>
      </c>
      <c r="Z5" t="s">
        <v>57</v>
      </c>
    </row>
    <row r="6" spans="1:26" x14ac:dyDescent="0.2">
      <c r="R6" t="s">
        <v>49</v>
      </c>
      <c r="Z6" t="s">
        <v>58</v>
      </c>
    </row>
    <row r="7" spans="1:26" x14ac:dyDescent="0.2">
      <c r="R7" t="s">
        <v>48</v>
      </c>
      <c r="Z7" t="s">
        <v>59</v>
      </c>
    </row>
    <row r="8" spans="1:26" x14ac:dyDescent="0.2">
      <c r="R8" t="s">
        <v>45</v>
      </c>
      <c r="Z8" t="s">
        <v>60</v>
      </c>
    </row>
    <row r="9" spans="1:26" x14ac:dyDescent="0.2">
      <c r="Z9" t="s">
        <v>61</v>
      </c>
    </row>
    <row r="10" spans="1:26" x14ac:dyDescent="0.2">
      <c r="A10" t="s">
        <v>136</v>
      </c>
      <c r="Z10" t="s">
        <v>62</v>
      </c>
    </row>
    <row r="11" spans="1:26" x14ac:dyDescent="0.2">
      <c r="A11" t="s">
        <v>120</v>
      </c>
      <c r="B11" t="s">
        <v>121</v>
      </c>
      <c r="C11" t="s">
        <v>122</v>
      </c>
      <c r="D11" t="s">
        <v>123</v>
      </c>
      <c r="E11" t="s">
        <v>124</v>
      </c>
      <c r="F11" t="s">
        <v>126</v>
      </c>
      <c r="G11" t="s">
        <v>127</v>
      </c>
      <c r="H11" t="s">
        <v>128</v>
      </c>
      <c r="I11" t="s">
        <v>129</v>
      </c>
      <c r="J11" t="s">
        <v>130</v>
      </c>
      <c r="K11" t="s">
        <v>131</v>
      </c>
      <c r="L11" t="s">
        <v>132</v>
      </c>
      <c r="M11" t="s">
        <v>133</v>
      </c>
      <c r="N11" t="s">
        <v>134</v>
      </c>
      <c r="O11" t="s">
        <v>135</v>
      </c>
      <c r="P11" t="s">
        <v>125</v>
      </c>
      <c r="Z11" t="s">
        <v>63</v>
      </c>
    </row>
    <row r="12" spans="1:26" x14ac:dyDescent="0.2">
      <c r="A12">
        <v>3</v>
      </c>
      <c r="B12">
        <v>4</v>
      </c>
      <c r="C12">
        <v>5</v>
      </c>
      <c r="D12">
        <v>6</v>
      </c>
      <c r="E12">
        <v>7</v>
      </c>
      <c r="F12">
        <v>8</v>
      </c>
      <c r="G12">
        <v>9</v>
      </c>
      <c r="H12">
        <v>10</v>
      </c>
      <c r="I12">
        <v>11</v>
      </c>
      <c r="J12">
        <v>12</v>
      </c>
      <c r="K12">
        <v>13</v>
      </c>
      <c r="L12">
        <v>14</v>
      </c>
      <c r="M12">
        <v>15</v>
      </c>
      <c r="N12">
        <v>16</v>
      </c>
      <c r="O12">
        <v>17</v>
      </c>
      <c r="P12">
        <v>18</v>
      </c>
      <c r="Z12" t="s">
        <v>64</v>
      </c>
    </row>
    <row r="13" spans="1:26" x14ac:dyDescent="0.2">
      <c r="Z13" t="s">
        <v>65</v>
      </c>
    </row>
    <row r="14" spans="1:26" x14ac:dyDescent="0.2">
      <c r="Z14" t="s">
        <v>66</v>
      </c>
    </row>
    <row r="15" spans="1:26" x14ac:dyDescent="0.2">
      <c r="Z15" t="s">
        <v>67</v>
      </c>
    </row>
    <row r="16" spans="1:26" x14ac:dyDescent="0.2">
      <c r="Z16" t="s">
        <v>68</v>
      </c>
    </row>
    <row r="17" spans="26:26" x14ac:dyDescent="0.2">
      <c r="Z17" t="s">
        <v>69</v>
      </c>
    </row>
    <row r="18" spans="26:26" x14ac:dyDescent="0.2">
      <c r="Z18" t="s">
        <v>70</v>
      </c>
    </row>
    <row r="19" spans="26:26" x14ac:dyDescent="0.2">
      <c r="Z19" t="s">
        <v>71</v>
      </c>
    </row>
    <row r="20" spans="26:26" x14ac:dyDescent="0.2">
      <c r="Z20" t="s">
        <v>72</v>
      </c>
    </row>
    <row r="21" spans="26:26" x14ac:dyDescent="0.2">
      <c r="Z21" t="s">
        <v>73</v>
      </c>
    </row>
    <row r="22" spans="26:26" x14ac:dyDescent="0.2">
      <c r="Z22" t="s">
        <v>75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5"/>
  <sheetViews>
    <sheetView zoomScaleNormal="100" workbookViewId="0"/>
  </sheetViews>
  <sheetFormatPr defaultRowHeight="12.75" x14ac:dyDescent="0.2"/>
  <cols>
    <col min="1" max="1" width="4.7109375" style="180" customWidth="1"/>
    <col min="2" max="2" width="2" style="180" customWidth="1"/>
    <col min="3" max="3" width="34.5703125" style="279" customWidth="1"/>
    <col min="4" max="4" width="135" style="320" customWidth="1"/>
    <col min="5" max="5" width="2.5703125" style="180" customWidth="1"/>
    <col min="6" max="16384" width="9.140625" style="180"/>
  </cols>
  <sheetData>
    <row r="2" spans="1:5" ht="23.25" x14ac:dyDescent="0.2">
      <c r="C2" s="329" t="s">
        <v>190</v>
      </c>
    </row>
    <row r="3" spans="1:5" ht="18" customHeight="1" x14ac:dyDescent="0.2">
      <c r="C3" s="329"/>
    </row>
    <row r="4" spans="1:5" ht="11.25" customHeight="1" x14ac:dyDescent="0.2">
      <c r="A4" s="180" t="s">
        <v>112</v>
      </c>
      <c r="B4" s="71"/>
      <c r="C4" s="330"/>
      <c r="D4" s="325"/>
      <c r="E4" s="71"/>
    </row>
    <row r="5" spans="1:5" ht="18" customHeight="1" x14ac:dyDescent="0.2">
      <c r="B5" s="71"/>
      <c r="C5" s="326" t="s">
        <v>327</v>
      </c>
      <c r="D5" s="327" t="s">
        <v>326</v>
      </c>
      <c r="E5" s="71"/>
    </row>
    <row r="6" spans="1:5" ht="20.25" customHeight="1" x14ac:dyDescent="0.2">
      <c r="B6" s="71"/>
      <c r="C6" s="334" t="s">
        <v>410</v>
      </c>
      <c r="D6" s="331"/>
      <c r="E6" s="71"/>
    </row>
    <row r="7" spans="1:5" ht="22.5" customHeight="1" x14ac:dyDescent="0.2">
      <c r="B7" s="71"/>
      <c r="C7" s="322" t="s">
        <v>395</v>
      </c>
      <c r="D7" s="250" t="s">
        <v>405</v>
      </c>
      <c r="E7" s="71"/>
    </row>
    <row r="8" spans="1:5" ht="22.5" customHeight="1" x14ac:dyDescent="0.2">
      <c r="B8" s="71"/>
      <c r="C8" s="146"/>
      <c r="D8" s="250" t="s">
        <v>431</v>
      </c>
      <c r="E8" s="71"/>
    </row>
    <row r="9" spans="1:5" ht="22.5" customHeight="1" x14ac:dyDescent="0.2">
      <c r="B9" s="71"/>
      <c r="C9" s="146"/>
      <c r="D9" s="250" t="s">
        <v>432</v>
      </c>
      <c r="E9" s="71"/>
    </row>
    <row r="10" spans="1:5" ht="22.5" customHeight="1" x14ac:dyDescent="0.2">
      <c r="B10" s="71"/>
      <c r="C10" s="146"/>
      <c r="D10" s="250" t="s">
        <v>497</v>
      </c>
      <c r="E10" s="71"/>
    </row>
    <row r="11" spans="1:5" ht="30.6" customHeight="1" x14ac:dyDescent="0.2">
      <c r="B11" s="71"/>
      <c r="C11" s="163" t="s">
        <v>328</v>
      </c>
      <c r="D11" s="250" t="s">
        <v>552</v>
      </c>
      <c r="E11" s="71"/>
    </row>
    <row r="12" spans="1:5" s="193" customFormat="1" x14ac:dyDescent="0.2">
      <c r="B12" s="76"/>
      <c r="C12" s="324"/>
      <c r="D12" s="325"/>
      <c r="E12" s="76"/>
    </row>
    <row r="13" spans="1:5" ht="44.45" customHeight="1" x14ac:dyDescent="0.2">
      <c r="B13" s="71"/>
      <c r="C13" s="335" t="s">
        <v>333</v>
      </c>
      <c r="D13" s="332" t="s">
        <v>396</v>
      </c>
      <c r="E13" s="71"/>
    </row>
    <row r="14" spans="1:5" ht="30.6" customHeight="1" x14ac:dyDescent="0.2">
      <c r="B14" s="71"/>
      <c r="C14" s="405"/>
      <c r="D14" s="406" t="s">
        <v>540</v>
      </c>
      <c r="E14" s="71"/>
    </row>
    <row r="15" spans="1:5" ht="47.25" customHeight="1" x14ac:dyDescent="0.2">
      <c r="B15" s="71"/>
      <c r="C15" s="405"/>
      <c r="D15" s="406" t="s">
        <v>591</v>
      </c>
      <c r="E15" s="71"/>
    </row>
    <row r="16" spans="1:5" ht="18" customHeight="1" x14ac:dyDescent="0.2">
      <c r="B16" s="71"/>
      <c r="C16" s="333"/>
      <c r="D16" s="331" t="s">
        <v>401</v>
      </c>
      <c r="E16" s="71"/>
    </row>
    <row r="17" spans="2:5" ht="22.5" customHeight="1" x14ac:dyDescent="0.2">
      <c r="B17" s="71"/>
      <c r="C17" s="333"/>
      <c r="D17" s="331" t="s">
        <v>409</v>
      </c>
      <c r="E17" s="71"/>
    </row>
    <row r="18" spans="2:5" x14ac:dyDescent="0.2">
      <c r="B18" s="71"/>
      <c r="C18" s="162"/>
      <c r="D18" s="250"/>
      <c r="E18" s="71"/>
    </row>
    <row r="19" spans="2:5" ht="24.95" customHeight="1" x14ac:dyDescent="0.2">
      <c r="B19" s="71"/>
      <c r="C19" s="163" t="s">
        <v>397</v>
      </c>
      <c r="D19" s="250" t="s">
        <v>406</v>
      </c>
      <c r="E19" s="71"/>
    </row>
    <row r="20" spans="2:5" ht="24.95" customHeight="1" x14ac:dyDescent="0.2">
      <c r="B20" s="71"/>
      <c r="C20" s="162"/>
      <c r="D20" s="250" t="s">
        <v>407</v>
      </c>
      <c r="E20" s="71"/>
    </row>
    <row r="21" spans="2:5" ht="24.95" customHeight="1" x14ac:dyDescent="0.2">
      <c r="B21" s="71"/>
      <c r="C21" s="163" t="s">
        <v>398</v>
      </c>
      <c r="D21" s="250" t="s">
        <v>408</v>
      </c>
      <c r="E21" s="71"/>
    </row>
    <row r="22" spans="2:5" ht="24.95" customHeight="1" x14ac:dyDescent="0.2">
      <c r="B22" s="71"/>
      <c r="C22" s="163" t="s">
        <v>5</v>
      </c>
      <c r="D22" s="250" t="s">
        <v>498</v>
      </c>
      <c r="E22" s="71"/>
    </row>
    <row r="23" spans="2:5" ht="24.95" customHeight="1" x14ac:dyDescent="0.2">
      <c r="B23" s="71"/>
      <c r="C23" s="163" t="s">
        <v>6</v>
      </c>
      <c r="D23" s="250" t="s">
        <v>433</v>
      </c>
      <c r="E23" s="71"/>
    </row>
    <row r="24" spans="2:5" ht="30.6" customHeight="1" x14ac:dyDescent="0.2">
      <c r="B24" s="71"/>
      <c r="C24" s="163" t="s">
        <v>400</v>
      </c>
      <c r="D24" s="250" t="s">
        <v>611</v>
      </c>
      <c r="E24" s="71"/>
    </row>
    <row r="25" spans="2:5" ht="24.95" customHeight="1" x14ac:dyDescent="0.2">
      <c r="B25" s="71"/>
      <c r="C25" s="162"/>
      <c r="D25" s="250" t="s">
        <v>639</v>
      </c>
      <c r="E25" s="71"/>
    </row>
    <row r="26" spans="2:5" ht="24.95" customHeight="1" x14ac:dyDescent="0.2">
      <c r="B26" s="71"/>
      <c r="C26" s="162"/>
      <c r="D26" s="250" t="s">
        <v>614</v>
      </c>
      <c r="E26" s="71"/>
    </row>
    <row r="27" spans="2:5" ht="24.95" customHeight="1" x14ac:dyDescent="0.2">
      <c r="B27" s="71"/>
      <c r="C27" s="322" t="s">
        <v>94</v>
      </c>
      <c r="D27" s="250" t="s">
        <v>508</v>
      </c>
      <c r="E27" s="71"/>
    </row>
    <row r="28" spans="2:5" ht="30.6" customHeight="1" x14ac:dyDescent="0.2">
      <c r="B28" s="71"/>
      <c r="C28" s="322" t="s">
        <v>365</v>
      </c>
      <c r="D28" s="250" t="s">
        <v>435</v>
      </c>
      <c r="E28" s="71"/>
    </row>
    <row r="29" spans="2:5" ht="24.95" customHeight="1" x14ac:dyDescent="0.2">
      <c r="B29" s="71"/>
      <c r="C29" s="322"/>
      <c r="D29" s="250" t="s">
        <v>434</v>
      </c>
      <c r="E29" s="71"/>
    </row>
    <row r="30" spans="2:5" ht="24.95" customHeight="1" x14ac:dyDescent="0.2">
      <c r="B30" s="71"/>
      <c r="C30" s="322" t="s">
        <v>352</v>
      </c>
      <c r="D30" s="250" t="s">
        <v>403</v>
      </c>
      <c r="E30" s="71"/>
    </row>
    <row r="31" spans="2:5" ht="24.75" customHeight="1" x14ac:dyDescent="0.2">
      <c r="B31" s="71"/>
      <c r="C31" s="336" t="s">
        <v>402</v>
      </c>
      <c r="D31" s="332"/>
      <c r="E31" s="71"/>
    </row>
    <row r="32" spans="2:5" x14ac:dyDescent="0.2">
      <c r="B32" s="71"/>
      <c r="C32" s="146"/>
      <c r="D32" s="250"/>
      <c r="E32" s="71"/>
    </row>
    <row r="33" spans="2:5" ht="24.95" customHeight="1" x14ac:dyDescent="0.2">
      <c r="B33" s="71"/>
      <c r="C33" s="322" t="s">
        <v>331</v>
      </c>
      <c r="D33" s="250" t="s">
        <v>404</v>
      </c>
      <c r="E33" s="71"/>
    </row>
    <row r="34" spans="2:5" ht="24.95" customHeight="1" x14ac:dyDescent="0.2">
      <c r="B34" s="71"/>
      <c r="C34" s="322" t="s">
        <v>330</v>
      </c>
      <c r="D34" s="250" t="s">
        <v>332</v>
      </c>
      <c r="E34" s="71"/>
    </row>
    <row r="35" spans="2:5" x14ac:dyDescent="0.2">
      <c r="B35" s="71"/>
      <c r="C35" s="328"/>
      <c r="D35" s="323"/>
      <c r="E35" s="71"/>
    </row>
  </sheetData>
  <hyperlinks>
    <hyperlink ref="C7" location="'Quick facts'!A1" display="Quick facts"/>
    <hyperlink ref="C11" location="'Key findings'!A1" display="Key findings"/>
    <hyperlink ref="C19" location="'Māori Non-Māori'!A1" display="Māori Non-Māori"/>
    <hyperlink ref="C21" location="'Age Sex'!A1" display="Age Sex"/>
    <hyperlink ref="C22" location="Deprivation!A1" display="Deprivation"/>
    <hyperlink ref="C23" location="Methods!A1" display="Methods"/>
    <hyperlink ref="C24" location="'DHB region'!A1" display="DHB region"/>
    <hyperlink ref="C27" location="'Urban Rural'!A1" display="Urban Rural"/>
    <hyperlink ref="C28" location="'Ethnic group'!A1" display="Ethnic group"/>
    <hyperlink ref="C33" location="About!A1" display="About"/>
    <hyperlink ref="C34" location="Codes!A1" display="Codes"/>
    <hyperlink ref="C30" location="International!A1" display="International "/>
  </hyperlinks>
  <pageMargins left="0.7" right="0.7" top="0.75" bottom="0.75" header="0.3" footer="0.3"/>
  <pageSetup paperSize="9" scale="4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Z281"/>
  <sheetViews>
    <sheetView showGridLines="0" zoomScaleNormal="100" workbookViewId="0">
      <selection activeCell="V21" sqref="V21"/>
    </sheetView>
  </sheetViews>
  <sheetFormatPr defaultRowHeight="12.75" x14ac:dyDescent="0.2"/>
  <cols>
    <col min="1" max="1" width="5.85546875" style="12" customWidth="1"/>
    <col min="2" max="2" width="3.42578125" style="12" customWidth="1"/>
    <col min="3" max="3" width="7.42578125" style="12" customWidth="1"/>
    <col min="4" max="4" width="9.140625" style="12" customWidth="1"/>
    <col min="5" max="7" width="9.140625" style="12"/>
    <col min="8" max="8" width="12.85546875" style="12" customWidth="1"/>
    <col min="9" max="9" width="5.85546875" style="12" customWidth="1"/>
    <col min="10" max="10" width="3.28515625" style="12" customWidth="1"/>
    <col min="11" max="11" width="1.28515625" style="12" customWidth="1"/>
    <col min="12" max="12" width="11" style="12" customWidth="1"/>
    <col min="13" max="15" width="9.140625" style="12"/>
    <col min="16" max="16" width="7.5703125" style="12" customWidth="1"/>
    <col min="17" max="17" width="4" style="407" customWidth="1"/>
    <col min="18" max="18" width="5.28515625" style="282" customWidth="1"/>
    <col min="19" max="19" width="8.140625" style="12" customWidth="1"/>
    <col min="20" max="20" width="2.7109375" style="12" customWidth="1"/>
    <col min="21" max="21" width="9.42578125" style="12" customWidth="1"/>
    <col min="22" max="23" width="10.7109375" style="45" customWidth="1"/>
    <col min="24" max="25" width="8.7109375" style="45" customWidth="1"/>
    <col min="26" max="43" width="8.7109375" style="12" customWidth="1"/>
    <col min="44" max="16384" width="9.140625" style="12"/>
  </cols>
  <sheetData>
    <row r="1" spans="1:36" x14ac:dyDescent="0.2">
      <c r="S1" s="131" t="s">
        <v>505</v>
      </c>
    </row>
    <row r="2" spans="1:36" ht="26.25" x14ac:dyDescent="0.4">
      <c r="C2" s="120" t="s">
        <v>477</v>
      </c>
      <c r="D2" s="120"/>
      <c r="E2" s="88"/>
      <c r="S2" s="131"/>
    </row>
    <row r="3" spans="1:36" ht="13.5" thickBot="1" x14ac:dyDescent="0.25">
      <c r="A3" s="193"/>
      <c r="B3" s="193"/>
      <c r="C3" s="193"/>
      <c r="D3" s="193"/>
      <c r="E3" s="193"/>
      <c r="F3" s="193"/>
      <c r="G3" s="193"/>
      <c r="H3" s="193"/>
      <c r="I3" s="193"/>
      <c r="J3" s="193"/>
      <c r="K3" s="193"/>
      <c r="L3" s="193"/>
      <c r="M3" s="193"/>
      <c r="N3" s="193"/>
      <c r="O3" s="193"/>
      <c r="P3" s="193"/>
      <c r="Q3" s="447"/>
      <c r="S3" s="226"/>
      <c r="T3" s="193"/>
      <c r="U3" s="193"/>
      <c r="V3" s="227"/>
      <c r="W3" s="227"/>
      <c r="X3" s="227"/>
      <c r="Y3" s="227"/>
      <c r="Z3" s="193"/>
      <c r="AA3" s="193"/>
      <c r="AB3" s="193"/>
      <c r="AC3" s="193"/>
      <c r="AD3" s="193"/>
      <c r="AE3" s="193"/>
      <c r="AF3" s="193"/>
      <c r="AG3" s="193"/>
      <c r="AH3" s="193"/>
      <c r="AI3" s="193"/>
      <c r="AJ3" s="193"/>
    </row>
    <row r="4" spans="1:36" ht="14.25" x14ac:dyDescent="0.2">
      <c r="A4" s="193"/>
      <c r="B4" s="81"/>
      <c r="C4" s="89"/>
      <c r="D4" s="89"/>
      <c r="E4" s="89"/>
      <c r="F4" s="89"/>
      <c r="G4" s="89"/>
      <c r="H4" s="89"/>
      <c r="I4" s="89"/>
      <c r="J4" s="89"/>
      <c r="K4" s="89"/>
      <c r="L4" s="89"/>
      <c r="M4" s="89"/>
      <c r="N4" s="89"/>
      <c r="O4" s="89"/>
      <c r="P4" s="448"/>
      <c r="Q4" s="447"/>
      <c r="R4" s="45"/>
      <c r="S4" s="45"/>
      <c r="T4" s="431"/>
      <c r="U4" s="306"/>
      <c r="V4" s="306"/>
      <c r="W4" s="306"/>
      <c r="X4" s="306"/>
      <c r="Y4" s="306"/>
      <c r="Z4" s="89"/>
      <c r="AA4" s="89"/>
      <c r="AB4" s="89"/>
      <c r="AC4" s="89"/>
      <c r="AD4" s="89"/>
      <c r="AE4" s="89"/>
      <c r="AF4" s="239"/>
      <c r="AG4" s="432"/>
      <c r="AH4" s="229"/>
      <c r="AI4" s="229"/>
      <c r="AJ4" s="225"/>
    </row>
    <row r="5" spans="1:36" ht="15" x14ac:dyDescent="0.2">
      <c r="A5" s="193"/>
      <c r="B5" s="82"/>
      <c r="C5" s="228" t="s">
        <v>361</v>
      </c>
      <c r="D5" s="76"/>
      <c r="E5" s="90"/>
      <c r="F5" s="90"/>
      <c r="G5" s="90"/>
      <c r="H5" s="90"/>
      <c r="I5" s="90"/>
      <c r="J5" s="90"/>
      <c r="K5" s="90"/>
      <c r="L5" s="90"/>
      <c r="M5" s="90"/>
      <c r="N5" s="90"/>
      <c r="O5" s="90"/>
      <c r="P5" s="449"/>
      <c r="Q5" s="447"/>
      <c r="R5" s="45"/>
      <c r="S5" s="45"/>
      <c r="T5" s="433"/>
      <c r="U5" s="440" t="s">
        <v>543</v>
      </c>
      <c r="V5" s="243"/>
      <c r="W5" s="307"/>
      <c r="X5" s="307"/>
      <c r="Y5" s="307"/>
      <c r="Z5" s="307"/>
      <c r="AA5" s="307"/>
      <c r="AB5" s="307"/>
      <c r="AC5" s="307"/>
      <c r="AD5" s="307"/>
      <c r="AE5" s="245"/>
      <c r="AF5" s="231"/>
      <c r="AG5" s="435"/>
      <c r="AH5" s="221"/>
      <c r="AI5" s="221"/>
      <c r="AJ5" s="222"/>
    </row>
    <row r="6" spans="1:36" ht="14.25" x14ac:dyDescent="0.2">
      <c r="A6" s="193"/>
      <c r="B6" s="82"/>
      <c r="C6" s="76"/>
      <c r="D6" s="231"/>
      <c r="E6" s="231"/>
      <c r="F6" s="231"/>
      <c r="G6" s="231"/>
      <c r="H6" s="231"/>
      <c r="I6" s="231"/>
      <c r="J6" s="231"/>
      <c r="K6" s="231"/>
      <c r="L6" s="231"/>
      <c r="M6" s="231"/>
      <c r="N6" s="231"/>
      <c r="O6" s="231"/>
      <c r="P6" s="449"/>
      <c r="Q6" s="447"/>
      <c r="R6" s="45"/>
      <c r="S6" s="45"/>
      <c r="T6" s="433"/>
      <c r="U6" s="245"/>
      <c r="V6" s="441"/>
      <c r="W6" s="427"/>
      <c r="X6" s="427"/>
      <c r="Y6" s="427"/>
      <c r="Z6" s="427"/>
      <c r="AA6" s="427"/>
      <c r="AB6" s="427"/>
      <c r="AC6" s="427"/>
      <c r="AD6" s="427"/>
      <c r="AE6" s="245"/>
      <c r="AF6" s="231"/>
      <c r="AG6" s="444"/>
      <c r="AH6" s="224"/>
      <c r="AI6" s="224"/>
      <c r="AJ6" s="222"/>
    </row>
    <row r="7" spans="1:36" ht="14.25" x14ac:dyDescent="0.2">
      <c r="A7" s="193"/>
      <c r="B7" s="82"/>
      <c r="C7" s="437" t="s">
        <v>382</v>
      </c>
      <c r="D7" s="191" t="s">
        <v>383</v>
      </c>
      <c r="E7" s="231"/>
      <c r="F7" s="231"/>
      <c r="G7" s="231"/>
      <c r="H7" s="231"/>
      <c r="I7" s="231"/>
      <c r="J7" s="231"/>
      <c r="K7" s="231"/>
      <c r="L7" s="231"/>
      <c r="M7" s="231"/>
      <c r="N7" s="231"/>
      <c r="O7" s="231"/>
      <c r="P7" s="449"/>
      <c r="Q7" s="447"/>
      <c r="T7" s="82"/>
      <c r="U7" s="437" t="s">
        <v>382</v>
      </c>
      <c r="V7" s="337" t="s">
        <v>380</v>
      </c>
      <c r="W7" s="337"/>
      <c r="X7" s="337"/>
      <c r="Y7" s="337"/>
      <c r="Z7" s="337"/>
      <c r="AA7" s="337"/>
      <c r="AB7" s="337"/>
      <c r="AC7" s="337"/>
      <c r="AD7" s="337"/>
      <c r="AE7" s="245"/>
      <c r="AF7" s="231"/>
      <c r="AG7" s="444"/>
      <c r="AH7" s="224"/>
      <c r="AI7" s="224"/>
      <c r="AJ7" s="224"/>
    </row>
    <row r="8" spans="1:36" ht="14.25" x14ac:dyDescent="0.2">
      <c r="A8" s="193"/>
      <c r="B8" s="82"/>
      <c r="C8" s="437" t="s">
        <v>382</v>
      </c>
      <c r="D8" s="191" t="s">
        <v>386</v>
      </c>
      <c r="E8" s="231"/>
      <c r="F8" s="231"/>
      <c r="G8" s="231"/>
      <c r="H8" s="231"/>
      <c r="I8" s="231"/>
      <c r="J8" s="231"/>
      <c r="K8" s="231"/>
      <c r="L8" s="231"/>
      <c r="M8" s="231"/>
      <c r="N8" s="231"/>
      <c r="O8" s="231"/>
      <c r="P8" s="449"/>
      <c r="Q8" s="447"/>
      <c r="T8" s="82"/>
      <c r="U8" s="437"/>
      <c r="V8" s="337"/>
      <c r="W8" s="337"/>
      <c r="X8" s="337"/>
      <c r="Y8" s="337"/>
      <c r="Z8" s="337"/>
      <c r="AA8" s="337"/>
      <c r="AB8" s="337"/>
      <c r="AC8" s="337"/>
      <c r="AD8" s="337"/>
      <c r="AE8" s="245"/>
      <c r="AF8" s="231"/>
      <c r="AG8" s="435"/>
      <c r="AH8" s="221"/>
      <c r="AI8" s="221"/>
      <c r="AJ8" s="222"/>
    </row>
    <row r="9" spans="1:36" ht="14.25" x14ac:dyDescent="0.2">
      <c r="A9" s="193"/>
      <c r="B9" s="82"/>
      <c r="C9" s="437"/>
      <c r="D9" s="519"/>
      <c r="E9" s="231"/>
      <c r="F9" s="231"/>
      <c r="G9" s="231"/>
      <c r="H9" s="231"/>
      <c r="I9" s="231"/>
      <c r="J9" s="231"/>
      <c r="K9" s="231"/>
      <c r="L9" s="231"/>
      <c r="M9" s="231"/>
      <c r="N9" s="231"/>
      <c r="O9" s="231"/>
      <c r="P9" s="449"/>
      <c r="Q9" s="447"/>
      <c r="T9" s="82"/>
      <c r="U9" s="437" t="s">
        <v>382</v>
      </c>
      <c r="V9" s="337" t="s">
        <v>381</v>
      </c>
      <c r="W9" s="337"/>
      <c r="X9" s="337"/>
      <c r="Y9" s="337"/>
      <c r="Z9" s="337"/>
      <c r="AA9" s="337"/>
      <c r="AB9" s="337"/>
      <c r="AC9" s="337"/>
      <c r="AD9" s="337"/>
      <c r="AE9" s="245"/>
      <c r="AF9" s="231"/>
      <c r="AG9" s="435"/>
      <c r="AH9" s="221"/>
      <c r="AI9" s="221"/>
      <c r="AJ9" s="222"/>
    </row>
    <row r="10" spans="1:36" ht="14.25" x14ac:dyDescent="0.2">
      <c r="A10" s="193"/>
      <c r="B10" s="82"/>
      <c r="C10" s="437" t="s">
        <v>382</v>
      </c>
      <c r="D10" s="191" t="s">
        <v>384</v>
      </c>
      <c r="E10" s="231"/>
      <c r="F10" s="231"/>
      <c r="G10" s="231"/>
      <c r="H10" s="231"/>
      <c r="I10" s="231"/>
      <c r="J10" s="231"/>
      <c r="K10" s="231"/>
      <c r="L10" s="231"/>
      <c r="M10" s="231"/>
      <c r="N10" s="231"/>
      <c r="O10" s="231"/>
      <c r="P10" s="449"/>
      <c r="Q10" s="447"/>
      <c r="T10" s="82"/>
      <c r="U10" s="437"/>
      <c r="V10" s="337"/>
      <c r="W10" s="337"/>
      <c r="X10" s="337"/>
      <c r="Y10" s="337"/>
      <c r="Z10" s="337"/>
      <c r="AA10" s="337"/>
      <c r="AB10" s="337"/>
      <c r="AC10" s="337"/>
      <c r="AD10" s="337"/>
      <c r="AE10" s="245"/>
      <c r="AF10" s="231"/>
      <c r="AG10" s="435"/>
      <c r="AH10" s="221"/>
      <c r="AI10" s="221"/>
      <c r="AJ10" s="222"/>
    </row>
    <row r="11" spans="1:36" ht="14.25" x14ac:dyDescent="0.2">
      <c r="A11" s="193"/>
      <c r="B11" s="82"/>
      <c r="C11" s="437" t="s">
        <v>382</v>
      </c>
      <c r="D11" s="191" t="s">
        <v>385</v>
      </c>
      <c r="E11" s="231"/>
      <c r="F11" s="231"/>
      <c r="G11" s="231"/>
      <c r="H11" s="231"/>
      <c r="I11" s="231"/>
      <c r="J11" s="231"/>
      <c r="K11" s="231"/>
      <c r="L11" s="231"/>
      <c r="M11" s="231"/>
      <c r="N11" s="231"/>
      <c r="O11" s="231"/>
      <c r="P11" s="449"/>
      <c r="Q11" s="447"/>
      <c r="T11" s="82"/>
      <c r="U11" s="437" t="s">
        <v>382</v>
      </c>
      <c r="V11" s="337" t="s">
        <v>606</v>
      </c>
      <c r="W11" s="337"/>
      <c r="X11" s="337"/>
      <c r="Y11" s="337"/>
      <c r="Z11" s="337"/>
      <c r="AA11" s="337"/>
      <c r="AB11" s="337"/>
      <c r="AC11" s="337"/>
      <c r="AD11" s="337"/>
      <c r="AE11" s="245"/>
      <c r="AF11" s="231"/>
      <c r="AG11" s="435"/>
      <c r="AH11" s="221"/>
      <c r="AI11" s="221"/>
      <c r="AJ11" s="222"/>
    </row>
    <row r="12" spans="1:36" ht="15.75" customHeight="1" x14ac:dyDescent="0.2">
      <c r="A12" s="193"/>
      <c r="B12" s="82"/>
      <c r="C12" s="437"/>
      <c r="D12" s="519"/>
      <c r="E12" s="231"/>
      <c r="F12" s="231"/>
      <c r="G12" s="231"/>
      <c r="H12" s="231"/>
      <c r="I12" s="231"/>
      <c r="J12" s="231"/>
      <c r="K12" s="231"/>
      <c r="L12" s="231"/>
      <c r="M12" s="231"/>
      <c r="N12" s="231"/>
      <c r="O12" s="231"/>
      <c r="P12" s="449"/>
      <c r="Q12" s="447"/>
      <c r="T12" s="82"/>
      <c r="U12" s="437"/>
      <c r="V12" s="337"/>
      <c r="W12" s="337"/>
      <c r="X12" s="337"/>
      <c r="Y12" s="337"/>
      <c r="Z12" s="337"/>
      <c r="AA12" s="337"/>
      <c r="AB12" s="337"/>
      <c r="AC12" s="337"/>
      <c r="AD12" s="337"/>
      <c r="AE12" s="245"/>
      <c r="AF12" s="231"/>
      <c r="AG12" s="434"/>
      <c r="AH12" s="222"/>
      <c r="AI12" s="222"/>
      <c r="AJ12" s="222"/>
    </row>
    <row r="13" spans="1:36" ht="15.75" customHeight="1" x14ac:dyDescent="0.2">
      <c r="A13" s="193"/>
      <c r="B13" s="82"/>
      <c r="C13" s="437" t="s">
        <v>382</v>
      </c>
      <c r="D13" s="191" t="s">
        <v>387</v>
      </c>
      <c r="E13" s="231"/>
      <c r="F13" s="231"/>
      <c r="G13" s="231"/>
      <c r="H13" s="231"/>
      <c r="I13" s="231"/>
      <c r="J13" s="231"/>
      <c r="K13" s="231"/>
      <c r="L13" s="231"/>
      <c r="M13" s="231"/>
      <c r="N13" s="231"/>
      <c r="O13" s="231"/>
      <c r="P13" s="449"/>
      <c r="Q13" s="447"/>
      <c r="T13" s="82"/>
      <c r="U13" s="437" t="s">
        <v>382</v>
      </c>
      <c r="V13" s="337" t="s">
        <v>392</v>
      </c>
      <c r="W13" s="337"/>
      <c r="X13" s="337"/>
      <c r="Y13" s="337"/>
      <c r="Z13" s="337"/>
      <c r="AA13" s="337"/>
      <c r="AB13" s="337"/>
      <c r="AC13" s="337"/>
      <c r="AD13" s="337"/>
      <c r="AE13" s="245"/>
      <c r="AF13" s="231"/>
      <c r="AG13" s="434"/>
      <c r="AH13" s="222"/>
      <c r="AI13" s="222"/>
      <c r="AJ13" s="222"/>
    </row>
    <row r="14" spans="1:36" ht="14.25" x14ac:dyDescent="0.2">
      <c r="A14" s="193"/>
      <c r="B14" s="82"/>
      <c r="C14" s="437" t="s">
        <v>382</v>
      </c>
      <c r="D14" s="191" t="s">
        <v>143</v>
      </c>
      <c r="E14" s="231"/>
      <c r="F14" s="231"/>
      <c r="G14" s="231"/>
      <c r="H14" s="231"/>
      <c r="I14" s="231"/>
      <c r="J14" s="231"/>
      <c r="K14" s="231"/>
      <c r="L14" s="231"/>
      <c r="M14" s="231"/>
      <c r="N14" s="231"/>
      <c r="O14" s="231"/>
      <c r="P14" s="449"/>
      <c r="Q14" s="447"/>
      <c r="T14" s="82"/>
      <c r="U14" s="437"/>
      <c r="V14" s="337"/>
      <c r="W14" s="337"/>
      <c r="X14" s="337"/>
      <c r="Y14" s="337"/>
      <c r="Z14" s="337"/>
      <c r="AA14" s="337"/>
      <c r="AB14" s="337"/>
      <c r="AC14" s="337"/>
      <c r="AD14" s="337"/>
      <c r="AE14" s="245"/>
      <c r="AF14" s="231"/>
      <c r="AG14" s="435"/>
      <c r="AH14" s="221"/>
      <c r="AI14" s="221"/>
      <c r="AJ14" s="222"/>
    </row>
    <row r="15" spans="1:36" ht="14.25" x14ac:dyDescent="0.2">
      <c r="A15" s="193"/>
      <c r="B15" s="82"/>
      <c r="C15" s="437"/>
      <c r="D15" s="519"/>
      <c r="E15" s="231"/>
      <c r="F15" s="231"/>
      <c r="G15" s="231"/>
      <c r="H15" s="231"/>
      <c r="I15" s="231"/>
      <c r="J15" s="231"/>
      <c r="K15" s="231"/>
      <c r="L15" s="231"/>
      <c r="M15" s="231"/>
      <c r="N15" s="231"/>
      <c r="O15" s="231"/>
      <c r="P15" s="449"/>
      <c r="Q15" s="447"/>
      <c r="T15" s="82"/>
      <c r="U15" s="437" t="s">
        <v>382</v>
      </c>
      <c r="V15" s="337" t="s">
        <v>544</v>
      </c>
      <c r="W15" s="337"/>
      <c r="X15" s="337"/>
      <c r="Y15" s="337"/>
      <c r="Z15" s="337"/>
      <c r="AA15" s="337"/>
      <c r="AB15" s="337"/>
      <c r="AC15" s="337"/>
      <c r="AD15" s="337"/>
      <c r="AE15" s="245"/>
      <c r="AF15" s="231"/>
      <c r="AG15" s="434"/>
      <c r="AH15" s="222"/>
      <c r="AI15" s="222"/>
      <c r="AJ15" s="222"/>
    </row>
    <row r="16" spans="1:36" ht="17.25" customHeight="1" x14ac:dyDescent="0.2">
      <c r="A16" s="193"/>
      <c r="B16" s="82"/>
      <c r="C16" s="437" t="s">
        <v>382</v>
      </c>
      <c r="D16" s="191" t="s">
        <v>427</v>
      </c>
      <c r="E16" s="231"/>
      <c r="F16" s="231"/>
      <c r="G16" s="231"/>
      <c r="H16" s="231"/>
      <c r="I16" s="231"/>
      <c r="J16" s="231"/>
      <c r="K16" s="231"/>
      <c r="L16" s="231"/>
      <c r="M16" s="231"/>
      <c r="N16" s="231"/>
      <c r="O16" s="231"/>
      <c r="P16" s="449"/>
      <c r="Q16" s="447"/>
      <c r="T16" s="82"/>
      <c r="U16" s="437"/>
      <c r="V16" s="337"/>
      <c r="W16" s="337"/>
      <c r="X16" s="337"/>
      <c r="Y16" s="337"/>
      <c r="Z16" s="337"/>
      <c r="AA16" s="337"/>
      <c r="AB16" s="337"/>
      <c r="AC16" s="337"/>
      <c r="AD16" s="337"/>
      <c r="AE16" s="245"/>
      <c r="AF16" s="231"/>
      <c r="AG16" s="435"/>
      <c r="AH16" s="221"/>
      <c r="AI16" s="221"/>
      <c r="AJ16" s="222"/>
    </row>
    <row r="17" spans="1:49" ht="20.25" customHeight="1" x14ac:dyDescent="0.2">
      <c r="A17" s="193"/>
      <c r="B17" s="82"/>
      <c r="C17" s="437" t="s">
        <v>382</v>
      </c>
      <c r="D17" s="191" t="s">
        <v>482</v>
      </c>
      <c r="E17" s="231"/>
      <c r="F17" s="231"/>
      <c r="G17" s="231"/>
      <c r="H17" s="231"/>
      <c r="I17" s="231"/>
      <c r="J17" s="231"/>
      <c r="K17" s="231"/>
      <c r="L17" s="231"/>
      <c r="M17" s="231"/>
      <c r="N17" s="231"/>
      <c r="O17" s="231"/>
      <c r="P17" s="449"/>
      <c r="Q17" s="447"/>
      <c r="T17" s="82"/>
      <c r="U17" s="437" t="s">
        <v>382</v>
      </c>
      <c r="V17" s="337" t="s">
        <v>379</v>
      </c>
      <c r="W17" s="337"/>
      <c r="X17" s="337"/>
      <c r="Y17" s="337"/>
      <c r="Z17" s="337"/>
      <c r="AA17" s="337"/>
      <c r="AB17" s="337"/>
      <c r="AC17" s="337"/>
      <c r="AD17" s="337"/>
      <c r="AE17" s="245"/>
      <c r="AF17" s="231"/>
      <c r="AG17" s="435"/>
      <c r="AH17" s="221"/>
      <c r="AI17" s="221"/>
      <c r="AJ17" s="222"/>
    </row>
    <row r="18" spans="1:49" ht="33.75" customHeight="1" x14ac:dyDescent="0.2">
      <c r="A18" s="193"/>
      <c r="B18" s="82"/>
      <c r="C18" s="437" t="s">
        <v>382</v>
      </c>
      <c r="D18" s="191" t="s">
        <v>388</v>
      </c>
      <c r="E18" s="426"/>
      <c r="F18" s="426"/>
      <c r="G18" s="426"/>
      <c r="H18" s="426"/>
      <c r="I18" s="426"/>
      <c r="J18" s="426"/>
      <c r="K18" s="426"/>
      <c r="L18" s="426"/>
      <c r="M18" s="426"/>
      <c r="N18" s="231"/>
      <c r="O18" s="231"/>
      <c r="P18" s="449"/>
      <c r="Q18" s="447"/>
      <c r="T18" s="82"/>
      <c r="U18" s="437" t="s">
        <v>382</v>
      </c>
      <c r="V18" s="524" t="s">
        <v>545</v>
      </c>
      <c r="W18" s="524"/>
      <c r="X18" s="524"/>
      <c r="Y18" s="524"/>
      <c r="Z18" s="524"/>
      <c r="AA18" s="524"/>
      <c r="AB18" s="524"/>
      <c r="AC18" s="524"/>
      <c r="AD18" s="524"/>
      <c r="AE18" s="525"/>
      <c r="AF18" s="525"/>
      <c r="AG18" s="428"/>
      <c r="AH18" s="225"/>
      <c r="AI18" s="225"/>
      <c r="AJ18" s="225"/>
    </row>
    <row r="19" spans="1:49" ht="14.25" x14ac:dyDescent="0.2">
      <c r="A19" s="193"/>
      <c r="B19" s="82"/>
      <c r="C19" s="437"/>
      <c r="D19" s="520" t="s">
        <v>426</v>
      </c>
      <c r="E19" s="231"/>
      <c r="F19" s="231"/>
      <c r="G19" s="231"/>
      <c r="H19" s="231"/>
      <c r="I19" s="231"/>
      <c r="J19" s="231"/>
      <c r="K19" s="231"/>
      <c r="L19" s="231"/>
      <c r="M19" s="231"/>
      <c r="N19" s="231"/>
      <c r="O19" s="231"/>
      <c r="P19" s="449"/>
      <c r="Q19" s="447"/>
      <c r="T19" s="82"/>
      <c r="U19" s="437" t="s">
        <v>382</v>
      </c>
      <c r="V19" s="337" t="s">
        <v>547</v>
      </c>
      <c r="W19" s="337"/>
      <c r="X19" s="337"/>
      <c r="Y19" s="337"/>
      <c r="Z19" s="337"/>
      <c r="AA19" s="337"/>
      <c r="AB19" s="337"/>
      <c r="AC19" s="337"/>
      <c r="AD19" s="337"/>
      <c r="AE19" s="245"/>
      <c r="AF19" s="231"/>
      <c r="AG19" s="428"/>
      <c r="AH19" s="225"/>
      <c r="AI19" s="225"/>
      <c r="AJ19" s="225"/>
    </row>
    <row r="20" spans="1:49" ht="14.25" x14ac:dyDescent="0.2">
      <c r="A20" s="193"/>
      <c r="B20" s="82"/>
      <c r="C20" s="437"/>
      <c r="D20" s="519"/>
      <c r="E20" s="231"/>
      <c r="F20" s="231"/>
      <c r="G20" s="231"/>
      <c r="H20" s="231"/>
      <c r="I20" s="231"/>
      <c r="J20" s="231"/>
      <c r="K20" s="231"/>
      <c r="L20" s="231"/>
      <c r="M20" s="231"/>
      <c r="N20" s="231"/>
      <c r="O20" s="231"/>
      <c r="P20" s="449"/>
      <c r="Q20" s="447"/>
      <c r="T20" s="82"/>
      <c r="U20" s="437"/>
      <c r="V20" s="337"/>
      <c r="W20" s="337"/>
      <c r="X20" s="337"/>
      <c r="Y20" s="337"/>
      <c r="Z20" s="337"/>
      <c r="AA20" s="337"/>
      <c r="AB20" s="337"/>
      <c r="AC20" s="337"/>
      <c r="AD20" s="337"/>
      <c r="AE20" s="245"/>
      <c r="AF20" s="231"/>
      <c r="AG20" s="428"/>
      <c r="AH20" s="230"/>
      <c r="AI20" s="230"/>
      <c r="AJ20" s="230"/>
    </row>
    <row r="21" spans="1:49" ht="17.25" customHeight="1" x14ac:dyDescent="0.2">
      <c r="A21" s="193"/>
      <c r="B21" s="82"/>
      <c r="C21" s="437" t="s">
        <v>382</v>
      </c>
      <c r="D21" s="515" t="s">
        <v>485</v>
      </c>
      <c r="E21" s="337"/>
      <c r="F21" s="337"/>
      <c r="G21" s="337"/>
      <c r="H21" s="337"/>
      <c r="I21" s="337"/>
      <c r="J21" s="231"/>
      <c r="K21" s="231"/>
      <c r="L21" s="231"/>
      <c r="M21" s="231"/>
      <c r="N21" s="231"/>
      <c r="O21" s="231"/>
      <c r="P21" s="449"/>
      <c r="Q21" s="447"/>
      <c r="T21" s="82"/>
      <c r="U21" s="437" t="s">
        <v>382</v>
      </c>
      <c r="V21" s="337" t="s">
        <v>548</v>
      </c>
      <c r="W21" s="337"/>
      <c r="X21" s="337"/>
      <c r="Y21" s="337"/>
      <c r="Z21" s="337"/>
      <c r="AA21" s="337"/>
      <c r="AB21" s="337"/>
      <c r="AC21" s="337"/>
      <c r="AD21" s="337"/>
      <c r="AE21" s="245"/>
      <c r="AF21" s="231"/>
      <c r="AG21" s="428"/>
      <c r="AH21" s="230"/>
      <c r="AI21" s="230"/>
      <c r="AJ21" s="230"/>
    </row>
    <row r="22" spans="1:49" ht="15.75" customHeight="1" x14ac:dyDescent="0.2">
      <c r="A22" s="193"/>
      <c r="B22" s="82"/>
      <c r="C22" s="437" t="s">
        <v>382</v>
      </c>
      <c r="D22" s="515" t="s">
        <v>603</v>
      </c>
      <c r="E22" s="337"/>
      <c r="F22" s="337"/>
      <c r="G22" s="337"/>
      <c r="H22" s="337"/>
      <c r="I22" s="337"/>
      <c r="J22" s="231"/>
      <c r="K22" s="231"/>
      <c r="L22" s="231"/>
      <c r="M22" s="231"/>
      <c r="N22" s="231"/>
      <c r="O22" s="231"/>
      <c r="P22" s="449"/>
      <c r="Q22" s="447"/>
      <c r="T22" s="82"/>
      <c r="U22" s="437"/>
      <c r="V22" s="337"/>
      <c r="W22" s="337"/>
      <c r="X22" s="337"/>
      <c r="Y22" s="337"/>
      <c r="Z22" s="337"/>
      <c r="AA22" s="337"/>
      <c r="AB22" s="337"/>
      <c r="AC22" s="337"/>
      <c r="AD22" s="337"/>
      <c r="AE22" s="245"/>
      <c r="AF22" s="231"/>
      <c r="AG22" s="428"/>
      <c r="AH22" s="219"/>
      <c r="AI22" s="219"/>
      <c r="AJ22" s="219"/>
      <c r="AL22" s="180"/>
    </row>
    <row r="23" spans="1:49" ht="16.5" customHeight="1" x14ac:dyDescent="0.2">
      <c r="A23" s="193"/>
      <c r="B23" s="82"/>
      <c r="C23" s="437" t="s">
        <v>382</v>
      </c>
      <c r="D23" s="515" t="s">
        <v>604</v>
      </c>
      <c r="E23" s="337"/>
      <c r="F23" s="337"/>
      <c r="G23" s="337"/>
      <c r="H23" s="337"/>
      <c r="I23" s="337"/>
      <c r="J23" s="231"/>
      <c r="K23" s="231"/>
      <c r="L23" s="231"/>
      <c r="M23" s="231"/>
      <c r="N23" s="231"/>
      <c r="O23" s="231"/>
      <c r="P23" s="449"/>
      <c r="Q23" s="447"/>
      <c r="T23" s="82"/>
      <c r="U23" s="437" t="s">
        <v>382</v>
      </c>
      <c r="V23" s="524" t="s">
        <v>424</v>
      </c>
      <c r="W23" s="524"/>
      <c r="X23" s="524"/>
      <c r="Y23" s="524"/>
      <c r="Z23" s="524"/>
      <c r="AA23" s="524"/>
      <c r="AB23" s="524"/>
      <c r="AC23" s="524"/>
      <c r="AD23" s="524"/>
      <c r="AE23" s="524"/>
      <c r="AF23" s="231"/>
      <c r="AG23" s="428"/>
      <c r="AH23" s="219"/>
      <c r="AI23" s="219"/>
      <c r="AJ23" s="219"/>
    </row>
    <row r="24" spans="1:49" ht="18.75" customHeight="1" x14ac:dyDescent="0.2">
      <c r="A24" s="193"/>
      <c r="B24" s="82"/>
      <c r="C24" s="437" t="s">
        <v>382</v>
      </c>
      <c r="D24" s="515" t="s">
        <v>605</v>
      </c>
      <c r="E24" s="191"/>
      <c r="F24" s="231"/>
      <c r="G24" s="231"/>
      <c r="H24" s="231"/>
      <c r="I24" s="231"/>
      <c r="J24" s="231"/>
      <c r="K24" s="231"/>
      <c r="L24" s="231"/>
      <c r="M24" s="231"/>
      <c r="N24" s="231"/>
      <c r="O24" s="231"/>
      <c r="P24" s="449"/>
      <c r="Q24" s="447"/>
      <c r="T24" s="82"/>
      <c r="U24" s="438"/>
      <c r="V24" s="536" t="s">
        <v>425</v>
      </c>
      <c r="W24" s="536"/>
      <c r="X24" s="536"/>
      <c r="Y24" s="536"/>
      <c r="Z24" s="536"/>
      <c r="AA24" s="536"/>
      <c r="AB24" s="536"/>
      <c r="AC24" s="536"/>
      <c r="AD24" s="536"/>
      <c r="AE24" s="536"/>
      <c r="AF24" s="231"/>
      <c r="AG24" s="428"/>
      <c r="AH24" s="219"/>
      <c r="AI24" s="219"/>
      <c r="AJ24" s="219"/>
    </row>
    <row r="25" spans="1:49" ht="15.75" customHeight="1" thickBot="1" x14ac:dyDescent="0.25">
      <c r="A25" s="193"/>
      <c r="B25" s="446"/>
      <c r="C25" s="439"/>
      <c r="D25" s="252"/>
      <c r="E25" s="252"/>
      <c r="F25" s="252"/>
      <c r="G25" s="252"/>
      <c r="H25" s="252"/>
      <c r="I25" s="252"/>
      <c r="J25" s="252"/>
      <c r="K25" s="252"/>
      <c r="L25" s="252"/>
      <c r="M25" s="285"/>
      <c r="N25" s="252"/>
      <c r="O25" s="252"/>
      <c r="P25" s="450"/>
      <c r="Q25" s="447"/>
      <c r="R25" s="131"/>
      <c r="T25" s="436"/>
      <c r="U25" s="429"/>
      <c r="V25" s="429"/>
      <c r="W25" s="429"/>
      <c r="X25" s="430"/>
      <c r="Y25" s="430"/>
      <c r="Z25" s="429"/>
      <c r="AA25" s="429"/>
      <c r="AB25" s="429"/>
      <c r="AC25" s="285"/>
      <c r="AD25" s="285"/>
      <c r="AE25" s="445"/>
      <c r="AF25" s="285"/>
      <c r="AG25" s="217"/>
      <c r="AH25" s="219"/>
      <c r="AI25" s="219"/>
      <c r="AJ25" s="219"/>
    </row>
    <row r="26" spans="1:49" ht="18.75" customHeight="1" x14ac:dyDescent="0.2">
      <c r="A26" s="193"/>
      <c r="B26" s="193"/>
      <c r="C26" s="193"/>
      <c r="D26" s="193"/>
      <c r="E26" s="193"/>
      <c r="F26" s="193"/>
      <c r="G26" s="193"/>
      <c r="H26" s="193"/>
      <c r="I26" s="193"/>
      <c r="J26" s="193"/>
      <c r="K26" s="193"/>
      <c r="L26" s="193"/>
      <c r="M26" s="193"/>
      <c r="N26" s="193"/>
      <c r="O26" s="193"/>
      <c r="P26" s="193"/>
      <c r="Q26" s="447"/>
      <c r="S26" s="33"/>
      <c r="T26" s="33"/>
      <c r="U26" s="33"/>
      <c r="V26" s="33"/>
      <c r="W26" s="12"/>
    </row>
    <row r="27" spans="1:49" x14ac:dyDescent="0.2">
      <c r="A27" s="193"/>
      <c r="B27" s="193"/>
      <c r="C27" s="193"/>
      <c r="D27" s="193"/>
      <c r="E27" s="193"/>
      <c r="F27" s="193"/>
      <c r="G27" s="193"/>
      <c r="H27" s="193"/>
      <c r="I27" s="193"/>
      <c r="J27" s="193"/>
      <c r="K27" s="193"/>
      <c r="L27" s="193"/>
      <c r="M27" s="193"/>
      <c r="N27" s="193"/>
      <c r="O27" s="193"/>
      <c r="P27" s="193"/>
      <c r="Q27" s="447"/>
      <c r="T27" s="33"/>
      <c r="U27" s="33"/>
    </row>
    <row r="28" spans="1:49" x14ac:dyDescent="0.2">
      <c r="B28" s="76"/>
      <c r="C28" s="71"/>
      <c r="D28" s="71"/>
      <c r="E28" s="71"/>
      <c r="F28" s="71"/>
      <c r="G28" s="71"/>
      <c r="H28" s="71"/>
      <c r="I28" s="71"/>
      <c r="J28" s="71"/>
      <c r="K28" s="71"/>
      <c r="L28" s="71"/>
      <c r="M28" s="71"/>
      <c r="N28" s="71"/>
      <c r="O28" s="71"/>
      <c r="P28" s="283"/>
      <c r="R28" s="12"/>
      <c r="S28" s="45"/>
    </row>
    <row r="29" spans="1:49" ht="15" x14ac:dyDescent="0.25">
      <c r="B29" s="71"/>
      <c r="C29" s="92" t="s">
        <v>99</v>
      </c>
      <c r="D29" s="71"/>
      <c r="E29" s="71"/>
      <c r="F29" s="71"/>
      <c r="G29" s="71"/>
      <c r="H29" s="71"/>
      <c r="I29" s="71"/>
      <c r="J29" s="71"/>
      <c r="K29" s="71"/>
      <c r="L29" s="71"/>
      <c r="M29" s="71"/>
      <c r="N29" s="71"/>
      <c r="O29" s="71"/>
      <c r="P29" s="283"/>
      <c r="R29" s="12"/>
      <c r="T29" s="298" t="s">
        <v>194</v>
      </c>
      <c r="U29" s="298"/>
      <c r="W29" s="19"/>
      <c r="X29" s="122"/>
      <c r="Y29" s="122"/>
      <c r="Z29" s="122"/>
      <c r="AA29" s="122"/>
      <c r="AB29" s="122"/>
      <c r="AC29" s="122"/>
      <c r="AD29" s="122"/>
      <c r="AE29" s="122"/>
      <c r="AF29" s="122"/>
      <c r="AG29" s="122"/>
      <c r="AH29" s="122"/>
      <c r="AI29" s="122"/>
      <c r="AJ29" s="122"/>
      <c r="AK29" s="122"/>
      <c r="AL29" s="122"/>
      <c r="AM29" s="122"/>
      <c r="AN29" s="122"/>
      <c r="AO29" s="122"/>
      <c r="AP29" s="122"/>
      <c r="AQ29" s="14"/>
    </row>
    <row r="30" spans="1:49" ht="15" x14ac:dyDescent="0.2">
      <c r="B30" s="71"/>
      <c r="C30" s="71"/>
      <c r="D30" s="71"/>
      <c r="E30" s="71"/>
      <c r="F30" s="71"/>
      <c r="G30" s="71"/>
      <c r="H30" s="71"/>
      <c r="I30" s="71"/>
      <c r="J30" s="71"/>
      <c r="K30" s="71"/>
      <c r="L30" s="71"/>
      <c r="M30" s="71"/>
      <c r="N30" s="71"/>
      <c r="O30" s="71"/>
      <c r="P30" s="283"/>
      <c r="R30" s="12"/>
      <c r="T30" s="45"/>
      <c r="U30" s="45"/>
      <c r="W30" s="308"/>
      <c r="X30" s="241"/>
      <c r="Y30" s="123"/>
      <c r="Z30" s="123"/>
      <c r="AA30" s="123"/>
      <c r="AB30" s="123"/>
      <c r="AC30" s="123"/>
      <c r="AD30" s="123"/>
      <c r="AE30" s="123"/>
      <c r="AF30" s="123"/>
      <c r="AG30" s="123"/>
      <c r="AH30" s="123"/>
      <c r="AI30" s="123"/>
      <c r="AJ30" s="123"/>
      <c r="AK30" s="123"/>
      <c r="AL30" s="123"/>
      <c r="AM30" s="123"/>
      <c r="AN30" s="123"/>
      <c r="AO30" s="123"/>
      <c r="AP30" s="123"/>
      <c r="AQ30" s="14"/>
    </row>
    <row r="31" spans="1:49" x14ac:dyDescent="0.2">
      <c r="B31" s="71"/>
      <c r="C31" s="71"/>
      <c r="D31" s="71"/>
      <c r="E31" s="71"/>
      <c r="F31" s="71"/>
      <c r="G31" s="71"/>
      <c r="H31" s="71"/>
      <c r="I31" s="71"/>
      <c r="J31" s="71"/>
      <c r="K31" s="71"/>
      <c r="L31" s="71"/>
      <c r="M31" s="71"/>
      <c r="N31" s="71"/>
      <c r="O31" s="71"/>
      <c r="P31" s="283"/>
      <c r="R31" s="12"/>
      <c r="T31" s="125" t="s">
        <v>1</v>
      </c>
      <c r="U31" s="125"/>
      <c r="V31" s="125"/>
      <c r="W31" s="311"/>
      <c r="X31" s="312">
        <v>1996</v>
      </c>
      <c r="Y31" s="312">
        <v>1997</v>
      </c>
      <c r="Z31" s="312">
        <v>1998</v>
      </c>
      <c r="AA31" s="312">
        <v>1999</v>
      </c>
      <c r="AB31" s="312">
        <v>2000</v>
      </c>
      <c r="AC31" s="312">
        <v>2001</v>
      </c>
      <c r="AD31" s="312">
        <v>2002</v>
      </c>
      <c r="AE31" s="312">
        <v>2003</v>
      </c>
      <c r="AF31" s="312">
        <v>2004</v>
      </c>
      <c r="AG31" s="312">
        <v>2005</v>
      </c>
      <c r="AH31" s="312">
        <v>2006</v>
      </c>
      <c r="AI31" s="312">
        <v>2007</v>
      </c>
      <c r="AJ31" s="312">
        <v>2008</v>
      </c>
      <c r="AK31" s="312">
        <v>2009</v>
      </c>
      <c r="AL31" s="312">
        <v>2010</v>
      </c>
      <c r="AM31" s="312">
        <v>2011</v>
      </c>
      <c r="AN31" s="312">
        <v>2012</v>
      </c>
      <c r="AO31" s="312">
        <v>2013</v>
      </c>
      <c r="AP31" s="312">
        <v>2014</v>
      </c>
      <c r="AQ31" s="313">
        <v>2015</v>
      </c>
      <c r="AT31" s="22"/>
      <c r="AU31" s="22"/>
      <c r="AV31" s="22"/>
      <c r="AW31" s="23"/>
    </row>
    <row r="32" spans="1:49" x14ac:dyDescent="0.2">
      <c r="B32" s="71"/>
      <c r="C32" s="71"/>
      <c r="D32" s="71"/>
      <c r="E32" s="71"/>
      <c r="F32" s="71"/>
      <c r="G32" s="71"/>
      <c r="H32" s="71"/>
      <c r="I32" s="71"/>
      <c r="J32" s="71"/>
      <c r="K32" s="71"/>
      <c r="L32" s="71"/>
      <c r="M32" s="71"/>
      <c r="N32" s="71"/>
      <c r="O32" s="71"/>
      <c r="P32" s="283"/>
      <c r="R32" s="12"/>
      <c r="T32" s="25"/>
      <c r="U32" s="25"/>
      <c r="V32" s="25"/>
      <c r="W32" s="309"/>
      <c r="X32" s="123"/>
      <c r="Y32" s="123"/>
      <c r="Z32" s="123"/>
      <c r="AA32" s="220"/>
      <c r="AB32" s="123"/>
      <c r="AC32" s="123"/>
      <c r="AD32" s="123"/>
      <c r="AE32" s="123"/>
      <c r="AF32" s="123"/>
      <c r="AG32" s="123"/>
      <c r="AH32" s="123"/>
      <c r="AI32" s="123"/>
      <c r="AJ32" s="123"/>
      <c r="AK32" s="123"/>
      <c r="AL32" s="123"/>
      <c r="AM32" s="123"/>
      <c r="AN32" s="123"/>
      <c r="AO32" s="123"/>
      <c r="AP32" s="123"/>
      <c r="AQ32" s="14"/>
      <c r="AT32" s="24"/>
      <c r="AU32" s="24"/>
      <c r="AV32" s="24"/>
    </row>
    <row r="33" spans="2:48" x14ac:dyDescent="0.2">
      <c r="B33" s="71"/>
      <c r="C33" s="71"/>
      <c r="D33" s="71"/>
      <c r="E33" s="71"/>
      <c r="F33" s="71"/>
      <c r="G33" s="71"/>
      <c r="H33" s="71"/>
      <c r="I33" s="71"/>
      <c r="J33" s="71"/>
      <c r="K33" s="71"/>
      <c r="L33" s="71"/>
      <c r="M33" s="71"/>
      <c r="N33" s="71"/>
      <c r="O33" s="71"/>
      <c r="P33" s="283"/>
      <c r="R33" s="12"/>
      <c r="T33" s="25" t="s">
        <v>0</v>
      </c>
      <c r="U33" s="25"/>
      <c r="V33" s="25" t="s">
        <v>9</v>
      </c>
      <c r="W33" s="309" t="s">
        <v>21</v>
      </c>
      <c r="X33" s="297">
        <f t="shared" ref="X33:AQ33" si="0">VLOOKUP(X$31&amp;"AllSex"&amp;"AllEth"&amp;19,agesextable,6,FALSE)</f>
        <v>540</v>
      </c>
      <c r="Y33" s="297">
        <f t="shared" si="0"/>
        <v>562</v>
      </c>
      <c r="Z33" s="297">
        <f t="shared" si="0"/>
        <v>579</v>
      </c>
      <c r="AA33" s="297">
        <f t="shared" si="0"/>
        <v>517</v>
      </c>
      <c r="AB33" s="297">
        <f t="shared" si="0"/>
        <v>459</v>
      </c>
      <c r="AC33" s="297">
        <f t="shared" si="0"/>
        <v>508</v>
      </c>
      <c r="AD33" s="297">
        <f t="shared" si="0"/>
        <v>470</v>
      </c>
      <c r="AE33" s="297">
        <f t="shared" si="0"/>
        <v>522</v>
      </c>
      <c r="AF33" s="297">
        <f t="shared" si="0"/>
        <v>494</v>
      </c>
      <c r="AG33" s="297">
        <f t="shared" si="0"/>
        <v>515</v>
      </c>
      <c r="AH33" s="297">
        <f t="shared" si="0"/>
        <v>524</v>
      </c>
      <c r="AI33" s="297">
        <f t="shared" si="0"/>
        <v>501</v>
      </c>
      <c r="AJ33" s="297">
        <f t="shared" si="0"/>
        <v>518</v>
      </c>
      <c r="AK33" s="297">
        <f t="shared" si="0"/>
        <v>512</v>
      </c>
      <c r="AL33" s="297">
        <f t="shared" si="0"/>
        <v>534</v>
      </c>
      <c r="AM33" s="297">
        <f t="shared" si="0"/>
        <v>494</v>
      </c>
      <c r="AN33" s="297">
        <f t="shared" si="0"/>
        <v>550</v>
      </c>
      <c r="AO33" s="297">
        <f t="shared" si="0"/>
        <v>514</v>
      </c>
      <c r="AP33" s="297">
        <f t="shared" si="0"/>
        <v>509</v>
      </c>
      <c r="AQ33" s="297">
        <f t="shared" si="0"/>
        <v>525</v>
      </c>
      <c r="AT33" s="24"/>
      <c r="AU33" s="24"/>
      <c r="AV33" s="24"/>
    </row>
    <row r="34" spans="2:48" x14ac:dyDescent="0.2">
      <c r="B34" s="71"/>
      <c r="C34" s="71"/>
      <c r="D34" s="78"/>
      <c r="E34" s="78"/>
      <c r="F34" s="78"/>
      <c r="G34" s="78"/>
      <c r="H34" s="78"/>
      <c r="I34" s="78"/>
      <c r="J34" s="78"/>
      <c r="K34" s="78"/>
      <c r="L34" s="78"/>
      <c r="M34" s="71"/>
      <c r="N34" s="71"/>
      <c r="O34" s="71"/>
      <c r="P34" s="283"/>
      <c r="R34" s="12"/>
      <c r="T34" s="25" t="s">
        <v>20</v>
      </c>
      <c r="U34" s="25"/>
      <c r="V34" s="25"/>
      <c r="W34" s="31"/>
      <c r="X34" s="124">
        <f t="shared" ref="X34:AQ34" si="1">VLOOKUP(X31&amp;"Male"&amp;"AllEth"&amp;19,agesextable,6,FALSE)</f>
        <v>429</v>
      </c>
      <c r="Y34" s="124">
        <f t="shared" si="1"/>
        <v>441</v>
      </c>
      <c r="Z34" s="124">
        <f t="shared" si="1"/>
        <v>446</v>
      </c>
      <c r="AA34" s="124">
        <f t="shared" si="1"/>
        <v>385</v>
      </c>
      <c r="AB34" s="124">
        <f t="shared" si="1"/>
        <v>376</v>
      </c>
      <c r="AC34" s="124">
        <f t="shared" si="1"/>
        <v>390</v>
      </c>
      <c r="AD34" s="124">
        <f t="shared" si="1"/>
        <v>356</v>
      </c>
      <c r="AE34" s="124">
        <f t="shared" si="1"/>
        <v>380</v>
      </c>
      <c r="AF34" s="124">
        <f t="shared" si="1"/>
        <v>382</v>
      </c>
      <c r="AG34" s="124">
        <f t="shared" si="1"/>
        <v>383</v>
      </c>
      <c r="AH34" s="124">
        <f t="shared" si="1"/>
        <v>387</v>
      </c>
      <c r="AI34" s="124">
        <f t="shared" si="1"/>
        <v>381</v>
      </c>
      <c r="AJ34" s="124">
        <f t="shared" si="1"/>
        <v>379</v>
      </c>
      <c r="AK34" s="124">
        <f t="shared" si="1"/>
        <v>394</v>
      </c>
      <c r="AL34" s="124">
        <f t="shared" si="1"/>
        <v>387</v>
      </c>
      <c r="AM34" s="124">
        <f t="shared" si="1"/>
        <v>377</v>
      </c>
      <c r="AN34" s="124">
        <f t="shared" si="1"/>
        <v>405</v>
      </c>
      <c r="AO34" s="124">
        <f t="shared" si="1"/>
        <v>366</v>
      </c>
      <c r="AP34" s="124">
        <f t="shared" si="1"/>
        <v>379</v>
      </c>
      <c r="AQ34" s="124">
        <f t="shared" si="1"/>
        <v>383</v>
      </c>
      <c r="AT34" s="24"/>
      <c r="AU34" s="24"/>
      <c r="AV34" s="24"/>
    </row>
    <row r="35" spans="2:48" x14ac:dyDescent="0.2">
      <c r="B35" s="71"/>
      <c r="C35" s="71"/>
      <c r="D35" s="71"/>
      <c r="E35" s="71"/>
      <c r="F35" s="71"/>
      <c r="G35" s="71"/>
      <c r="H35" s="71"/>
      <c r="I35" s="71"/>
      <c r="J35" s="71"/>
      <c r="K35" s="71"/>
      <c r="L35" s="71"/>
      <c r="M35" s="71"/>
      <c r="N35" s="71"/>
      <c r="O35" s="71"/>
      <c r="P35" s="283"/>
      <c r="R35" s="12"/>
      <c r="T35" s="25" t="s">
        <v>8</v>
      </c>
      <c r="U35" s="25"/>
      <c r="V35" s="25"/>
      <c r="W35" s="31"/>
      <c r="X35" s="124">
        <f t="shared" ref="X35:AQ35" si="2">VLOOKUP(X31&amp;"Female"&amp;"AllEth"&amp;19,agesextable,6,FALSE)</f>
        <v>111</v>
      </c>
      <c r="Y35" s="124">
        <f t="shared" si="2"/>
        <v>121</v>
      </c>
      <c r="Z35" s="124">
        <f t="shared" si="2"/>
        <v>133</v>
      </c>
      <c r="AA35" s="124">
        <f t="shared" si="2"/>
        <v>132</v>
      </c>
      <c r="AB35" s="124">
        <f t="shared" si="2"/>
        <v>83</v>
      </c>
      <c r="AC35" s="124">
        <f t="shared" si="2"/>
        <v>118</v>
      </c>
      <c r="AD35" s="124">
        <f t="shared" si="2"/>
        <v>114</v>
      </c>
      <c r="AE35" s="124">
        <f t="shared" si="2"/>
        <v>142</v>
      </c>
      <c r="AF35" s="124">
        <f t="shared" si="2"/>
        <v>112</v>
      </c>
      <c r="AG35" s="124">
        <f t="shared" si="2"/>
        <v>132</v>
      </c>
      <c r="AH35" s="124">
        <f t="shared" si="2"/>
        <v>137</v>
      </c>
      <c r="AI35" s="124">
        <f t="shared" si="2"/>
        <v>120</v>
      </c>
      <c r="AJ35" s="124">
        <f t="shared" si="2"/>
        <v>139</v>
      </c>
      <c r="AK35" s="124">
        <f t="shared" si="2"/>
        <v>118</v>
      </c>
      <c r="AL35" s="124">
        <f t="shared" si="2"/>
        <v>147</v>
      </c>
      <c r="AM35" s="124">
        <f t="shared" si="2"/>
        <v>117</v>
      </c>
      <c r="AN35" s="124">
        <f t="shared" si="2"/>
        <v>145</v>
      </c>
      <c r="AO35" s="124">
        <f t="shared" si="2"/>
        <v>148</v>
      </c>
      <c r="AP35" s="124">
        <f t="shared" si="2"/>
        <v>130</v>
      </c>
      <c r="AQ35" s="124">
        <f t="shared" si="2"/>
        <v>142</v>
      </c>
      <c r="AT35" s="24"/>
      <c r="AU35" s="24"/>
      <c r="AV35" s="24"/>
    </row>
    <row r="36" spans="2:48" x14ac:dyDescent="0.2">
      <c r="B36" s="71"/>
      <c r="C36" s="71"/>
      <c r="D36" s="71"/>
      <c r="E36" s="71"/>
      <c r="F36" s="71"/>
      <c r="G36" s="71"/>
      <c r="H36" s="71"/>
      <c r="I36" s="71"/>
      <c r="J36" s="71"/>
      <c r="K36" s="71"/>
      <c r="L36" s="71"/>
      <c r="M36" s="71"/>
      <c r="N36" s="71"/>
      <c r="O36" s="71"/>
      <c r="P36" s="283"/>
      <c r="R36" s="12"/>
      <c r="T36" s="28"/>
      <c r="U36" s="28"/>
      <c r="V36" s="28"/>
      <c r="W36" s="28"/>
      <c r="X36" s="128"/>
      <c r="Y36" s="128"/>
      <c r="Z36" s="128"/>
      <c r="AA36" s="128"/>
      <c r="AB36" s="128"/>
      <c r="AC36" s="128"/>
      <c r="AD36" s="128"/>
      <c r="AE36" s="128"/>
      <c r="AF36" s="128"/>
      <c r="AG36" s="128"/>
      <c r="AH36" s="128"/>
      <c r="AI36" s="128"/>
      <c r="AJ36" s="128"/>
      <c r="AK36" s="128"/>
      <c r="AL36" s="128"/>
      <c r="AM36" s="128"/>
      <c r="AN36" s="128"/>
      <c r="AO36" s="128"/>
      <c r="AP36" s="128"/>
      <c r="AQ36" s="26"/>
      <c r="AT36" s="24"/>
      <c r="AU36" s="24"/>
      <c r="AV36" s="24"/>
    </row>
    <row r="37" spans="2:48" x14ac:dyDescent="0.2">
      <c r="B37" s="71"/>
      <c r="C37" s="71"/>
      <c r="D37" s="71"/>
      <c r="E37" s="71"/>
      <c r="F37" s="71"/>
      <c r="G37" s="71"/>
      <c r="H37" s="71"/>
      <c r="I37" s="71"/>
      <c r="J37" s="71"/>
      <c r="K37" s="71"/>
      <c r="L37" s="71"/>
      <c r="M37" s="71"/>
      <c r="N37" s="71"/>
      <c r="O37" s="71"/>
      <c r="P37" s="283"/>
      <c r="R37" s="12"/>
      <c r="T37" s="25" t="s">
        <v>0</v>
      </c>
      <c r="U37" s="25"/>
      <c r="V37" s="25" t="s">
        <v>9</v>
      </c>
      <c r="W37" s="31" t="s">
        <v>22</v>
      </c>
      <c r="X37" s="46">
        <f t="shared" ref="X37:AQ37" si="3">VLOOKUP(X31&amp;"AllSex"&amp;"AllEth"&amp;19,agesextable,7,FALSE)</f>
        <v>14.1955765609588</v>
      </c>
      <c r="Y37" s="46">
        <f t="shared" si="3"/>
        <v>14.7420910684024</v>
      </c>
      <c r="Z37" s="46">
        <f t="shared" si="3"/>
        <v>15.0505296495582</v>
      </c>
      <c r="AA37" s="46">
        <f t="shared" si="3"/>
        <v>13.3447308402635</v>
      </c>
      <c r="AB37" s="46">
        <f t="shared" si="3"/>
        <v>11.849825329552701</v>
      </c>
      <c r="AC37" s="46">
        <f t="shared" si="3"/>
        <v>12.883752602379101</v>
      </c>
      <c r="AD37" s="46">
        <f t="shared" si="3"/>
        <v>11.6928074680746</v>
      </c>
      <c r="AE37" s="46">
        <f t="shared" si="3"/>
        <v>12.438164727895</v>
      </c>
      <c r="AF37" s="46">
        <f t="shared" si="3"/>
        <v>11.7975245433749</v>
      </c>
      <c r="AG37" s="46">
        <f t="shared" si="3"/>
        <v>12.193157353861301</v>
      </c>
      <c r="AH37" s="46">
        <f t="shared" si="3"/>
        <v>12.199561585611701</v>
      </c>
      <c r="AI37" s="46">
        <f t="shared" si="3"/>
        <v>11.3776715520784</v>
      </c>
      <c r="AJ37" s="46">
        <f t="shared" si="3"/>
        <v>11.809655272717</v>
      </c>
      <c r="AK37" s="46">
        <f t="shared" si="3"/>
        <v>11.484055558810701</v>
      </c>
      <c r="AL37" s="46">
        <f t="shared" si="3"/>
        <v>11.9073434349195</v>
      </c>
      <c r="AM37" s="46">
        <f t="shared" si="3"/>
        <v>11.118020247642701</v>
      </c>
      <c r="AN37" s="46">
        <f t="shared" si="3"/>
        <v>12.338278444361899</v>
      </c>
      <c r="AO37" s="46">
        <f t="shared" si="3"/>
        <v>11.034032541703001</v>
      </c>
      <c r="AP37" s="46">
        <f t="shared" si="3"/>
        <v>10.7943716813274</v>
      </c>
      <c r="AQ37" s="46">
        <f t="shared" si="3"/>
        <v>11.023796328985499</v>
      </c>
      <c r="AT37" s="46"/>
      <c r="AU37" s="24"/>
      <c r="AV37" s="24"/>
    </row>
    <row r="38" spans="2:48" x14ac:dyDescent="0.2">
      <c r="B38" s="71"/>
      <c r="C38" s="71"/>
      <c r="D38" s="71"/>
      <c r="E38" s="71"/>
      <c r="F38" s="71"/>
      <c r="G38" s="71"/>
      <c r="H38" s="71"/>
      <c r="I38" s="71"/>
      <c r="J38" s="71"/>
      <c r="K38" s="71"/>
      <c r="L38" s="71"/>
      <c r="M38" s="71"/>
      <c r="N38" s="71"/>
      <c r="O38" s="71"/>
      <c r="P38" s="283"/>
      <c r="R38" s="12"/>
      <c r="T38" s="25" t="s">
        <v>20</v>
      </c>
      <c r="U38" s="25"/>
      <c r="V38" s="25"/>
      <c r="W38" s="31"/>
      <c r="X38" s="46">
        <f t="shared" ref="X38:AQ38" si="4">VLOOKUP(X31&amp;"Male"&amp;"AllEth"&amp;19,agesextable,7,FALSE)</f>
        <v>22.945293453419598</v>
      </c>
      <c r="Y38" s="46">
        <f t="shared" si="4"/>
        <v>23.553351547621599</v>
      </c>
      <c r="Z38" s="46">
        <f t="shared" si="4"/>
        <v>23.645478379784802</v>
      </c>
      <c r="AA38" s="46">
        <f t="shared" si="4"/>
        <v>20.3315431402172</v>
      </c>
      <c r="AB38" s="46">
        <f t="shared" si="4"/>
        <v>19.947436156558702</v>
      </c>
      <c r="AC38" s="46">
        <f t="shared" si="4"/>
        <v>20.356398349177098</v>
      </c>
      <c r="AD38" s="46">
        <f t="shared" si="4"/>
        <v>18.167720892576899</v>
      </c>
      <c r="AE38" s="46">
        <f t="shared" si="4"/>
        <v>18.574084657112099</v>
      </c>
      <c r="AF38" s="46">
        <f t="shared" si="4"/>
        <v>18.725315817265901</v>
      </c>
      <c r="AG38" s="46">
        <f t="shared" si="4"/>
        <v>18.722380905625801</v>
      </c>
      <c r="AH38" s="46">
        <f t="shared" si="4"/>
        <v>18.521171460464299</v>
      </c>
      <c r="AI38" s="46">
        <f t="shared" si="4"/>
        <v>17.981880281474702</v>
      </c>
      <c r="AJ38" s="46">
        <f t="shared" si="4"/>
        <v>17.700121249097698</v>
      </c>
      <c r="AK38" s="46">
        <f t="shared" si="4"/>
        <v>18.249471294450601</v>
      </c>
      <c r="AL38" s="46">
        <f t="shared" si="4"/>
        <v>17.638688314312301</v>
      </c>
      <c r="AM38" s="46">
        <f t="shared" si="4"/>
        <v>17.402217133944198</v>
      </c>
      <c r="AN38" s="46">
        <f t="shared" si="4"/>
        <v>18.616289554563799</v>
      </c>
      <c r="AO38" s="46">
        <f t="shared" si="4"/>
        <v>15.948704143969101</v>
      </c>
      <c r="AP38" s="46">
        <f t="shared" si="4"/>
        <v>16.462028222989101</v>
      </c>
      <c r="AQ38" s="46">
        <f t="shared" si="4"/>
        <v>16.341274903858402</v>
      </c>
      <c r="AT38" s="46"/>
      <c r="AU38" s="24"/>
      <c r="AV38" s="24"/>
    </row>
    <row r="39" spans="2:48" x14ac:dyDescent="0.2">
      <c r="B39" s="71"/>
      <c r="C39" s="71"/>
      <c r="D39" s="71"/>
      <c r="E39" s="71"/>
      <c r="F39" s="71"/>
      <c r="G39" s="71"/>
      <c r="H39" s="71"/>
      <c r="I39" s="71"/>
      <c r="J39" s="71"/>
      <c r="K39" s="71"/>
      <c r="L39" s="71"/>
      <c r="M39" s="71"/>
      <c r="N39" s="71"/>
      <c r="O39" s="71"/>
      <c r="P39" s="283"/>
      <c r="R39" s="12"/>
      <c r="T39" s="25" t="s">
        <v>8</v>
      </c>
      <c r="U39" s="25"/>
      <c r="V39" s="25"/>
      <c r="W39" s="166"/>
      <c r="X39" s="46">
        <f t="shared" ref="X39:AQ39" si="5">VLOOKUP(X31&amp;"Female"&amp;"AllEth"&amp;19,agesextable,7,FALSE)</f>
        <v>5.8886653384406102</v>
      </c>
      <c r="Y39" s="46">
        <f t="shared" si="5"/>
        <v>6.2967087648044799</v>
      </c>
      <c r="Z39" s="46">
        <f t="shared" si="5"/>
        <v>6.7999900162587199</v>
      </c>
      <c r="AA39" s="46">
        <f t="shared" si="5"/>
        <v>6.7167156494892</v>
      </c>
      <c r="AB39" s="46">
        <f t="shared" si="5"/>
        <v>4.1665204234231998</v>
      </c>
      <c r="AC39" s="46">
        <f t="shared" si="5"/>
        <v>5.8286706673737303</v>
      </c>
      <c r="AD39" s="46">
        <f t="shared" si="5"/>
        <v>5.6012768971608997</v>
      </c>
      <c r="AE39" s="46">
        <f t="shared" si="5"/>
        <v>6.6355676799870498</v>
      </c>
      <c r="AF39" s="46">
        <f t="shared" si="5"/>
        <v>5.3216551470799702</v>
      </c>
      <c r="AG39" s="46">
        <f t="shared" si="5"/>
        <v>5.9861646575977696</v>
      </c>
      <c r="AH39" s="46">
        <f t="shared" si="5"/>
        <v>6.2050827070238999</v>
      </c>
      <c r="AI39" s="46">
        <f t="shared" si="5"/>
        <v>5.16144825407138</v>
      </c>
      <c r="AJ39" s="46">
        <f t="shared" si="5"/>
        <v>6.26512973729122</v>
      </c>
      <c r="AK39" s="46">
        <f t="shared" si="5"/>
        <v>5.08858477285475</v>
      </c>
      <c r="AL39" s="46">
        <f t="shared" si="5"/>
        <v>6.5442717734968303</v>
      </c>
      <c r="AM39" s="46">
        <f t="shared" si="5"/>
        <v>5.1499552709199499</v>
      </c>
      <c r="AN39" s="46">
        <f t="shared" si="5"/>
        <v>6.37288192291782</v>
      </c>
      <c r="AO39" s="46">
        <f t="shared" si="5"/>
        <v>6.4674511523826501</v>
      </c>
      <c r="AP39" s="46">
        <f t="shared" si="5"/>
        <v>5.4320300052619803</v>
      </c>
      <c r="AQ39" s="46">
        <f t="shared" si="5"/>
        <v>5.9998856620394596</v>
      </c>
      <c r="AT39" s="46"/>
      <c r="AU39" s="24"/>
      <c r="AV39" s="24"/>
    </row>
    <row r="40" spans="2:48" x14ac:dyDescent="0.2">
      <c r="B40" s="71"/>
      <c r="C40" s="71"/>
      <c r="D40" s="71"/>
      <c r="E40" s="71"/>
      <c r="F40" s="71"/>
      <c r="G40" s="71"/>
      <c r="H40" s="71"/>
      <c r="I40" s="71"/>
      <c r="J40" s="71"/>
      <c r="K40" s="71"/>
      <c r="L40" s="71"/>
      <c r="M40" s="71"/>
      <c r="N40" s="71"/>
      <c r="O40" s="71"/>
      <c r="P40" s="283"/>
      <c r="R40" s="12"/>
      <c r="T40" s="25"/>
      <c r="U40" s="25"/>
      <c r="V40" s="25"/>
      <c r="W40" s="25"/>
      <c r="X40" s="24"/>
      <c r="Y40" s="24"/>
      <c r="Z40" s="24"/>
      <c r="AA40" s="24"/>
      <c r="AB40" s="24"/>
      <c r="AC40" s="24"/>
      <c r="AD40" s="24"/>
      <c r="AE40" s="24"/>
      <c r="AF40" s="24"/>
      <c r="AG40" s="24"/>
      <c r="AH40" s="24"/>
      <c r="AI40" s="24"/>
      <c r="AJ40" s="24"/>
      <c r="AK40" s="24"/>
      <c r="AL40" s="46"/>
      <c r="AM40" s="46"/>
      <c r="AN40" s="46"/>
      <c r="AO40" s="46"/>
      <c r="AP40" s="46"/>
      <c r="AQ40" s="30"/>
      <c r="AT40" s="24"/>
      <c r="AU40" s="24"/>
      <c r="AV40" s="24"/>
    </row>
    <row r="41" spans="2:48" x14ac:dyDescent="0.2">
      <c r="B41" s="71"/>
      <c r="C41" s="71"/>
      <c r="D41" s="71"/>
      <c r="E41" s="71"/>
      <c r="F41" s="71"/>
      <c r="G41" s="71"/>
      <c r="H41" s="71"/>
      <c r="I41" s="71"/>
      <c r="J41" s="71"/>
      <c r="K41" s="71"/>
      <c r="L41" s="71"/>
      <c r="M41" s="71"/>
      <c r="N41" s="71"/>
      <c r="O41" s="71"/>
      <c r="P41" s="283"/>
      <c r="R41" s="12"/>
      <c r="T41" s="196" t="s">
        <v>145</v>
      </c>
      <c r="U41" s="196"/>
      <c r="V41" s="271" t="s">
        <v>335</v>
      </c>
      <c r="W41" s="317"/>
      <c r="X41" s="301"/>
      <c r="Y41" s="196"/>
      <c r="Z41" s="196"/>
      <c r="AA41" s="286"/>
      <c r="AB41" s="286"/>
      <c r="AC41" s="286"/>
      <c r="AD41" s="286"/>
      <c r="AE41" s="286"/>
      <c r="AF41" s="299"/>
      <c r="AG41" s="299"/>
      <c r="AH41" s="299"/>
      <c r="AI41" s="299"/>
      <c r="AJ41" s="299"/>
      <c r="AK41" s="299"/>
      <c r="AL41" s="123"/>
      <c r="AM41" s="123"/>
      <c r="AN41" s="123"/>
      <c r="AO41" s="123"/>
      <c r="AP41" s="123"/>
      <c r="AQ41" s="30"/>
      <c r="AT41" s="24"/>
      <c r="AU41" s="24"/>
      <c r="AV41" s="24"/>
    </row>
    <row r="42" spans="2:48" x14ac:dyDescent="0.2">
      <c r="B42" s="71"/>
      <c r="C42" s="71"/>
      <c r="D42" s="71"/>
      <c r="E42" s="71"/>
      <c r="F42" s="71"/>
      <c r="G42" s="71"/>
      <c r="H42" s="71"/>
      <c r="I42" s="71"/>
      <c r="J42" s="71"/>
      <c r="K42" s="71"/>
      <c r="L42" s="71"/>
      <c r="M42" s="71"/>
      <c r="N42" s="71"/>
      <c r="O42" s="71"/>
      <c r="P42" s="283"/>
      <c r="R42" s="12"/>
      <c r="T42" s="196"/>
      <c r="U42" s="196"/>
      <c r="V42" s="271" t="s">
        <v>108</v>
      </c>
      <c r="W42" s="271"/>
      <c r="X42" s="301"/>
      <c r="Y42" s="196"/>
      <c r="Z42" s="196"/>
      <c r="AA42" s="286"/>
      <c r="AB42" s="286"/>
      <c r="AC42" s="286"/>
      <c r="AD42" s="286"/>
      <c r="AE42" s="286"/>
      <c r="AF42" s="300"/>
      <c r="AG42" s="300"/>
      <c r="AH42" s="300"/>
      <c r="AI42" s="300"/>
      <c r="AJ42" s="300"/>
      <c r="AK42" s="300"/>
      <c r="AL42" s="123"/>
      <c r="AM42" s="123"/>
      <c r="AN42" s="123"/>
      <c r="AO42" s="123"/>
      <c r="AP42" s="123"/>
      <c r="AQ42" s="30"/>
      <c r="AT42" s="24"/>
      <c r="AU42" s="24"/>
      <c r="AV42" s="24"/>
    </row>
    <row r="43" spans="2:48" ht="13.5" customHeight="1" x14ac:dyDescent="0.2">
      <c r="B43" s="71"/>
      <c r="C43" s="79"/>
      <c r="D43" s="78"/>
      <c r="E43" s="80"/>
      <c r="F43" s="80"/>
      <c r="G43" s="71"/>
      <c r="H43" s="71"/>
      <c r="I43" s="71"/>
      <c r="J43" s="71"/>
      <c r="K43" s="71"/>
      <c r="L43" s="71"/>
      <c r="M43" s="71"/>
      <c r="N43" s="71"/>
      <c r="O43" s="71"/>
      <c r="P43" s="283"/>
      <c r="R43" s="12"/>
      <c r="T43" s="443" t="s">
        <v>150</v>
      </c>
      <c r="U43" s="443"/>
      <c r="V43" s="271" t="s">
        <v>149</v>
      </c>
      <c r="W43" s="271"/>
      <c r="X43" s="301"/>
      <c r="Y43" s="196"/>
      <c r="Z43" s="196"/>
      <c r="AA43" s="286"/>
      <c r="AB43" s="286"/>
      <c r="AC43" s="286"/>
      <c r="AD43" s="286"/>
      <c r="AE43" s="286"/>
      <c r="AF43" s="300"/>
      <c r="AG43" s="300"/>
      <c r="AH43" s="300"/>
      <c r="AI43" s="300"/>
      <c r="AJ43" s="300"/>
      <c r="AK43" s="300"/>
      <c r="AL43" s="24"/>
      <c r="AM43" s="24"/>
      <c r="AN43" s="24"/>
      <c r="AO43" s="24"/>
      <c r="AP43" s="24"/>
      <c r="AQ43" s="24"/>
      <c r="AT43" s="24"/>
      <c r="AU43" s="24"/>
      <c r="AV43" s="24"/>
    </row>
    <row r="44" spans="2:48" x14ac:dyDescent="0.2">
      <c r="B44" s="71"/>
      <c r="C44" s="84" t="s">
        <v>145</v>
      </c>
      <c r="D44" s="84" t="s">
        <v>335</v>
      </c>
      <c r="E44" s="78"/>
      <c r="F44" s="78"/>
      <c r="G44" s="71"/>
      <c r="H44" s="71"/>
      <c r="I44" s="71"/>
      <c r="J44" s="71"/>
      <c r="K44" s="71"/>
      <c r="L44" s="71"/>
      <c r="M44" s="71"/>
      <c r="N44" s="71"/>
      <c r="O44" s="71"/>
      <c r="P44" s="283"/>
      <c r="R44" s="12"/>
      <c r="T44" s="20"/>
      <c r="U44" s="20"/>
      <c r="V44" s="272"/>
      <c r="W44" s="272"/>
      <c r="X44" s="272"/>
      <c r="Y44" s="316"/>
      <c r="Z44" s="316"/>
      <c r="AA44" s="316"/>
      <c r="AB44" s="316"/>
      <c r="AC44" s="316"/>
      <c r="AD44" s="316"/>
      <c r="AE44" s="316"/>
      <c r="AF44" s="316"/>
      <c r="AG44" s="316"/>
      <c r="AH44" s="316"/>
      <c r="AI44" s="316"/>
      <c r="AJ44" s="316"/>
      <c r="AK44" s="316"/>
      <c r="AL44" s="316"/>
      <c r="AM44" s="26"/>
      <c r="AN44" s="26"/>
      <c r="AO44" s="26"/>
      <c r="AP44" s="26"/>
      <c r="AQ44" s="26"/>
      <c r="AR44" s="30"/>
      <c r="AT44" s="24"/>
      <c r="AU44" s="24"/>
      <c r="AV44" s="24"/>
    </row>
    <row r="45" spans="2:48" x14ac:dyDescent="0.2">
      <c r="B45" s="71"/>
      <c r="C45" s="71"/>
      <c r="D45" s="84" t="s">
        <v>108</v>
      </c>
      <c r="E45" s="71"/>
      <c r="F45" s="78"/>
      <c r="G45" s="71"/>
      <c r="H45" s="71"/>
      <c r="I45" s="71"/>
      <c r="J45" s="71"/>
      <c r="K45" s="71"/>
      <c r="L45" s="71"/>
      <c r="M45" s="71"/>
      <c r="N45" s="71"/>
      <c r="O45" s="71"/>
      <c r="P45" s="283"/>
      <c r="R45" s="12"/>
      <c r="W45" s="25"/>
      <c r="X45" s="25"/>
      <c r="Y45" s="25"/>
      <c r="Z45" s="24"/>
      <c r="AA45" s="24"/>
      <c r="AB45" s="24"/>
      <c r="AC45" s="24"/>
      <c r="AD45" s="24"/>
      <c r="AE45" s="24"/>
      <c r="AF45" s="24"/>
      <c r="AG45" s="24"/>
      <c r="AH45" s="24"/>
      <c r="AI45" s="24"/>
      <c r="AJ45" s="24"/>
      <c r="AK45" s="24"/>
      <c r="AL45" s="24"/>
      <c r="AM45" s="24"/>
      <c r="AN45" s="24"/>
      <c r="AO45" s="24"/>
      <c r="AP45" s="24"/>
      <c r="AQ45" s="24"/>
      <c r="AR45" s="24"/>
      <c r="AS45" s="24"/>
      <c r="AT45" s="24"/>
      <c r="AU45" s="24"/>
      <c r="AV45" s="24"/>
    </row>
    <row r="46" spans="2:48" x14ac:dyDescent="0.2">
      <c r="B46" s="71"/>
      <c r="C46" s="79" t="s">
        <v>150</v>
      </c>
      <c r="D46" s="84" t="s">
        <v>149</v>
      </c>
      <c r="E46" s="71"/>
      <c r="F46" s="78"/>
      <c r="G46" s="71"/>
      <c r="H46" s="71"/>
      <c r="I46" s="71"/>
      <c r="J46" s="71"/>
      <c r="K46" s="71"/>
      <c r="L46" s="71"/>
      <c r="M46" s="71"/>
      <c r="N46" s="71"/>
      <c r="O46" s="71"/>
      <c r="P46" s="283"/>
      <c r="R46" s="12"/>
      <c r="W46" s="25"/>
      <c r="X46" s="25"/>
      <c r="Y46" s="25"/>
      <c r="Z46" s="24"/>
      <c r="AA46" s="24"/>
      <c r="AB46" s="24"/>
      <c r="AC46" s="24"/>
      <c r="AD46" s="24"/>
      <c r="AE46" s="24"/>
      <c r="AF46" s="24"/>
      <c r="AG46" s="24"/>
      <c r="AH46" s="24"/>
      <c r="AI46" s="24"/>
      <c r="AJ46" s="24"/>
      <c r="AK46" s="24"/>
      <c r="AL46" s="24"/>
      <c r="AM46" s="24"/>
      <c r="AN46" s="24"/>
      <c r="AO46" s="24"/>
      <c r="AP46" s="24"/>
      <c r="AQ46" s="24"/>
      <c r="AR46" s="24"/>
      <c r="AS46" s="24"/>
      <c r="AT46" s="24"/>
      <c r="AU46" s="24"/>
      <c r="AV46" s="24"/>
    </row>
    <row r="47" spans="2:48" x14ac:dyDescent="0.2">
      <c r="B47" s="71"/>
      <c r="C47" s="79"/>
      <c r="D47" s="84"/>
      <c r="E47" s="71"/>
      <c r="F47" s="78"/>
      <c r="G47" s="71"/>
      <c r="H47" s="71"/>
      <c r="I47" s="71"/>
      <c r="J47" s="71"/>
      <c r="K47" s="71"/>
      <c r="L47" s="71"/>
      <c r="M47" s="71"/>
      <c r="N47" s="71"/>
      <c r="O47" s="71"/>
      <c r="P47" s="283"/>
      <c r="R47" s="12"/>
    </row>
    <row r="48" spans="2:48" x14ac:dyDescent="0.2">
      <c r="C48" s="180"/>
      <c r="D48" s="301"/>
      <c r="E48" s="196"/>
      <c r="F48" s="180"/>
      <c r="G48" s="240"/>
      <c r="H48" s="180"/>
      <c r="I48" s="180"/>
      <c r="J48" s="180"/>
      <c r="K48" s="180"/>
      <c r="L48" s="180"/>
      <c r="M48" s="180"/>
      <c r="N48" s="180"/>
      <c r="O48" s="180"/>
      <c r="P48" s="180"/>
      <c r="Q48" s="451"/>
      <c r="R48" s="12"/>
    </row>
    <row r="49" spans="2:48" ht="15" x14ac:dyDescent="0.25">
      <c r="P49" s="31"/>
      <c r="Q49" s="452"/>
      <c r="R49" s="45"/>
      <c r="T49" s="298" t="s">
        <v>393</v>
      </c>
      <c r="U49" s="298"/>
      <c r="X49" s="12"/>
      <c r="Y49" s="12"/>
    </row>
    <row r="50" spans="2:48" x14ac:dyDescent="0.2">
      <c r="B50" s="71"/>
      <c r="C50" s="71"/>
      <c r="D50" s="71"/>
      <c r="E50" s="71"/>
      <c r="F50" s="71"/>
      <c r="G50" s="71"/>
      <c r="H50" s="71"/>
      <c r="I50" s="71"/>
      <c r="J50" s="71"/>
      <c r="K50" s="71"/>
      <c r="L50" s="71"/>
      <c r="M50" s="71"/>
      <c r="N50" s="242"/>
      <c r="O50" s="244"/>
      <c r="P50" s="71"/>
      <c r="R50" s="45"/>
      <c r="T50" s="45"/>
      <c r="U50" s="45"/>
      <c r="W50" s="31"/>
      <c r="X50" s="124"/>
      <c r="Y50" s="124"/>
      <c r="Z50" s="124"/>
      <c r="AA50" s="124"/>
      <c r="AB50" s="124"/>
      <c r="AC50" s="124"/>
      <c r="AD50" s="124"/>
      <c r="AE50" s="124"/>
      <c r="AF50" s="124"/>
      <c r="AG50" s="124"/>
      <c r="AH50" s="124"/>
      <c r="AI50" s="124"/>
      <c r="AJ50" s="124"/>
      <c r="AK50" s="124"/>
      <c r="AL50" s="124"/>
      <c r="AM50" s="124"/>
      <c r="AN50" s="124"/>
      <c r="AO50" s="124"/>
      <c r="AP50" s="124"/>
      <c r="AQ50" s="33"/>
    </row>
    <row r="51" spans="2:48" ht="30.75" customHeight="1" x14ac:dyDescent="0.2">
      <c r="B51" s="71"/>
      <c r="C51" s="93" t="s">
        <v>100</v>
      </c>
      <c r="D51" s="78"/>
      <c r="E51" s="71"/>
      <c r="F51" s="71"/>
      <c r="G51" s="71"/>
      <c r="H51" s="71"/>
      <c r="I51" s="71"/>
      <c r="J51" s="526" t="s">
        <v>362</v>
      </c>
      <c r="K51" s="525"/>
      <c r="L51" s="525"/>
      <c r="M51" s="525"/>
      <c r="N51" s="525"/>
      <c r="O51" s="525"/>
      <c r="P51" s="525"/>
      <c r="R51" s="45"/>
      <c r="T51" s="318" t="s">
        <v>3</v>
      </c>
      <c r="U51" s="318"/>
      <c r="V51" s="318"/>
      <c r="W51" s="310"/>
      <c r="X51" s="305">
        <v>1996</v>
      </c>
      <c r="Y51" s="305">
        <v>1997</v>
      </c>
      <c r="Z51" s="305">
        <v>1998</v>
      </c>
      <c r="AA51" s="305">
        <v>1999</v>
      </c>
      <c r="AB51" s="305">
        <v>2000</v>
      </c>
      <c r="AC51" s="305">
        <v>2001</v>
      </c>
      <c r="AD51" s="305">
        <v>2002</v>
      </c>
      <c r="AE51" s="305">
        <v>2003</v>
      </c>
      <c r="AF51" s="305">
        <v>2004</v>
      </c>
      <c r="AG51" s="305">
        <v>2005</v>
      </c>
      <c r="AH51" s="305">
        <v>2006</v>
      </c>
      <c r="AI51" s="305">
        <v>2007</v>
      </c>
      <c r="AJ51" s="305">
        <v>2008</v>
      </c>
      <c r="AK51" s="305">
        <v>2009</v>
      </c>
      <c r="AL51" s="305">
        <v>2010</v>
      </c>
      <c r="AM51" s="305">
        <v>2011</v>
      </c>
      <c r="AN51" s="305">
        <v>2012</v>
      </c>
      <c r="AO51" s="305">
        <v>2013</v>
      </c>
      <c r="AP51" s="192">
        <v>2014</v>
      </c>
      <c r="AQ51" s="192">
        <v>2015</v>
      </c>
      <c r="AU51" s="254"/>
      <c r="AV51" s="254"/>
    </row>
    <row r="52" spans="2:48" ht="13.5" customHeight="1" x14ac:dyDescent="0.2">
      <c r="B52" s="80"/>
      <c r="C52" s="80"/>
      <c r="D52" s="80"/>
      <c r="E52" s="80"/>
      <c r="F52" s="80"/>
      <c r="G52" s="80"/>
      <c r="H52" s="80"/>
      <c r="I52" s="86"/>
      <c r="J52" s="86"/>
      <c r="K52" s="71"/>
      <c r="L52" s="71"/>
      <c r="M52" s="71"/>
      <c r="N52" s="242"/>
      <c r="O52" s="243"/>
      <c r="P52" s="71"/>
      <c r="R52" s="45"/>
      <c r="T52" s="25" t="s">
        <v>0</v>
      </c>
      <c r="U52" s="25"/>
      <c r="V52" s="25" t="s">
        <v>9</v>
      </c>
      <c r="W52" s="31" t="s">
        <v>21</v>
      </c>
      <c r="X52" s="124">
        <f t="shared" ref="X52:AQ52" si="6">VLOOKUP(X51&amp;"AllSex"&amp;"Maori"&amp;19,agesextable,6,FALSE)</f>
        <v>97</v>
      </c>
      <c r="Y52" s="124">
        <f t="shared" si="6"/>
        <v>106</v>
      </c>
      <c r="Z52" s="124">
        <f t="shared" si="6"/>
        <v>113</v>
      </c>
      <c r="AA52" s="124">
        <f t="shared" si="6"/>
        <v>79</v>
      </c>
      <c r="AB52" s="124">
        <f t="shared" si="6"/>
        <v>80</v>
      </c>
      <c r="AC52" s="124">
        <f t="shared" si="6"/>
        <v>79</v>
      </c>
      <c r="AD52" s="124">
        <f t="shared" si="6"/>
        <v>80</v>
      </c>
      <c r="AE52" s="124">
        <f t="shared" si="6"/>
        <v>87</v>
      </c>
      <c r="AF52" s="124">
        <f t="shared" si="6"/>
        <v>111</v>
      </c>
      <c r="AG52" s="124">
        <f t="shared" si="6"/>
        <v>105</v>
      </c>
      <c r="AH52" s="124">
        <f t="shared" si="6"/>
        <v>108</v>
      </c>
      <c r="AI52" s="124">
        <f t="shared" si="6"/>
        <v>97</v>
      </c>
      <c r="AJ52" s="124">
        <f t="shared" si="6"/>
        <v>87</v>
      </c>
      <c r="AK52" s="124">
        <f t="shared" si="6"/>
        <v>83</v>
      </c>
      <c r="AL52" s="124">
        <f t="shared" si="6"/>
        <v>102</v>
      </c>
      <c r="AM52" s="124">
        <f t="shared" si="6"/>
        <v>113</v>
      </c>
      <c r="AN52" s="124">
        <f t="shared" si="6"/>
        <v>119</v>
      </c>
      <c r="AO52" s="124">
        <f t="shared" si="6"/>
        <v>105</v>
      </c>
      <c r="AP52" s="124">
        <f t="shared" si="6"/>
        <v>92</v>
      </c>
      <c r="AQ52" s="124">
        <f t="shared" si="6"/>
        <v>118</v>
      </c>
    </row>
    <row r="53" spans="2:48" x14ac:dyDescent="0.2">
      <c r="B53" s="80"/>
      <c r="C53" s="80"/>
      <c r="D53" s="80"/>
      <c r="E53" s="80"/>
      <c r="F53" s="80"/>
      <c r="G53" s="80"/>
      <c r="H53" s="80"/>
      <c r="I53" s="86"/>
      <c r="J53" s="86"/>
      <c r="K53" s="71"/>
      <c r="L53" s="71"/>
      <c r="M53" s="71"/>
      <c r="N53" s="242"/>
      <c r="O53" s="244"/>
      <c r="P53" s="71"/>
      <c r="R53" s="45"/>
      <c r="T53" s="25"/>
      <c r="U53" s="25"/>
      <c r="V53" s="25"/>
      <c r="W53" s="31" t="s">
        <v>22</v>
      </c>
      <c r="X53" s="46">
        <f t="shared" ref="X53:AQ53" si="7">VLOOKUP(X51&amp;"AllSex"&amp;"Maori"&amp;19,agesextable,7,FALSE)</f>
        <v>18.424036081023001</v>
      </c>
      <c r="Y53" s="46">
        <f t="shared" si="7"/>
        <v>19.8982046762785</v>
      </c>
      <c r="Z53" s="46">
        <f t="shared" si="7"/>
        <v>21.066325436544499</v>
      </c>
      <c r="AA53" s="46">
        <f t="shared" si="7"/>
        <v>13.680080488400799</v>
      </c>
      <c r="AB53" s="46">
        <f t="shared" si="7"/>
        <v>15.0216247954586</v>
      </c>
      <c r="AC53" s="46">
        <f t="shared" si="7"/>
        <v>14.087317407503001</v>
      </c>
      <c r="AD53" s="46">
        <f t="shared" si="7"/>
        <v>13.892088049665601</v>
      </c>
      <c r="AE53" s="46">
        <f t="shared" si="7"/>
        <v>14.459643080013199</v>
      </c>
      <c r="AF53" s="46">
        <f t="shared" si="7"/>
        <v>18.923065742235899</v>
      </c>
      <c r="AG53" s="46">
        <f t="shared" si="7"/>
        <v>17.852603495775298</v>
      </c>
      <c r="AH53" s="46">
        <f t="shared" si="7"/>
        <v>17.9531609994688</v>
      </c>
      <c r="AI53" s="46">
        <f t="shared" si="7"/>
        <v>16.111509144203101</v>
      </c>
      <c r="AJ53" s="46">
        <f t="shared" si="7"/>
        <v>14.0105109663824</v>
      </c>
      <c r="AK53" s="46">
        <f t="shared" si="7"/>
        <v>13.081017831193</v>
      </c>
      <c r="AL53" s="46">
        <f t="shared" si="7"/>
        <v>15.806302990390501</v>
      </c>
      <c r="AM53" s="46">
        <f t="shared" si="7"/>
        <v>17.366835060391999</v>
      </c>
      <c r="AN53" s="46">
        <f t="shared" si="7"/>
        <v>17.627168762910401</v>
      </c>
      <c r="AO53" s="46">
        <f t="shared" si="7"/>
        <v>15.956035439304101</v>
      </c>
      <c r="AP53" s="46">
        <f t="shared" si="7"/>
        <v>14.4433248002785</v>
      </c>
      <c r="AQ53" s="46">
        <f t="shared" si="7"/>
        <v>17.835459808531901</v>
      </c>
    </row>
    <row r="54" spans="2:48" x14ac:dyDescent="0.2">
      <c r="B54" s="80"/>
      <c r="C54" s="80"/>
      <c r="D54" s="80"/>
      <c r="E54" s="80"/>
      <c r="F54" s="80"/>
      <c r="G54" s="80"/>
      <c r="H54" s="80"/>
      <c r="I54" s="86"/>
      <c r="J54" s="86"/>
      <c r="K54" s="71"/>
      <c r="L54" s="71"/>
      <c r="M54" s="71"/>
      <c r="N54" s="242"/>
      <c r="O54" s="244"/>
      <c r="P54" s="71"/>
      <c r="R54" s="45"/>
      <c r="T54" s="25"/>
      <c r="U54" s="25"/>
      <c r="V54" s="25"/>
      <c r="W54" s="31"/>
      <c r="X54" s="124"/>
      <c r="Y54" s="124"/>
      <c r="Z54" s="124"/>
      <c r="AA54" s="124"/>
      <c r="AB54" s="124"/>
      <c r="AC54" s="124"/>
      <c r="AD54" s="124"/>
      <c r="AE54" s="124"/>
      <c r="AF54" s="124"/>
      <c r="AG54" s="124"/>
      <c r="AH54" s="124"/>
      <c r="AI54" s="124"/>
      <c r="AJ54" s="124"/>
      <c r="AK54" s="124"/>
      <c r="AL54" s="124"/>
      <c r="AM54" s="124"/>
      <c r="AN54" s="124"/>
      <c r="AO54" s="124"/>
      <c r="AP54" s="24"/>
      <c r="AQ54" s="24"/>
    </row>
    <row r="55" spans="2:48" x14ac:dyDescent="0.2">
      <c r="B55" s="80"/>
      <c r="C55" s="80"/>
      <c r="D55" s="80"/>
      <c r="E55" s="80"/>
      <c r="F55" s="80"/>
      <c r="G55" s="80"/>
      <c r="H55" s="80"/>
      <c r="I55" s="85"/>
      <c r="J55" s="86"/>
      <c r="K55" s="71"/>
      <c r="L55" s="71"/>
      <c r="M55" s="71"/>
      <c r="N55" s="245"/>
      <c r="O55" s="245"/>
      <c r="P55" s="71"/>
      <c r="R55" s="45"/>
      <c r="T55" s="25" t="s">
        <v>20</v>
      </c>
      <c r="U55" s="25"/>
      <c r="V55" s="25" t="s">
        <v>9</v>
      </c>
      <c r="W55" s="31" t="s">
        <v>21</v>
      </c>
      <c r="X55" s="124">
        <f>VLOOKUP(X51&amp;"Male"&amp;"Maori"&amp;19,agesextable,6,FALSE)</f>
        <v>73</v>
      </c>
      <c r="Y55" s="124">
        <f t="shared" ref="Y55:AQ55" si="8">VLOOKUP(Y51&amp;"Male"&amp;"Maori"&amp;19,agesextable,6,FALSE)</f>
        <v>80</v>
      </c>
      <c r="Z55" s="124">
        <f t="shared" si="8"/>
        <v>88</v>
      </c>
      <c r="AA55" s="124">
        <f t="shared" si="8"/>
        <v>59</v>
      </c>
      <c r="AB55" s="124">
        <f t="shared" si="8"/>
        <v>69</v>
      </c>
      <c r="AC55" s="124">
        <f t="shared" si="8"/>
        <v>58</v>
      </c>
      <c r="AD55" s="124">
        <f t="shared" si="8"/>
        <v>60</v>
      </c>
      <c r="AE55" s="124">
        <f t="shared" si="8"/>
        <v>67</v>
      </c>
      <c r="AF55" s="124">
        <f t="shared" si="8"/>
        <v>83</v>
      </c>
      <c r="AG55" s="124">
        <f t="shared" si="8"/>
        <v>78</v>
      </c>
      <c r="AH55" s="124">
        <f t="shared" si="8"/>
        <v>75</v>
      </c>
      <c r="AI55" s="124">
        <f t="shared" si="8"/>
        <v>74</v>
      </c>
      <c r="AJ55" s="124">
        <f t="shared" si="8"/>
        <v>56</v>
      </c>
      <c r="AK55" s="124">
        <f t="shared" si="8"/>
        <v>58</v>
      </c>
      <c r="AL55" s="124">
        <f t="shared" si="8"/>
        <v>72</v>
      </c>
      <c r="AM55" s="124">
        <f t="shared" si="8"/>
        <v>81</v>
      </c>
      <c r="AN55" s="124">
        <f t="shared" si="8"/>
        <v>82</v>
      </c>
      <c r="AO55" s="124">
        <f t="shared" si="8"/>
        <v>66</v>
      </c>
      <c r="AP55" s="24">
        <f t="shared" si="8"/>
        <v>67</v>
      </c>
      <c r="AQ55" s="24">
        <f t="shared" si="8"/>
        <v>77</v>
      </c>
    </row>
    <row r="56" spans="2:48" x14ac:dyDescent="0.2">
      <c r="B56" s="80"/>
      <c r="C56" s="80"/>
      <c r="D56" s="80"/>
      <c r="E56" s="80"/>
      <c r="F56" s="80"/>
      <c r="G56" s="80"/>
      <c r="H56" s="80"/>
      <c r="I56" s="85"/>
      <c r="J56" s="86"/>
      <c r="K56" s="71"/>
      <c r="L56" s="71"/>
      <c r="M56" s="71"/>
      <c r="N56" s="160"/>
      <c r="O56" s="160"/>
      <c r="P56" s="71"/>
      <c r="R56" s="45"/>
      <c r="T56" s="25"/>
      <c r="U56" s="25"/>
      <c r="V56" s="25"/>
      <c r="W56" s="25" t="s">
        <v>22</v>
      </c>
      <c r="X56" s="27">
        <f t="shared" ref="X56:AQ56" si="9">VLOOKUP(X51&amp;"Male"&amp;"Maori"&amp;19,agesextable,7,FALSE)</f>
        <v>28.6634614636843</v>
      </c>
      <c r="Y56" s="27">
        <f t="shared" si="9"/>
        <v>30.622870852715899</v>
      </c>
      <c r="Z56" s="27">
        <f t="shared" si="9"/>
        <v>34.656914608583101</v>
      </c>
      <c r="AA56" s="27">
        <f t="shared" si="9"/>
        <v>21.453377474962299</v>
      </c>
      <c r="AB56" s="27">
        <f t="shared" si="9"/>
        <v>27.198711801126699</v>
      </c>
      <c r="AC56" s="27">
        <f t="shared" si="9"/>
        <v>22.0828947481947</v>
      </c>
      <c r="AD56" s="27">
        <f t="shared" si="9"/>
        <v>21.881613181334401</v>
      </c>
      <c r="AE56" s="27">
        <f t="shared" si="9"/>
        <v>23.229010507537701</v>
      </c>
      <c r="AF56" s="27">
        <f t="shared" si="9"/>
        <v>30.210797391523901</v>
      </c>
      <c r="AG56" s="27">
        <f t="shared" si="9"/>
        <v>27.973177382021099</v>
      </c>
      <c r="AH56" s="27">
        <f t="shared" si="9"/>
        <v>25.8876809253644</v>
      </c>
      <c r="AI56" s="27">
        <f t="shared" si="9"/>
        <v>25.915091779548401</v>
      </c>
      <c r="AJ56" s="27">
        <f t="shared" si="9"/>
        <v>19.8732690696398</v>
      </c>
      <c r="AK56" s="27">
        <f t="shared" si="9"/>
        <v>19.4811396989931</v>
      </c>
      <c r="AL56" s="27">
        <f t="shared" si="9"/>
        <v>23.689392361421</v>
      </c>
      <c r="AM56" s="27">
        <f t="shared" si="9"/>
        <v>26.239623561034499</v>
      </c>
      <c r="AN56" s="27">
        <f t="shared" si="9"/>
        <v>25.657974492525501</v>
      </c>
      <c r="AO56" s="27">
        <f t="shared" si="9"/>
        <v>21.474445318173501</v>
      </c>
      <c r="AP56" s="27">
        <f t="shared" si="9"/>
        <v>22.382934863323399</v>
      </c>
      <c r="AQ56" s="27">
        <f t="shared" si="9"/>
        <v>25.316443855804899</v>
      </c>
    </row>
    <row r="57" spans="2:48" x14ac:dyDescent="0.2">
      <c r="B57" s="80"/>
      <c r="C57" s="80"/>
      <c r="D57" s="80"/>
      <c r="E57" s="80"/>
      <c r="F57" s="80"/>
      <c r="G57" s="80"/>
      <c r="H57" s="80"/>
      <c r="I57" s="85"/>
      <c r="J57" s="86"/>
      <c r="K57" s="71"/>
      <c r="L57" s="71"/>
      <c r="M57" s="71"/>
      <c r="N57" s="160"/>
      <c r="O57" s="160"/>
      <c r="P57" s="71"/>
      <c r="R57" s="45"/>
      <c r="T57" s="25"/>
      <c r="U57" s="25"/>
      <c r="V57" s="25"/>
      <c r="W57" s="25"/>
      <c r="X57" s="24"/>
      <c r="Y57" s="24"/>
      <c r="Z57" s="24"/>
      <c r="AA57" s="24"/>
      <c r="AB57" s="24"/>
      <c r="AC57" s="24"/>
      <c r="AD57" s="24"/>
      <c r="AE57" s="24"/>
      <c r="AF57" s="24"/>
      <c r="AG57" s="24"/>
      <c r="AH57" s="24"/>
      <c r="AI57" s="24"/>
      <c r="AJ57" s="24"/>
      <c r="AK57" s="24"/>
      <c r="AL57" s="24"/>
      <c r="AM57" s="24"/>
      <c r="AN57" s="24"/>
      <c r="AO57" s="24"/>
      <c r="AP57" s="24"/>
      <c r="AQ57" s="24"/>
    </row>
    <row r="58" spans="2:48" x14ac:dyDescent="0.2">
      <c r="B58" s="80"/>
      <c r="C58" s="80"/>
      <c r="D58" s="80"/>
      <c r="E58" s="80"/>
      <c r="F58" s="80"/>
      <c r="G58" s="80"/>
      <c r="H58" s="80"/>
      <c r="I58" s="85"/>
      <c r="J58" s="86"/>
      <c r="K58" s="71"/>
      <c r="L58" s="71"/>
      <c r="M58" s="71"/>
      <c r="N58" s="246"/>
      <c r="O58" s="246"/>
      <c r="P58" s="71"/>
      <c r="R58" s="45"/>
      <c r="T58" s="25" t="s">
        <v>8</v>
      </c>
      <c r="U58" s="25"/>
      <c r="V58" s="25" t="s">
        <v>9</v>
      </c>
      <c r="W58" s="25" t="s">
        <v>21</v>
      </c>
      <c r="X58" s="24">
        <f t="shared" ref="X58:AQ58" si="10">VLOOKUP(X51&amp;"Female"&amp;"Maori"&amp;19,agesextable,6,FALSE)</f>
        <v>24</v>
      </c>
      <c r="Y58" s="24">
        <f t="shared" si="10"/>
        <v>26</v>
      </c>
      <c r="Z58" s="24">
        <f t="shared" si="10"/>
        <v>25</v>
      </c>
      <c r="AA58" s="24">
        <f t="shared" si="10"/>
        <v>20</v>
      </c>
      <c r="AB58" s="24">
        <f t="shared" si="10"/>
        <v>11</v>
      </c>
      <c r="AC58" s="24">
        <f t="shared" si="10"/>
        <v>21</v>
      </c>
      <c r="AD58" s="24">
        <f t="shared" si="10"/>
        <v>20</v>
      </c>
      <c r="AE58" s="24">
        <f t="shared" si="10"/>
        <v>20</v>
      </c>
      <c r="AF58" s="24">
        <f t="shared" si="10"/>
        <v>28</v>
      </c>
      <c r="AG58" s="24">
        <f t="shared" si="10"/>
        <v>27</v>
      </c>
      <c r="AH58" s="24">
        <f t="shared" si="10"/>
        <v>33</v>
      </c>
      <c r="AI58" s="24">
        <f t="shared" si="10"/>
        <v>23</v>
      </c>
      <c r="AJ58" s="24">
        <f t="shared" si="10"/>
        <v>31</v>
      </c>
      <c r="AK58" s="24">
        <f t="shared" si="10"/>
        <v>25</v>
      </c>
      <c r="AL58" s="24">
        <f t="shared" si="10"/>
        <v>30</v>
      </c>
      <c r="AM58" s="24">
        <f t="shared" si="10"/>
        <v>32</v>
      </c>
      <c r="AN58" s="24">
        <f t="shared" si="10"/>
        <v>37</v>
      </c>
      <c r="AO58" s="24">
        <f t="shared" si="10"/>
        <v>39</v>
      </c>
      <c r="AP58" s="24">
        <f t="shared" si="10"/>
        <v>25</v>
      </c>
      <c r="AQ58" s="24">
        <f t="shared" si="10"/>
        <v>41</v>
      </c>
    </row>
    <row r="59" spans="2:48" x14ac:dyDescent="0.2">
      <c r="B59" s="80"/>
      <c r="C59" s="80"/>
      <c r="D59" s="80"/>
      <c r="E59" s="80"/>
      <c r="F59" s="80"/>
      <c r="G59" s="80"/>
      <c r="H59" s="80"/>
      <c r="I59" s="85"/>
      <c r="J59" s="86"/>
      <c r="K59" s="71"/>
      <c r="L59" s="71"/>
      <c r="M59" s="71"/>
      <c r="N59" s="245"/>
      <c r="O59" s="245"/>
      <c r="P59" s="71"/>
      <c r="R59" s="45"/>
      <c r="T59" s="25"/>
      <c r="U59" s="25"/>
      <c r="V59" s="25"/>
      <c r="W59" s="25" t="s">
        <v>22</v>
      </c>
      <c r="X59" s="27">
        <f t="shared" ref="X59:AQ59" si="11">VLOOKUP(X51&amp;"Female"&amp;"Maori"&amp;19,agesextable,7,FALSE)</f>
        <v>9.0066061781584406</v>
      </c>
      <c r="Y59" s="27">
        <f t="shared" si="11"/>
        <v>9.7792096693832598</v>
      </c>
      <c r="Z59" s="27">
        <f t="shared" si="11"/>
        <v>8.5337610468083493</v>
      </c>
      <c r="AA59" s="27">
        <f t="shared" si="11"/>
        <v>6.5325578987774104</v>
      </c>
      <c r="AB59" s="27">
        <f t="shared" si="11"/>
        <v>3.9576666859530998</v>
      </c>
      <c r="AC59" s="27">
        <f t="shared" si="11"/>
        <v>6.6998382352426704</v>
      </c>
      <c r="AD59" s="27">
        <f t="shared" si="11"/>
        <v>6.4896231886298903</v>
      </c>
      <c r="AE59" s="27">
        <f t="shared" si="11"/>
        <v>6.4102244752664204</v>
      </c>
      <c r="AF59" s="27">
        <f t="shared" si="11"/>
        <v>8.6787187808636208</v>
      </c>
      <c r="AG59" s="27">
        <f t="shared" si="11"/>
        <v>8.7267571514896503</v>
      </c>
      <c r="AH59" s="27">
        <f t="shared" si="11"/>
        <v>10.6723123955334</v>
      </c>
      <c r="AI59" s="27">
        <f t="shared" si="11"/>
        <v>7.2545885050603403</v>
      </c>
      <c r="AJ59" s="27">
        <f t="shared" si="11"/>
        <v>8.8796426541518301</v>
      </c>
      <c r="AK59" s="27">
        <f t="shared" si="11"/>
        <v>7.3206868063360204</v>
      </c>
      <c r="AL59" s="27">
        <f t="shared" si="11"/>
        <v>8.74468389486562</v>
      </c>
      <c r="AM59" s="27">
        <f t="shared" si="11"/>
        <v>9.3323745071337907</v>
      </c>
      <c r="AN59" s="27">
        <f t="shared" si="11"/>
        <v>10.376266848783301</v>
      </c>
      <c r="AO59" s="27">
        <f t="shared" si="11"/>
        <v>11.129535195000299</v>
      </c>
      <c r="AP59" s="27">
        <f t="shared" si="11"/>
        <v>7.4271825890909202</v>
      </c>
      <c r="AQ59" s="27">
        <f t="shared" si="11"/>
        <v>11.481074678715</v>
      </c>
    </row>
    <row r="60" spans="2:48" x14ac:dyDescent="0.2">
      <c r="B60" s="80"/>
      <c r="C60" s="80"/>
      <c r="D60" s="80"/>
      <c r="E60" s="80"/>
      <c r="F60" s="80"/>
      <c r="G60" s="80"/>
      <c r="H60" s="80"/>
      <c r="I60" s="78"/>
      <c r="J60" s="86"/>
      <c r="K60" s="71"/>
      <c r="L60" s="71"/>
      <c r="M60" s="71"/>
      <c r="N60" s="246"/>
      <c r="O60" s="246"/>
      <c r="P60" s="71"/>
      <c r="R60" s="45"/>
      <c r="T60" s="28"/>
      <c r="U60" s="28"/>
      <c r="V60" s="28"/>
      <c r="W60" s="28"/>
      <c r="X60" s="26"/>
      <c r="Y60" s="26"/>
      <c r="Z60" s="26"/>
      <c r="AA60" s="26"/>
      <c r="AB60" s="26"/>
      <c r="AC60" s="26"/>
      <c r="AD60" s="26"/>
      <c r="AE60" s="26"/>
      <c r="AF60" s="26"/>
      <c r="AG60" s="26"/>
      <c r="AH60" s="26"/>
      <c r="AI60" s="26"/>
      <c r="AJ60" s="26"/>
      <c r="AK60" s="26"/>
      <c r="AL60" s="26"/>
      <c r="AM60" s="26"/>
      <c r="AN60" s="26"/>
      <c r="AO60" s="26"/>
      <c r="AP60" s="26"/>
      <c r="AQ60" s="26"/>
      <c r="AR60" s="30"/>
    </row>
    <row r="61" spans="2:48" x14ac:dyDescent="0.2">
      <c r="B61" s="80"/>
      <c r="C61" s="80"/>
      <c r="D61" s="80"/>
      <c r="E61" s="80"/>
      <c r="F61" s="80"/>
      <c r="G61" s="80"/>
      <c r="H61" s="80"/>
      <c r="I61" s="85"/>
      <c r="J61" s="86"/>
      <c r="K61" s="71"/>
      <c r="L61" s="71"/>
      <c r="M61" s="71"/>
      <c r="N61" s="246"/>
      <c r="O61" s="246"/>
      <c r="P61" s="71"/>
      <c r="R61" s="45"/>
      <c r="T61" s="125" t="s">
        <v>4</v>
      </c>
      <c r="U61" s="125"/>
      <c r="V61" s="25"/>
      <c r="W61" s="25"/>
      <c r="X61" s="24"/>
      <c r="Y61" s="24"/>
      <c r="Z61" s="24"/>
      <c r="AA61" s="24"/>
      <c r="AB61" s="24"/>
      <c r="AC61" s="24"/>
      <c r="AD61" s="24"/>
      <c r="AE61" s="24"/>
      <c r="AF61" s="24"/>
      <c r="AG61" s="24"/>
      <c r="AH61" s="24"/>
      <c r="AI61" s="24"/>
      <c r="AJ61" s="24"/>
      <c r="AK61" s="24"/>
      <c r="AL61" s="24"/>
      <c r="AM61" s="24"/>
      <c r="AN61" s="24"/>
      <c r="AO61" s="24"/>
      <c r="AP61" s="24"/>
      <c r="AQ61" s="24"/>
      <c r="AR61" s="24"/>
    </row>
    <row r="62" spans="2:48" x14ac:dyDescent="0.2">
      <c r="B62" s="80"/>
      <c r="C62" s="80"/>
      <c r="D62" s="80"/>
      <c r="E62" s="80"/>
      <c r="F62" s="80"/>
      <c r="G62" s="80"/>
      <c r="H62" s="80"/>
      <c r="I62" s="85"/>
      <c r="J62" s="86"/>
      <c r="K62" s="71"/>
      <c r="L62" s="71"/>
      <c r="M62" s="71"/>
      <c r="N62" s="246"/>
      <c r="O62" s="246"/>
      <c r="P62" s="71"/>
      <c r="R62" s="45"/>
      <c r="T62" s="25"/>
      <c r="U62" s="25"/>
      <c r="V62" s="25"/>
      <c r="W62" s="25"/>
      <c r="X62" s="24"/>
      <c r="Y62" s="24"/>
      <c r="Z62" s="24"/>
      <c r="AA62" s="24"/>
      <c r="AB62" s="24"/>
      <c r="AC62" s="24"/>
      <c r="AD62" s="24"/>
      <c r="AE62" s="24"/>
      <c r="AF62" s="24"/>
      <c r="AG62" s="24"/>
      <c r="AH62" s="24"/>
      <c r="AI62" s="24"/>
      <c r="AJ62" s="24"/>
      <c r="AK62" s="24"/>
      <c r="AL62" s="24"/>
      <c r="AM62" s="24"/>
      <c r="AN62" s="24"/>
      <c r="AO62" s="24"/>
      <c r="AP62" s="24"/>
      <c r="AQ62" s="24"/>
      <c r="AR62" s="24"/>
    </row>
    <row r="63" spans="2:48" x14ac:dyDescent="0.2">
      <c r="B63" s="80"/>
      <c r="C63" s="80"/>
      <c r="D63" s="80"/>
      <c r="E63" s="80"/>
      <c r="F63" s="80"/>
      <c r="G63" s="80"/>
      <c r="H63" s="80"/>
      <c r="I63" s="85"/>
      <c r="J63" s="86"/>
      <c r="K63" s="71"/>
      <c r="L63" s="71"/>
      <c r="M63" s="71"/>
      <c r="N63" s="245"/>
      <c r="O63" s="245"/>
      <c r="P63" s="71"/>
      <c r="R63" s="45"/>
      <c r="T63" s="25" t="s">
        <v>0</v>
      </c>
      <c r="U63" s="25"/>
      <c r="V63" s="25" t="s">
        <v>9</v>
      </c>
      <c r="W63" s="25" t="s">
        <v>21</v>
      </c>
      <c r="X63" s="24">
        <f t="shared" ref="X63:AQ63" si="12">VLOOKUP(X51&amp;"AllSex"&amp;"Non-Maori"&amp;19,agesextable,6,FALSE)</f>
        <v>443</v>
      </c>
      <c r="Y63" s="24">
        <f t="shared" si="12"/>
        <v>456</v>
      </c>
      <c r="Z63" s="24">
        <f t="shared" si="12"/>
        <v>466</v>
      </c>
      <c r="AA63" s="24">
        <f t="shared" si="12"/>
        <v>438</v>
      </c>
      <c r="AB63" s="24">
        <f t="shared" si="12"/>
        <v>379</v>
      </c>
      <c r="AC63" s="24">
        <f t="shared" si="12"/>
        <v>429</v>
      </c>
      <c r="AD63" s="24">
        <f t="shared" si="12"/>
        <v>390</v>
      </c>
      <c r="AE63" s="24">
        <f t="shared" si="12"/>
        <v>435</v>
      </c>
      <c r="AF63" s="24">
        <f t="shared" si="12"/>
        <v>383</v>
      </c>
      <c r="AG63" s="24">
        <f t="shared" si="12"/>
        <v>410</v>
      </c>
      <c r="AH63" s="24">
        <f t="shared" si="12"/>
        <v>416</v>
      </c>
      <c r="AI63" s="24">
        <f t="shared" si="12"/>
        <v>404</v>
      </c>
      <c r="AJ63" s="24">
        <f t="shared" si="12"/>
        <v>431</v>
      </c>
      <c r="AK63" s="24">
        <f t="shared" si="12"/>
        <v>429</v>
      </c>
      <c r="AL63" s="24">
        <f t="shared" si="12"/>
        <v>432</v>
      </c>
      <c r="AM63" s="24">
        <f t="shared" si="12"/>
        <v>381</v>
      </c>
      <c r="AN63" s="24">
        <f t="shared" si="12"/>
        <v>431</v>
      </c>
      <c r="AO63" s="24">
        <f t="shared" si="12"/>
        <v>409</v>
      </c>
      <c r="AP63" s="24">
        <f t="shared" si="12"/>
        <v>417</v>
      </c>
      <c r="AQ63" s="24">
        <f t="shared" si="12"/>
        <v>407</v>
      </c>
    </row>
    <row r="64" spans="2:48" x14ac:dyDescent="0.2">
      <c r="B64" s="80"/>
      <c r="C64" s="80"/>
      <c r="D64" s="80"/>
      <c r="E64" s="80"/>
      <c r="F64" s="80"/>
      <c r="G64" s="80"/>
      <c r="H64" s="80"/>
      <c r="I64" s="85"/>
      <c r="J64" s="86"/>
      <c r="K64" s="71"/>
      <c r="L64" s="71"/>
      <c r="M64" s="71"/>
      <c r="N64" s="246"/>
      <c r="O64" s="246"/>
      <c r="P64" s="71"/>
      <c r="R64" s="45"/>
      <c r="T64" s="25"/>
      <c r="U64" s="25"/>
      <c r="V64" s="25"/>
      <c r="W64" s="25" t="s">
        <v>22</v>
      </c>
      <c r="X64" s="27">
        <f t="shared" ref="X64:AQ64" si="13">VLOOKUP(X51&amp;"AllSex"&amp;"Non-Maori"&amp;19,agesextable,7,FALSE)</f>
        <v>13.202661641130099</v>
      </c>
      <c r="Y64" s="27">
        <f t="shared" si="13"/>
        <v>13.6356969902152</v>
      </c>
      <c r="Z64" s="27">
        <f t="shared" si="13"/>
        <v>13.719933399984299</v>
      </c>
      <c r="AA64" s="27">
        <f t="shared" si="13"/>
        <v>12.8439199652067</v>
      </c>
      <c r="AB64" s="27">
        <f t="shared" si="13"/>
        <v>11.1683814296716</v>
      </c>
      <c r="AC64" s="27">
        <f t="shared" si="13"/>
        <v>12.3764768268776</v>
      </c>
      <c r="AD64" s="27">
        <f t="shared" si="13"/>
        <v>10.9882846931341</v>
      </c>
      <c r="AE64" s="27">
        <f t="shared" si="13"/>
        <v>11.6548370610064</v>
      </c>
      <c r="AF64" s="27">
        <f t="shared" si="13"/>
        <v>10.3253251579566</v>
      </c>
      <c r="AG64" s="27">
        <f t="shared" si="13"/>
        <v>10.916375074971301</v>
      </c>
      <c r="AH64" s="27">
        <f t="shared" si="13"/>
        <v>10.9315740531038</v>
      </c>
      <c r="AI64" s="27">
        <f t="shared" si="13"/>
        <v>10.318814507971201</v>
      </c>
      <c r="AJ64" s="27">
        <f t="shared" si="13"/>
        <v>11.1639267014209</v>
      </c>
      <c r="AK64" s="27">
        <f t="shared" si="13"/>
        <v>10.9175102802797</v>
      </c>
      <c r="AL64" s="27">
        <f t="shared" si="13"/>
        <v>10.8724229875909</v>
      </c>
      <c r="AM64" s="27">
        <f t="shared" si="13"/>
        <v>9.6064019829245701</v>
      </c>
      <c r="AN64" s="27">
        <f t="shared" si="13"/>
        <v>10.8700975052411</v>
      </c>
      <c r="AO64" s="27">
        <f t="shared" si="13"/>
        <v>9.7148957708980408</v>
      </c>
      <c r="AP64" s="27">
        <f t="shared" si="13"/>
        <v>9.9109767454623192</v>
      </c>
      <c r="AQ64" s="27">
        <f t="shared" si="13"/>
        <v>9.5574665818482494</v>
      </c>
    </row>
    <row r="65" spans="2:44" ht="21" customHeight="1" x14ac:dyDescent="0.2">
      <c r="B65" s="80"/>
      <c r="C65" s="84" t="s">
        <v>389</v>
      </c>
      <c r="D65" s="110" t="s">
        <v>108</v>
      </c>
      <c r="E65" s="110"/>
      <c r="F65" s="110"/>
      <c r="G65" s="110"/>
      <c r="H65" s="80"/>
      <c r="I65" s="85"/>
      <c r="J65" s="86"/>
      <c r="K65" s="71"/>
      <c r="L65" s="71"/>
      <c r="M65" s="71"/>
      <c r="N65" s="246"/>
      <c r="O65" s="246"/>
      <c r="P65" s="71"/>
      <c r="R65" s="45"/>
      <c r="T65" s="25"/>
      <c r="U65" s="25"/>
      <c r="V65" s="25"/>
      <c r="W65" s="25"/>
      <c r="X65" s="24"/>
      <c r="Y65" s="24"/>
      <c r="Z65" s="24"/>
      <c r="AA65" s="24"/>
      <c r="AB65" s="24"/>
      <c r="AC65" s="24"/>
      <c r="AD65" s="24"/>
      <c r="AE65" s="24"/>
      <c r="AF65" s="24"/>
      <c r="AG65" s="24"/>
      <c r="AH65" s="24"/>
      <c r="AI65" s="24"/>
      <c r="AJ65" s="24"/>
      <c r="AK65" s="24"/>
      <c r="AL65" s="24"/>
      <c r="AM65" s="24"/>
      <c r="AN65" s="24"/>
      <c r="AO65" s="24"/>
      <c r="AP65" s="24"/>
      <c r="AQ65" s="30"/>
    </row>
    <row r="66" spans="2:44" x14ac:dyDescent="0.2">
      <c r="B66" s="80"/>
      <c r="C66" s="110" t="s">
        <v>146</v>
      </c>
      <c r="D66" s="110" t="s">
        <v>149</v>
      </c>
      <c r="E66" s="110"/>
      <c r="F66" s="110"/>
      <c r="G66" s="110"/>
      <c r="H66" s="80"/>
      <c r="I66" s="85"/>
      <c r="J66" s="86"/>
      <c r="K66" s="71"/>
      <c r="L66" s="71"/>
      <c r="M66" s="71"/>
      <c r="N66" s="246"/>
      <c r="O66" s="246"/>
      <c r="P66" s="71"/>
      <c r="R66" s="45"/>
      <c r="T66" s="25" t="s">
        <v>20</v>
      </c>
      <c r="U66" s="25"/>
      <c r="V66" s="25" t="s">
        <v>9</v>
      </c>
      <c r="W66" s="25" t="s">
        <v>21</v>
      </c>
      <c r="X66" s="24">
        <f t="shared" ref="X66:AQ66" si="14">VLOOKUP(X51&amp;"Male"&amp;"Non-Maori"&amp;19,agesextable,6,FALSE)</f>
        <v>356</v>
      </c>
      <c r="Y66" s="24">
        <f t="shared" si="14"/>
        <v>361</v>
      </c>
      <c r="Z66" s="24">
        <f t="shared" si="14"/>
        <v>358</v>
      </c>
      <c r="AA66" s="24">
        <f t="shared" si="14"/>
        <v>326</v>
      </c>
      <c r="AB66" s="24">
        <f t="shared" si="14"/>
        <v>307</v>
      </c>
      <c r="AC66" s="24">
        <f t="shared" si="14"/>
        <v>332</v>
      </c>
      <c r="AD66" s="24">
        <f t="shared" si="14"/>
        <v>296</v>
      </c>
      <c r="AE66" s="24">
        <f t="shared" si="14"/>
        <v>313</v>
      </c>
      <c r="AF66" s="24">
        <f t="shared" si="14"/>
        <v>299</v>
      </c>
      <c r="AG66" s="24">
        <f t="shared" si="14"/>
        <v>305</v>
      </c>
      <c r="AH66" s="24">
        <f t="shared" si="14"/>
        <v>312</v>
      </c>
      <c r="AI66" s="24">
        <f t="shared" si="14"/>
        <v>307</v>
      </c>
      <c r="AJ66" s="24">
        <f t="shared" si="14"/>
        <v>323</v>
      </c>
      <c r="AK66" s="24">
        <f t="shared" si="14"/>
        <v>336</v>
      </c>
      <c r="AL66" s="24">
        <f t="shared" si="14"/>
        <v>315</v>
      </c>
      <c r="AM66" s="24">
        <f t="shared" si="14"/>
        <v>296</v>
      </c>
      <c r="AN66" s="24">
        <f t="shared" si="14"/>
        <v>323</v>
      </c>
      <c r="AO66" s="24">
        <f t="shared" si="14"/>
        <v>300</v>
      </c>
      <c r="AP66" s="24">
        <f t="shared" si="14"/>
        <v>312</v>
      </c>
      <c r="AQ66" s="30">
        <f t="shared" si="14"/>
        <v>306</v>
      </c>
    </row>
    <row r="67" spans="2:44" x14ac:dyDescent="0.2">
      <c r="B67" s="80"/>
      <c r="C67" s="80"/>
      <c r="D67" s="80"/>
      <c r="E67" s="80"/>
      <c r="F67" s="80"/>
      <c r="G67" s="80"/>
      <c r="H67" s="80"/>
      <c r="I67" s="85"/>
      <c r="J67" s="86"/>
      <c r="K67" s="71"/>
      <c r="L67" s="71"/>
      <c r="M67" s="71"/>
      <c r="N67" s="246"/>
      <c r="O67" s="246"/>
      <c r="P67" s="71"/>
      <c r="R67" s="45"/>
      <c r="T67" s="25"/>
      <c r="U67" s="25"/>
      <c r="V67" s="25"/>
      <c r="W67" s="25" t="s">
        <v>22</v>
      </c>
      <c r="X67" s="27">
        <f t="shared" ref="X67:AQ67" si="15">VLOOKUP(X51&amp;"Male"&amp;"Non-Maori"&amp;19,agesextable,7,FALSE)</f>
        <v>21.479905755824099</v>
      </c>
      <c r="Y67" s="27">
        <f t="shared" si="15"/>
        <v>21.882813084323601</v>
      </c>
      <c r="Z67" s="27">
        <f t="shared" si="15"/>
        <v>21.517130626241698</v>
      </c>
      <c r="AA67" s="27">
        <f t="shared" si="15"/>
        <v>19.529367053720598</v>
      </c>
      <c r="AB67" s="27">
        <f t="shared" si="15"/>
        <v>18.542595685537702</v>
      </c>
      <c r="AC67" s="27">
        <f t="shared" si="15"/>
        <v>19.754574256070502</v>
      </c>
      <c r="AD67" s="27">
        <f t="shared" si="15"/>
        <v>17.053757227886599</v>
      </c>
      <c r="AE67" s="27">
        <f t="shared" si="15"/>
        <v>17.1757108224569</v>
      </c>
      <c r="AF67" s="27">
        <f t="shared" si="15"/>
        <v>16.521659709264298</v>
      </c>
      <c r="AG67" s="27">
        <f t="shared" si="15"/>
        <v>16.809710006140801</v>
      </c>
      <c r="AH67" s="27">
        <f t="shared" si="15"/>
        <v>16.923735957565398</v>
      </c>
      <c r="AI67" s="27">
        <f t="shared" si="15"/>
        <v>16.348296242666599</v>
      </c>
      <c r="AJ67" s="27">
        <f t="shared" si="15"/>
        <v>17.136851166956198</v>
      </c>
      <c r="AK67" s="27">
        <f t="shared" si="15"/>
        <v>17.704891753148601</v>
      </c>
      <c r="AL67" s="27">
        <f t="shared" si="15"/>
        <v>16.134328558354198</v>
      </c>
      <c r="AM67" s="27">
        <f t="shared" si="15"/>
        <v>15.374728749309</v>
      </c>
      <c r="AN67" s="27">
        <f t="shared" si="15"/>
        <v>16.829965457080299</v>
      </c>
      <c r="AO67" s="27">
        <f t="shared" si="15"/>
        <v>14.441701119553899</v>
      </c>
      <c r="AP67" s="27">
        <f t="shared" si="15"/>
        <v>15.149508074973401</v>
      </c>
      <c r="AQ67" s="27">
        <f t="shared" si="15"/>
        <v>14.6757131829523</v>
      </c>
    </row>
    <row r="68" spans="2:44" x14ac:dyDescent="0.2">
      <c r="C68" s="302"/>
      <c r="D68" s="302"/>
      <c r="E68" s="302"/>
      <c r="F68" s="302"/>
      <c r="G68" s="302"/>
      <c r="H68" s="302"/>
      <c r="I68" s="302"/>
      <c r="J68" s="303"/>
      <c r="K68" s="304"/>
      <c r="L68" s="180"/>
      <c r="M68" s="180"/>
      <c r="N68" s="180"/>
      <c r="O68" s="257"/>
      <c r="P68" s="257"/>
      <c r="R68" s="45"/>
      <c r="T68" s="25"/>
      <c r="U68" s="25"/>
      <c r="V68" s="25"/>
      <c r="W68" s="166"/>
      <c r="X68" s="32"/>
      <c r="Y68" s="32"/>
      <c r="Z68" s="32"/>
      <c r="AA68" s="32"/>
      <c r="AB68" s="32"/>
      <c r="AC68" s="32"/>
      <c r="AD68" s="32"/>
      <c r="AE68" s="32"/>
      <c r="AF68" s="32"/>
      <c r="AG68" s="32"/>
      <c r="AH68" s="32"/>
      <c r="AI68" s="32"/>
      <c r="AJ68" s="32"/>
      <c r="AK68" s="32"/>
      <c r="AL68" s="32"/>
      <c r="AM68" s="32"/>
      <c r="AN68" s="32"/>
      <c r="AO68" s="32"/>
      <c r="AP68" s="30"/>
      <c r="AQ68" s="30"/>
    </row>
    <row r="69" spans="2:44" x14ac:dyDescent="0.2">
      <c r="C69" s="302"/>
      <c r="D69" s="302"/>
      <c r="E69" s="302"/>
      <c r="F69" s="302"/>
      <c r="G69" s="302"/>
      <c r="H69" s="302"/>
      <c r="I69" s="302"/>
      <c r="J69" s="303"/>
      <c r="K69" s="304"/>
      <c r="L69" s="180"/>
      <c r="M69" s="180"/>
      <c r="N69" s="180"/>
      <c r="O69" s="257"/>
      <c r="P69" s="257"/>
      <c r="R69" s="45"/>
      <c r="T69" s="25" t="s">
        <v>8</v>
      </c>
      <c r="U69" s="25"/>
      <c r="V69" s="25" t="s">
        <v>9</v>
      </c>
      <c r="W69" s="31" t="s">
        <v>21</v>
      </c>
      <c r="X69" s="30">
        <f t="shared" ref="X69:AQ69" si="16">VLOOKUP(X51&amp;"Female"&amp;"Non-Maori"&amp;19,agesextable,6,FALSE)</f>
        <v>87</v>
      </c>
      <c r="Y69" s="30">
        <f t="shared" si="16"/>
        <v>95</v>
      </c>
      <c r="Z69" s="30">
        <f t="shared" si="16"/>
        <v>108</v>
      </c>
      <c r="AA69" s="30">
        <f t="shared" si="16"/>
        <v>112</v>
      </c>
      <c r="AB69" s="30">
        <f t="shared" si="16"/>
        <v>72</v>
      </c>
      <c r="AC69" s="30">
        <f t="shared" si="16"/>
        <v>97</v>
      </c>
      <c r="AD69" s="30">
        <f t="shared" si="16"/>
        <v>94</v>
      </c>
      <c r="AE69" s="30">
        <f t="shared" si="16"/>
        <v>122</v>
      </c>
      <c r="AF69" s="30">
        <f t="shared" si="16"/>
        <v>84</v>
      </c>
      <c r="AG69" s="30">
        <f t="shared" si="16"/>
        <v>105</v>
      </c>
      <c r="AH69" s="30">
        <f t="shared" si="16"/>
        <v>104</v>
      </c>
      <c r="AI69" s="30">
        <f t="shared" si="16"/>
        <v>97</v>
      </c>
      <c r="AJ69" s="30">
        <f t="shared" si="16"/>
        <v>108</v>
      </c>
      <c r="AK69" s="30">
        <f t="shared" si="16"/>
        <v>93</v>
      </c>
      <c r="AL69" s="30">
        <f t="shared" si="16"/>
        <v>117</v>
      </c>
      <c r="AM69" s="30">
        <f t="shared" si="16"/>
        <v>85</v>
      </c>
      <c r="AN69" s="30">
        <f t="shared" si="16"/>
        <v>108</v>
      </c>
      <c r="AO69" s="30">
        <f t="shared" si="16"/>
        <v>109</v>
      </c>
      <c r="AP69" s="30">
        <f t="shared" si="16"/>
        <v>105</v>
      </c>
      <c r="AQ69" s="30">
        <f t="shared" si="16"/>
        <v>101</v>
      </c>
    </row>
    <row r="70" spans="2:44" x14ac:dyDescent="0.2">
      <c r="C70" s="302"/>
      <c r="D70" s="302"/>
      <c r="E70" s="302"/>
      <c r="F70" s="302"/>
      <c r="G70" s="302"/>
      <c r="H70" s="302"/>
      <c r="I70" s="302"/>
      <c r="J70" s="303"/>
      <c r="K70" s="304"/>
      <c r="L70" s="180"/>
      <c r="M70" s="180"/>
      <c r="N70" s="180"/>
      <c r="O70" s="257"/>
      <c r="P70" s="257"/>
      <c r="R70" s="45"/>
      <c r="T70" s="25"/>
      <c r="U70" s="25"/>
      <c r="V70" s="25"/>
      <c r="W70" s="31" t="s">
        <v>22</v>
      </c>
      <c r="X70" s="46">
        <f t="shared" ref="X70:AQ70" si="17">VLOOKUP(X51&amp;"Female"&amp;"Non-Maori"&amp;19,agesextable,7,FALSE)</f>
        <v>5.2986962640135697</v>
      </c>
      <c r="Y70" s="46">
        <f t="shared" si="17"/>
        <v>5.6892468332060497</v>
      </c>
      <c r="Z70" s="46">
        <f t="shared" si="17"/>
        <v>6.1878498162513402</v>
      </c>
      <c r="AA70" s="46">
        <f t="shared" si="17"/>
        <v>6.4624543900880198</v>
      </c>
      <c r="AB70" s="46">
        <f t="shared" si="17"/>
        <v>4.1381655103116204</v>
      </c>
      <c r="AC70" s="46">
        <f t="shared" si="17"/>
        <v>5.3611446727339196</v>
      </c>
      <c r="AD70" s="46">
        <f t="shared" si="17"/>
        <v>5.26343516708328</v>
      </c>
      <c r="AE70" s="46">
        <f t="shared" si="17"/>
        <v>6.4039999122093398</v>
      </c>
      <c r="AF70" s="46">
        <f t="shared" si="17"/>
        <v>4.5051607691466504</v>
      </c>
      <c r="AG70" s="46">
        <f t="shared" si="17"/>
        <v>5.2590011370533496</v>
      </c>
      <c r="AH70" s="46">
        <f t="shared" si="17"/>
        <v>5.2009651380039701</v>
      </c>
      <c r="AI70" s="46">
        <f t="shared" si="17"/>
        <v>4.6012421251756503</v>
      </c>
      <c r="AJ70" s="46">
        <f t="shared" si="17"/>
        <v>5.4589151940525902</v>
      </c>
      <c r="AK70" s="46">
        <f t="shared" si="17"/>
        <v>4.4437437379171101</v>
      </c>
      <c r="AL70" s="46">
        <f t="shared" si="17"/>
        <v>5.9134650848101904</v>
      </c>
      <c r="AM70" s="46">
        <f t="shared" si="17"/>
        <v>4.0833090975863904</v>
      </c>
      <c r="AN70" s="46">
        <f t="shared" si="17"/>
        <v>5.1528651892542001</v>
      </c>
      <c r="AO70" s="46">
        <f t="shared" si="17"/>
        <v>5.2765407142672398</v>
      </c>
      <c r="AP70" s="46">
        <f t="shared" si="17"/>
        <v>4.9008932000909704</v>
      </c>
      <c r="AQ70" s="46">
        <f t="shared" si="17"/>
        <v>4.6330361677979601</v>
      </c>
    </row>
    <row r="71" spans="2:44" x14ac:dyDescent="0.2">
      <c r="C71" s="302"/>
      <c r="D71" s="302"/>
      <c r="E71" s="302"/>
      <c r="F71" s="302"/>
      <c r="G71" s="302"/>
      <c r="H71" s="302"/>
      <c r="I71" s="302"/>
      <c r="J71" s="303"/>
      <c r="K71" s="304"/>
      <c r="L71" s="180"/>
      <c r="M71" s="180"/>
      <c r="N71" s="180"/>
      <c r="O71" s="257"/>
      <c r="P71" s="257"/>
      <c r="R71" s="45"/>
      <c r="T71" s="45"/>
      <c r="U71" s="45"/>
      <c r="W71" s="31"/>
      <c r="X71" s="124"/>
      <c r="Y71" s="124"/>
      <c r="Z71" s="124"/>
      <c r="AA71" s="124"/>
      <c r="AB71" s="124"/>
      <c r="AC71" s="124"/>
      <c r="AD71" s="124"/>
      <c r="AE71" s="124"/>
      <c r="AF71" s="124"/>
      <c r="AG71" s="124"/>
      <c r="AH71" s="124"/>
      <c r="AI71" s="124"/>
      <c r="AJ71" s="124"/>
      <c r="AK71" s="124"/>
      <c r="AL71" s="124"/>
      <c r="AM71" s="124"/>
      <c r="AN71" s="124"/>
      <c r="AO71" s="124"/>
      <c r="AP71" s="124"/>
      <c r="AQ71" s="33"/>
      <c r="AR71" s="33"/>
    </row>
    <row r="72" spans="2:44" x14ac:dyDescent="0.2">
      <c r="B72" s="71"/>
      <c r="C72" s="76"/>
      <c r="D72" s="71"/>
      <c r="E72" s="76"/>
      <c r="F72" s="76"/>
      <c r="G72" s="76"/>
      <c r="H72" s="76"/>
      <c r="I72" s="76"/>
      <c r="J72" s="76"/>
      <c r="K72" s="76"/>
      <c r="L72" s="71"/>
      <c r="M72" s="71"/>
      <c r="N72" s="75"/>
      <c r="O72" s="76"/>
      <c r="P72" s="76"/>
      <c r="Q72" s="447"/>
      <c r="R72" s="131" t="s">
        <v>192</v>
      </c>
      <c r="S72" s="180"/>
      <c r="T72" s="199" t="s">
        <v>148</v>
      </c>
      <c r="U72" s="199"/>
      <c r="V72" s="199" t="s">
        <v>108</v>
      </c>
      <c r="W72" s="199"/>
      <c r="X72" s="51"/>
      <c r="Y72" s="12"/>
      <c r="AM72" s="24"/>
    </row>
    <row r="73" spans="2:44" ht="15" x14ac:dyDescent="0.25">
      <c r="B73" s="71"/>
      <c r="C73" s="92" t="s">
        <v>334</v>
      </c>
      <c r="D73" s="71"/>
      <c r="E73" s="71"/>
      <c r="F73" s="71"/>
      <c r="G73" s="71"/>
      <c r="H73" s="71"/>
      <c r="I73" s="71"/>
      <c r="J73" s="71"/>
      <c r="K73" s="71"/>
      <c r="L73" s="71"/>
      <c r="M73" s="71"/>
      <c r="N73" s="71"/>
      <c r="O73" s="243"/>
      <c r="P73" s="243"/>
      <c r="Q73" s="451"/>
      <c r="R73" s="12"/>
      <c r="T73" s="199" t="s">
        <v>146</v>
      </c>
      <c r="U73" s="199"/>
      <c r="V73" s="199" t="s">
        <v>149</v>
      </c>
      <c r="W73" s="199"/>
      <c r="X73" s="51"/>
      <c r="Y73" s="12"/>
    </row>
    <row r="74" spans="2:44" x14ac:dyDescent="0.2">
      <c r="B74" s="71"/>
      <c r="C74" s="71"/>
      <c r="D74" s="76"/>
      <c r="E74" s="71"/>
      <c r="F74" s="71"/>
      <c r="G74" s="71"/>
      <c r="H74" s="71"/>
      <c r="I74" s="71"/>
      <c r="J74" s="71"/>
      <c r="K74" s="71"/>
      <c r="L74" s="71"/>
      <c r="M74" s="71"/>
      <c r="N74" s="71"/>
      <c r="O74" s="243"/>
      <c r="P74" s="243"/>
      <c r="Q74" s="451"/>
      <c r="R74" s="12"/>
      <c r="T74" s="44"/>
      <c r="U74" s="44"/>
      <c r="V74" s="44"/>
      <c r="W74" s="44"/>
      <c r="X74" s="20"/>
      <c r="Y74" s="20"/>
      <c r="Z74" s="20"/>
      <c r="AA74" s="20"/>
      <c r="AB74" s="20"/>
      <c r="AC74" s="20"/>
      <c r="AD74" s="20"/>
      <c r="AE74" s="20"/>
      <c r="AF74" s="20"/>
      <c r="AG74" s="20"/>
      <c r="AH74" s="20"/>
      <c r="AI74" s="20"/>
      <c r="AJ74" s="20"/>
      <c r="AK74" s="20"/>
      <c r="AL74" s="20"/>
      <c r="AM74" s="20"/>
      <c r="AN74" s="20"/>
      <c r="AO74" s="20"/>
      <c r="AP74" s="20"/>
      <c r="AQ74" s="20"/>
      <c r="AR74" s="33"/>
    </row>
    <row r="75" spans="2:44" x14ac:dyDescent="0.2">
      <c r="B75" s="71"/>
      <c r="C75" s="71"/>
      <c r="D75" s="76"/>
      <c r="E75" s="77" t="s">
        <v>0</v>
      </c>
      <c r="F75" s="71"/>
      <c r="G75" s="71"/>
      <c r="H75" s="71"/>
      <c r="I75" s="71"/>
      <c r="J75" s="71"/>
      <c r="K75" s="71"/>
      <c r="L75" s="71"/>
      <c r="M75" s="77" t="s">
        <v>3</v>
      </c>
      <c r="N75" s="71"/>
      <c r="O75" s="243"/>
      <c r="P75" s="243"/>
      <c r="Q75" s="451"/>
      <c r="R75" s="12"/>
      <c r="T75" s="45"/>
      <c r="U75" s="45"/>
      <c r="X75" s="12"/>
      <c r="Y75" s="12"/>
    </row>
    <row r="76" spans="2:44" x14ac:dyDescent="0.2">
      <c r="B76" s="71"/>
      <c r="C76" s="71"/>
      <c r="D76" s="71"/>
      <c r="E76" s="76"/>
      <c r="F76" s="71"/>
      <c r="G76" s="71"/>
      <c r="H76" s="71"/>
      <c r="I76" s="71"/>
      <c r="J76" s="71"/>
      <c r="K76" s="71"/>
      <c r="L76" s="71"/>
      <c r="M76" s="71"/>
      <c r="N76" s="71"/>
      <c r="O76" s="243"/>
      <c r="P76" s="243"/>
      <c r="Q76" s="451"/>
      <c r="R76" s="12"/>
      <c r="T76" s="45"/>
      <c r="U76" s="45"/>
      <c r="X76" s="12"/>
      <c r="Y76" s="12"/>
    </row>
    <row r="77" spans="2:44" ht="15" x14ac:dyDescent="0.25">
      <c r="B77" s="71"/>
      <c r="C77" s="76"/>
      <c r="D77" s="76"/>
      <c r="E77" s="76"/>
      <c r="F77" s="71"/>
      <c r="G77" s="71"/>
      <c r="H77" s="71"/>
      <c r="I77" s="71"/>
      <c r="J77" s="71"/>
      <c r="K77" s="71"/>
      <c r="L77" s="71"/>
      <c r="M77" s="71"/>
      <c r="N77" s="71"/>
      <c r="O77" s="243"/>
      <c r="P77" s="243"/>
      <c r="Q77" s="451"/>
      <c r="R77" s="12"/>
      <c r="T77" s="115" t="s">
        <v>334</v>
      </c>
      <c r="U77" s="115"/>
      <c r="X77" s="12"/>
      <c r="Y77" s="12"/>
    </row>
    <row r="78" spans="2:44" x14ac:dyDescent="0.2">
      <c r="B78" s="71"/>
      <c r="C78" s="76"/>
      <c r="D78" s="76"/>
      <c r="E78" s="76"/>
      <c r="F78" s="71"/>
      <c r="G78" s="71"/>
      <c r="H78" s="71"/>
      <c r="I78" s="71"/>
      <c r="J78" s="71"/>
      <c r="K78" s="71"/>
      <c r="L78" s="71"/>
      <c r="M78" s="71"/>
      <c r="N78" s="71"/>
      <c r="O78" s="243"/>
      <c r="P78" s="243"/>
      <c r="Q78" s="451"/>
      <c r="R78" s="12"/>
      <c r="T78" s="45"/>
      <c r="U78" s="45"/>
      <c r="X78" s="12"/>
      <c r="Y78" s="12"/>
    </row>
    <row r="79" spans="2:44" x14ac:dyDescent="0.2">
      <c r="B79" s="71"/>
      <c r="C79" s="76"/>
      <c r="D79" s="76"/>
      <c r="E79" s="76"/>
      <c r="F79" s="71"/>
      <c r="G79" s="71"/>
      <c r="H79" s="71"/>
      <c r="I79" s="71"/>
      <c r="J79" s="71"/>
      <c r="K79" s="71"/>
      <c r="L79" s="71"/>
      <c r="M79" s="71"/>
      <c r="N79" s="71"/>
      <c r="O79" s="243"/>
      <c r="P79" s="243"/>
      <c r="Q79" s="451"/>
      <c r="R79" s="12"/>
      <c r="T79" s="117" t="s">
        <v>1</v>
      </c>
      <c r="U79" s="117"/>
      <c r="V79" s="125" t="s">
        <v>554</v>
      </c>
      <c r="W79" s="125"/>
      <c r="X79" s="49" t="s">
        <v>120</v>
      </c>
      <c r="Y79" s="49" t="s">
        <v>121</v>
      </c>
      <c r="Z79" s="49" t="s">
        <v>122</v>
      </c>
      <c r="AA79" s="49" t="s">
        <v>123</v>
      </c>
      <c r="AB79" s="49" t="s">
        <v>124</v>
      </c>
      <c r="AC79" s="49" t="s">
        <v>126</v>
      </c>
      <c r="AD79" s="49" t="s">
        <v>127</v>
      </c>
      <c r="AE79" s="49" t="s">
        <v>128</v>
      </c>
      <c r="AF79" s="49" t="s">
        <v>129</v>
      </c>
      <c r="AG79" s="49" t="s">
        <v>130</v>
      </c>
      <c r="AH79" s="49" t="s">
        <v>131</v>
      </c>
      <c r="AI79" s="49" t="s">
        <v>132</v>
      </c>
      <c r="AJ79" s="49" t="s">
        <v>133</v>
      </c>
      <c r="AK79" s="49" t="s">
        <v>134</v>
      </c>
      <c r="AL79" s="49" t="s">
        <v>135</v>
      </c>
      <c r="AM79" s="49" t="s">
        <v>125</v>
      </c>
    </row>
    <row r="80" spans="2:44" x14ac:dyDescent="0.2">
      <c r="B80" s="71"/>
      <c r="C80" s="76"/>
      <c r="D80" s="76"/>
      <c r="E80" s="76"/>
      <c r="F80" s="71"/>
      <c r="G80" s="71"/>
      <c r="H80" s="71"/>
      <c r="I80" s="71"/>
      <c r="J80" s="71"/>
      <c r="K80" s="71"/>
      <c r="L80" s="71"/>
      <c r="M80" s="71"/>
      <c r="N80" s="71"/>
      <c r="O80" s="243"/>
      <c r="P80" s="243"/>
      <c r="Q80" s="451"/>
      <c r="R80" s="12"/>
      <c r="T80" s="104"/>
      <c r="U80" s="104"/>
      <c r="V80" s="25"/>
      <c r="W80" s="25"/>
      <c r="X80" s="47"/>
      <c r="Y80" s="47"/>
      <c r="Z80" s="47"/>
      <c r="AA80" s="47"/>
      <c r="AB80" s="47"/>
      <c r="AC80" s="47"/>
      <c r="AD80" s="47"/>
      <c r="AE80" s="47"/>
      <c r="AF80" s="47"/>
      <c r="AG80" s="47"/>
      <c r="AH80" s="47"/>
      <c r="AI80" s="47"/>
      <c r="AJ80" s="47"/>
      <c r="AK80" s="47"/>
      <c r="AL80" s="47"/>
      <c r="AM80" s="47"/>
    </row>
    <row r="81" spans="2:78" x14ac:dyDescent="0.2">
      <c r="B81" s="71"/>
      <c r="C81" s="76"/>
      <c r="D81" s="76"/>
      <c r="E81" s="76"/>
      <c r="F81" s="71"/>
      <c r="G81" s="71"/>
      <c r="H81" s="71"/>
      <c r="I81" s="71"/>
      <c r="J81" s="71"/>
      <c r="K81" s="71"/>
      <c r="L81" s="71"/>
      <c r="M81" s="71"/>
      <c r="N81" s="71"/>
      <c r="O81" s="243"/>
      <c r="P81" s="243"/>
      <c r="Q81" s="451"/>
      <c r="R81" s="12"/>
      <c r="T81" s="25" t="s">
        <v>0</v>
      </c>
      <c r="U81" s="25"/>
      <c r="V81" s="25">
        <v>2015</v>
      </c>
      <c r="W81" s="25" t="s">
        <v>51</v>
      </c>
      <c r="X81" s="36">
        <f>IFERROR(VLOOKUP($V$81&amp;"AllSex"&amp;"AllEth"&amp; ref!A$12,Percalldeaths,10,FALSE),"0.0")</f>
        <v>27.8</v>
      </c>
      <c r="Y81" s="36">
        <f>IFERROR(VLOOKUP($V$81&amp;"AllSex"&amp;"AllEth"&amp; ref!B$12,Percalldeaths,10,FALSE),"0.0")</f>
        <v>38.799999999999997</v>
      </c>
      <c r="Z81" s="36">
        <f>IFERROR(VLOOKUP($V$81&amp;"AllSex"&amp;"AllEth"&amp; ref!C$12,Percalldeaths,10,FALSE),"0.0")</f>
        <v>28.1</v>
      </c>
      <c r="AA81" s="36">
        <f>IFERROR(VLOOKUP($V$81&amp;"AllSex"&amp;"AllEth"&amp; ref!D$12,Percalldeaths,10,FALSE),"0.0")</f>
        <v>28.4</v>
      </c>
      <c r="AB81" s="36">
        <f>IFERROR(VLOOKUP($V$81&amp;"AllSex"&amp;"AllEth"&amp; ref!E$12,Percalldeaths,10,FALSE),"0.0")</f>
        <v>23.1</v>
      </c>
      <c r="AC81" s="36">
        <f>IFERROR(VLOOKUP($V$81&amp;"AllSex"&amp;"AllEth"&amp; ref!F$12,Percalldeaths,10,FALSE),"0.0")</f>
        <v>19.2</v>
      </c>
      <c r="AD81" s="36">
        <f>IFERROR(VLOOKUP($V$81&amp;"AllSex"&amp;"AllEth"&amp; ref!G$12,Percalldeaths,10,FALSE),"0.0")</f>
        <v>10</v>
      </c>
      <c r="AE81" s="36">
        <f>IFERROR(VLOOKUP($V$81&amp;"AllSex"&amp;"AllEth"&amp; ref!H$12,Percalldeaths,10,FALSE),"0.0")</f>
        <v>8</v>
      </c>
      <c r="AF81" s="36">
        <f>IFERROR(VLOOKUP($V$81&amp;"AllSex"&amp;"AllEth"&amp; ref!I$12,Percalldeaths,10,FALSE),"0.0")</f>
        <v>5.5</v>
      </c>
      <c r="AG81" s="36">
        <f>IFERROR(VLOOKUP($V$81&amp;"AllSex"&amp;"AllEth"&amp; ref!J$12,Percalldeaths,10,FALSE),"0.0")</f>
        <v>2.7</v>
      </c>
      <c r="AH81" s="36">
        <f>IFERROR(VLOOKUP($V$81&amp;"AllSex"&amp;"AllEth"&amp; ref!K$12,Percalldeaths,10,FALSE),"0.0")</f>
        <v>2</v>
      </c>
      <c r="AI81" s="36">
        <f>IFERROR(VLOOKUP($V$81&amp;"AllSex"&amp;"AllEth"&amp; ref!L$12,Percalldeaths,10,FALSE),"0.0")</f>
        <v>0.8</v>
      </c>
      <c r="AJ81" s="36">
        <f>IFERROR(VLOOKUP($V$81&amp;"AllSex"&amp;"AllEth"&amp; ref!M$12,Percalldeaths,10,FALSE),"0.0")</f>
        <v>0.3</v>
      </c>
      <c r="AK81" s="36">
        <f>IFERROR(VLOOKUP($V$81&amp;"AllSex"&amp;"AllEth"&amp; ref!N$12,Percalldeaths,10,FALSE),"0.0")</f>
        <v>0.5</v>
      </c>
      <c r="AL81" s="36">
        <f>IFERROR(VLOOKUP($V$81&amp;"AllSex"&amp;"AllEth"&amp; ref!O$12,Percalldeaths,10,FALSE),"0.0")</f>
        <v>0.2</v>
      </c>
      <c r="AM81" s="36">
        <f>IFERROR(VLOOKUP($V$81&amp;"AllSex"&amp;"AllEth"&amp; ref!P$12,Percalldeaths,10,FALSE),"0.0")</f>
        <v>0.1</v>
      </c>
    </row>
    <row r="82" spans="2:78" x14ac:dyDescent="0.2">
      <c r="B82" s="71"/>
      <c r="C82" s="76"/>
      <c r="D82" s="76"/>
      <c r="E82" s="76"/>
      <c r="F82" s="71"/>
      <c r="G82" s="71"/>
      <c r="H82" s="71"/>
      <c r="I82" s="71"/>
      <c r="J82" s="71"/>
      <c r="K82" s="71"/>
      <c r="L82" s="71"/>
      <c r="M82" s="71"/>
      <c r="N82" s="71"/>
      <c r="O82" s="243"/>
      <c r="P82" s="243"/>
      <c r="Q82" s="451"/>
      <c r="R82" s="12"/>
      <c r="T82" s="25" t="s">
        <v>20</v>
      </c>
      <c r="U82" s="25"/>
      <c r="V82" s="25"/>
      <c r="W82" s="25" t="s">
        <v>138</v>
      </c>
      <c r="X82" s="36">
        <f>IFERROR(VLOOKUP($V$81&amp;"Male"&amp;"AllEth"&amp; ref!A$12,Percalldeaths,10,FALSE),"0.0")</f>
        <v>27.3</v>
      </c>
      <c r="Y82" s="36">
        <f>IFERROR(VLOOKUP($V$81&amp;"Male"&amp;"AllEth"&amp; ref!B$12,Percalldeaths,10,FALSE),"0.0")</f>
        <v>32.299999999999997</v>
      </c>
      <c r="Z82" s="36">
        <f>IFERROR(VLOOKUP($V$81&amp;"Male"&amp;"AllEth"&amp; ref!C$12,Percalldeaths,10,FALSE),"0.0")</f>
        <v>26.8</v>
      </c>
      <c r="AA82" s="36">
        <f>IFERROR(VLOOKUP($V$81&amp;"Male"&amp;"AllEth"&amp; ref!D$12,Percalldeaths,10,FALSE),"0.0")</f>
        <v>34.1</v>
      </c>
      <c r="AB82" s="36">
        <f>IFERROR(VLOOKUP($V$81&amp;"Male"&amp;"AllEth"&amp; ref!E$12,Percalldeaths,10,FALSE),"0.0")</f>
        <v>29.2</v>
      </c>
      <c r="AC82" s="36">
        <f>IFERROR(VLOOKUP($V$81&amp;"Male"&amp;"AllEth"&amp; ref!F$12,Percalldeaths,10,FALSE),"0.0")</f>
        <v>25.4</v>
      </c>
      <c r="AD82" s="36">
        <f>IFERROR(VLOOKUP($V$81&amp;"Male"&amp;"AllEth"&amp; ref!G$12,Percalldeaths,10,FALSE),"0.0")</f>
        <v>13.2</v>
      </c>
      <c r="AE82" s="36">
        <f>IFERROR(VLOOKUP($V$81&amp;"Male"&amp;"AllEth"&amp; ref!H$12,Percalldeaths,10,FALSE),"0.0")</f>
        <v>11.1</v>
      </c>
      <c r="AF82" s="36">
        <f>IFERROR(VLOOKUP($V$81&amp;"Male"&amp;"AllEth"&amp; ref!I$12,Percalldeaths,10,FALSE),"0.0")</f>
        <v>7</v>
      </c>
      <c r="AG82" s="36">
        <f>IFERROR(VLOOKUP($V$81&amp;"Male"&amp;"AllEth"&amp; ref!J$12,Percalldeaths,10,FALSE),"0.0")</f>
        <v>3.7</v>
      </c>
      <c r="AH82" s="36">
        <f>IFERROR(VLOOKUP($V$81&amp;"Male"&amp;"AllEth"&amp; ref!K$12,Percalldeaths,10,FALSE),"0.0")</f>
        <v>2.2000000000000002</v>
      </c>
      <c r="AI82" s="36">
        <f>IFERROR(VLOOKUP($V$81&amp;"Male"&amp;"AllEth"&amp; ref!L$12,Percalldeaths,10,FALSE),"0.0")</f>
        <v>0.9</v>
      </c>
      <c r="AJ82" s="36">
        <f>IFERROR(VLOOKUP($V$81&amp;"Male"&amp;"AllEth"&amp; ref!M$12,Percalldeaths,10,FALSE),"0.0")</f>
        <v>0.4</v>
      </c>
      <c r="AK82" s="36">
        <f>IFERROR(VLOOKUP($V$81&amp;"Male"&amp;"AllEth"&amp; ref!N$12,Percalldeaths,10,FALSE),"0.0")</f>
        <v>0.6</v>
      </c>
      <c r="AL82" s="36">
        <f>IFERROR(VLOOKUP($V$81&amp;"Male"&amp;"AllEth"&amp; ref!O$12,Percalldeaths,10,FALSE),"0.0")</f>
        <v>0.4</v>
      </c>
      <c r="AM82" s="36">
        <f>IFERROR(VLOOKUP($V$81&amp;"Male"&amp;"AllEth"&amp; ref!P$12,Percalldeaths,10,FALSE),"0.0")</f>
        <v>0.1</v>
      </c>
    </row>
    <row r="83" spans="2:78" x14ac:dyDescent="0.2">
      <c r="B83" s="71"/>
      <c r="C83" s="76"/>
      <c r="D83" s="76"/>
      <c r="E83" s="76"/>
      <c r="F83" s="71"/>
      <c r="G83" s="71"/>
      <c r="H83" s="71"/>
      <c r="I83" s="71"/>
      <c r="J83" s="71"/>
      <c r="K83" s="71"/>
      <c r="L83" s="71"/>
      <c r="M83" s="71"/>
      <c r="N83" s="71"/>
      <c r="O83" s="243"/>
      <c r="P83" s="243"/>
      <c r="Q83" s="451"/>
      <c r="R83" s="12"/>
      <c r="T83" s="19" t="s">
        <v>8</v>
      </c>
      <c r="U83" s="19"/>
      <c r="V83" s="19"/>
      <c r="W83" s="19"/>
      <c r="X83" s="36">
        <f>IFERROR(VLOOKUP($V$81&amp;"Female"&amp;"AllEth"&amp; ref!A$12,Percalldeaths,10,FALSE),"0.0")</f>
        <v>28.6</v>
      </c>
      <c r="Y83" s="36">
        <f>IFERROR(VLOOKUP($V$81&amp;"Female"&amp;"AllEth"&amp; ref!B$12,Percalldeaths,10,FALSE),"0.0")</f>
        <v>52.1</v>
      </c>
      <c r="Z83" s="36">
        <f>IFERROR(VLOOKUP($V$81&amp;"Female"&amp;"AllEth"&amp; ref!C$12,Percalldeaths,10,FALSE),"0.0")</f>
        <v>31.5</v>
      </c>
      <c r="AA83" s="36">
        <f>IFERROR(VLOOKUP($V$81&amp;"Female"&amp;"AllEth"&amp; ref!D$12,Percalldeaths,10,FALSE),"0.0")</f>
        <v>15.1</v>
      </c>
      <c r="AB83" s="36">
        <f>IFERROR(VLOOKUP($V$81&amp;"Female"&amp;"AllEth"&amp; ref!E$12,Percalldeaths,10,FALSE),"0.0")</f>
        <v>13</v>
      </c>
      <c r="AC83" s="36">
        <f>IFERROR(VLOOKUP($V$81&amp;"Female"&amp;"AllEth"&amp; ref!F$12,Percalldeaths,10,FALSE),"0.0")</f>
        <v>10.1</v>
      </c>
      <c r="AD83" s="36">
        <f>IFERROR(VLOOKUP($V$81&amp;"Female"&amp;"AllEth"&amp; ref!G$12,Percalldeaths,10,FALSE),"0.0")</f>
        <v>5.7</v>
      </c>
      <c r="AE83" s="36">
        <f>IFERROR(VLOOKUP($V$81&amp;"Female"&amp;"AllEth"&amp; ref!H$12,Percalldeaths,10,FALSE),"0.0")</f>
        <v>4.2</v>
      </c>
      <c r="AF83" s="36">
        <f>IFERROR(VLOOKUP($V$81&amp;"Female"&amp;"AllEth"&amp; ref!I$12,Percalldeaths,10,FALSE),"0.0")</f>
        <v>3.6</v>
      </c>
      <c r="AG83" s="36">
        <f>IFERROR(VLOOKUP($V$81&amp;"Female"&amp;"AllEth"&amp; ref!J$12,Percalldeaths,10,FALSE),"0.0")</f>
        <v>1.3</v>
      </c>
      <c r="AH83" s="36">
        <f>IFERROR(VLOOKUP($V$81&amp;"Female"&amp;"AllEth"&amp; ref!K$12,Percalldeaths,10,FALSE),"0.0")</f>
        <v>1.6</v>
      </c>
      <c r="AI83" s="36">
        <f>IFERROR(VLOOKUP($V$81&amp;"Female"&amp;"AllEth"&amp; ref!L$12,Percalldeaths,10,FALSE),"0.0")</f>
        <v>0.7</v>
      </c>
      <c r="AJ83" s="36">
        <f>IFERROR(VLOOKUP($V$81&amp;"Female"&amp;"AllEth"&amp; ref!M$12,Percalldeaths,10,FALSE),"0.0")</f>
        <v>0.2</v>
      </c>
      <c r="AK83" s="36">
        <f>IFERROR(VLOOKUP($V$81&amp;"Female"&amp;"AllEth"&amp; ref!N$12,Percalldeaths,10,FALSE),"0.0")</f>
        <v>0.2</v>
      </c>
      <c r="AL83" s="36">
        <f>IFERROR(VLOOKUP($V$81&amp;"Female"&amp;"AllEth"&amp; ref!O$12,Percalldeaths,10,FALSE),"0.0")</f>
        <v>0</v>
      </c>
      <c r="AM83" s="36">
        <f>IFERROR(VLOOKUP($V$81&amp;"Female"&amp;"AllEth"&amp; ref!P$12,Percalldeaths,10,FALSE),"0.0")</f>
        <v>0</v>
      </c>
    </row>
    <row r="84" spans="2:78" x14ac:dyDescent="0.2">
      <c r="B84" s="71"/>
      <c r="C84" s="76"/>
      <c r="D84" s="76"/>
      <c r="E84" s="76"/>
      <c r="F84" s="71"/>
      <c r="G84" s="71"/>
      <c r="H84" s="71"/>
      <c r="I84" s="71"/>
      <c r="J84" s="71"/>
      <c r="K84" s="71"/>
      <c r="L84" s="71"/>
      <c r="M84" s="71"/>
      <c r="N84" s="71"/>
      <c r="O84" s="243"/>
      <c r="P84" s="243"/>
      <c r="Q84" s="451"/>
      <c r="R84" s="12"/>
      <c r="T84" s="28"/>
      <c r="U84" s="28"/>
      <c r="V84" s="28"/>
      <c r="W84" s="28"/>
      <c r="X84" s="29"/>
      <c r="Y84" s="29"/>
      <c r="Z84" s="29"/>
      <c r="AA84" s="29"/>
      <c r="AB84" s="29"/>
      <c r="AC84" s="29"/>
      <c r="AD84" s="29"/>
      <c r="AE84" s="29"/>
      <c r="AF84" s="29"/>
      <c r="AG84" s="29"/>
      <c r="AH84" s="29"/>
      <c r="AI84" s="29"/>
      <c r="AJ84" s="29"/>
      <c r="AK84" s="29"/>
      <c r="AL84" s="29"/>
      <c r="AM84" s="29"/>
    </row>
    <row r="85" spans="2:78" x14ac:dyDescent="0.2">
      <c r="B85" s="71"/>
      <c r="C85" s="76"/>
      <c r="D85" s="76"/>
      <c r="E85" s="76"/>
      <c r="F85" s="71"/>
      <c r="G85" s="71"/>
      <c r="H85" s="71"/>
      <c r="I85" s="71"/>
      <c r="J85" s="71"/>
      <c r="K85" s="71"/>
      <c r="L85" s="71"/>
      <c r="M85" s="71"/>
      <c r="N85" s="71"/>
      <c r="O85" s="243"/>
      <c r="P85" s="243"/>
      <c r="Q85" s="451"/>
      <c r="R85" s="12"/>
      <c r="T85" s="25" t="s">
        <v>428</v>
      </c>
      <c r="U85" s="25"/>
      <c r="V85" s="25">
        <v>2015</v>
      </c>
      <c r="W85" s="25" t="s">
        <v>51</v>
      </c>
      <c r="X85" s="36">
        <f>IFERROR(VLOOKUP($V$81&amp;"AllSex"&amp;"Maori"&amp; ref!A$12,Percalldeaths,10,FALSE), "0.0")</f>
        <v>40</v>
      </c>
      <c r="Y85" s="36">
        <f>IFERROR(VLOOKUP($V$81&amp;"AllSex"&amp;"Maori"&amp; ref!B$12,Percalldeaths,10,FALSE), "0.0")</f>
        <v>40.700000000000003</v>
      </c>
      <c r="Z85" s="36">
        <f>IFERROR(VLOOKUP($V$81&amp;"AllSex"&amp;"Maori"&amp; ref!C$12,Percalldeaths,10,FALSE), "0.0")</f>
        <v>40</v>
      </c>
      <c r="AA85" s="36">
        <f>IFERROR(VLOOKUP($V$81&amp;"AllSex"&amp;"Maori"&amp; ref!D$12,Percalldeaths,10,FALSE), "0.0")</f>
        <v>32.700000000000003</v>
      </c>
      <c r="AB85" s="36">
        <f>IFERROR(VLOOKUP($V$81&amp;"AllSex"&amp;"Maori"&amp; ref!E$12,Percalldeaths,10,FALSE), "0.0")</f>
        <v>25</v>
      </c>
      <c r="AC85" s="36">
        <f>IFERROR(VLOOKUP($V$81&amp;"AllSex"&amp;"Maori"&amp; ref!F$12,Percalldeaths,10,FALSE), "0.0")</f>
        <v>19.3</v>
      </c>
      <c r="AD85" s="36">
        <f>IFERROR(VLOOKUP($V$81&amp;"AllSex"&amp;"Maori"&amp; ref!G$12,Percalldeaths,10,FALSE), "0.0")</f>
        <v>8.1999999999999993</v>
      </c>
      <c r="AE85" s="36">
        <f>IFERROR(VLOOKUP($V$81&amp;"AllSex"&amp;"Maori"&amp; ref!H$12,Percalldeaths,10,FALSE), "0.0")</f>
        <v>2.5</v>
      </c>
      <c r="AF85" s="36">
        <f>IFERROR(VLOOKUP($V$81&amp;"AllSex"&amp;"Maori"&amp; ref!I$12,Percalldeaths,10,FALSE), "0.0")</f>
        <v>2.6</v>
      </c>
      <c r="AG85" s="36">
        <f>IFERROR(VLOOKUP($V$81&amp;"AllSex"&amp;"Maori"&amp; ref!J$12,Percalldeaths,10,FALSE), "0.0")</f>
        <v>1.2</v>
      </c>
      <c r="AH85" s="36">
        <f>IFERROR(VLOOKUP($V$81&amp;"AllSex"&amp;"Maori"&amp; ref!K$12,Percalldeaths,10,FALSE), "0.0")</f>
        <v>1.1000000000000001</v>
      </c>
      <c r="AI85" s="36" t="str">
        <f>IFERROR(VLOOKUP($V$81&amp;"AllSex"&amp;"Maori"&amp; ref!L$12,Percalldeaths,10,FALSE), "0.0")</f>
        <v>0.0</v>
      </c>
      <c r="AJ85" s="36" t="str">
        <f>IFERROR(VLOOKUP($V$81&amp;"AllSex"&amp;"Maori"&amp; ref!M$12,Percalldeaths,10,FALSE), "0.0")</f>
        <v>0.0</v>
      </c>
      <c r="AK85" s="36" t="str">
        <f>IFERROR(VLOOKUP($V$81&amp;"AllSex"&amp;"Maori"&amp; ref!N$12,Percalldeaths,10,FALSE), "0.0")</f>
        <v>0.0</v>
      </c>
      <c r="AL85" s="36" t="str">
        <f>IFERROR(VLOOKUP($V$81&amp;"AllSex"&amp;"Maori"&amp; ref!O$12,Percalldeaths,10,FALSE), "0.0")</f>
        <v>0.0</v>
      </c>
      <c r="AM85" s="36" t="str">
        <f>IFERROR(VLOOKUP($V$81&amp;"AllSex"&amp;"Maori"&amp; ref!P$12,Percalldeaths,10,FALSE), "0.0")</f>
        <v>0.0</v>
      </c>
    </row>
    <row r="86" spans="2:78" x14ac:dyDescent="0.2">
      <c r="B86" s="71"/>
      <c r="C86" s="76"/>
      <c r="D86" s="76"/>
      <c r="E86" s="76"/>
      <c r="F86" s="71"/>
      <c r="G86" s="71"/>
      <c r="H86" s="71"/>
      <c r="I86" s="71"/>
      <c r="J86" s="71"/>
      <c r="K86" s="71"/>
      <c r="L86" s="71"/>
      <c r="M86" s="71"/>
      <c r="N86" s="71"/>
      <c r="O86" s="243"/>
      <c r="P86" s="243"/>
      <c r="Q86" s="451"/>
      <c r="R86" s="12"/>
      <c r="T86" s="25" t="s">
        <v>429</v>
      </c>
      <c r="U86" s="25"/>
      <c r="V86" s="25"/>
      <c r="W86" s="25" t="s">
        <v>138</v>
      </c>
      <c r="X86" s="36">
        <f>IFERROR(VLOOKUP($V$81&amp;"Male"&amp;"Maori"&amp; ref!A$12,Percalldeaths,10,FALSE), "0.0")</f>
        <v>60</v>
      </c>
      <c r="Y86" s="36">
        <f>IFERROR(VLOOKUP($V$81&amp;"Male"&amp;"Maori"&amp; ref!B$12,Percalldeaths,10,FALSE), "0.0")</f>
        <v>25</v>
      </c>
      <c r="Z86" s="36">
        <f>IFERROR(VLOOKUP($V$81&amp;"Male"&amp;"Maori"&amp; ref!C$12,Percalldeaths,10,FALSE), "0.0")</f>
        <v>34.4</v>
      </c>
      <c r="AA86" s="36">
        <f>IFERROR(VLOOKUP($V$81&amp;"Male"&amp;"Maori"&amp; ref!D$12,Percalldeaths,10,FALSE), "0.0")</f>
        <v>34.1</v>
      </c>
      <c r="AB86" s="36">
        <f>IFERROR(VLOOKUP($V$81&amp;"Male"&amp;"Maori"&amp; ref!E$12,Percalldeaths,10,FALSE), "0.0")</f>
        <v>27.3</v>
      </c>
      <c r="AC86" s="36">
        <f>IFERROR(VLOOKUP($V$81&amp;"Male"&amp;"Maori"&amp; ref!F$12,Percalldeaths,10,FALSE), "0.0")</f>
        <v>22.6</v>
      </c>
      <c r="AD86" s="36">
        <f>IFERROR(VLOOKUP($V$81&amp;"Male"&amp;"Maori"&amp; ref!G$12,Percalldeaths,10,FALSE), "0.0")</f>
        <v>11.9</v>
      </c>
      <c r="AE86" s="36">
        <f>IFERROR(VLOOKUP($V$81&amp;"Male"&amp;"Maori"&amp; ref!H$12,Percalldeaths,10,FALSE), "0.0")</f>
        <v>4.3</v>
      </c>
      <c r="AF86" s="36">
        <f>IFERROR(VLOOKUP($V$81&amp;"Male"&amp;"Maori"&amp; ref!I$12,Percalldeaths,10,FALSE), "0.0")</f>
        <v>2.9</v>
      </c>
      <c r="AG86" s="36">
        <f>IFERROR(VLOOKUP($V$81&amp;"Male"&amp;"Maori"&amp; ref!J$12,Percalldeaths,10,FALSE), "0.0")</f>
        <v>1.7</v>
      </c>
      <c r="AH86" s="36">
        <f>IFERROR(VLOOKUP($V$81&amp;"Male"&amp;"Maori"&amp; ref!K$12,Percalldeaths,10,FALSE), "0.0")</f>
        <v>2</v>
      </c>
      <c r="AI86" s="36" t="str">
        <f>IFERROR(VLOOKUP($V$81&amp;"Male"&amp;"Maori"&amp; ref!L$12,Percalldeaths,10,FALSE), "0.0")</f>
        <v>0.0</v>
      </c>
      <c r="AJ86" s="36" t="str">
        <f>IFERROR(VLOOKUP($V$81&amp;"Male"&amp;"Maori"&amp; ref!M$12,Percalldeaths,10,FALSE), "0.0")</f>
        <v>0.0</v>
      </c>
      <c r="AK86" s="36" t="str">
        <f>IFERROR(VLOOKUP($V$81&amp;"Male"&amp;"Maori"&amp; ref!N$12,Percalldeaths,10,FALSE), "0.0")</f>
        <v>0.0</v>
      </c>
      <c r="AL86" s="36" t="str">
        <f>IFERROR(VLOOKUP($V$81&amp;"Male"&amp;"Maori"&amp; ref!O$12,Percalldeaths,10,FALSE), "0.0")</f>
        <v>0.0</v>
      </c>
      <c r="AM86" s="36" t="str">
        <f>IFERROR(VLOOKUP($V$81&amp;"Male"&amp;"Maori"&amp; ref!P$12,Percalldeaths,10,FALSE), "0.0")</f>
        <v>0.0</v>
      </c>
    </row>
    <row r="87" spans="2:78" x14ac:dyDescent="0.2">
      <c r="B87" s="71"/>
      <c r="C87" s="76"/>
      <c r="D87" s="76"/>
      <c r="E87" s="76"/>
      <c r="F87" s="71"/>
      <c r="G87" s="71"/>
      <c r="H87" s="71"/>
      <c r="I87" s="71"/>
      <c r="J87" s="71"/>
      <c r="K87" s="71"/>
      <c r="L87" s="71"/>
      <c r="M87" s="71"/>
      <c r="N87" s="71"/>
      <c r="O87" s="243"/>
      <c r="P87" s="243"/>
      <c r="Q87" s="451"/>
      <c r="R87" s="12"/>
      <c r="T87" s="25" t="s">
        <v>430</v>
      </c>
      <c r="U87" s="25"/>
      <c r="V87" s="25"/>
      <c r="W87" s="25"/>
      <c r="X87" s="36">
        <f>IFERROR(VLOOKUP($V$81&amp;"Female"&amp;"Maori"&amp; ref!A$12,Percalldeaths,10,FALSE), "0.0")</f>
        <v>20</v>
      </c>
      <c r="Y87" s="36">
        <f>IFERROR(VLOOKUP($V$81&amp;"Female"&amp;"Maori"&amp; ref!B$12,Percalldeaths,10,FALSE), "0.0")</f>
        <v>63.6</v>
      </c>
      <c r="Z87" s="36">
        <f>IFERROR(VLOOKUP($V$81&amp;"Female"&amp;"Maori"&amp; ref!C$12,Percalldeaths,10,FALSE), "0.0")</f>
        <v>50</v>
      </c>
      <c r="AA87" s="36">
        <f>IFERROR(VLOOKUP($V$81&amp;"Female"&amp;"Maori"&amp; ref!D$12,Percalldeaths,10,FALSE), "0.0")</f>
        <v>28.6</v>
      </c>
      <c r="AB87" s="36">
        <f>IFERROR(VLOOKUP($V$81&amp;"Female"&amp;"Maori"&amp; ref!E$12,Percalldeaths,10,FALSE), "0.0")</f>
        <v>20.8</v>
      </c>
      <c r="AC87" s="36">
        <f>IFERROR(VLOOKUP($V$81&amp;"Female"&amp;"Maori"&amp; ref!F$12,Percalldeaths,10,FALSE), "0.0")</f>
        <v>15.4</v>
      </c>
      <c r="AD87" s="36">
        <f>IFERROR(VLOOKUP($V$81&amp;"Female"&amp;"Maori"&amp; ref!G$12,Percalldeaths,10,FALSE), "0.0")</f>
        <v>2.6</v>
      </c>
      <c r="AE87" s="36" t="str">
        <f>IFERROR(VLOOKUP($V$81&amp;"Female"&amp;"Maori"&amp; ref!H$12,Percalldeaths,10,FALSE), "0.0")</f>
        <v>0.0</v>
      </c>
      <c r="AF87" s="36">
        <f>IFERROR(VLOOKUP($V$81&amp;"Female"&amp;"Maori"&amp; ref!I$12,Percalldeaths,10,FALSE), "0.0")</f>
        <v>2.1</v>
      </c>
      <c r="AG87" s="36">
        <f>IFERROR(VLOOKUP($V$81&amp;"Female"&amp;"Maori"&amp; ref!J$12,Percalldeaths,10,FALSE), "0.0")</f>
        <v>0.7</v>
      </c>
      <c r="AH87" s="36" t="str">
        <f>IFERROR(VLOOKUP($V$81&amp;"Female"&amp;"Maori"&amp; ref!K$12,Percalldeaths,10,FALSE), "0.0")</f>
        <v>0.0</v>
      </c>
      <c r="AI87" s="36" t="str">
        <f>IFERROR(VLOOKUP($V$81&amp;"Female"&amp;"Maori"&amp; ref!L$12,Percalldeaths,10,FALSE), "0.0")</f>
        <v>0.0</v>
      </c>
      <c r="AJ87" s="36" t="str">
        <f>IFERROR(VLOOKUP($V$81&amp;"Female"&amp;"Maori"&amp; ref!M$12,Percalldeaths,10,FALSE), "0.0")</f>
        <v>0.0</v>
      </c>
      <c r="AK87" s="36" t="str">
        <f>IFERROR(VLOOKUP($V$81&amp;"Female"&amp;"Maori"&amp; ref!N$12,Percalldeaths,10,FALSE), "0.0")</f>
        <v>0.0</v>
      </c>
      <c r="AL87" s="36" t="str">
        <f>IFERROR(VLOOKUP($V$81&amp;"Female"&amp;"Maori"&amp; ref!O$12,Percalldeaths,10,FALSE), "0.0")</f>
        <v>0.0</v>
      </c>
      <c r="AM87" s="36" t="str">
        <f>IFERROR(VLOOKUP($V$81&amp;"Female"&amp;"Maori"&amp; ref!P$12,Percalldeaths,10,FALSE), "0.0")</f>
        <v>0.0</v>
      </c>
    </row>
    <row r="88" spans="2:78" x14ac:dyDescent="0.2">
      <c r="B88" s="71"/>
      <c r="C88" s="76"/>
      <c r="D88" s="76"/>
      <c r="E88" s="76"/>
      <c r="F88" s="71"/>
      <c r="G88" s="71"/>
      <c r="H88" s="71"/>
      <c r="I88" s="71"/>
      <c r="J88" s="71"/>
      <c r="K88" s="71"/>
      <c r="L88" s="71"/>
      <c r="M88" s="71"/>
      <c r="N88" s="71"/>
      <c r="O88" s="243"/>
      <c r="P88" s="243"/>
      <c r="Q88" s="451"/>
      <c r="R88" s="12"/>
      <c r="T88" s="45"/>
      <c r="U88" s="45"/>
      <c r="X88" s="12"/>
      <c r="Y88" s="12"/>
    </row>
    <row r="89" spans="2:78" ht="15.75" customHeight="1" x14ac:dyDescent="0.2">
      <c r="B89" s="71"/>
      <c r="C89" s="76"/>
      <c r="D89" s="76"/>
      <c r="E89" s="76"/>
      <c r="F89" s="71"/>
      <c r="G89" s="71"/>
      <c r="H89" s="71"/>
      <c r="I89" s="71"/>
      <c r="J89" s="71"/>
      <c r="K89" s="71"/>
      <c r="L89" s="71"/>
      <c r="M89" s="71"/>
      <c r="N89" s="71"/>
      <c r="O89" s="243"/>
      <c r="P89" s="243"/>
      <c r="Q89" s="451"/>
      <c r="R89" s="12"/>
      <c r="T89" s="199" t="s">
        <v>389</v>
      </c>
      <c r="U89" s="199"/>
      <c r="V89" s="199" t="s">
        <v>394</v>
      </c>
      <c r="W89" s="199"/>
      <c r="X89" s="51"/>
      <c r="Y89" s="12"/>
    </row>
    <row r="90" spans="2:78" ht="13.5" customHeight="1" x14ac:dyDescent="0.2">
      <c r="B90" s="71"/>
      <c r="C90" s="84" t="s">
        <v>148</v>
      </c>
      <c r="D90" s="84" t="s">
        <v>394</v>
      </c>
      <c r="E90" s="71"/>
      <c r="F90" s="71"/>
      <c r="G90" s="71"/>
      <c r="H90" s="71"/>
      <c r="I90" s="71"/>
      <c r="J90" s="71"/>
      <c r="K90" s="71"/>
      <c r="L90" s="71"/>
      <c r="M90" s="71"/>
      <c r="N90" s="71"/>
      <c r="O90" s="71"/>
      <c r="P90" s="413"/>
      <c r="R90" s="420"/>
      <c r="S90" s="201"/>
      <c r="T90" s="194" t="s">
        <v>146</v>
      </c>
      <c r="U90" s="194"/>
      <c r="V90" s="280" t="s">
        <v>149</v>
      </c>
      <c r="W90" s="199"/>
      <c r="X90" s="51"/>
      <c r="Y90" s="12"/>
    </row>
    <row r="91" spans="2:78" x14ac:dyDescent="0.2">
      <c r="B91" s="71"/>
      <c r="C91" s="315" t="s">
        <v>146</v>
      </c>
      <c r="D91" s="84" t="s">
        <v>149</v>
      </c>
      <c r="E91" s="76"/>
      <c r="F91" s="76"/>
      <c r="G91" s="71"/>
      <c r="H91" s="71"/>
      <c r="I91" s="71"/>
      <c r="J91" s="71"/>
      <c r="K91" s="71"/>
      <c r="L91" s="71"/>
      <c r="M91" s="71"/>
      <c r="N91" s="71"/>
      <c r="O91" s="71"/>
      <c r="P91" s="243"/>
      <c r="Q91" s="453"/>
      <c r="R91" s="284"/>
      <c r="T91" s="215"/>
      <c r="U91" s="215"/>
      <c r="V91" s="215"/>
      <c r="W91" s="215"/>
      <c r="X91" s="55"/>
      <c r="Y91" s="20"/>
      <c r="Z91" s="20"/>
      <c r="AA91" s="20"/>
      <c r="AB91" s="20"/>
      <c r="AC91" s="20"/>
      <c r="AD91" s="20"/>
      <c r="AE91" s="20"/>
      <c r="AF91" s="20"/>
      <c r="AG91" s="20"/>
      <c r="AH91" s="20"/>
      <c r="AI91" s="20"/>
      <c r="AJ91" s="20"/>
      <c r="AK91" s="20"/>
      <c r="AL91" s="20"/>
      <c r="AM91" s="20"/>
    </row>
    <row r="92" spans="2:78" x14ac:dyDescent="0.2">
      <c r="B92" s="71"/>
      <c r="C92" s="527"/>
      <c r="D92" s="528"/>
      <c r="E92" s="528"/>
      <c r="F92" s="528"/>
      <c r="G92" s="528"/>
      <c r="H92" s="528"/>
      <c r="I92" s="528"/>
      <c r="J92" s="528"/>
      <c r="K92" s="528"/>
      <c r="L92" s="528"/>
      <c r="M92" s="528"/>
      <c r="N92" s="528"/>
      <c r="O92" s="528"/>
      <c r="P92" s="243"/>
      <c r="Q92" s="453"/>
      <c r="R92" s="284"/>
      <c r="T92" s="199"/>
      <c r="U92" s="199"/>
      <c r="V92" s="199"/>
      <c r="W92" s="199"/>
      <c r="X92" s="51"/>
      <c r="Y92" s="12"/>
    </row>
    <row r="93" spans="2:78" ht="21.75" customHeight="1" x14ac:dyDescent="0.2">
      <c r="C93" s="193"/>
      <c r="D93" s="197"/>
      <c r="E93" s="193"/>
      <c r="F93" s="193"/>
      <c r="G93" s="180"/>
      <c r="H93" s="180"/>
      <c r="I93" s="180"/>
      <c r="J93" s="180"/>
      <c r="K93" s="180"/>
      <c r="L93" s="180"/>
      <c r="M93" s="180"/>
      <c r="N93" s="180"/>
      <c r="O93" s="180"/>
      <c r="P93" s="223"/>
      <c r="Q93" s="453"/>
      <c r="R93" s="284"/>
      <c r="T93" s="199"/>
      <c r="U93" s="199"/>
      <c r="V93" s="199"/>
      <c r="W93" s="199"/>
      <c r="X93" s="51"/>
      <c r="Y93" s="12"/>
    </row>
    <row r="94" spans="2:78" ht="13.5" customHeight="1" x14ac:dyDescent="0.2">
      <c r="C94" s="193"/>
      <c r="D94" s="197"/>
      <c r="E94" s="193"/>
      <c r="F94" s="193"/>
      <c r="G94" s="180"/>
      <c r="H94" s="180"/>
      <c r="I94" s="180"/>
      <c r="J94" s="180"/>
      <c r="K94" s="180"/>
      <c r="L94" s="180"/>
      <c r="M94" s="180"/>
      <c r="N94" s="180"/>
      <c r="O94" s="180"/>
      <c r="P94" s="223"/>
      <c r="Q94" s="453"/>
      <c r="R94" s="284"/>
      <c r="T94" s="199"/>
      <c r="U94" s="199"/>
      <c r="V94" s="199"/>
      <c r="W94" s="199"/>
      <c r="X94" s="51"/>
      <c r="Y94" s="12"/>
    </row>
    <row r="95" spans="2:78" x14ac:dyDescent="0.2">
      <c r="B95" s="71"/>
      <c r="C95" s="76"/>
      <c r="D95" s="71"/>
      <c r="E95" s="71"/>
      <c r="F95" s="71"/>
      <c r="G95" s="71"/>
      <c r="H95" s="71"/>
      <c r="I95" s="71"/>
      <c r="J95" s="71"/>
      <c r="K95" s="71"/>
      <c r="L95" s="71"/>
      <c r="M95" s="71"/>
      <c r="N95" s="71"/>
      <c r="O95" s="71"/>
      <c r="P95" s="71"/>
      <c r="Q95" s="451"/>
      <c r="R95" s="12"/>
      <c r="T95" s="45"/>
      <c r="U95" s="45"/>
      <c r="X95" s="12"/>
      <c r="Y95" s="12"/>
    </row>
    <row r="96" spans="2:78" ht="15" x14ac:dyDescent="0.25">
      <c r="B96" s="71"/>
      <c r="C96" s="92" t="s">
        <v>137</v>
      </c>
      <c r="D96" s="71"/>
      <c r="E96" s="76"/>
      <c r="F96" s="76"/>
      <c r="G96" s="76"/>
      <c r="H96" s="76"/>
      <c r="I96" s="76"/>
      <c r="J96" s="76"/>
      <c r="K96" s="76"/>
      <c r="L96" s="71"/>
      <c r="M96" s="71"/>
      <c r="N96" s="71"/>
      <c r="O96" s="71"/>
      <c r="P96" s="71"/>
      <c r="Q96" s="451"/>
      <c r="R96" s="12"/>
      <c r="T96" s="45"/>
      <c r="U96" s="45"/>
      <c r="X96" s="12"/>
      <c r="Y96" s="12"/>
      <c r="BH96" s="508"/>
      <c r="BI96" s="508"/>
      <c r="BJ96" s="508"/>
      <c r="BK96" s="508"/>
      <c r="BL96" s="508"/>
      <c r="BM96" s="508"/>
      <c r="BN96" s="508"/>
      <c r="BO96" s="508"/>
      <c r="BP96" s="508"/>
      <c r="BQ96" s="508"/>
      <c r="BR96" s="508"/>
      <c r="BS96" s="508"/>
      <c r="BT96" s="508"/>
      <c r="BU96" s="508"/>
      <c r="BV96" s="508"/>
      <c r="BW96" s="508"/>
      <c r="BX96" s="508"/>
      <c r="BY96" s="508"/>
      <c r="BZ96" s="508"/>
    </row>
    <row r="97" spans="2:78" ht="15" x14ac:dyDescent="0.25">
      <c r="B97" s="71"/>
      <c r="C97" s="76"/>
      <c r="D97" s="71"/>
      <c r="E97" s="76"/>
      <c r="F97" s="77"/>
      <c r="G97" s="76"/>
      <c r="H97" s="76"/>
      <c r="I97" s="76"/>
      <c r="J97" s="76"/>
      <c r="K97" s="76"/>
      <c r="L97" s="71"/>
      <c r="M97" s="71"/>
      <c r="N97" s="77"/>
      <c r="O97" s="71"/>
      <c r="P97" s="71"/>
      <c r="Q97" s="451"/>
      <c r="R97" s="12"/>
      <c r="T97" s="115" t="s">
        <v>196</v>
      </c>
      <c r="U97" s="115"/>
      <c r="X97" s="12"/>
      <c r="Y97" s="12"/>
      <c r="BH97" s="508"/>
      <c r="BI97" s="508"/>
      <c r="BJ97" s="509" t="s">
        <v>120</v>
      </c>
      <c r="BK97" s="509" t="s">
        <v>121</v>
      </c>
      <c r="BL97" s="509" t="s">
        <v>122</v>
      </c>
      <c r="BM97" s="509" t="s">
        <v>123</v>
      </c>
      <c r="BN97" s="509" t="s">
        <v>124</v>
      </c>
      <c r="BO97" s="509" t="s">
        <v>126</v>
      </c>
      <c r="BP97" s="509" t="s">
        <v>127</v>
      </c>
      <c r="BQ97" s="509" t="s">
        <v>128</v>
      </c>
      <c r="BR97" s="509" t="s">
        <v>129</v>
      </c>
      <c r="BS97" s="509" t="s">
        <v>130</v>
      </c>
      <c r="BT97" s="509" t="s">
        <v>131</v>
      </c>
      <c r="BU97" s="509" t="s">
        <v>132</v>
      </c>
      <c r="BV97" s="509" t="s">
        <v>133</v>
      </c>
      <c r="BW97" s="509" t="s">
        <v>134</v>
      </c>
      <c r="BX97" s="509" t="s">
        <v>135</v>
      </c>
      <c r="BY97" s="509" t="s">
        <v>125</v>
      </c>
      <c r="BZ97" s="508"/>
    </row>
    <row r="98" spans="2:78" x14ac:dyDescent="0.2">
      <c r="B98" s="71"/>
      <c r="C98" s="76"/>
      <c r="D98" s="76"/>
      <c r="E98" s="76"/>
      <c r="F98" s="76"/>
      <c r="G98" s="76"/>
      <c r="H98" s="76"/>
      <c r="I98" s="76"/>
      <c r="J98" s="76"/>
      <c r="K98" s="76"/>
      <c r="L98" s="71"/>
      <c r="M98" s="71"/>
      <c r="N98" s="71"/>
      <c r="O98" s="71"/>
      <c r="P98" s="71"/>
      <c r="Q98" s="451"/>
      <c r="R98" s="12"/>
      <c r="T98" s="45"/>
      <c r="U98" s="45"/>
      <c r="X98" s="12"/>
      <c r="Y98" s="12"/>
      <c r="BH98" s="508"/>
      <c r="BI98" s="508"/>
      <c r="BJ98" s="508"/>
      <c r="BK98" s="508"/>
      <c r="BL98" s="508"/>
      <c r="BM98" s="508"/>
      <c r="BN98" s="508"/>
      <c r="BO98" s="508"/>
      <c r="BP98" s="508"/>
      <c r="BQ98" s="508"/>
      <c r="BR98" s="508"/>
      <c r="BS98" s="508"/>
      <c r="BT98" s="508"/>
      <c r="BU98" s="508"/>
      <c r="BV98" s="508"/>
      <c r="BW98" s="508"/>
      <c r="BX98" s="508"/>
      <c r="BY98" s="508"/>
      <c r="BZ98" s="508"/>
    </row>
    <row r="99" spans="2:78" x14ac:dyDescent="0.2">
      <c r="B99" s="71"/>
      <c r="C99" s="76"/>
      <c r="D99" s="76"/>
      <c r="E99" s="76"/>
      <c r="F99" s="76"/>
      <c r="G99" s="76"/>
      <c r="H99" s="76"/>
      <c r="I99" s="76"/>
      <c r="J99" s="76"/>
      <c r="K99" s="76"/>
      <c r="L99" s="71"/>
      <c r="M99" s="71"/>
      <c r="N99" s="71"/>
      <c r="O99" s="71"/>
      <c r="P99" s="71"/>
      <c r="Q99" s="451"/>
      <c r="R99" s="12"/>
      <c r="T99" s="125" t="s">
        <v>1</v>
      </c>
      <c r="U99" s="125"/>
      <c r="V99" s="125" t="s">
        <v>554</v>
      </c>
      <c r="W99" s="125"/>
      <c r="X99" s="49" t="s">
        <v>120</v>
      </c>
      <c r="Y99" s="49" t="s">
        <v>121</v>
      </c>
      <c r="Z99" s="49" t="s">
        <v>122</v>
      </c>
      <c r="AA99" s="49" t="s">
        <v>123</v>
      </c>
      <c r="AB99" s="49" t="s">
        <v>124</v>
      </c>
      <c r="AC99" s="49" t="s">
        <v>126</v>
      </c>
      <c r="AD99" s="49" t="s">
        <v>127</v>
      </c>
      <c r="AE99" s="49" t="s">
        <v>128</v>
      </c>
      <c r="AF99" s="49" t="s">
        <v>129</v>
      </c>
      <c r="AG99" s="49" t="s">
        <v>130</v>
      </c>
      <c r="AH99" s="49" t="s">
        <v>131</v>
      </c>
      <c r="AI99" s="49" t="s">
        <v>132</v>
      </c>
      <c r="AJ99" s="49" t="s">
        <v>133</v>
      </c>
      <c r="AK99" s="49" t="s">
        <v>134</v>
      </c>
      <c r="AL99" s="49" t="s">
        <v>135</v>
      </c>
      <c r="AM99" s="49" t="s">
        <v>125</v>
      </c>
      <c r="AN99" s="24"/>
      <c r="BH99" s="508" t="s">
        <v>374</v>
      </c>
      <c r="BI99" s="508" t="s">
        <v>15</v>
      </c>
      <c r="BJ99" s="510">
        <f>IFERROR(VLOOKUP($V$81&amp;ref!$X$2&amp;"AllEth"&amp;ref!A12,Percalldeaths,7,FALSE),"")</f>
        <v>3.9946737683089202</v>
      </c>
      <c r="BK99" s="510">
        <f>IFERROR(VLOOKUP($V$81&amp;ref!$X$2&amp;"AllEth"&amp;ref!B12,Percalldeaths,7,FALSE),"")</f>
        <v>19.5658819932742</v>
      </c>
      <c r="BL99" s="510">
        <f>IFERROR(VLOOKUP($V$81&amp;ref!$X$2&amp;"AllEth"&amp;ref!C12,Percalldeaths,7,FALSE),"")</f>
        <v>21.050236103999499</v>
      </c>
      <c r="BM99" s="510">
        <f>IFERROR(VLOOKUP($V$81&amp;ref!$X$2&amp;"AllEth"&amp;ref!D12,Percalldeaths,7,FALSE),"")</f>
        <v>26.883441080458301</v>
      </c>
      <c r="BN99" s="510">
        <f>IFERROR(VLOOKUP($V$81&amp;ref!$X$2&amp;"AllEth"&amp;ref!E12,Percalldeaths,7,FALSE),"")</f>
        <v>23.778642455685301</v>
      </c>
      <c r="BO99" s="510">
        <f>IFERROR(VLOOKUP($V$81&amp;ref!$X$2&amp;"AllEth"&amp;ref!F12,Percalldeaths,7,FALSE),"")</f>
        <v>25.1831501831502</v>
      </c>
      <c r="BP99" s="510">
        <f>IFERROR(VLOOKUP($V$81&amp;ref!$X$2&amp;"AllEth"&amp;ref!G12,Percalldeaths,7,FALSE),"")</f>
        <v>19.0852702610592</v>
      </c>
      <c r="BQ99" s="510">
        <f>IFERROR(VLOOKUP($V$81&amp;ref!$X$2&amp;"AllEth"&amp;ref!H12,Percalldeaths,7,FALSE),"")</f>
        <v>25.2861325525685</v>
      </c>
      <c r="BR99" s="510">
        <f>IFERROR(VLOOKUP($V$81&amp;ref!$X$2&amp;"AllEth"&amp;ref!I12,Percalldeaths,7,FALSE),"")</f>
        <v>24.047835694787501</v>
      </c>
      <c r="BS99" s="510">
        <f>IFERROR(VLOOKUP($V$81&amp;ref!$X$2&amp;"AllEth"&amp;ref!J12,Percalldeaths,7,FALSE),"")</f>
        <v>19.353451365493498</v>
      </c>
      <c r="BT99" s="510">
        <f>IFERROR(VLOOKUP($V$81&amp;ref!$X$2&amp;"AllEth"&amp;ref!K12,Percalldeaths,7,FALSE),"")</f>
        <v>18.074268813670699</v>
      </c>
      <c r="BU99" s="510">
        <f>IFERROR(VLOOKUP($V$81&amp;ref!$X$2&amp;"AllEth"&amp;ref!L12,Percalldeaths,7,FALSE),"")</f>
        <v>11.78390137781</v>
      </c>
      <c r="BV99" s="510">
        <f>IFERROR(VLOOKUP($V$81&amp;ref!$X$2&amp;"AllEth"&amp;ref!M12,Percalldeaths,7,FALSE),"")</f>
        <v>8.8116817724068497</v>
      </c>
      <c r="BW99" s="510">
        <f>IFERROR(VLOOKUP($V$81&amp;ref!$X$2&amp;"AllEth"&amp;ref!N12,Percalldeaths,7,FALSE),"")</f>
        <v>23.152270703472801</v>
      </c>
      <c r="BX99" s="510">
        <f>IFERROR(VLOOKUP($V$81&amp;ref!$X$2&amp;"AllEth"&amp;ref!O12,Percalldeaths,7,FALSE),"")</f>
        <v>24.219590958019399</v>
      </c>
      <c r="BY99" s="510">
        <f>IFERROR(VLOOKUP($V$81&amp;ref!$X$2&amp;"AllEth"&amp;ref!P12,Percalldeaths,7,FALSE),"")</f>
        <v>20.270270270270299</v>
      </c>
      <c r="BZ99" s="508"/>
    </row>
    <row r="100" spans="2:78" x14ac:dyDescent="0.2">
      <c r="B100" s="71"/>
      <c r="C100" s="76"/>
      <c r="D100" s="76"/>
      <c r="E100" s="76"/>
      <c r="F100" s="76"/>
      <c r="G100" s="76"/>
      <c r="H100" s="76"/>
      <c r="I100" s="76"/>
      <c r="J100" s="76"/>
      <c r="K100" s="76"/>
      <c r="L100" s="71"/>
      <c r="M100" s="71"/>
      <c r="N100" s="71"/>
      <c r="O100" s="71"/>
      <c r="P100" s="71"/>
      <c r="Q100" s="451"/>
      <c r="R100" s="12"/>
      <c r="T100" s="25"/>
      <c r="U100" s="25"/>
      <c r="V100" s="25"/>
      <c r="W100" s="25"/>
      <c r="X100" s="47"/>
      <c r="Y100" s="47"/>
      <c r="Z100" s="47"/>
      <c r="AA100" s="47"/>
      <c r="AB100" s="47"/>
      <c r="AC100" s="47"/>
      <c r="AD100" s="47"/>
      <c r="AE100" s="47"/>
      <c r="AF100" s="47"/>
      <c r="AG100" s="47"/>
      <c r="AH100" s="47"/>
      <c r="AI100" s="47"/>
      <c r="AJ100" s="47"/>
      <c r="AK100" s="47"/>
      <c r="AL100" s="47"/>
      <c r="AM100" s="47"/>
      <c r="AN100" s="24"/>
      <c r="BH100" s="508"/>
      <c r="BI100" s="508" t="s">
        <v>16</v>
      </c>
      <c r="BJ100" s="508">
        <f>IFERROR(VLOOKUP($V$81&amp;ref!X2&amp;"AllEth"&amp;ref!A12,Percalldeaths,8,FALSE),"")</f>
        <v>3.2</v>
      </c>
      <c r="BK100" s="508">
        <f>IFERROR(VLOOKUP($V$81&amp;"AllSex"&amp;"AllEth"&amp;ref!B12,Percalldeaths,8,FALSE),"")</f>
        <v>4.7</v>
      </c>
      <c r="BL100" s="508">
        <f>IFERROR(VLOOKUP($V$81&amp;"AllSex"&amp;"AllEth"&amp;ref!C12,Percalldeaths,8,FALSE),"")</f>
        <v>4.2</v>
      </c>
      <c r="BM100" s="508">
        <f>IFERROR(VLOOKUP($V$81&amp;"AllSex"&amp;"AllEth"&amp;ref!D12,Percalldeaths,8,FALSE),"")</f>
        <v>4.4000000000000004</v>
      </c>
      <c r="BN100" s="508">
        <f>IFERROR(VLOOKUP($V$81&amp;"AllSex"&amp;"AllEth"&amp;ref!E12,Percalldeaths,8,FALSE),"")</f>
        <v>4.4000000000000004</v>
      </c>
      <c r="BO100" s="508">
        <f>IFERROR(VLOOKUP($V$81&amp;"AllSex"&amp;"AllEth"&amp;ref!F12,Percalldeaths,8,FALSE),"")</f>
        <v>4.5999999999999996</v>
      </c>
      <c r="BP100" s="508">
        <f>IFERROR(VLOOKUP($V$81&amp;"AllSex"&amp;"AllEth"&amp;ref!G12,Percalldeaths,8,FALSE),"")</f>
        <v>3.9</v>
      </c>
      <c r="BQ100" s="508">
        <f>IFERROR(VLOOKUP($V$81&amp;"AllSex"&amp;"AllEth"&amp;ref!H12,Percalldeaths,8,FALSE),"")</f>
        <v>4.4000000000000004</v>
      </c>
      <c r="BR100" s="508">
        <f>IFERROR(VLOOKUP($V$81&amp;"AllSex"&amp;"AllEth"&amp;ref!I12,Percalldeaths,8,FALSE),"")</f>
        <v>4.4000000000000004</v>
      </c>
      <c r="BS100" s="508">
        <f>IFERROR(VLOOKUP($V$81&amp;"AllSex"&amp;"AllEth"&amp;ref!J12,Percalldeaths,8,FALSE),"")</f>
        <v>4</v>
      </c>
      <c r="BT100" s="508">
        <f>IFERROR(VLOOKUP($V$81&amp;"AllSex"&amp;"AllEth"&amp;ref!K12,Percalldeaths,8,FALSE),"")</f>
        <v>4.5</v>
      </c>
      <c r="BU100" s="508">
        <f>IFERROR(VLOOKUP($V$81&amp;"AllSex"&amp;"AllEth"&amp;ref!L12,Percalldeaths,8,FALSE),"")</f>
        <v>3.9</v>
      </c>
      <c r="BV100" s="508">
        <f>IFERROR(VLOOKUP($V$81&amp;"AllSex"&amp;"AllEth"&amp;ref!M12,Percalldeaths,8,FALSE),"")</f>
        <v>3.8</v>
      </c>
      <c r="BW100" s="508">
        <f>IFERROR(VLOOKUP($V$81&amp;"AllSex"&amp;"AllEth"&amp;ref!N12,Percalldeaths,8,FALSE),"")</f>
        <v>6.7</v>
      </c>
      <c r="BX100" s="508">
        <f>IFERROR(VLOOKUP($V$81&amp;"AllSex"&amp;"AllEth"&amp;ref!O12,Percalldeaths,8,FALSE),"")</f>
        <v>7.5</v>
      </c>
      <c r="BY100" s="508">
        <f>IFERROR(VLOOKUP($V$81&amp;"AllSex"&amp;"AllEth"&amp;ref!P12,Percalldeaths,8,FALSE),"")</f>
        <v>6.5</v>
      </c>
      <c r="BZ100" s="508"/>
    </row>
    <row r="101" spans="2:78" x14ac:dyDescent="0.2">
      <c r="B101" s="71"/>
      <c r="C101" s="76"/>
      <c r="D101" s="76"/>
      <c r="E101" s="76"/>
      <c r="F101" s="76"/>
      <c r="G101" s="76"/>
      <c r="H101" s="76"/>
      <c r="I101" s="76"/>
      <c r="J101" s="76"/>
      <c r="K101" s="76"/>
      <c r="L101" s="71"/>
      <c r="M101" s="71"/>
      <c r="N101" s="71"/>
      <c r="O101" s="71"/>
      <c r="P101" s="71"/>
      <c r="Q101" s="451"/>
      <c r="R101" s="12"/>
      <c r="T101" s="25" t="s">
        <v>0</v>
      </c>
      <c r="U101" s="25"/>
      <c r="V101" s="25">
        <v>2015</v>
      </c>
      <c r="W101" s="25" t="s">
        <v>21</v>
      </c>
      <c r="X101" s="129">
        <f>IFERROR(VLOOKUP($V$81&amp;"AllSex"&amp;"AllEth"&amp;ref!A$12,Percalldeaths,6,FALSE),"")</f>
        <v>10</v>
      </c>
      <c r="Y101" s="129">
        <f>IFERROR(VLOOKUP($V$81&amp;"AllSex"&amp;"AllEth"&amp;ref!B$12,Percalldeaths,6,FALSE),"")</f>
        <v>57</v>
      </c>
      <c r="Z101" s="129">
        <f>IFERROR(VLOOKUP($V$81&amp;"AllSex"&amp;"AllEth"&amp;ref!C$12,Percalldeaths,6,FALSE),"")</f>
        <v>54</v>
      </c>
      <c r="AA101" s="129">
        <f>IFERROR(VLOOKUP($V$81&amp;"AllSex"&amp;"AllEth"&amp;ref!D$12,Percalldeaths,6,FALSE),"")</f>
        <v>50</v>
      </c>
      <c r="AB101" s="129">
        <f>IFERROR(VLOOKUP($V$81&amp;"AllSex"&amp;"AllEth"&amp;ref!E$12,Percalldeaths,6,FALSE),"")</f>
        <v>42</v>
      </c>
      <c r="AC101" s="129">
        <f>IFERROR(VLOOKUP($V$81&amp;"AllSex"&amp;"AllEth"&amp;ref!F$12,Percalldeaths,6,FALSE),"")</f>
        <v>42</v>
      </c>
      <c r="AD101" s="129">
        <f>IFERROR(VLOOKUP($V$81&amp;"AllSex"&amp;"AllEth"&amp;ref!G$12,Percalldeaths,6,FALSE),"")</f>
        <v>37</v>
      </c>
      <c r="AE101" s="129">
        <f>IFERROR(VLOOKUP($V$81&amp;"AllSex"&amp;"AllEth"&amp;ref!H$12,Percalldeaths,6,FALSE),"")</f>
        <v>50</v>
      </c>
      <c r="AF101" s="129">
        <f>IFERROR(VLOOKUP($V$81&amp;"AllSex"&amp;"AllEth"&amp;ref!I$12,Percalldeaths,6,FALSE),"")</f>
        <v>52</v>
      </c>
      <c r="AG101" s="129">
        <f>IFERROR(VLOOKUP($V$81&amp;"AllSex"&amp;"AllEth"&amp;ref!J$12,Percalldeaths,6,FALSE),"")</f>
        <v>34</v>
      </c>
      <c r="AH101" s="129">
        <f>IFERROR(VLOOKUP($V$81&amp;"AllSex"&amp;"AllEth"&amp;ref!K$12,Percalldeaths,6,FALSE),"")</f>
        <v>33</v>
      </c>
      <c r="AI101" s="129">
        <f>IFERROR(VLOOKUP($V$81&amp;"AllSex"&amp;"AllEth"&amp;ref!L$12,Percalldeaths,6,FALSE),"")</f>
        <v>20</v>
      </c>
      <c r="AJ101" s="129">
        <f>IFERROR(VLOOKUP($V$81&amp;"AllSex"&amp;"AllEth"&amp;ref!M$12,Percalldeaths,6,FALSE),"")</f>
        <v>10</v>
      </c>
      <c r="AK101" s="129">
        <f>IFERROR(VLOOKUP($V$81&amp;"AllSex"&amp;"AllEth"&amp;ref!N$12,Percalldeaths,6,FALSE),"")</f>
        <v>17</v>
      </c>
      <c r="AL101" s="129">
        <f>IFERROR(VLOOKUP($V$81&amp;"AllSex"&amp;"AllEth"&amp;ref!O$12,Percalldeaths,6,FALSE),"")</f>
        <v>10</v>
      </c>
      <c r="AM101" s="129">
        <f>IFERROR(VLOOKUP($V$81&amp;"AllSex"&amp;"AllEth"&amp;ref!P$12,Percalldeaths,6,FALSE),"")</f>
        <v>7</v>
      </c>
      <c r="AN101" s="24"/>
      <c r="BH101" s="508" t="s">
        <v>375</v>
      </c>
      <c r="BI101" s="508" t="s">
        <v>15</v>
      </c>
      <c r="BJ101" s="510" t="str">
        <f>IFERROR(IF(X103&lt;5,"-",VLOOKUP($V$105&amp;ref!$X$3&amp;"AllEth"&amp;ref!A12,Percalldeaths,7,FALSE)),"")</f>
        <v>-</v>
      </c>
      <c r="BK101" s="510">
        <f>IFERROR(VLOOKUP($V$105&amp;ref!$X$3&amp;"AllEth"&amp;ref!B12,Percalldeaths,7,FALSE),"")</f>
        <v>16.283462515469299</v>
      </c>
      <c r="BL101" s="510">
        <f>IFERROR(VLOOKUP($V$105&amp;ref!$X$3&amp;"AllEth"&amp;ref!C12,Percalldeaths,7,FALSE),"")</f>
        <v>10.384215991692599</v>
      </c>
      <c r="BM101" s="510">
        <f>IFERROR(VLOOKUP($V$105&amp;ref!$X$3&amp;"AllEth"&amp;ref!D12,Percalldeaths,7,FALSE),"")</f>
        <v>5.0787201625190503</v>
      </c>
      <c r="BN101" s="510">
        <f>IFERROR(VLOOKUP($V$105&amp;ref!$X$3&amp;"AllEth"&amp;ref!E12,Percalldeaths,7,FALSE),"")</f>
        <v>6.0528616584840904</v>
      </c>
      <c r="BO101" s="510">
        <f>IFERROR(VLOOKUP($V$105&amp;ref!$X$3&amp;"AllEth"&amp;ref!F12,Percalldeaths,7,FALSE),"")</f>
        <v>6.2888687023967602</v>
      </c>
      <c r="BP101" s="510">
        <f>IFERROR(VLOOKUP($V$105&amp;ref!$X$3&amp;"AllEth"&amp;ref!G12,Percalldeaths,7,FALSE),"")</f>
        <v>5.5517858244401896</v>
      </c>
      <c r="BQ101" s="510">
        <f>IFERROR(VLOOKUP($V$105&amp;ref!$X$3&amp;"AllEth"&amp;ref!H12,Percalldeaths,7,FALSE),"")</f>
        <v>7.3461891643709798</v>
      </c>
      <c r="BR101" s="510">
        <f>IFERROR(VLOOKUP($V$105&amp;ref!$X$3&amp;"AllEth"&amp;ref!I12,Percalldeaths,7,FALSE),"")</f>
        <v>9.1091273456002906</v>
      </c>
      <c r="BS101" s="510">
        <f>IFERROR(VLOOKUP($V$105&amp;ref!$X$3&amp;"AllEth"&amp;ref!J12,Percalldeaths,7,FALSE),"")</f>
        <v>4.7319678226188104</v>
      </c>
      <c r="BT101" s="510">
        <f>IFERROR(VLOOKUP($V$105&amp;ref!$X$3&amp;"AllEth"&amp;ref!K12,Percalldeaths,7,FALSE),"")</f>
        <v>8.5523246773441208</v>
      </c>
      <c r="BU101" s="510">
        <f>IFERROR(VLOOKUP($V$105&amp;ref!$X$3&amp;"AllEth"&amp;ref!L12,Percalldeaths,7,FALSE),"")</f>
        <v>6.0579835569017702</v>
      </c>
      <c r="BV101" s="510">
        <f>IFERROR(VLOOKUP($V$105&amp;ref!$X$3&amp;"AllEth"&amp;ref!M12,Percalldeaths,7,FALSE),"")</f>
        <v>3.5095928872250801</v>
      </c>
      <c r="BW101" s="510">
        <f>IFERROR(VLOOKUP($V$105&amp;ref!$X$3&amp;"AllEth"&amp;ref!N12,Percalldeaths,7,FALSE),"")</f>
        <v>6.2344139650872803</v>
      </c>
      <c r="BX101" s="510">
        <f>IFERROR(VLOOKUP($V$105&amp;ref!$X$3&amp;"AllEth"&amp;ref!O12,Percalldeaths,7,FALSE),"")</f>
        <v>2.17249619813165</v>
      </c>
      <c r="BY101" s="510">
        <f>IFERROR(VLOOKUP($V$105&amp;ref!$X$3&amp;"AllEth"&amp;ref!P12,Percalldeaths,7,FALSE),"")</f>
        <v>1.9880715705765399</v>
      </c>
      <c r="BZ101" s="508"/>
    </row>
    <row r="102" spans="2:78" x14ac:dyDescent="0.2">
      <c r="B102" s="71"/>
      <c r="C102" s="76"/>
      <c r="D102" s="76"/>
      <c r="E102" s="76"/>
      <c r="F102" s="76"/>
      <c r="G102" s="76"/>
      <c r="H102" s="76"/>
      <c r="I102" s="76"/>
      <c r="J102" s="76"/>
      <c r="K102" s="76"/>
      <c r="L102" s="71"/>
      <c r="M102" s="71"/>
      <c r="N102" s="71"/>
      <c r="O102" s="71"/>
      <c r="P102" s="71"/>
      <c r="Q102" s="451"/>
      <c r="R102" s="12"/>
      <c r="T102" s="25" t="s">
        <v>20</v>
      </c>
      <c r="U102" s="25"/>
      <c r="V102" s="25"/>
      <c r="W102" s="25"/>
      <c r="X102" s="346">
        <f>IFERROR(VLOOKUP($V$81&amp;"Male"&amp;"AllEth"&amp;ref!A$12,Percalldeaths,6,FALSE),"")</f>
        <v>6</v>
      </c>
      <c r="Y102" s="346">
        <f>IFERROR(VLOOKUP($V$81&amp;"Male"&amp;"AllEth"&amp;ref!B$12,Percalldeaths,6,FALSE),"")</f>
        <v>32</v>
      </c>
      <c r="Z102" s="346">
        <f>IFERROR(VLOOKUP($V$81&amp;"Male"&amp;"AllEth"&amp;ref!C$12,Percalldeaths,6,FALSE),"")</f>
        <v>37</v>
      </c>
      <c r="AA102" s="346">
        <f>IFERROR(VLOOKUP($V$81&amp;"Male"&amp;"AllEth"&amp;ref!D$12,Percalldeaths,6,FALSE),"")</f>
        <v>42</v>
      </c>
      <c r="AB102" s="346">
        <f>IFERROR(VLOOKUP($V$81&amp;"Male"&amp;"AllEth"&amp;ref!E$12,Percalldeaths,6,FALSE),"")</f>
        <v>33</v>
      </c>
      <c r="AC102" s="346">
        <f>IFERROR(VLOOKUP($V$81&amp;"Male"&amp;"AllEth"&amp;ref!F$12,Percalldeaths,6,FALSE),"")</f>
        <v>33</v>
      </c>
      <c r="AD102" s="346">
        <f>IFERROR(VLOOKUP($V$81&amp;"Male"&amp;"AllEth"&amp;ref!G$12,Percalldeaths,6,FALSE),"")</f>
        <v>28</v>
      </c>
      <c r="AE102" s="346">
        <f>IFERROR(VLOOKUP($V$81&amp;"Male"&amp;"AllEth"&amp;ref!H$12,Percalldeaths,6,FALSE),"")</f>
        <v>38</v>
      </c>
      <c r="AF102" s="346">
        <f>IFERROR(VLOOKUP($V$81&amp;"Male"&amp;"AllEth"&amp;ref!I$12,Percalldeaths,6,FALSE),"")</f>
        <v>37</v>
      </c>
      <c r="AG102" s="346">
        <f>IFERROR(VLOOKUP($V$81&amp;"Male"&amp;"AllEth"&amp;ref!J$12,Percalldeaths,6,FALSE),"")</f>
        <v>27</v>
      </c>
      <c r="AH102" s="346">
        <f>IFERROR(VLOOKUP($V$81&amp;"Male"&amp;"AllEth"&amp;ref!K$12,Percalldeaths,6,FALSE),"")</f>
        <v>22</v>
      </c>
      <c r="AI102" s="346">
        <f>IFERROR(VLOOKUP($V$81&amp;"Male"&amp;"AllEth"&amp;ref!L$12,Percalldeaths,6,FALSE),"")</f>
        <v>13</v>
      </c>
      <c r="AJ102" s="346">
        <f>IFERROR(VLOOKUP($V$81&amp;"Male"&amp;"AllEth"&amp;ref!M$12,Percalldeaths,6,FALSE),"")</f>
        <v>7</v>
      </c>
      <c r="AK102" s="346">
        <f>IFERROR(VLOOKUP($V$81&amp;"Male"&amp;"AllEth"&amp;ref!N$12,Percalldeaths,6,FALSE),"")</f>
        <v>13</v>
      </c>
      <c r="AL102" s="346">
        <f>IFERROR(VLOOKUP($V$81&amp;"Male"&amp;"AllEth"&amp;ref!O$12,Percalldeaths,6,FALSE),"")</f>
        <v>9</v>
      </c>
      <c r="AM102" s="346">
        <f>IFERROR(VLOOKUP($V$81&amp;"Male"&amp;"AllEth"&amp;ref!P$12,Percalldeaths,6,FALSE),"")</f>
        <v>6</v>
      </c>
      <c r="AN102" s="24"/>
      <c r="BH102" s="508"/>
      <c r="BI102" s="508" t="s">
        <v>16</v>
      </c>
      <c r="BJ102" s="510" t="str">
        <f>IFERROR(IF(X103&lt;5,"-",VLOOKUP($V$105&amp;ref!$X$3&amp;"AllEth"&amp;ref!A12,Percalldeaths,8,FALSE)),"")</f>
        <v>-</v>
      </c>
      <c r="BK102" s="510">
        <f>IFERROR(VLOOKUP($V$105&amp;ref!$X$3&amp;"AllEth"&amp;ref!B12,Percalldeaths,8,FALSE),"")</f>
        <v>6.4</v>
      </c>
      <c r="BL102" s="510">
        <f>IFERROR(VLOOKUP($V$105&amp;ref!$X$3&amp;"AllEth"&amp;ref!C12,Percalldeaths,8,FALSE),"")</f>
        <v>4.9000000000000004</v>
      </c>
      <c r="BM102" s="510">
        <f>IFERROR(VLOOKUP($V$105&amp;ref!$X$3&amp;"AllEth"&amp;ref!D12,Percalldeaths,8,FALSE),"")</f>
        <v>3.5</v>
      </c>
      <c r="BN102" s="510">
        <f>IFERROR(VLOOKUP($V$105&amp;ref!$X$3&amp;"AllEth"&amp;ref!E12,Percalldeaths,8,FALSE),"")</f>
        <v>4</v>
      </c>
      <c r="BO102" s="510">
        <f>IFERROR(VLOOKUP($V$105&amp;ref!$X$3&amp;"AllEth"&amp;ref!F12,Percalldeaths,8,FALSE),"")</f>
        <v>4.0999999999999996</v>
      </c>
      <c r="BP102" s="510">
        <f>IFERROR(VLOOKUP($V$105&amp;ref!$X$3&amp;"AllEth"&amp;ref!G12,Percalldeaths,8,FALSE),"")</f>
        <v>3.6</v>
      </c>
      <c r="BQ102" s="510">
        <f>IFERROR(VLOOKUP($V$105&amp;ref!$X$3&amp;"AllEth"&amp;ref!H12,Percalldeaths,8,FALSE),"")</f>
        <v>4.2</v>
      </c>
      <c r="BR102" s="510">
        <f>IFERROR(VLOOKUP($V$105&amp;ref!$X$3&amp;"AllEth"&amp;ref!I12,Percalldeaths,8,FALSE),"")</f>
        <v>4.5999999999999996</v>
      </c>
      <c r="BS102" s="510">
        <f>IFERROR(VLOOKUP($V$105&amp;ref!$X$3&amp;"AllEth"&amp;ref!J12,Percalldeaths,8,FALSE),"")</f>
        <v>3.5</v>
      </c>
      <c r="BT102" s="510">
        <f>IFERROR(VLOOKUP($V$105&amp;ref!$X$3&amp;"AllEth"&amp;ref!K12,Percalldeaths,8,FALSE),"")</f>
        <v>5.0999999999999996</v>
      </c>
      <c r="BU102" s="510">
        <f>IFERROR(VLOOKUP($V$105&amp;ref!$X$3&amp;"AllEth"&amp;ref!L12,Percalldeaths,8,FALSE),"")</f>
        <v>4.5</v>
      </c>
      <c r="BV102" s="510">
        <f>IFERROR(VLOOKUP($V$105&amp;ref!$X$3&amp;"AllEth"&amp;ref!M12,Percalldeaths,8,FALSE),"")</f>
        <v>4</v>
      </c>
      <c r="BW102" s="510">
        <f>IFERROR(VLOOKUP($V$105&amp;ref!$X$3&amp;"AllEth"&amp;ref!N12,Percalldeaths,8,FALSE),"")</f>
        <v>6.1</v>
      </c>
      <c r="BX102" s="510">
        <f>IFERROR(VLOOKUP($V$105&amp;ref!$X$3&amp;"AllEth"&amp;ref!O12,Percalldeaths,8,FALSE),"")</f>
        <v>4.3</v>
      </c>
      <c r="BY102" s="510">
        <f>IFERROR(VLOOKUP($V$105&amp;ref!$X$3&amp;"AllEth"&amp;ref!P12,Percalldeaths,8,FALSE),"")</f>
        <v>3.9</v>
      </c>
      <c r="BZ102" s="508"/>
    </row>
    <row r="103" spans="2:78" x14ac:dyDescent="0.2">
      <c r="B103" s="71"/>
      <c r="C103" s="76"/>
      <c r="D103" s="76"/>
      <c r="E103" s="76"/>
      <c r="F103" s="76"/>
      <c r="G103" s="76"/>
      <c r="H103" s="76"/>
      <c r="I103" s="76"/>
      <c r="J103" s="76"/>
      <c r="K103" s="76"/>
      <c r="L103" s="71"/>
      <c r="M103" s="71"/>
      <c r="N103" s="71"/>
      <c r="O103" s="71"/>
      <c r="P103" s="71"/>
      <c r="Q103" s="451"/>
      <c r="R103" s="12"/>
      <c r="T103" s="25" t="s">
        <v>8</v>
      </c>
      <c r="U103" s="25"/>
      <c r="V103" s="25"/>
      <c r="W103" s="25"/>
      <c r="X103" s="346">
        <f>IFERROR(VLOOKUP($V$81&amp;"Female"&amp;"AllEth"&amp;ref!A$12,Percalldeaths,6,FALSE),"")</f>
        <v>4</v>
      </c>
      <c r="Y103" s="346">
        <f>IFERROR(VLOOKUP($V$81&amp;"Female"&amp;"AllEth"&amp;ref!B$12,Percalldeaths,6,FALSE),"")</f>
        <v>25</v>
      </c>
      <c r="Z103" s="346">
        <f>IFERROR(VLOOKUP($V$81&amp;"Female"&amp;"AllEth"&amp;ref!C$12,Percalldeaths,6,FALSE),"")</f>
        <v>17</v>
      </c>
      <c r="AA103" s="346">
        <f>IFERROR(VLOOKUP($V$81&amp;"Female"&amp;"AllEth"&amp;ref!D$12,Percalldeaths,6,FALSE),"")</f>
        <v>8</v>
      </c>
      <c r="AB103" s="346">
        <f>IFERROR(VLOOKUP($V$81&amp;"Female"&amp;"AllEth"&amp;ref!E$12,Percalldeaths,6,FALSE),"")</f>
        <v>9</v>
      </c>
      <c r="AC103" s="346">
        <f>IFERROR(VLOOKUP($V$81&amp;"Female"&amp;"AllEth"&amp;ref!F$12,Percalldeaths,6,FALSE),"")</f>
        <v>9</v>
      </c>
      <c r="AD103" s="346">
        <f>IFERROR(VLOOKUP($V$81&amp;"Female"&amp;"AllEth"&amp;ref!G$12,Percalldeaths,6,FALSE),"")</f>
        <v>9</v>
      </c>
      <c r="AE103" s="346">
        <f>IFERROR(VLOOKUP($V$81&amp;"Female"&amp;"AllEth"&amp;ref!H$12,Percalldeaths,6,FALSE),"")</f>
        <v>12</v>
      </c>
      <c r="AF103" s="346">
        <f>IFERROR(VLOOKUP($V$81&amp;"Female"&amp;"AllEth"&amp;ref!I$12,Percalldeaths,6,FALSE),"")</f>
        <v>15</v>
      </c>
      <c r="AG103" s="346">
        <f>IFERROR(VLOOKUP($V$81&amp;"Female"&amp;"AllEth"&amp;ref!J$12,Percalldeaths,6,FALSE),"")</f>
        <v>7</v>
      </c>
      <c r="AH103" s="346">
        <f>IFERROR(VLOOKUP($V$81&amp;"Female"&amp;"AllEth"&amp;ref!K$12,Percalldeaths,6,FALSE),"")</f>
        <v>11</v>
      </c>
      <c r="AI103" s="346">
        <f>IFERROR(VLOOKUP($V$81&amp;"Female"&amp;"AllEth"&amp;ref!L$12,Percalldeaths,6,FALSE),"")</f>
        <v>7</v>
      </c>
      <c r="AJ103" s="346">
        <f>IFERROR(VLOOKUP($V$81&amp;"Female"&amp;"AllEth"&amp;ref!M$12,Percalldeaths,6,FALSE),"")</f>
        <v>3</v>
      </c>
      <c r="AK103" s="346">
        <f>IFERROR(VLOOKUP($V$81&amp;"Female"&amp;"AllEth"&amp;ref!N$12,Percalldeaths,6,FALSE),"")</f>
        <v>4</v>
      </c>
      <c r="AL103" s="346">
        <f>IFERROR(VLOOKUP($V$81&amp;"Female"&amp;"AllEth"&amp;ref!O$12,Percalldeaths,6,FALSE),"")</f>
        <v>1</v>
      </c>
      <c r="AM103" s="346">
        <f>IFERROR(VLOOKUP($V$81&amp;"Female"&amp;"AllEth"&amp;ref!P$12,Percalldeaths,6,FALSE),"")</f>
        <v>1</v>
      </c>
      <c r="AN103" s="24"/>
      <c r="BH103" s="508"/>
      <c r="BI103" s="508" t="str">
        <f>IFERROR(VLOOKUP($V$81&amp;"AllSex"&amp;"AllEth"&amp;ref!A16,Percalldeaths,6,FALSE),"")</f>
        <v/>
      </c>
      <c r="BJ103" s="508"/>
      <c r="BK103" s="508"/>
      <c r="BL103" s="508"/>
      <c r="BM103" s="508"/>
      <c r="BN103" s="508"/>
      <c r="BO103" s="508"/>
      <c r="BP103" s="508"/>
      <c r="BQ103" s="508"/>
      <c r="BR103" s="508"/>
      <c r="BS103" s="508"/>
      <c r="BT103" s="508"/>
      <c r="BU103" s="508"/>
      <c r="BV103" s="508"/>
      <c r="BW103" s="508"/>
      <c r="BX103" s="508"/>
      <c r="BY103" s="508"/>
      <c r="BZ103" s="508"/>
    </row>
    <row r="104" spans="2:78" x14ac:dyDescent="0.2">
      <c r="B104" s="71"/>
      <c r="C104" s="76"/>
      <c r="D104" s="76"/>
      <c r="E104" s="76"/>
      <c r="F104" s="76"/>
      <c r="G104" s="76"/>
      <c r="H104" s="76"/>
      <c r="I104" s="76"/>
      <c r="J104" s="76"/>
      <c r="K104" s="76"/>
      <c r="L104" s="71"/>
      <c r="M104" s="71"/>
      <c r="N104" s="71"/>
      <c r="O104" s="71"/>
      <c r="P104" s="71"/>
      <c r="Q104" s="451"/>
      <c r="R104" s="12"/>
      <c r="T104" s="28"/>
      <c r="U104" s="28"/>
      <c r="V104" s="28"/>
      <c r="W104" s="28"/>
      <c r="X104" s="128"/>
      <c r="Y104" s="128"/>
      <c r="Z104" s="128"/>
      <c r="AA104" s="128"/>
      <c r="AB104" s="128"/>
      <c r="AC104" s="128"/>
      <c r="AD104" s="128"/>
      <c r="AE104" s="128"/>
      <c r="AF104" s="128"/>
      <c r="AG104" s="128"/>
      <c r="AH104" s="128"/>
      <c r="AI104" s="128"/>
      <c r="AJ104" s="128"/>
      <c r="AK104" s="128"/>
      <c r="AL104" s="128"/>
      <c r="AM104" s="128"/>
      <c r="AN104" s="24"/>
      <c r="BI104" s="12" t="str">
        <f>IFERROR(VLOOKUP($V$81&amp;"AllSex"&amp;"AllEth"&amp;ref!A17,Percalldeaths,6,FALSE),"")</f>
        <v/>
      </c>
    </row>
    <row r="105" spans="2:78" x14ac:dyDescent="0.2">
      <c r="B105" s="71"/>
      <c r="C105" s="76"/>
      <c r="D105" s="76"/>
      <c r="E105" s="76"/>
      <c r="F105" s="76"/>
      <c r="G105" s="76"/>
      <c r="H105" s="76"/>
      <c r="I105" s="76"/>
      <c r="J105" s="76"/>
      <c r="K105" s="76"/>
      <c r="L105" s="71"/>
      <c r="M105" s="71"/>
      <c r="N105" s="71"/>
      <c r="O105" s="71"/>
      <c r="P105" s="71"/>
      <c r="Q105" s="451"/>
      <c r="R105" s="12"/>
      <c r="T105" s="25" t="s">
        <v>0</v>
      </c>
      <c r="U105" s="25"/>
      <c r="V105" s="25">
        <v>2015</v>
      </c>
      <c r="W105" s="25" t="s">
        <v>22</v>
      </c>
      <c r="X105" s="36">
        <f>IFERROR(IF(X101&lt;5, "-",VLOOKUP($V$81&amp;"AllSex"&amp;"AllEth"&amp;ref!A12,Percalldeaths,7,FALSE)),"0.0")</f>
        <v>3.40645864559204</v>
      </c>
      <c r="Y105" s="36">
        <f>IFERROR(IF(Y101&lt;5, "-",VLOOKUP($V$81&amp;"AllSex"&amp;"AllEth"&amp;ref!B12,Percalldeaths,7,FALSE)),"0.0")</f>
        <v>17.9765358899962</v>
      </c>
      <c r="Z105" s="36">
        <f>IFERROR(IF(Z101&lt;5, "-",VLOOKUP($V$81&amp;"AllSex"&amp;"AllEth"&amp;ref!C12,Percalldeaths,7,FALSE)),"0.0")</f>
        <v>15.9066808059385</v>
      </c>
      <c r="AA105" s="36">
        <f>IFERROR(IF(AA101&lt;5, "-",VLOOKUP($V$81&amp;"AllSex"&amp;"AllEth"&amp;ref!D12,Percalldeaths,7,FALSE)),"0.0")</f>
        <v>15.936254980079701</v>
      </c>
      <c r="AB105" s="36">
        <f>IFERROR(IF(AB101&lt;5, "-",VLOOKUP($V$81&amp;"AllSex"&amp;"AllEth"&amp;ref!E12,Percalldeaths,7,FALSE)),"0.0")</f>
        <v>14.610220196890101</v>
      </c>
      <c r="AC105" s="36">
        <f>IFERROR(IF(AC101&lt;5, "-",VLOOKUP($V$81&amp;"AllSex"&amp;"AllEth"&amp;ref!F12,Percalldeaths,7,FALSE)),"0.0")</f>
        <v>15.3200802480394</v>
      </c>
      <c r="AD105" s="36">
        <f>IFERROR(IF(AD101&lt;5, "-",VLOOKUP($V$81&amp;"AllSex"&amp;"AllEth"&amp;ref!G12,Percalldeaths,7,FALSE)),"0.0")</f>
        <v>11.9810893076873</v>
      </c>
      <c r="AE105" s="36">
        <f>IFERROR(IF(AE101&lt;5, "-",VLOOKUP($V$81&amp;"AllSex"&amp;"AllEth"&amp;ref!H12,Percalldeaths,7,FALSE)),"0.0")</f>
        <v>15.942352453528001</v>
      </c>
      <c r="AF105" s="36">
        <f>IFERROR(IF(AF101&lt;5, "-",VLOOKUP($V$81&amp;"AllSex"&amp;"AllEth"&amp;ref!I12,Percalldeaths,7,FALSE)),"0.0")</f>
        <v>16.324992936301101</v>
      </c>
      <c r="AG105" s="36">
        <f>IFERROR(IF(AG101&lt;5, "-",VLOOKUP($V$81&amp;"AllSex"&amp;"AllEth"&amp;ref!J12,Percalldeaths,7,FALSE)),"0.0")</f>
        <v>11.8285555246312</v>
      </c>
      <c r="AH105" s="36">
        <f>IFERROR(IF(AH101&lt;5, "-",VLOOKUP($V$81&amp;"AllSex"&amp;"AllEth"&amp;ref!K12,Percalldeaths,7,FALSE)),"0.0")</f>
        <v>13.182072381561101</v>
      </c>
      <c r="AI105" s="36">
        <f>IFERROR(IF(AI101&lt;5, "-",VLOOKUP($V$81&amp;"AllSex"&amp;"AllEth"&amp;ref!L12,Percalldeaths,7,FALSE)),"0.0")</f>
        <v>8.8546509053880609</v>
      </c>
      <c r="AJ105" s="36">
        <f>IFERROR(IF(AJ101&lt;5, "-",VLOOKUP($V$81&amp;"AllSex"&amp;"AllEth"&amp;ref!M12,Percalldeaths,7,FALSE)),"0.0")</f>
        <v>6.0631783180743302</v>
      </c>
      <c r="AK105" s="36">
        <f>IFERROR(IF(AK101&lt;5, "-",VLOOKUP($V$81&amp;"AllSex"&amp;"AllEth"&amp;ref!N12,Percalldeaths,7,FALSE)),"0.0")</f>
        <v>14.1301637436622</v>
      </c>
      <c r="AL105" s="36">
        <f>IFERROR(IF(AL101&lt;5, "-",VLOOKUP($V$81&amp;"AllSex"&amp;"AllEth"&amp;ref!O12,Percalldeaths,7,FALSE)),"0.0")</f>
        <v>12.0206755619666</v>
      </c>
      <c r="AM105" s="36">
        <f>IFERROR(IF(AM101&lt;5, "-",VLOOKUP($V$81&amp;"AllSex"&amp;"AllEth"&amp;ref!P12,Percalldeaths,7,FALSE)),"0.0")</f>
        <v>8.7609511889862297</v>
      </c>
      <c r="AN105" s="24"/>
      <c r="BI105" s="12" t="str">
        <f>IFERROR(VLOOKUP($V$81&amp;"AllSex"&amp;"AllEth"&amp;ref!A18,Percalldeaths,6,FALSE),"")</f>
        <v/>
      </c>
    </row>
    <row r="106" spans="2:78" x14ac:dyDescent="0.2">
      <c r="B106" s="71"/>
      <c r="C106" s="76"/>
      <c r="D106" s="76"/>
      <c r="E106" s="76"/>
      <c r="F106" s="76"/>
      <c r="G106" s="76"/>
      <c r="H106" s="76"/>
      <c r="I106" s="76"/>
      <c r="J106" s="76"/>
      <c r="K106" s="76"/>
      <c r="L106" s="71"/>
      <c r="M106" s="71"/>
      <c r="N106" s="71"/>
      <c r="O106" s="71"/>
      <c r="P106" s="71"/>
      <c r="Q106" s="451"/>
      <c r="R106" s="12"/>
      <c r="T106" s="25" t="s">
        <v>20</v>
      </c>
      <c r="U106" s="25"/>
      <c r="V106" s="25"/>
      <c r="W106" s="25"/>
      <c r="X106" s="36">
        <f>IFERROR(IF(X102&lt;5,"-",VLOOKUP($V$81&amp;"Male"&amp;"AllEth"&amp; ref!A12,Percalldeaths,7,FALSE)), "0.0")</f>
        <v>3.9946737683089202</v>
      </c>
      <c r="Y106" s="36">
        <f>IFERROR(IF(Y102&lt;5,"-",VLOOKUP($V$81&amp;"Male"&amp;"AllEth"&amp; ref!B12,Percalldeaths,7,FALSE)), "0.0")</f>
        <v>19.5658819932742</v>
      </c>
      <c r="Z106" s="36">
        <f>IFERROR(IF(Z102&lt;5,"-",VLOOKUP($V$81&amp;"Male"&amp;"AllEth"&amp; ref!C12,Percalldeaths,7,FALSE)), "0.0")</f>
        <v>21.050236103999499</v>
      </c>
      <c r="AA106" s="36">
        <f>IFERROR(IF(AA102&lt;5,"-",VLOOKUP($V$81&amp;"Male"&amp;"AllEth"&amp; ref!D12,Percalldeaths,7,FALSE)), "0.0")</f>
        <v>26.883441080458301</v>
      </c>
      <c r="AB106" s="36">
        <f>IFERROR(IF(AB102&lt;5,"-",VLOOKUP($V$81&amp;"Male"&amp;"AllEth"&amp; ref!E12,Percalldeaths,7,FALSE)), "0.0")</f>
        <v>23.778642455685301</v>
      </c>
      <c r="AC106" s="36">
        <f>IFERROR(IF(AC102&lt;5,"-",VLOOKUP($V$81&amp;"Male"&amp;"AllEth"&amp; ref!F12,Percalldeaths,7,FALSE)), "0.0")</f>
        <v>25.1831501831502</v>
      </c>
      <c r="AD106" s="36">
        <f>IFERROR(IF(AD102&lt;5,"-",VLOOKUP($V$81&amp;"Male"&amp;"AllEth"&amp; ref!G12,Percalldeaths,7,FALSE)), "0.0")</f>
        <v>19.0852702610592</v>
      </c>
      <c r="AE106" s="36">
        <f>IFERROR(IF(AE102&lt;5,"-",VLOOKUP($V$81&amp;"Male"&amp;"AllEth"&amp; ref!H12,Percalldeaths,7,FALSE)), "0.0")</f>
        <v>25.2861325525685</v>
      </c>
      <c r="AF106" s="36">
        <f>IFERROR(IF(AF102&lt;5,"-",VLOOKUP($V$81&amp;"Male"&amp;"AllEth"&amp; ref!I12,Percalldeaths,7,FALSE)), "0.0")</f>
        <v>24.047835694787501</v>
      </c>
      <c r="AG106" s="36">
        <f>IFERROR(IF(AG102&lt;5,"-",VLOOKUP($V$81&amp;"Male"&amp;"AllEth"&amp; ref!J12,Percalldeaths,7,FALSE)), "0.0")</f>
        <v>19.353451365493498</v>
      </c>
      <c r="AH106" s="36">
        <f>IFERROR(IF(AH102&lt;5,"-",VLOOKUP($V$81&amp;"Male"&amp;"AllEth"&amp; ref!K12,Percalldeaths,7,FALSE)), "0.0")</f>
        <v>18.074268813670699</v>
      </c>
      <c r="AI106" s="36">
        <f>IFERROR(IF(AI102&lt;5,"-",VLOOKUP($V$81&amp;"Male"&amp;"AllEth"&amp; ref!L12,Percalldeaths,7,FALSE)), "0.0")</f>
        <v>11.78390137781</v>
      </c>
      <c r="AJ106" s="36">
        <f>IFERROR(IF(AJ102&lt;5,"-",VLOOKUP($V$81&amp;"Male"&amp;"AllEth"&amp; ref!M12,Percalldeaths,7,FALSE)), "0.0")</f>
        <v>8.8116817724068497</v>
      </c>
      <c r="AK106" s="36">
        <f>IFERROR(IF(AK102&lt;5,"-",VLOOKUP($V$81&amp;"Male"&amp;"AllEth"&amp; ref!N12,Percalldeaths,7,FALSE)), "0.0")</f>
        <v>23.152270703472801</v>
      </c>
      <c r="AL106" s="36">
        <f>IFERROR(IF(AL102&lt;5,"-",VLOOKUP($V$81&amp;"Male"&amp;"AllEth"&amp; ref!O12,Percalldeaths,7,FALSE)), "0.0")</f>
        <v>24.219590958019399</v>
      </c>
      <c r="AM106" s="36">
        <f>IFERROR(IF(AM102&lt;5,"-",VLOOKUP($V$81&amp;"Male"&amp;"AllEth"&amp; ref!P12,Percalldeaths,7,FALSE)), "0.0")</f>
        <v>20.270270270270299</v>
      </c>
      <c r="AN106" s="24"/>
      <c r="BI106" s="12" t="str">
        <f>IFERROR(VLOOKUP($V$81&amp;"AllSex"&amp;"AllEth"&amp;ref!A19,Percalldeaths,6,FALSE),"")</f>
        <v/>
      </c>
    </row>
    <row r="107" spans="2:78" x14ac:dyDescent="0.2">
      <c r="B107" s="71"/>
      <c r="C107" s="76"/>
      <c r="D107" s="76"/>
      <c r="E107" s="76"/>
      <c r="F107" s="76"/>
      <c r="G107" s="76"/>
      <c r="H107" s="76"/>
      <c r="I107" s="76"/>
      <c r="J107" s="76"/>
      <c r="K107" s="76"/>
      <c r="L107" s="71"/>
      <c r="M107" s="71"/>
      <c r="N107" s="71"/>
      <c r="O107" s="71"/>
      <c r="P107" s="71"/>
      <c r="Q107" s="451"/>
      <c r="R107" s="12"/>
      <c r="T107" s="25" t="s">
        <v>8</v>
      </c>
      <c r="U107" s="25"/>
      <c r="V107" s="25"/>
      <c r="W107" s="25"/>
      <c r="X107" s="36" t="str">
        <f>IFERROR(IF(X103&lt;5,"-",VLOOKUP($V$81&amp;"Female"&amp;"AllEth"&amp;ref!A12,Percalldeaths,7,FALSE)),"0.0")</f>
        <v>-</v>
      </c>
      <c r="Y107" s="36">
        <f>IFERROR(IF(Y103&lt;5,"-",VLOOKUP($V$81&amp;"Female"&amp;"AllEth"&amp;ref!B12,Percalldeaths,7,FALSE)),"0.0")</f>
        <v>16.283462515469299</v>
      </c>
      <c r="Z107" s="36">
        <f>IFERROR(IF(Z103&lt;5,"-",VLOOKUP($V$81&amp;"Female"&amp;"AllEth"&amp;ref!C12,Percalldeaths,7,FALSE)),"0.0")</f>
        <v>10.384215991692599</v>
      </c>
      <c r="AA107" s="36">
        <f>IFERROR(IF(AA103&lt;5,"-",VLOOKUP($V$81&amp;"Female"&amp;"AllEth"&amp;ref!D12,Percalldeaths,7,FALSE)),"0.0")</f>
        <v>5.0787201625190503</v>
      </c>
      <c r="AB107" s="36">
        <f>IFERROR(IF(AB103&lt;5,"-",VLOOKUP($V$81&amp;"Female"&amp;"AllEth"&amp;ref!E12,Percalldeaths,7,FALSE)),"0.0")</f>
        <v>6.0528616584840904</v>
      </c>
      <c r="AC107" s="36">
        <f>IFERROR(IF(AC103&lt;5,"-",VLOOKUP($V$81&amp;"Female"&amp;"AllEth"&amp;ref!F12,Percalldeaths,7,FALSE)),"0.0")</f>
        <v>6.2888687023967602</v>
      </c>
      <c r="AD107" s="36">
        <f>IFERROR(IF(AD103&lt;5,"-",VLOOKUP($V$81&amp;"Female"&amp;"AllEth"&amp;ref!G12,Percalldeaths,7,FALSE)),"0.0")</f>
        <v>5.5517858244401896</v>
      </c>
      <c r="AE107" s="36">
        <f>IFERROR(IF(AE103&lt;5,"-",VLOOKUP($V$81&amp;"Female"&amp;"AllEth"&amp;ref!H12,Percalldeaths,7,FALSE)),"0.0")</f>
        <v>7.3461891643709798</v>
      </c>
      <c r="AF107" s="36">
        <f>IFERROR(IF(AF103&lt;5,"-",VLOOKUP($V$81&amp;"Female"&amp;"AllEth"&amp;ref!I12,Percalldeaths,7,FALSE)),"0.0")</f>
        <v>9.1091273456002906</v>
      </c>
      <c r="AG107" s="36">
        <f>IFERROR(IF(AG103&lt;5,"-",VLOOKUP($V$81&amp;"Female"&amp;"AllEth"&amp;ref!J12,Percalldeaths,7,FALSE)),"0.0")</f>
        <v>4.7319678226188104</v>
      </c>
      <c r="AH107" s="36">
        <f>IFERROR(IF(AH103&lt;5,"-",VLOOKUP($V$81&amp;"Female"&amp;"AllEth"&amp;ref!K12,Percalldeaths,7,FALSE)),"0.0")</f>
        <v>8.5523246773441208</v>
      </c>
      <c r="AI107" s="36">
        <f>IFERROR(IF(AI103&lt;5,"-",VLOOKUP($V$81&amp;"Female"&amp;"AllEth"&amp;ref!L12,Percalldeaths,7,FALSE)),"0.0")</f>
        <v>6.0579835569017702</v>
      </c>
      <c r="AJ107" s="36" t="str">
        <f>IFERROR(IF(AJ103&lt;5,"-",VLOOKUP($V$81&amp;"Female"&amp;"AllEth"&amp;ref!M12,Percalldeaths,7,FALSE)),"0.0")</f>
        <v>-</v>
      </c>
      <c r="AK107" s="36" t="str">
        <f>IFERROR(IF(AK103&lt;5,"-",VLOOKUP($V$81&amp;"Female"&amp;"AllEth"&amp;ref!N12,Percalldeaths,7,FALSE)),"0.0")</f>
        <v>-</v>
      </c>
      <c r="AL107" s="36" t="str">
        <f>IFERROR(IF(AL103&lt;5,"-",VLOOKUP($V$81&amp;"Female"&amp;"AllEth"&amp;ref!O12,Percalldeaths,7,FALSE)),"0.0")</f>
        <v>-</v>
      </c>
      <c r="AM107" s="36" t="str">
        <f>IFERROR(IF(AM103&lt;5,"-",VLOOKUP($V$81&amp;"Female"&amp;"AllEth"&amp;ref!P12,Percalldeaths,7,FALSE)),"0.0")</f>
        <v>-</v>
      </c>
      <c r="AN107" s="24"/>
      <c r="BI107" s="12" t="str">
        <f>IFERROR(VLOOKUP($V$81&amp;"AllSex"&amp;"AllEth"&amp;ref!A20,Percalldeaths,6,FALSE),"")</f>
        <v/>
      </c>
    </row>
    <row r="108" spans="2:78" x14ac:dyDescent="0.2">
      <c r="B108" s="71"/>
      <c r="C108" s="76"/>
      <c r="D108" s="76"/>
      <c r="E108" s="76"/>
      <c r="F108" s="76"/>
      <c r="G108" s="76"/>
      <c r="H108" s="76"/>
      <c r="I108" s="76"/>
      <c r="J108" s="76"/>
      <c r="K108" s="76"/>
      <c r="L108" s="71"/>
      <c r="M108" s="71"/>
      <c r="N108" s="71"/>
      <c r="O108" s="71"/>
      <c r="P108" s="71"/>
      <c r="Q108" s="451"/>
      <c r="R108" s="12"/>
      <c r="T108" s="45"/>
      <c r="U108" s="45"/>
      <c r="X108" s="12"/>
      <c r="Y108" s="12"/>
      <c r="BI108" s="12" t="str">
        <f>IFERROR(VLOOKUP($V$81&amp;"AllSex"&amp;"AllEth"&amp;ref!A21,Percalldeaths,6,FALSE),"")</f>
        <v/>
      </c>
    </row>
    <row r="109" spans="2:78" x14ac:dyDescent="0.2">
      <c r="B109" s="71"/>
      <c r="C109" s="76"/>
      <c r="D109" s="76"/>
      <c r="E109" s="76"/>
      <c r="F109" s="76"/>
      <c r="G109" s="76"/>
      <c r="H109" s="76"/>
      <c r="I109" s="76"/>
      <c r="J109" s="76"/>
      <c r="K109" s="76"/>
      <c r="L109" s="71"/>
      <c r="M109" s="71"/>
      <c r="N109" s="71"/>
      <c r="O109" s="71"/>
      <c r="P109" s="71"/>
      <c r="Q109" s="451"/>
      <c r="R109" s="12"/>
      <c r="T109" s="51" t="s">
        <v>101</v>
      </c>
      <c r="U109" s="51"/>
      <c r="X109" s="51"/>
      <c r="Y109" s="12"/>
    </row>
    <row r="110" spans="2:78" x14ac:dyDescent="0.2">
      <c r="B110" s="71"/>
      <c r="C110" s="283"/>
      <c r="D110" s="71"/>
      <c r="E110" s="414"/>
      <c r="F110" s="419"/>
      <c r="G110" s="419"/>
      <c r="H110" s="419"/>
      <c r="I110" s="419"/>
      <c r="J110" s="419"/>
      <c r="K110" s="419"/>
      <c r="L110" s="419"/>
      <c r="M110" s="414"/>
      <c r="N110" s="414"/>
      <c r="O110" s="414"/>
      <c r="P110" s="71"/>
      <c r="Q110" s="451"/>
      <c r="R110" s="12"/>
      <c r="T110" s="51" t="s">
        <v>108</v>
      </c>
      <c r="U110" s="51"/>
      <c r="V110" s="199"/>
      <c r="W110" s="199"/>
      <c r="X110" s="12"/>
      <c r="Y110" s="12"/>
    </row>
    <row r="111" spans="2:78" ht="33.75" customHeight="1" x14ac:dyDescent="0.2">
      <c r="B111" s="71"/>
      <c r="C111" s="418" t="s">
        <v>101</v>
      </c>
      <c r="D111" s="533" t="s">
        <v>631</v>
      </c>
      <c r="E111" s="534"/>
      <c r="F111" s="534"/>
      <c r="G111" s="534"/>
      <c r="H111" s="534"/>
      <c r="I111" s="534"/>
      <c r="J111" s="534"/>
      <c r="K111" s="534"/>
      <c r="L111" s="534"/>
      <c r="M111" s="534"/>
      <c r="N111" s="534"/>
      <c r="O111" s="534"/>
      <c r="P111" s="534"/>
      <c r="R111" s="12"/>
      <c r="T111" s="537" t="s">
        <v>558</v>
      </c>
      <c r="U111" s="537"/>
      <c r="V111" s="538"/>
      <c r="W111" s="538"/>
      <c r="X111" s="538"/>
      <c r="Y111" s="538"/>
      <c r="Z111" s="538"/>
      <c r="AA111" s="538"/>
      <c r="AB111" s="538"/>
      <c r="AC111" s="538"/>
      <c r="AD111" s="416"/>
      <c r="AE111" s="416"/>
      <c r="AF111" s="416"/>
      <c r="AG111" s="416"/>
    </row>
    <row r="112" spans="2:78" x14ac:dyDescent="0.2">
      <c r="B112" s="71"/>
      <c r="C112" s="283"/>
      <c r="D112" s="419" t="s">
        <v>292</v>
      </c>
      <c r="E112" s="414"/>
      <c r="F112" s="414"/>
      <c r="G112" s="414"/>
      <c r="H112" s="414"/>
      <c r="I112" s="414"/>
      <c r="J112" s="414"/>
      <c r="K112" s="414"/>
      <c r="L112" s="414"/>
      <c r="M112" s="414"/>
      <c r="N112" s="414"/>
      <c r="O112" s="414"/>
      <c r="P112" s="414"/>
      <c r="R112" s="12"/>
      <c r="T112" s="52" t="s">
        <v>102</v>
      </c>
      <c r="U112" s="52"/>
      <c r="X112" s="12"/>
      <c r="Y112" s="12"/>
    </row>
    <row r="113" spans="2:39" x14ac:dyDescent="0.2">
      <c r="B113" s="71"/>
      <c r="C113" s="265" t="s">
        <v>150</v>
      </c>
      <c r="D113" s="84" t="s">
        <v>149</v>
      </c>
      <c r="E113" s="414"/>
      <c r="F113" s="414"/>
      <c r="G113" s="414"/>
      <c r="H113" s="414"/>
      <c r="I113" s="414"/>
      <c r="J113" s="414"/>
      <c r="K113" s="414"/>
      <c r="L113" s="414"/>
      <c r="M113" s="414"/>
      <c r="N113" s="414"/>
      <c r="O113" s="414"/>
      <c r="P113" s="414"/>
      <c r="R113" s="12"/>
      <c r="T113" s="20"/>
      <c r="U113" s="20"/>
      <c r="V113" s="44"/>
      <c r="W113" s="44"/>
      <c r="X113" s="20"/>
      <c r="Y113" s="20"/>
      <c r="Z113" s="20"/>
      <c r="AA113" s="20"/>
      <c r="AB113" s="20"/>
      <c r="AC113" s="20"/>
      <c r="AD113" s="20"/>
      <c r="AE113" s="20"/>
      <c r="AF113" s="20"/>
      <c r="AG113" s="20"/>
      <c r="AH113" s="20"/>
      <c r="AI113" s="20"/>
      <c r="AJ113" s="20"/>
      <c r="AK113" s="20"/>
      <c r="AL113" s="20"/>
      <c r="AM113" s="20"/>
    </row>
    <row r="114" spans="2:39" x14ac:dyDescent="0.2">
      <c r="B114" s="71"/>
      <c r="C114" s="71"/>
      <c r="D114" s="71"/>
      <c r="E114" s="414"/>
      <c r="F114" s="414"/>
      <c r="G114" s="414"/>
      <c r="H114" s="414"/>
      <c r="I114" s="414"/>
      <c r="J114" s="414"/>
      <c r="K114" s="414"/>
      <c r="L114" s="414"/>
      <c r="M114" s="414"/>
      <c r="N114" s="414"/>
      <c r="O114" s="414"/>
      <c r="P114" s="414"/>
      <c r="Q114" s="454"/>
      <c r="R114" s="12"/>
      <c r="V114" s="12"/>
      <c r="W114" s="12"/>
    </row>
    <row r="115" spans="2:39" x14ac:dyDescent="0.2">
      <c r="B115" s="407"/>
      <c r="C115" s="407"/>
      <c r="D115" s="407"/>
      <c r="E115" s="407"/>
      <c r="F115" s="407"/>
      <c r="G115" s="407"/>
      <c r="H115" s="407"/>
      <c r="I115" s="407"/>
      <c r="J115" s="407"/>
      <c r="K115" s="407"/>
      <c r="L115" s="407"/>
      <c r="M115" s="407"/>
      <c r="N115" s="407"/>
      <c r="O115" s="407"/>
      <c r="P115" s="407"/>
      <c r="R115" s="12"/>
    </row>
    <row r="116" spans="2:39" x14ac:dyDescent="0.2">
      <c r="C116" s="180"/>
      <c r="D116" s="180"/>
      <c r="E116" s="180"/>
      <c r="F116" s="180"/>
      <c r="G116" s="180"/>
      <c r="H116" s="180"/>
      <c r="I116" s="180"/>
      <c r="J116" s="180"/>
      <c r="K116" s="180"/>
      <c r="L116" s="180"/>
      <c r="M116" s="180"/>
      <c r="N116" s="180"/>
      <c r="O116" s="180"/>
      <c r="P116" s="180"/>
      <c r="R116" s="12"/>
    </row>
    <row r="117" spans="2:39" ht="34.5" customHeight="1" x14ac:dyDescent="0.2">
      <c r="C117" s="535" t="s">
        <v>644</v>
      </c>
      <c r="D117" s="525"/>
      <c r="E117" s="525"/>
      <c r="F117" s="525"/>
      <c r="G117" s="525"/>
      <c r="H117" s="525"/>
      <c r="I117" s="525"/>
      <c r="J117" s="525"/>
      <c r="K117" s="525"/>
      <c r="L117" s="525"/>
      <c r="M117" s="525"/>
      <c r="N117" s="525"/>
      <c r="O117" s="525"/>
      <c r="P117" s="525"/>
      <c r="Q117" s="525"/>
      <c r="R117" s="131" t="s">
        <v>192</v>
      </c>
      <c r="V117" s="12"/>
    </row>
    <row r="118" spans="2:39" ht="11.25" customHeight="1" x14ac:dyDescent="0.25">
      <c r="B118" s="71"/>
      <c r="C118" s="178"/>
      <c r="D118" s="195"/>
      <c r="E118" s="195"/>
      <c r="F118" s="195"/>
      <c r="G118" s="195"/>
      <c r="H118" s="195"/>
      <c r="I118" s="195"/>
      <c r="J118" s="195"/>
      <c r="K118" s="195"/>
      <c r="L118" s="283"/>
      <c r="M118" s="195"/>
      <c r="N118" s="195"/>
      <c r="O118" s="195"/>
      <c r="P118" s="71"/>
      <c r="V118" s="232"/>
      <c r="W118" s="126"/>
      <c r="X118" s="126"/>
      <c r="Y118" s="126"/>
      <c r="Z118" s="33"/>
      <c r="AA118" s="33"/>
    </row>
    <row r="119" spans="2:39" ht="18.75" customHeight="1" x14ac:dyDescent="0.25">
      <c r="B119" s="71"/>
      <c r="C119" s="319" t="s">
        <v>336</v>
      </c>
      <c r="D119" s="71"/>
      <c r="E119" s="94"/>
      <c r="F119" s="71"/>
      <c r="G119" s="71"/>
      <c r="H119" s="71"/>
      <c r="I119" s="71"/>
      <c r="J119" s="71"/>
      <c r="K119" s="71"/>
      <c r="L119" s="283"/>
      <c r="M119" s="71"/>
      <c r="N119" s="71"/>
      <c r="O119" s="71"/>
      <c r="P119" s="71"/>
      <c r="R119" s="12"/>
      <c r="T119" s="238" t="s">
        <v>336</v>
      </c>
      <c r="U119" s="238"/>
      <c r="X119" s="12"/>
      <c r="Y119" s="12"/>
    </row>
    <row r="120" spans="2:39" ht="15" customHeight="1" x14ac:dyDescent="0.2">
      <c r="B120" s="71"/>
      <c r="C120" s="71"/>
      <c r="D120" s="71"/>
      <c r="E120" s="71"/>
      <c r="F120" s="71"/>
      <c r="G120" s="71"/>
      <c r="H120" s="71"/>
      <c r="I120" s="71"/>
      <c r="J120" s="71"/>
      <c r="K120" s="71"/>
      <c r="L120" s="283"/>
      <c r="M120" s="71"/>
      <c r="N120" s="71"/>
      <c r="O120" s="71"/>
      <c r="P120" s="71"/>
      <c r="R120" s="12"/>
      <c r="W120" s="12"/>
    </row>
    <row r="121" spans="2:39" ht="15.75" customHeight="1" x14ac:dyDescent="0.2">
      <c r="B121" s="71"/>
      <c r="C121" s="71"/>
      <c r="D121" s="76"/>
      <c r="E121" s="76"/>
      <c r="F121" s="76"/>
      <c r="G121" s="76"/>
      <c r="H121" s="76"/>
      <c r="I121" s="76"/>
      <c r="J121" s="76"/>
      <c r="K121" s="76"/>
      <c r="L121" s="283"/>
      <c r="M121" s="71"/>
      <c r="N121" s="71"/>
      <c r="O121" s="71"/>
      <c r="P121" s="71"/>
      <c r="R121" s="12"/>
      <c r="T121" s="167" t="s">
        <v>80</v>
      </c>
      <c r="U121" s="167"/>
      <c r="V121" s="167"/>
      <c r="W121" s="31"/>
      <c r="X121" s="169" t="s">
        <v>0</v>
      </c>
      <c r="Y121" s="169" t="s">
        <v>20</v>
      </c>
      <c r="Z121" s="49" t="s">
        <v>8</v>
      </c>
    </row>
    <row r="122" spans="2:39" ht="11.25" customHeight="1" x14ac:dyDescent="0.2">
      <c r="B122" s="71"/>
      <c r="C122" s="71"/>
      <c r="D122" s="76"/>
      <c r="E122" s="76"/>
      <c r="F122" s="76"/>
      <c r="G122" s="76"/>
      <c r="H122" s="76"/>
      <c r="I122" s="76"/>
      <c r="J122" s="76"/>
      <c r="K122" s="76"/>
      <c r="L122" s="283"/>
      <c r="M122" s="71"/>
      <c r="N122" s="71"/>
      <c r="O122" s="71"/>
      <c r="P122" s="71"/>
      <c r="R122" s="12"/>
      <c r="T122" s="167"/>
      <c r="U122" s="167"/>
      <c r="V122" s="31"/>
      <c r="W122" s="31"/>
      <c r="X122" s="169"/>
      <c r="Y122" s="169"/>
      <c r="Z122" s="139"/>
    </row>
    <row r="123" spans="2:39" x14ac:dyDescent="0.2">
      <c r="B123" s="71"/>
      <c r="C123" s="71"/>
      <c r="D123" s="76"/>
      <c r="E123" s="76"/>
      <c r="F123" s="76"/>
      <c r="G123" s="76"/>
      <c r="H123" s="76"/>
      <c r="I123" s="76"/>
      <c r="J123" s="76"/>
      <c r="K123" s="76"/>
      <c r="L123" s="283"/>
      <c r="M123" s="71"/>
      <c r="N123" s="71"/>
      <c r="O123" s="71"/>
      <c r="P123" s="71"/>
      <c r="R123" s="12"/>
      <c r="T123" s="31" t="s">
        <v>3</v>
      </c>
      <c r="U123" s="31"/>
      <c r="V123" s="31" t="s">
        <v>9</v>
      </c>
      <c r="W123" s="31" t="s">
        <v>21</v>
      </c>
      <c r="X123" s="233">
        <f>VLOOKUP(ref!$X$1&amp;ref!W1&amp;19,MPAO5yr,5,FALSE)</f>
        <v>547</v>
      </c>
      <c r="Y123" s="124">
        <f>VLOOKUP(ref!$X$2&amp;ref!W1&amp;19,MPAO5yr,5,FALSE)</f>
        <v>373</v>
      </c>
      <c r="Z123" s="12">
        <f>VLOOKUP(ref!$X$3&amp;ref!W1&amp;19,MPAO5yr,5,FALSE)</f>
        <v>174</v>
      </c>
    </row>
    <row r="124" spans="2:39" x14ac:dyDescent="0.2">
      <c r="B124" s="71"/>
      <c r="C124" s="76"/>
      <c r="D124" s="76"/>
      <c r="E124" s="76"/>
      <c r="F124" s="76"/>
      <c r="G124" s="76"/>
      <c r="H124" s="76"/>
      <c r="I124" s="76"/>
      <c r="J124" s="76"/>
      <c r="K124" s="76"/>
      <c r="L124" s="283"/>
      <c r="M124" s="71"/>
      <c r="N124" s="71"/>
      <c r="O124" s="71"/>
      <c r="P124" s="71"/>
      <c r="R124" s="12"/>
      <c r="T124" s="31" t="s">
        <v>79</v>
      </c>
      <c r="U124" s="31"/>
      <c r="V124" s="31"/>
      <c r="W124" s="31" t="s">
        <v>21</v>
      </c>
      <c r="X124" s="233">
        <f>VLOOKUP(ref!$X$1&amp;ref!W2&amp;19,MPAO5yr,5,FALSE)</f>
        <v>124</v>
      </c>
      <c r="Y124" s="124">
        <f>VLOOKUP(ref!$X$2&amp;ref!W2&amp;19,MPAO5yr,5,FALSE)</f>
        <v>89</v>
      </c>
      <c r="Z124" s="12">
        <f>VLOOKUP(ref!$X$3&amp;ref!W2&amp;19,MPAO5yr,5,FALSE)</f>
        <v>35</v>
      </c>
    </row>
    <row r="125" spans="2:39" x14ac:dyDescent="0.2">
      <c r="B125" s="71"/>
      <c r="C125" s="76"/>
      <c r="D125" s="76"/>
      <c r="E125" s="76"/>
      <c r="F125" s="76"/>
      <c r="G125" s="76"/>
      <c r="H125" s="76"/>
      <c r="I125" s="76"/>
      <c r="J125" s="76"/>
      <c r="K125" s="76"/>
      <c r="L125" s="283"/>
      <c r="M125" s="71"/>
      <c r="N125" s="71"/>
      <c r="O125" s="71"/>
      <c r="P125" s="71"/>
      <c r="R125" s="12"/>
      <c r="T125" s="31" t="s">
        <v>78</v>
      </c>
      <c r="U125" s="31"/>
      <c r="V125" s="31"/>
      <c r="W125" s="31" t="s">
        <v>21</v>
      </c>
      <c r="X125" s="233">
        <f>VLOOKUP(ref!$X$1&amp;ref!W3&amp;19,MPAO5yr,5,FALSE)</f>
        <v>126</v>
      </c>
      <c r="Y125" s="124">
        <f>VLOOKUP(ref!$X$2&amp;ref!W3&amp;19,MPAO5yr,5,FALSE)</f>
        <v>84</v>
      </c>
      <c r="Z125" s="12">
        <f>VLOOKUP(ref!$X$3&amp;ref!W3&amp;19,MPAO5yr,5,FALSE)</f>
        <v>42</v>
      </c>
    </row>
    <row r="126" spans="2:39" x14ac:dyDescent="0.2">
      <c r="B126" s="71"/>
      <c r="C126" s="76"/>
      <c r="D126" s="76"/>
      <c r="E126" s="76"/>
      <c r="F126" s="76"/>
      <c r="G126" s="76"/>
      <c r="H126" s="76"/>
      <c r="I126" s="76"/>
      <c r="J126" s="76"/>
      <c r="K126" s="76"/>
      <c r="L126" s="283"/>
      <c r="M126" s="71"/>
      <c r="N126" s="71"/>
      <c r="O126" s="71"/>
      <c r="P126" s="71"/>
      <c r="R126" s="12"/>
      <c r="T126" s="31" t="s">
        <v>45</v>
      </c>
      <c r="U126" s="31"/>
      <c r="V126" s="31"/>
      <c r="W126" s="31" t="s">
        <v>21</v>
      </c>
      <c r="X126" s="233">
        <f>VLOOKUP(ref!$X$1&amp;ref!W4&amp;19,MPAO5yr,5,FALSE)</f>
        <v>1795</v>
      </c>
      <c r="Y126" s="124">
        <f>VLOOKUP(ref!$X$2&amp;ref!W4&amp;19,MPAO5yr,5,FALSE)</f>
        <v>1364</v>
      </c>
      <c r="Z126" s="12">
        <f>VLOOKUP(ref!$X$3&amp;ref!W4&amp;19,MPAO5yr,5,FALSE)</f>
        <v>431</v>
      </c>
    </row>
    <row r="127" spans="2:39" x14ac:dyDescent="0.2">
      <c r="B127" s="71"/>
      <c r="C127" s="76"/>
      <c r="D127" s="76"/>
      <c r="E127" s="76"/>
      <c r="F127" s="76"/>
      <c r="G127" s="76"/>
      <c r="H127" s="76"/>
      <c r="I127" s="76"/>
      <c r="J127" s="76"/>
      <c r="K127" s="76"/>
      <c r="L127" s="283"/>
      <c r="M127" s="71"/>
      <c r="N127" s="71"/>
      <c r="O127" s="71"/>
      <c r="P127" s="71"/>
      <c r="R127" s="12"/>
      <c r="T127" s="20"/>
      <c r="U127" s="20"/>
      <c r="V127" s="20"/>
      <c r="W127" s="28"/>
      <c r="X127" s="28"/>
      <c r="Y127" s="28"/>
      <c r="Z127" s="128"/>
      <c r="AA127" s="124"/>
    </row>
    <row r="128" spans="2:39" x14ac:dyDescent="0.2">
      <c r="B128" s="71"/>
      <c r="C128" s="76"/>
      <c r="D128" s="76"/>
      <c r="E128" s="76"/>
      <c r="F128" s="76"/>
      <c r="G128" s="76"/>
      <c r="H128" s="76"/>
      <c r="I128" s="76"/>
      <c r="J128" s="76"/>
      <c r="K128" s="76"/>
      <c r="L128" s="283"/>
      <c r="M128" s="71"/>
      <c r="N128" s="71"/>
      <c r="O128" s="71"/>
      <c r="P128" s="71"/>
      <c r="R128" s="12"/>
      <c r="T128" s="31" t="s">
        <v>3</v>
      </c>
      <c r="U128" s="31"/>
      <c r="V128" s="31" t="s">
        <v>9</v>
      </c>
      <c r="W128" s="31" t="s">
        <v>22</v>
      </c>
      <c r="X128" s="46">
        <f>VLOOKUP(ref!$X$1&amp;ref!W1&amp;19,MPAO5yr,6,FALSE)</f>
        <v>16.549286770976799</v>
      </c>
      <c r="Y128" s="46">
        <f>VLOOKUP(ref!$X$2&amp;ref!W1&amp;19,MPAO5yr,6,FALSE)</f>
        <v>24.059501426314299</v>
      </c>
      <c r="Z128" s="41">
        <f>VLOOKUP(ref!$X$3&amp;ref!W1&amp;19,MPAO5yr,6,FALSE)</f>
        <v>9.8967768313879692</v>
      </c>
    </row>
    <row r="129" spans="2:32" x14ac:dyDescent="0.2">
      <c r="B129" s="71"/>
      <c r="C129" s="76"/>
      <c r="D129" s="76"/>
      <c r="E129" s="76"/>
      <c r="F129" s="76"/>
      <c r="G129" s="76"/>
      <c r="H129" s="76"/>
      <c r="I129" s="76"/>
      <c r="J129" s="76"/>
      <c r="K129" s="76"/>
      <c r="L129" s="283"/>
      <c r="M129" s="71"/>
      <c r="N129" s="71"/>
      <c r="O129" s="71"/>
      <c r="P129" s="71"/>
      <c r="R129" s="12"/>
      <c r="T129" s="31" t="s">
        <v>79</v>
      </c>
      <c r="U129" s="31"/>
      <c r="V129" s="31"/>
      <c r="W129" s="31" t="s">
        <v>22</v>
      </c>
      <c r="X129" s="46">
        <f>VLOOKUP(ref!$X$1&amp;ref!W2&amp;19,MPAO5yr,6,FALSE)</f>
        <v>8.4864283101509699</v>
      </c>
      <c r="Y129" s="46">
        <f>VLOOKUP(ref!$X$2&amp;ref!W2&amp;19,MPAO5yr,6,FALSE)</f>
        <v>12.5975011470462</v>
      </c>
      <c r="Z129" s="41">
        <f>VLOOKUP(ref!$X$3&amp;ref!W2&amp;19,MPAO5yr,6,FALSE)</f>
        <v>4.5874906779750102</v>
      </c>
    </row>
    <row r="130" spans="2:32" x14ac:dyDescent="0.2">
      <c r="B130" s="71"/>
      <c r="C130" s="76"/>
      <c r="D130" s="76"/>
      <c r="E130" s="76"/>
      <c r="F130" s="76"/>
      <c r="G130" s="76"/>
      <c r="H130" s="76"/>
      <c r="I130" s="76"/>
      <c r="J130" s="76"/>
      <c r="K130" s="76"/>
      <c r="L130" s="283"/>
      <c r="M130" s="71"/>
      <c r="N130" s="71"/>
      <c r="O130" s="71"/>
      <c r="P130" s="71"/>
      <c r="R130" s="12"/>
      <c r="T130" s="31" t="s">
        <v>78</v>
      </c>
      <c r="U130" s="31"/>
      <c r="V130" s="31"/>
      <c r="W130" s="31" t="s">
        <v>22</v>
      </c>
      <c r="X130" s="46">
        <f>VLOOKUP(ref!$X$1&amp;ref!W3&amp;19,MPAO5yr,6,FALSE)</f>
        <v>4.5972527191759998</v>
      </c>
      <c r="Y130" s="46">
        <f>VLOOKUP(ref!$X$2&amp;ref!W3&amp;19,MPAO5yr,6,FALSE)</f>
        <v>6.1339845000132698</v>
      </c>
      <c r="Z130" s="41">
        <f>VLOOKUP(ref!$X$3&amp;ref!W3&amp;19,MPAO5yr,6,FALSE)</f>
        <v>3.1105831097302099</v>
      </c>
    </row>
    <row r="131" spans="2:32" x14ac:dyDescent="0.2">
      <c r="B131" s="71"/>
      <c r="C131" s="76"/>
      <c r="D131" s="76"/>
      <c r="E131" s="76"/>
      <c r="F131" s="76"/>
      <c r="G131" s="76"/>
      <c r="H131" s="76"/>
      <c r="I131" s="76"/>
      <c r="J131" s="76"/>
      <c r="K131" s="76"/>
      <c r="L131" s="283"/>
      <c r="M131" s="71"/>
      <c r="N131" s="71"/>
      <c r="O131" s="71"/>
      <c r="P131" s="71"/>
      <c r="R131" s="12"/>
      <c r="T131" s="31" t="s">
        <v>45</v>
      </c>
      <c r="U131" s="31"/>
      <c r="V131" s="31"/>
      <c r="W131" s="31" t="s">
        <v>22</v>
      </c>
      <c r="X131" s="46">
        <f>VLOOKUP(ref!$X$1&amp;ref!W4&amp;19,MPAO5yr,6,FALSE)</f>
        <v>11.1600009876536</v>
      </c>
      <c r="Y131" s="46">
        <f>VLOOKUP(ref!$X$2&amp;ref!W4&amp;19,MPAO5yr,6,FALSE)</f>
        <v>17.313193556336898</v>
      </c>
      <c r="Z131" s="41">
        <f>VLOOKUP(ref!$X$3&amp;ref!W4&amp;19,MPAO5yr,6,FALSE)</f>
        <v>5.2243694506756597</v>
      </c>
    </row>
    <row r="132" spans="2:32" ht="4.5" customHeight="1" x14ac:dyDescent="0.2">
      <c r="B132" s="71"/>
      <c r="C132" s="76"/>
      <c r="D132" s="76"/>
      <c r="E132" s="76"/>
      <c r="F132" s="76"/>
      <c r="G132" s="76"/>
      <c r="H132" s="76"/>
      <c r="I132" s="76"/>
      <c r="J132" s="76"/>
      <c r="K132" s="76"/>
      <c r="L132" s="283"/>
      <c r="M132" s="71"/>
      <c r="N132" s="71"/>
      <c r="O132" s="71"/>
      <c r="P132" s="71"/>
      <c r="R132" s="12"/>
      <c r="T132" s="45"/>
      <c r="U132" s="45"/>
      <c r="V132" s="216"/>
      <c r="W132" s="216"/>
      <c r="X132" s="46"/>
      <c r="Y132" s="124"/>
    </row>
    <row r="133" spans="2:32" ht="33.75" customHeight="1" x14ac:dyDescent="0.2">
      <c r="B133" s="71"/>
      <c r="C133" s="84" t="s">
        <v>389</v>
      </c>
      <c r="D133" s="84" t="s">
        <v>555</v>
      </c>
      <c r="E133" s="84"/>
      <c r="F133" s="84"/>
      <c r="G133" s="84"/>
      <c r="H133" s="71"/>
      <c r="I133" s="71"/>
      <c r="J133" s="71"/>
      <c r="K133" s="71"/>
      <c r="L133" s="71"/>
      <c r="M133" s="71"/>
      <c r="N133" s="71"/>
      <c r="O133" s="71"/>
      <c r="P133" s="71"/>
      <c r="R133" s="12"/>
      <c r="T133" s="541" t="s">
        <v>148</v>
      </c>
      <c r="U133" s="542"/>
      <c r="V133" s="539" t="s">
        <v>553</v>
      </c>
      <c r="W133" s="540"/>
      <c r="X133" s="540"/>
      <c r="Y133" s="540"/>
      <c r="Z133" s="540"/>
    </row>
    <row r="134" spans="2:32" ht="15" customHeight="1" x14ac:dyDescent="0.2">
      <c r="B134" s="71"/>
      <c r="C134" s="265" t="s">
        <v>150</v>
      </c>
      <c r="D134" s="84" t="s">
        <v>149</v>
      </c>
      <c r="E134" s="84"/>
      <c r="F134" s="84"/>
      <c r="G134" s="84"/>
      <c r="H134" s="71"/>
      <c r="I134" s="71"/>
      <c r="J134" s="71"/>
      <c r="K134" s="71"/>
      <c r="L134" s="71"/>
      <c r="M134" s="71"/>
      <c r="N134" s="71"/>
      <c r="O134" s="71"/>
      <c r="P134" s="414"/>
      <c r="Q134" s="455"/>
      <c r="R134" s="12"/>
      <c r="T134" s="234" t="s">
        <v>150</v>
      </c>
      <c r="U134" s="234"/>
      <c r="V134" s="234" t="s">
        <v>149</v>
      </c>
      <c r="W134" s="237"/>
      <c r="X134" s="442"/>
      <c r="Y134" s="56"/>
      <c r="Z134" s="235"/>
    </row>
    <row r="135" spans="2:32" ht="14.25" customHeight="1" x14ac:dyDescent="0.2">
      <c r="B135" s="71"/>
      <c r="C135" s="459"/>
      <c r="D135" s="84"/>
      <c r="E135" s="419"/>
      <c r="F135" s="419"/>
      <c r="G135" s="419"/>
      <c r="H135" s="218"/>
      <c r="I135" s="218"/>
      <c r="J135" s="218"/>
      <c r="K135" s="218"/>
      <c r="L135" s="283"/>
      <c r="M135" s="251"/>
      <c r="N135" s="251"/>
      <c r="O135" s="251"/>
      <c r="P135" s="251"/>
      <c r="Q135" s="455"/>
      <c r="R135" s="12"/>
      <c r="V135" s="12"/>
      <c r="W135" s="12"/>
      <c r="AC135" s="33"/>
      <c r="AD135" s="33"/>
      <c r="AE135" s="33"/>
      <c r="AF135" s="33"/>
    </row>
    <row r="136" spans="2:32" ht="13.5" customHeight="1" x14ac:dyDescent="0.2">
      <c r="C136" s="201"/>
      <c r="D136" s="201"/>
      <c r="E136" s="201"/>
      <c r="F136" s="201"/>
      <c r="G136" s="201"/>
      <c r="H136" s="201"/>
      <c r="I136" s="201"/>
      <c r="J136" s="201"/>
      <c r="K136" s="201"/>
      <c r="L136" s="284"/>
      <c r="M136" s="201"/>
      <c r="N136" s="201"/>
      <c r="O136" s="247"/>
      <c r="P136" s="225"/>
      <c r="Q136" s="456"/>
      <c r="R136" s="12"/>
      <c r="V136" s="12"/>
      <c r="W136" s="12"/>
      <c r="Y136" s="216"/>
      <c r="Z136" s="30"/>
      <c r="AA136" s="30"/>
    </row>
    <row r="137" spans="2:32" ht="14.25" customHeight="1" x14ac:dyDescent="0.2">
      <c r="R137" s="12"/>
      <c r="V137" s="12"/>
      <c r="W137" s="12"/>
      <c r="Y137" s="227"/>
      <c r="Z137" s="225"/>
      <c r="AA137" s="225"/>
    </row>
    <row r="138" spans="2:32" ht="14.25" customHeight="1" x14ac:dyDescent="0.2">
      <c r="C138" s="180"/>
      <c r="D138" s="180"/>
      <c r="E138" s="180"/>
      <c r="F138" s="180"/>
      <c r="G138" s="180"/>
      <c r="H138" s="180"/>
      <c r="I138" s="180"/>
      <c r="J138" s="180"/>
      <c r="K138" s="180"/>
      <c r="L138" s="284"/>
      <c r="M138" s="180"/>
      <c r="N138" s="180"/>
      <c r="O138" s="180"/>
      <c r="P138" s="180"/>
      <c r="R138" s="12"/>
      <c r="V138" s="12"/>
      <c r="W138" s="225"/>
      <c r="X138" s="227"/>
      <c r="Y138" s="227"/>
      <c r="Z138" s="225"/>
      <c r="AA138" s="225"/>
    </row>
    <row r="139" spans="2:32" ht="21.75" customHeight="1" x14ac:dyDescent="0.2">
      <c r="C139" s="529"/>
      <c r="D139" s="530"/>
      <c r="E139" s="530"/>
      <c r="F139" s="530"/>
      <c r="G139" s="530"/>
      <c r="H139" s="530"/>
      <c r="I139" s="530"/>
      <c r="J139" s="530"/>
      <c r="K139" s="530"/>
      <c r="L139" s="530"/>
      <c r="M139" s="530"/>
      <c r="N139" s="530"/>
      <c r="O139" s="530"/>
      <c r="P139" s="407"/>
      <c r="R139" s="284"/>
      <c r="S139" s="180"/>
      <c r="T139" s="180"/>
      <c r="U139" s="180"/>
      <c r="V139" s="247"/>
      <c r="W139" s="12"/>
      <c r="Y139" s="31"/>
      <c r="Z139" s="30"/>
      <c r="AA139" s="30"/>
    </row>
    <row r="140" spans="2:32" x14ac:dyDescent="0.2">
      <c r="C140" s="407"/>
      <c r="D140" s="407"/>
      <c r="E140" s="407"/>
      <c r="F140" s="407"/>
      <c r="G140" s="407"/>
      <c r="H140" s="407"/>
      <c r="I140" s="407"/>
      <c r="J140" s="407"/>
      <c r="K140" s="407"/>
      <c r="L140" s="451"/>
      <c r="M140" s="407"/>
      <c r="N140" s="407"/>
      <c r="O140" s="407"/>
      <c r="P140" s="407"/>
      <c r="R140" s="12"/>
      <c r="V140" s="12"/>
      <c r="W140" s="12"/>
      <c r="Y140" s="126"/>
      <c r="AA140" s="33"/>
      <c r="AB140" s="140"/>
    </row>
    <row r="141" spans="2:32" x14ac:dyDescent="0.2">
      <c r="C141" s="180"/>
      <c r="D141" s="180"/>
      <c r="E141" s="180"/>
      <c r="F141" s="180"/>
      <c r="G141" s="180"/>
      <c r="H141" s="180"/>
      <c r="I141" s="180"/>
      <c r="J141" s="180"/>
      <c r="K141" s="180"/>
      <c r="L141" s="284"/>
      <c r="M141" s="180"/>
      <c r="N141" s="180"/>
      <c r="O141" s="180"/>
      <c r="P141" s="180"/>
      <c r="R141" s="12"/>
      <c r="V141" s="12"/>
      <c r="W141" s="12"/>
      <c r="AC141" s="45"/>
      <c r="AD141" s="45"/>
    </row>
    <row r="142" spans="2:32" ht="15.75" customHeight="1" x14ac:dyDescent="0.2">
      <c r="C142" s="180"/>
      <c r="D142" s="180"/>
      <c r="E142" s="180"/>
      <c r="F142" s="180"/>
      <c r="G142" s="180"/>
      <c r="H142" s="180"/>
      <c r="I142" s="180"/>
      <c r="J142" s="180"/>
      <c r="K142" s="180"/>
      <c r="L142" s="284"/>
      <c r="M142" s="180"/>
      <c r="N142" s="180"/>
      <c r="O142" s="180"/>
      <c r="P142" s="180"/>
      <c r="R142" s="12"/>
      <c r="V142" s="12"/>
      <c r="W142" s="12"/>
      <c r="AB142" s="45"/>
    </row>
    <row r="143" spans="2:32" x14ac:dyDescent="0.2">
      <c r="C143" s="180"/>
      <c r="D143" s="180"/>
      <c r="E143" s="180"/>
      <c r="F143" s="180"/>
      <c r="G143" s="180"/>
      <c r="H143" s="180"/>
      <c r="I143" s="180"/>
      <c r="J143" s="180"/>
      <c r="K143" s="180"/>
      <c r="L143" s="284"/>
      <c r="M143" s="180"/>
      <c r="N143" s="180"/>
      <c r="O143" s="180"/>
      <c r="P143" s="180"/>
      <c r="R143" s="12"/>
      <c r="V143" s="12"/>
      <c r="W143" s="12"/>
      <c r="AB143" s="25"/>
      <c r="AC143" s="125"/>
      <c r="AD143" s="127"/>
      <c r="AE143" s="127"/>
      <c r="AF143" s="37"/>
    </row>
    <row r="144" spans="2:32" ht="24.75" customHeight="1" x14ac:dyDescent="0.2">
      <c r="C144" s="180"/>
      <c r="D144" s="180"/>
      <c r="E144" s="180"/>
      <c r="F144" s="180"/>
      <c r="G144" s="180"/>
      <c r="H144" s="180"/>
      <c r="I144" s="180"/>
      <c r="J144" s="180"/>
      <c r="K144" s="180"/>
      <c r="L144" s="284"/>
      <c r="M144" s="180"/>
      <c r="N144" s="180"/>
      <c r="O144" s="180"/>
      <c r="P144" s="180"/>
      <c r="R144" s="12"/>
      <c r="V144" s="12"/>
      <c r="W144" s="12"/>
      <c r="AB144" s="125"/>
      <c r="AC144" s="25"/>
      <c r="AD144" s="47"/>
      <c r="AE144" s="49"/>
      <c r="AF144" s="37"/>
    </row>
    <row r="145" spans="3:32" ht="14.25" customHeight="1" x14ac:dyDescent="0.2">
      <c r="C145" s="180"/>
      <c r="D145" s="180"/>
      <c r="E145" s="180"/>
      <c r="F145" s="180"/>
      <c r="G145" s="180"/>
      <c r="H145" s="180"/>
      <c r="I145" s="180"/>
      <c r="J145" s="180"/>
      <c r="K145" s="180"/>
      <c r="L145" s="284"/>
      <c r="M145" s="180"/>
      <c r="N145" s="180"/>
      <c r="O145" s="180"/>
      <c r="P145" s="180"/>
      <c r="R145" s="12"/>
      <c r="V145" s="12"/>
      <c r="W145" s="12"/>
      <c r="AB145" s="45"/>
      <c r="AC145" s="45"/>
      <c r="AD145" s="72"/>
      <c r="AE145" s="42"/>
      <c r="AF145" s="37"/>
    </row>
    <row r="146" spans="3:32" x14ac:dyDescent="0.2">
      <c r="C146" s="180"/>
      <c r="D146" s="286"/>
      <c r="E146" s="286"/>
      <c r="F146" s="286"/>
      <c r="G146" s="286"/>
      <c r="H146" s="286"/>
      <c r="I146" s="286"/>
      <c r="J146" s="286"/>
      <c r="K146" s="286"/>
      <c r="L146" s="287"/>
      <c r="M146" s="286"/>
      <c r="N146" s="286"/>
      <c r="O146" s="286"/>
      <c r="P146" s="286"/>
      <c r="R146" s="12"/>
      <c r="V146" s="12"/>
      <c r="W146" s="12"/>
      <c r="AB146" s="45"/>
      <c r="AC146" s="45"/>
      <c r="AD146" s="72"/>
      <c r="AE146" s="42"/>
      <c r="AF146" s="49"/>
    </row>
    <row r="147" spans="3:32" x14ac:dyDescent="0.2">
      <c r="C147" s="286"/>
      <c r="D147" s="180"/>
      <c r="E147" s="180"/>
      <c r="F147" s="180"/>
      <c r="G147" s="180"/>
      <c r="H147" s="180"/>
      <c r="I147" s="180"/>
      <c r="J147" s="180"/>
      <c r="K147" s="180"/>
      <c r="L147" s="284"/>
      <c r="M147" s="180"/>
      <c r="N147" s="180"/>
      <c r="O147" s="180"/>
      <c r="P147" s="180"/>
      <c r="R147" s="12"/>
      <c r="V147" s="12"/>
      <c r="W147" s="12"/>
      <c r="AB147" s="45"/>
      <c r="AC147" s="45"/>
      <c r="AD147" s="72"/>
      <c r="AE147" s="42"/>
      <c r="AF147" s="37"/>
    </row>
    <row r="148" spans="3:32" x14ac:dyDescent="0.2">
      <c r="C148" s="180"/>
      <c r="D148" s="180"/>
      <c r="E148" s="180"/>
      <c r="F148" s="180"/>
      <c r="G148" s="180"/>
      <c r="H148" s="180"/>
      <c r="I148" s="180"/>
      <c r="J148" s="180"/>
      <c r="K148" s="180"/>
      <c r="L148" s="284"/>
      <c r="M148" s="180"/>
      <c r="N148" s="180"/>
      <c r="O148" s="180"/>
      <c r="P148" s="180"/>
      <c r="R148" s="12"/>
      <c r="V148" s="12"/>
      <c r="W148" s="12"/>
      <c r="AB148" s="45"/>
      <c r="AC148" s="45"/>
      <c r="AD148" s="72"/>
      <c r="AE148" s="42"/>
      <c r="AF148" s="37"/>
    </row>
    <row r="149" spans="3:32" ht="15" customHeight="1" x14ac:dyDescent="0.2">
      <c r="C149" s="180"/>
      <c r="D149" s="180"/>
      <c r="E149" s="180"/>
      <c r="F149" s="180"/>
      <c r="G149" s="180"/>
      <c r="H149" s="180"/>
      <c r="I149" s="180"/>
      <c r="J149" s="180"/>
      <c r="K149" s="180"/>
      <c r="L149" s="284"/>
      <c r="M149" s="180"/>
      <c r="N149" s="180"/>
      <c r="O149" s="180"/>
      <c r="P149" s="180"/>
      <c r="R149" s="12"/>
      <c r="V149" s="12"/>
      <c r="W149" s="12"/>
      <c r="AB149" s="45"/>
      <c r="AC149" s="45"/>
      <c r="AD149" s="72"/>
      <c r="AE149" s="42"/>
      <c r="AF149" s="37"/>
    </row>
    <row r="150" spans="3:32" ht="15" customHeight="1" x14ac:dyDescent="0.2">
      <c r="C150" s="180"/>
      <c r="D150" s="180"/>
      <c r="E150" s="180"/>
      <c r="F150" s="180"/>
      <c r="G150" s="180"/>
      <c r="H150" s="180"/>
      <c r="I150" s="180"/>
      <c r="J150" s="180"/>
      <c r="K150" s="180"/>
      <c r="L150" s="284"/>
      <c r="M150" s="180"/>
      <c r="N150" s="180"/>
      <c r="O150" s="180"/>
      <c r="P150" s="180"/>
      <c r="R150" s="12"/>
      <c r="V150" s="12"/>
      <c r="W150" s="12"/>
      <c r="AB150" s="45"/>
      <c r="AC150" s="45"/>
      <c r="AD150" s="72"/>
      <c r="AE150" s="42"/>
      <c r="AF150" s="37"/>
    </row>
    <row r="151" spans="3:32" x14ac:dyDescent="0.2">
      <c r="C151" s="180"/>
      <c r="D151" s="180"/>
      <c r="E151" s="180"/>
      <c r="F151" s="180"/>
      <c r="G151" s="180"/>
      <c r="H151" s="180"/>
      <c r="I151" s="180"/>
      <c r="J151" s="180"/>
      <c r="K151" s="180"/>
      <c r="L151" s="284"/>
      <c r="M151" s="180"/>
      <c r="N151" s="180"/>
      <c r="O151" s="180"/>
      <c r="P151" s="180"/>
      <c r="R151" s="12"/>
      <c r="V151" s="12"/>
      <c r="W151" s="12"/>
      <c r="AB151" s="45"/>
      <c r="AC151" s="45"/>
      <c r="AD151" s="72"/>
      <c r="AE151" s="42"/>
      <c r="AF151" s="37"/>
    </row>
    <row r="152" spans="3:32" x14ac:dyDescent="0.2">
      <c r="C152" s="180"/>
      <c r="D152" s="180"/>
      <c r="E152" s="180"/>
      <c r="F152" s="180"/>
      <c r="G152" s="180"/>
      <c r="H152" s="180"/>
      <c r="I152" s="180"/>
      <c r="J152" s="180"/>
      <c r="K152" s="180"/>
      <c r="L152" s="284"/>
      <c r="M152" s="180"/>
      <c r="N152" s="180"/>
      <c r="O152" s="180"/>
      <c r="P152" s="180"/>
      <c r="R152" s="12"/>
      <c r="V152" s="12"/>
      <c r="W152" s="12"/>
      <c r="AB152" s="45"/>
      <c r="AC152" s="45"/>
      <c r="AD152" s="72"/>
      <c r="AE152" s="42"/>
      <c r="AF152" s="37"/>
    </row>
    <row r="153" spans="3:32" x14ac:dyDescent="0.2">
      <c r="C153" s="180"/>
      <c r="D153" s="180"/>
      <c r="E153" s="180"/>
      <c r="F153" s="180"/>
      <c r="G153" s="180"/>
      <c r="H153" s="180"/>
      <c r="I153" s="180"/>
      <c r="J153" s="180"/>
      <c r="K153" s="180"/>
      <c r="L153" s="284"/>
      <c r="M153" s="180"/>
      <c r="N153" s="180"/>
      <c r="O153" s="180"/>
      <c r="P153" s="180"/>
      <c r="R153" s="12"/>
      <c r="V153" s="12"/>
      <c r="W153" s="12"/>
      <c r="AB153" s="45"/>
      <c r="AC153" s="45"/>
      <c r="AD153" s="72"/>
      <c r="AE153" s="42"/>
      <c r="AF153" s="37"/>
    </row>
    <row r="154" spans="3:32" x14ac:dyDescent="0.2">
      <c r="C154" s="180"/>
      <c r="D154" s="180"/>
      <c r="E154" s="180"/>
      <c r="F154" s="180"/>
      <c r="G154" s="180"/>
      <c r="H154" s="180"/>
      <c r="I154" s="180"/>
      <c r="J154" s="180"/>
      <c r="K154" s="180"/>
      <c r="L154" s="284"/>
      <c r="M154" s="180"/>
      <c r="N154" s="180"/>
      <c r="O154" s="180"/>
      <c r="P154" s="180"/>
      <c r="R154" s="12"/>
      <c r="V154" s="12"/>
      <c r="W154" s="12"/>
      <c r="AB154" s="45"/>
      <c r="AC154" s="45"/>
      <c r="AD154" s="72"/>
      <c r="AE154" s="42"/>
      <c r="AF154" s="37"/>
    </row>
    <row r="155" spans="3:32" x14ac:dyDescent="0.2">
      <c r="C155" s="180"/>
      <c r="D155" s="180"/>
      <c r="E155" s="180"/>
      <c r="F155" s="180"/>
      <c r="G155" s="180"/>
      <c r="H155" s="180"/>
      <c r="I155" s="180"/>
      <c r="J155" s="180"/>
      <c r="K155" s="180"/>
      <c r="L155" s="284"/>
      <c r="M155" s="180"/>
      <c r="N155" s="180"/>
      <c r="O155" s="180"/>
      <c r="P155" s="180"/>
      <c r="R155" s="12"/>
      <c r="V155" s="12"/>
      <c r="W155" s="12"/>
      <c r="AB155" s="45"/>
      <c r="AC155" s="45"/>
      <c r="AD155" s="72"/>
      <c r="AE155" s="42"/>
      <c r="AF155" s="37"/>
    </row>
    <row r="156" spans="3:32" x14ac:dyDescent="0.2">
      <c r="C156" s="180"/>
      <c r="D156" s="180"/>
      <c r="E156" s="180"/>
      <c r="F156" s="180"/>
      <c r="G156" s="180"/>
      <c r="H156" s="180"/>
      <c r="I156" s="180"/>
      <c r="J156" s="180"/>
      <c r="K156" s="180"/>
      <c r="L156" s="284"/>
      <c r="M156" s="180"/>
      <c r="N156" s="180"/>
      <c r="O156" s="180"/>
      <c r="P156" s="180"/>
      <c r="R156" s="12"/>
      <c r="V156" s="12"/>
      <c r="W156" s="12"/>
      <c r="AB156" s="45"/>
      <c r="AC156" s="45"/>
      <c r="AD156" s="72"/>
      <c r="AE156" s="42"/>
      <c r="AF156" s="37"/>
    </row>
    <row r="157" spans="3:32" x14ac:dyDescent="0.2">
      <c r="C157" s="180"/>
      <c r="D157" s="180"/>
      <c r="E157" s="180"/>
      <c r="F157" s="180"/>
      <c r="G157" s="180"/>
      <c r="H157" s="180"/>
      <c r="I157" s="180"/>
      <c r="J157" s="180"/>
      <c r="K157" s="180"/>
      <c r="L157" s="284"/>
      <c r="M157" s="180"/>
      <c r="N157" s="180"/>
      <c r="O157" s="180"/>
      <c r="P157" s="180"/>
      <c r="R157" s="12"/>
      <c r="V157" s="12"/>
      <c r="W157" s="12"/>
      <c r="AB157" s="45"/>
      <c r="AC157" s="45"/>
      <c r="AD157" s="72"/>
      <c r="AE157" s="42"/>
      <c r="AF157" s="37"/>
    </row>
    <row r="158" spans="3:32" x14ac:dyDescent="0.2">
      <c r="C158" s="180"/>
      <c r="D158" s="180"/>
      <c r="E158" s="180"/>
      <c r="F158" s="180"/>
      <c r="G158" s="180"/>
      <c r="H158" s="180"/>
      <c r="I158" s="180"/>
      <c r="J158" s="180"/>
      <c r="K158" s="180"/>
      <c r="L158" s="284"/>
      <c r="M158" s="180"/>
      <c r="N158" s="180"/>
      <c r="O158" s="180"/>
      <c r="P158" s="180"/>
      <c r="R158" s="12"/>
      <c r="V158" s="12"/>
      <c r="W158" s="12"/>
      <c r="AB158" s="45"/>
      <c r="AC158" s="45"/>
      <c r="AD158" s="72"/>
      <c r="AE158" s="42"/>
      <c r="AF158" s="37"/>
    </row>
    <row r="159" spans="3:32" x14ac:dyDescent="0.2">
      <c r="C159" s="180"/>
      <c r="D159" s="180"/>
      <c r="E159" s="180"/>
      <c r="F159" s="180"/>
      <c r="G159" s="180"/>
      <c r="H159" s="180"/>
      <c r="I159" s="180"/>
      <c r="J159" s="180"/>
      <c r="K159" s="180"/>
      <c r="L159" s="284"/>
      <c r="M159" s="180"/>
      <c r="N159" s="180"/>
      <c r="O159" s="180"/>
      <c r="P159" s="180"/>
      <c r="R159" s="12"/>
      <c r="V159" s="12"/>
      <c r="W159" s="12"/>
      <c r="AB159" s="45"/>
      <c r="AC159" s="45"/>
      <c r="AD159" s="72"/>
      <c r="AE159" s="42"/>
      <c r="AF159" s="37"/>
    </row>
    <row r="160" spans="3:32" x14ac:dyDescent="0.2">
      <c r="C160" s="180"/>
      <c r="D160" s="180"/>
      <c r="E160" s="180"/>
      <c r="F160" s="180"/>
      <c r="G160" s="180"/>
      <c r="H160" s="180"/>
      <c r="I160" s="180"/>
      <c r="J160" s="180"/>
      <c r="K160" s="180"/>
      <c r="L160" s="284"/>
      <c r="M160" s="180"/>
      <c r="N160" s="180"/>
      <c r="O160" s="180"/>
      <c r="P160" s="180"/>
      <c r="R160" s="12"/>
      <c r="V160" s="12"/>
      <c r="W160" s="12"/>
      <c r="AB160" s="45"/>
      <c r="AC160" s="45"/>
      <c r="AD160" s="72"/>
      <c r="AE160" s="42"/>
      <c r="AF160" s="37"/>
    </row>
    <row r="161" spans="3:44" x14ac:dyDescent="0.2">
      <c r="C161" s="180"/>
      <c r="D161" s="180"/>
      <c r="E161" s="180"/>
      <c r="F161" s="180"/>
      <c r="G161" s="180"/>
      <c r="H161" s="180"/>
      <c r="I161" s="180"/>
      <c r="J161" s="180"/>
      <c r="K161" s="180"/>
      <c r="L161" s="284"/>
      <c r="M161" s="180"/>
      <c r="N161" s="180"/>
      <c r="O161" s="180"/>
      <c r="P161" s="180"/>
      <c r="R161" s="12"/>
      <c r="V161" s="12"/>
      <c r="W161" s="12"/>
      <c r="AB161" s="45"/>
      <c r="AC161" s="45"/>
      <c r="AD161" s="72"/>
      <c r="AE161" s="42"/>
      <c r="AF161" s="37"/>
    </row>
    <row r="162" spans="3:44" x14ac:dyDescent="0.2">
      <c r="C162" s="196"/>
      <c r="D162" s="196"/>
      <c r="E162" s="196"/>
      <c r="F162" s="196"/>
      <c r="G162" s="196"/>
      <c r="H162" s="196"/>
      <c r="I162" s="196"/>
      <c r="J162" s="196"/>
      <c r="K162" s="196"/>
      <c r="L162" s="288"/>
      <c r="M162" s="196"/>
      <c r="N162" s="196"/>
      <c r="O162" s="196"/>
      <c r="P162" s="196"/>
      <c r="Q162" s="457"/>
      <c r="R162" s="12"/>
      <c r="V162" s="12"/>
      <c r="W162" s="12"/>
      <c r="AB162" s="45"/>
      <c r="AC162" s="45"/>
      <c r="AD162" s="72"/>
      <c r="AE162" s="42"/>
      <c r="AF162" s="37"/>
    </row>
    <row r="163" spans="3:44" x14ac:dyDescent="0.2">
      <c r="C163" s="196"/>
      <c r="D163" s="196"/>
      <c r="E163" s="196"/>
      <c r="F163" s="196"/>
      <c r="G163" s="196"/>
      <c r="H163" s="196"/>
      <c r="I163" s="196"/>
      <c r="J163" s="196"/>
      <c r="K163" s="196"/>
      <c r="L163" s="288"/>
      <c r="M163" s="196"/>
      <c r="N163" s="196"/>
      <c r="O163" s="196"/>
      <c r="P163" s="196"/>
      <c r="Q163" s="457"/>
      <c r="R163" s="12"/>
      <c r="V163" s="12"/>
      <c r="W163" s="12"/>
      <c r="AB163" s="45"/>
      <c r="AC163" s="45"/>
      <c r="AD163" s="72"/>
      <c r="AE163" s="42"/>
      <c r="AF163" s="37"/>
    </row>
    <row r="164" spans="3:44" x14ac:dyDescent="0.2">
      <c r="C164" s="196"/>
      <c r="D164" s="196"/>
      <c r="E164" s="196"/>
      <c r="F164" s="196"/>
      <c r="G164" s="196"/>
      <c r="H164" s="196"/>
      <c r="I164" s="196"/>
      <c r="J164" s="196"/>
      <c r="K164" s="196"/>
      <c r="L164" s="288"/>
      <c r="M164" s="196"/>
      <c r="N164" s="196"/>
      <c r="O164" s="196"/>
      <c r="P164" s="196"/>
      <c r="Q164" s="457"/>
      <c r="R164" s="12"/>
      <c r="V164" s="12"/>
      <c r="W164" s="12"/>
      <c r="AB164" s="45"/>
      <c r="AC164" s="45"/>
      <c r="AD164" s="72"/>
      <c r="AE164" s="42"/>
      <c r="AF164" s="37"/>
    </row>
    <row r="165" spans="3:44" x14ac:dyDescent="0.2">
      <c r="C165" s="196"/>
      <c r="D165" s="196"/>
      <c r="E165" s="196"/>
      <c r="F165" s="196"/>
      <c r="G165" s="196"/>
      <c r="H165" s="196"/>
      <c r="I165" s="196"/>
      <c r="J165" s="196"/>
      <c r="K165" s="196"/>
      <c r="L165" s="288"/>
      <c r="M165" s="196"/>
      <c r="N165" s="196"/>
      <c r="O165" s="196"/>
      <c r="P165" s="196"/>
      <c r="Q165" s="457"/>
      <c r="R165" s="12"/>
      <c r="V165" s="12"/>
      <c r="W165" s="12"/>
      <c r="AB165" s="45"/>
      <c r="AC165" s="45"/>
      <c r="AD165" s="74"/>
      <c r="AE165" s="190"/>
      <c r="AF165" s="37"/>
    </row>
    <row r="166" spans="3:44" x14ac:dyDescent="0.2">
      <c r="C166" s="196"/>
      <c r="D166" s="196"/>
      <c r="E166" s="196"/>
      <c r="F166" s="196"/>
      <c r="G166" s="196"/>
      <c r="H166" s="196"/>
      <c r="I166" s="196"/>
      <c r="J166" s="196"/>
      <c r="K166" s="196"/>
      <c r="L166" s="288"/>
      <c r="M166" s="196"/>
      <c r="N166" s="196"/>
      <c r="O166" s="196"/>
      <c r="P166" s="196"/>
      <c r="Q166" s="457"/>
      <c r="R166" s="12"/>
      <c r="V166" s="12"/>
      <c r="W166" s="12"/>
      <c r="AB166" s="125"/>
      <c r="AC166" s="141"/>
      <c r="AD166" s="142"/>
      <c r="AE166" s="143"/>
      <c r="AF166" s="37"/>
    </row>
    <row r="167" spans="3:44" x14ac:dyDescent="0.2">
      <c r="C167" s="196"/>
      <c r="D167" s="196"/>
      <c r="E167" s="196"/>
      <c r="F167" s="196"/>
      <c r="G167" s="196"/>
      <c r="H167" s="196"/>
      <c r="I167" s="196"/>
      <c r="J167" s="196"/>
      <c r="K167" s="196"/>
      <c r="L167" s="288"/>
      <c r="M167" s="196"/>
      <c r="N167" s="196"/>
      <c r="O167" s="196"/>
      <c r="P167" s="196"/>
      <c r="Q167" s="457"/>
      <c r="R167" s="12"/>
      <c r="V167" s="12"/>
      <c r="W167" s="12"/>
      <c r="AB167" s="141"/>
      <c r="AC167" s="31"/>
      <c r="AD167" s="124"/>
      <c r="AE167" s="124"/>
      <c r="AF167" s="37"/>
    </row>
    <row r="168" spans="3:44" x14ac:dyDescent="0.2">
      <c r="R168" s="12"/>
      <c r="V168" s="12"/>
      <c r="W168" s="12"/>
      <c r="AB168" s="126"/>
      <c r="AC168" s="31"/>
      <c r="AD168" s="233"/>
      <c r="AE168" s="46"/>
      <c r="AF168" s="130"/>
      <c r="AG168" s="33"/>
      <c r="AH168" s="33"/>
      <c r="AI168" s="33"/>
      <c r="AJ168" s="33"/>
      <c r="AK168" s="33"/>
      <c r="AL168" s="290"/>
      <c r="AM168" s="33"/>
      <c r="AN168" s="290"/>
      <c r="AO168" s="33"/>
      <c r="AP168" s="33"/>
      <c r="AQ168" s="33"/>
      <c r="AR168" s="33"/>
    </row>
    <row r="169" spans="3:44" ht="14.25" customHeight="1" x14ac:dyDescent="0.2">
      <c r="R169" s="12"/>
      <c r="V169" s="12"/>
      <c r="W169" s="12"/>
      <c r="AB169" s="31"/>
      <c r="AC169" s="31"/>
      <c r="AD169" s="233"/>
      <c r="AE169" s="46"/>
      <c r="AF169" s="124"/>
      <c r="AG169" s="33"/>
      <c r="AH169" s="33"/>
      <c r="AI169" s="141"/>
      <c r="AJ169" s="141"/>
      <c r="AK169" s="33"/>
      <c r="AL169" s="33"/>
      <c r="AM169" s="33"/>
      <c r="AN169" s="33"/>
      <c r="AO169" s="33"/>
      <c r="AP169" s="33"/>
      <c r="AQ169" s="33"/>
      <c r="AR169" s="33"/>
    </row>
    <row r="170" spans="3:44" x14ac:dyDescent="0.2">
      <c r="P170" s="51"/>
      <c r="Q170" s="457"/>
      <c r="V170" s="12"/>
      <c r="W170" s="12"/>
      <c r="AB170" s="31"/>
      <c r="AC170" s="31"/>
      <c r="AD170" s="233"/>
      <c r="AE170" s="46"/>
      <c r="AF170" s="46"/>
      <c r="AG170" s="33"/>
      <c r="AH170" s="33"/>
      <c r="AI170" s="126"/>
      <c r="AJ170" s="126"/>
      <c r="AK170" s="33"/>
      <c r="AL170" s="33"/>
      <c r="AM170" s="33"/>
      <c r="AN170" s="32"/>
      <c r="AO170" s="33"/>
      <c r="AP170" s="33"/>
      <c r="AQ170" s="33"/>
      <c r="AR170" s="33"/>
    </row>
    <row r="171" spans="3:44" x14ac:dyDescent="0.2">
      <c r="H171" s="180"/>
      <c r="I171" s="180"/>
      <c r="J171" s="180"/>
      <c r="K171" s="180"/>
      <c r="L171" s="180"/>
      <c r="M171" s="180"/>
      <c r="N171" s="180"/>
      <c r="O171" s="180"/>
      <c r="P171" s="180"/>
      <c r="V171" s="12"/>
      <c r="AB171" s="31"/>
      <c r="AC171" s="31"/>
      <c r="AD171" s="233"/>
      <c r="AE171" s="46"/>
      <c r="AF171" s="46"/>
      <c r="AG171" s="33"/>
      <c r="AH171" s="33"/>
      <c r="AI171" s="126"/>
      <c r="AJ171" s="126"/>
      <c r="AK171" s="33"/>
      <c r="AL171" s="33"/>
      <c r="AM171" s="33"/>
      <c r="AN171" s="32"/>
      <c r="AO171" s="33"/>
      <c r="AP171" s="33"/>
      <c r="AQ171" s="33"/>
      <c r="AR171" s="33"/>
    </row>
    <row r="172" spans="3:44" x14ac:dyDescent="0.2">
      <c r="H172" s="180"/>
      <c r="I172" s="180"/>
      <c r="J172" s="180"/>
      <c r="K172" s="180"/>
      <c r="L172" s="180"/>
      <c r="M172" s="180"/>
      <c r="N172" s="180"/>
      <c r="O172" s="180"/>
      <c r="P172" s="180"/>
      <c r="W172" s="223"/>
      <c r="X172" s="223"/>
      <c r="Y172" s="223"/>
      <c r="AB172" s="31"/>
      <c r="AC172" s="31"/>
      <c r="AD172" s="233"/>
      <c r="AE172" s="46"/>
      <c r="AF172" s="130"/>
      <c r="AG172" s="33"/>
      <c r="AH172" s="33"/>
      <c r="AI172" s="126"/>
      <c r="AJ172" s="291"/>
      <c r="AK172" s="33"/>
      <c r="AL172" s="33"/>
      <c r="AM172" s="33"/>
      <c r="AN172" s="32"/>
      <c r="AO172" s="33"/>
      <c r="AP172" s="33"/>
      <c r="AQ172" s="33"/>
      <c r="AR172" s="33"/>
    </row>
    <row r="173" spans="3:44" x14ac:dyDescent="0.2">
      <c r="H173" s="180"/>
      <c r="I173" s="180"/>
      <c r="J173" s="180"/>
      <c r="K173" s="180"/>
      <c r="L173" s="180"/>
      <c r="M173" s="180"/>
      <c r="N173" s="180"/>
      <c r="O173" s="180"/>
      <c r="P173" s="180"/>
      <c r="R173" s="284"/>
      <c r="S173" s="180"/>
      <c r="T173" s="180"/>
      <c r="U173" s="180"/>
      <c r="V173" s="223"/>
      <c r="W173" s="223"/>
      <c r="X173" s="223"/>
      <c r="Y173" s="223"/>
      <c r="AB173" s="31"/>
      <c r="AC173" s="31"/>
      <c r="AD173" s="233"/>
      <c r="AE173" s="46"/>
      <c r="AF173" s="130"/>
      <c r="AG173" s="33"/>
      <c r="AH173" s="33"/>
      <c r="AI173" s="126"/>
      <c r="AJ173" s="291"/>
      <c r="AK173" s="33"/>
      <c r="AL173" s="33"/>
      <c r="AM173" s="33"/>
      <c r="AN173" s="32"/>
      <c r="AO173" s="33"/>
      <c r="AP173" s="33"/>
      <c r="AQ173" s="33"/>
      <c r="AR173" s="33"/>
    </row>
    <row r="174" spans="3:44" x14ac:dyDescent="0.2">
      <c r="H174" s="180"/>
      <c r="I174" s="180"/>
      <c r="J174" s="181"/>
      <c r="K174" s="180"/>
      <c r="L174" s="180"/>
      <c r="M174" s="180"/>
      <c r="N174" s="180"/>
      <c r="O174" s="180"/>
      <c r="P174" s="180"/>
      <c r="R174" s="284"/>
      <c r="S174" s="180"/>
      <c r="T174" s="180"/>
      <c r="U174" s="180"/>
      <c r="V174" s="223"/>
      <c r="W174" s="180"/>
      <c r="X174" s="223"/>
      <c r="Y174" s="223"/>
      <c r="AB174" s="31"/>
      <c r="AC174" s="31"/>
      <c r="AD174" s="233"/>
      <c r="AE174" s="46"/>
      <c r="AF174" s="130"/>
      <c r="AG174" s="33"/>
      <c r="AH174" s="33"/>
      <c r="AI174" s="126"/>
      <c r="AJ174" s="126"/>
      <c r="AK174" s="33"/>
      <c r="AL174" s="33"/>
      <c r="AM174" s="33"/>
      <c r="AN174" s="32"/>
      <c r="AO174" s="33"/>
      <c r="AP174" s="33"/>
      <c r="AQ174" s="33"/>
      <c r="AR174" s="33"/>
    </row>
    <row r="175" spans="3:44" x14ac:dyDescent="0.2">
      <c r="H175" s="180"/>
      <c r="I175" s="180"/>
      <c r="J175" s="180"/>
      <c r="K175" s="180"/>
      <c r="L175" s="180"/>
      <c r="M175" s="180"/>
      <c r="N175" s="180"/>
      <c r="O175" s="180"/>
      <c r="P175" s="180"/>
      <c r="R175" s="284"/>
      <c r="S175" s="180"/>
      <c r="T175" s="180"/>
      <c r="U175" s="180"/>
      <c r="V175" s="180"/>
      <c r="W175" s="180"/>
      <c r="X175" s="223"/>
      <c r="Y175" s="223"/>
      <c r="AB175" s="31"/>
      <c r="AC175" s="31"/>
      <c r="AD175" s="233"/>
      <c r="AE175" s="292"/>
      <c r="AF175" s="130"/>
      <c r="AG175" s="33"/>
      <c r="AH175" s="33"/>
      <c r="AI175" s="33"/>
      <c r="AJ175" s="33"/>
      <c r="AK175" s="33"/>
      <c r="AL175" s="33"/>
      <c r="AM175" s="33"/>
      <c r="AN175" s="32"/>
      <c r="AO175" s="33"/>
      <c r="AP175" s="33"/>
      <c r="AQ175" s="33"/>
      <c r="AR175" s="33"/>
    </row>
    <row r="176" spans="3:44" x14ac:dyDescent="0.2">
      <c r="H176" s="180"/>
      <c r="I176" s="180"/>
      <c r="J176" s="180"/>
      <c r="K176" s="180"/>
      <c r="L176" s="180"/>
      <c r="M176" s="180"/>
      <c r="N176" s="180"/>
      <c r="O176" s="180"/>
      <c r="P176" s="180"/>
      <c r="R176" s="284"/>
      <c r="S176" s="180"/>
      <c r="T176" s="180"/>
      <c r="U176" s="180"/>
      <c r="V176" s="180"/>
      <c r="W176" s="180"/>
      <c r="X176" s="223"/>
      <c r="Y176" s="223"/>
      <c r="AB176" s="31"/>
      <c r="AC176" s="31"/>
      <c r="AD176" s="233"/>
      <c r="AE176" s="46"/>
      <c r="AF176" s="130"/>
      <c r="AG176" s="33"/>
      <c r="AH176" s="33"/>
      <c r="AI176" s="141"/>
      <c r="AJ176" s="126"/>
      <c r="AK176" s="33"/>
      <c r="AL176" s="33"/>
      <c r="AM176" s="33"/>
      <c r="AN176" s="32"/>
      <c r="AO176" s="33"/>
      <c r="AP176" s="33"/>
      <c r="AQ176" s="33"/>
      <c r="AR176" s="33"/>
    </row>
    <row r="177" spans="8:44" x14ac:dyDescent="0.2">
      <c r="H177" s="180"/>
      <c r="I177" s="180"/>
      <c r="J177" s="180"/>
      <c r="K177" s="180"/>
      <c r="L177" s="180"/>
      <c r="M177" s="180"/>
      <c r="N177" s="180"/>
      <c r="O177" s="180"/>
      <c r="P177" s="180"/>
      <c r="R177" s="284"/>
      <c r="S177" s="180"/>
      <c r="T177" s="180"/>
      <c r="U177" s="180"/>
      <c r="V177" s="180"/>
      <c r="W177" s="180"/>
      <c r="X177" s="223"/>
      <c r="Y177" s="223"/>
      <c r="AB177" s="31"/>
      <c r="AC177" s="31"/>
      <c r="AD177" s="233"/>
      <c r="AE177" s="292"/>
      <c r="AF177" s="130"/>
      <c r="AG177" s="33"/>
      <c r="AH177" s="33"/>
      <c r="AI177" s="126"/>
      <c r="AJ177" s="126"/>
      <c r="AK177" s="33"/>
      <c r="AL177" s="33"/>
      <c r="AM177" s="33"/>
      <c r="AN177" s="293"/>
      <c r="AO177" s="33"/>
      <c r="AP177" s="33"/>
      <c r="AQ177" s="33"/>
      <c r="AR177" s="33"/>
    </row>
    <row r="178" spans="8:44" x14ac:dyDescent="0.2">
      <c r="H178" s="180"/>
      <c r="I178" s="180"/>
      <c r="J178" s="180"/>
      <c r="K178" s="180"/>
      <c r="L178" s="180"/>
      <c r="M178" s="180"/>
      <c r="N178" s="180"/>
      <c r="O178" s="180"/>
      <c r="P178" s="180"/>
      <c r="R178" s="284"/>
      <c r="S178" s="180"/>
      <c r="T178" s="180"/>
      <c r="U178" s="180"/>
      <c r="V178" s="180"/>
      <c r="W178" s="180"/>
      <c r="X178" s="223"/>
      <c r="Y178" s="223"/>
      <c r="AB178" s="31"/>
      <c r="AC178" s="31"/>
      <c r="AD178" s="233"/>
      <c r="AE178" s="46"/>
      <c r="AF178" s="130"/>
      <c r="AG178" s="33"/>
      <c r="AH178" s="33"/>
      <c r="AI178" s="126"/>
      <c r="AJ178" s="126"/>
      <c r="AK178" s="33"/>
      <c r="AL178" s="33"/>
      <c r="AM178" s="33"/>
      <c r="AN178" s="32"/>
      <c r="AO178" s="33"/>
      <c r="AP178" s="33"/>
      <c r="AQ178" s="33"/>
      <c r="AR178" s="33"/>
    </row>
    <row r="179" spans="8:44" x14ac:dyDescent="0.2">
      <c r="H179" s="180"/>
      <c r="I179" s="180"/>
      <c r="J179" s="180"/>
      <c r="K179" s="180"/>
      <c r="L179" s="180"/>
      <c r="M179" s="180"/>
      <c r="N179" s="180"/>
      <c r="O179" s="180"/>
      <c r="P179" s="180"/>
      <c r="R179" s="284"/>
      <c r="S179" s="180"/>
      <c r="T179" s="180"/>
      <c r="U179" s="180"/>
      <c r="V179" s="180"/>
      <c r="W179" s="196"/>
      <c r="X179" s="223"/>
      <c r="Y179" s="223"/>
      <c r="AB179" s="31"/>
      <c r="AC179" s="31"/>
      <c r="AD179" s="233"/>
      <c r="AE179" s="292"/>
      <c r="AF179" s="130"/>
      <c r="AG179" s="33"/>
      <c r="AH179" s="33"/>
      <c r="AI179" s="126"/>
      <c r="AJ179" s="291"/>
      <c r="AK179" s="33"/>
      <c r="AL179" s="33"/>
      <c r="AM179" s="33"/>
      <c r="AN179" s="293"/>
      <c r="AO179" s="33"/>
      <c r="AP179" s="33"/>
      <c r="AQ179" s="33"/>
      <c r="AR179" s="33"/>
    </row>
    <row r="180" spans="8:44" x14ac:dyDescent="0.2">
      <c r="H180" s="180"/>
      <c r="I180" s="180"/>
      <c r="J180" s="180"/>
      <c r="K180" s="180"/>
      <c r="L180" s="180"/>
      <c r="M180" s="180"/>
      <c r="N180" s="180"/>
      <c r="O180" s="180"/>
      <c r="P180" s="180"/>
      <c r="R180" s="284"/>
      <c r="S180" s="180"/>
      <c r="T180" s="180"/>
      <c r="U180" s="180"/>
      <c r="V180" s="180"/>
      <c r="W180" s="196"/>
      <c r="X180" s="223"/>
      <c r="Y180" s="223"/>
      <c r="AB180" s="31"/>
      <c r="AC180" s="31"/>
      <c r="AD180" s="233"/>
      <c r="AE180" s="46"/>
      <c r="AF180" s="130"/>
      <c r="AG180" s="33"/>
      <c r="AH180" s="33"/>
      <c r="AI180" s="126"/>
      <c r="AJ180" s="291"/>
      <c r="AK180" s="33"/>
      <c r="AL180" s="33"/>
      <c r="AM180" s="33"/>
      <c r="AN180" s="32"/>
      <c r="AO180" s="33"/>
      <c r="AP180" s="33"/>
      <c r="AQ180" s="33"/>
      <c r="AR180" s="33"/>
    </row>
    <row r="181" spans="8:44" ht="12.75" customHeight="1" x14ac:dyDescent="0.2">
      <c r="H181" s="180"/>
      <c r="I181" s="180"/>
      <c r="J181" s="180"/>
      <c r="K181" s="180"/>
      <c r="L181" s="180"/>
      <c r="M181" s="180"/>
      <c r="N181" s="180"/>
      <c r="O181" s="180"/>
      <c r="P181" s="180"/>
      <c r="R181" s="284"/>
      <c r="S181" s="180"/>
      <c r="T181" s="180"/>
      <c r="U181" s="180"/>
      <c r="V181" s="180"/>
      <c r="W181" s="180"/>
      <c r="X181" s="223"/>
      <c r="Y181" s="223"/>
      <c r="AB181" s="31"/>
      <c r="AC181" s="31"/>
      <c r="AD181" s="233"/>
      <c r="AE181" s="46"/>
      <c r="AF181" s="130"/>
      <c r="AG181" s="33"/>
      <c r="AH181" s="33"/>
      <c r="AI181" s="33"/>
      <c r="AJ181" s="33"/>
      <c r="AK181" s="33"/>
      <c r="AL181" s="33"/>
      <c r="AM181" s="33"/>
      <c r="AN181" s="293"/>
      <c r="AO181" s="33"/>
      <c r="AP181" s="33"/>
      <c r="AQ181" s="33"/>
      <c r="AR181" s="33"/>
    </row>
    <row r="182" spans="8:44" x14ac:dyDescent="0.2">
      <c r="H182" s="180"/>
      <c r="I182" s="180"/>
      <c r="J182" s="180"/>
      <c r="K182" s="180"/>
      <c r="L182" s="180"/>
      <c r="M182" s="180"/>
      <c r="N182" s="180"/>
      <c r="O182" s="180"/>
      <c r="P182" s="180"/>
      <c r="R182" s="284"/>
      <c r="S182" s="180"/>
      <c r="T182" s="180"/>
      <c r="U182" s="180"/>
      <c r="V182" s="180"/>
      <c r="W182" s="180"/>
      <c r="X182" s="223"/>
      <c r="Y182" s="223"/>
      <c r="AB182" s="31"/>
      <c r="AC182" s="31"/>
      <c r="AD182" s="233"/>
      <c r="AE182" s="292"/>
      <c r="AF182" s="130"/>
      <c r="AG182" s="33"/>
      <c r="AH182" s="33"/>
      <c r="AI182" s="33"/>
      <c r="AJ182" s="33"/>
      <c r="AK182" s="33"/>
      <c r="AL182" s="33"/>
      <c r="AM182" s="33"/>
      <c r="AN182" s="32"/>
      <c r="AO182" s="33"/>
      <c r="AP182" s="33"/>
      <c r="AQ182" s="33"/>
      <c r="AR182" s="33"/>
    </row>
    <row r="183" spans="8:44" x14ac:dyDescent="0.2">
      <c r="H183" s="180"/>
      <c r="I183" s="180"/>
      <c r="J183" s="180"/>
      <c r="K183" s="180"/>
      <c r="L183" s="180"/>
      <c r="M183" s="180"/>
      <c r="N183" s="180"/>
      <c r="O183" s="180"/>
      <c r="P183" s="180"/>
      <c r="R183" s="284"/>
      <c r="S183" s="180"/>
      <c r="T183" s="180"/>
      <c r="U183" s="180"/>
      <c r="V183" s="180"/>
      <c r="W183" s="180"/>
      <c r="X183" s="223"/>
      <c r="Y183" s="223"/>
      <c r="AB183" s="31"/>
      <c r="AC183" s="31"/>
      <c r="AD183" s="233"/>
      <c r="AE183" s="292"/>
      <c r="AF183" s="130"/>
      <c r="AG183" s="33"/>
      <c r="AH183" s="33"/>
      <c r="AI183" s="33"/>
      <c r="AJ183" s="33"/>
      <c r="AK183" s="33"/>
      <c r="AL183" s="33"/>
      <c r="AM183" s="33"/>
      <c r="AN183" s="32"/>
      <c r="AO183" s="33"/>
      <c r="AP183" s="33"/>
      <c r="AQ183" s="33"/>
      <c r="AR183" s="33"/>
    </row>
    <row r="184" spans="8:44" x14ac:dyDescent="0.2">
      <c r="H184" s="180"/>
      <c r="I184" s="180"/>
      <c r="J184" s="180"/>
      <c r="K184" s="180"/>
      <c r="L184" s="180"/>
      <c r="M184" s="180"/>
      <c r="N184" s="180"/>
      <c r="O184" s="180"/>
      <c r="P184" s="180"/>
      <c r="R184" s="284"/>
      <c r="S184" s="180"/>
      <c r="T184" s="180"/>
      <c r="U184" s="180"/>
      <c r="V184" s="180"/>
      <c r="W184" s="180"/>
      <c r="X184" s="223"/>
      <c r="Y184" s="223"/>
      <c r="AB184" s="31"/>
      <c r="AC184" s="31"/>
      <c r="AD184" s="233"/>
      <c r="AE184" s="292"/>
      <c r="AF184" s="130"/>
      <c r="AG184" s="34"/>
      <c r="AH184" s="33"/>
      <c r="AI184" s="33"/>
      <c r="AJ184" s="33"/>
      <c r="AK184" s="33"/>
      <c r="AL184" s="33"/>
      <c r="AM184" s="33"/>
      <c r="AN184" s="293"/>
      <c r="AO184" s="33"/>
      <c r="AP184" s="33"/>
      <c r="AQ184" s="33"/>
      <c r="AR184" s="33"/>
    </row>
    <row r="185" spans="8:44" x14ac:dyDescent="0.2">
      <c r="H185" s="180"/>
      <c r="I185" s="180"/>
      <c r="J185" s="180"/>
      <c r="K185" s="180"/>
      <c r="L185" s="180"/>
      <c r="M185" s="180"/>
      <c r="N185" s="180"/>
      <c r="O185" s="180"/>
      <c r="P185" s="180"/>
      <c r="R185" s="284"/>
      <c r="S185" s="180"/>
      <c r="T185" s="180"/>
      <c r="U185" s="180"/>
      <c r="V185" s="180"/>
      <c r="W185" s="180"/>
      <c r="X185" s="223"/>
      <c r="Y185" s="223"/>
      <c r="AB185" s="31"/>
      <c r="AC185" s="31"/>
      <c r="AD185" s="233"/>
      <c r="AE185" s="46"/>
      <c r="AF185" s="130"/>
      <c r="AG185" s="34"/>
      <c r="AH185" s="33"/>
      <c r="AI185" s="33"/>
      <c r="AJ185" s="33"/>
      <c r="AK185" s="33"/>
      <c r="AL185" s="33"/>
      <c r="AM185" s="33"/>
      <c r="AN185" s="293"/>
      <c r="AO185" s="33"/>
      <c r="AP185" s="33"/>
      <c r="AQ185" s="33"/>
      <c r="AR185" s="33"/>
    </row>
    <row r="186" spans="8:44" x14ac:dyDescent="0.2">
      <c r="H186" s="180"/>
      <c r="I186" s="180"/>
      <c r="J186" s="180"/>
      <c r="K186" s="180"/>
      <c r="L186" s="180"/>
      <c r="M186" s="180"/>
      <c r="N186" s="180"/>
      <c r="O186" s="180"/>
      <c r="P186" s="180"/>
      <c r="R186" s="284"/>
      <c r="S186" s="180"/>
      <c r="T186" s="180"/>
      <c r="U186" s="180"/>
      <c r="V186" s="180"/>
      <c r="W186" s="180"/>
      <c r="X186" s="223"/>
      <c r="Y186" s="223"/>
      <c r="AB186" s="31"/>
      <c r="AC186" s="31"/>
      <c r="AD186" s="233"/>
      <c r="AE186" s="292"/>
      <c r="AF186" s="130"/>
      <c r="AG186" s="33"/>
      <c r="AH186" s="33"/>
      <c r="AI186" s="33"/>
      <c r="AJ186" s="33"/>
      <c r="AK186" s="33"/>
      <c r="AL186" s="33"/>
      <c r="AM186" s="33"/>
      <c r="AN186" s="293"/>
      <c r="AO186" s="33"/>
      <c r="AP186" s="33"/>
      <c r="AQ186" s="33"/>
      <c r="AR186" s="33"/>
    </row>
    <row r="187" spans="8:44" x14ac:dyDescent="0.2">
      <c r="H187" s="180"/>
      <c r="I187" s="180"/>
      <c r="J187" s="180"/>
      <c r="K187" s="180"/>
      <c r="L187" s="180"/>
      <c r="M187" s="180"/>
      <c r="N187" s="180"/>
      <c r="O187" s="180"/>
      <c r="P187" s="180"/>
      <c r="R187" s="284"/>
      <c r="S187" s="180"/>
      <c r="T187" s="180"/>
      <c r="U187" s="180"/>
      <c r="V187" s="180"/>
      <c r="W187" s="180"/>
      <c r="X187" s="223"/>
      <c r="Y187" s="223"/>
      <c r="AB187" s="31"/>
      <c r="AC187" s="31"/>
      <c r="AD187" s="233"/>
      <c r="AE187" s="46"/>
      <c r="AF187" s="130"/>
      <c r="AG187" s="30"/>
      <c r="AH187" s="33"/>
      <c r="AI187" s="33"/>
      <c r="AJ187" s="33"/>
      <c r="AK187" s="33"/>
      <c r="AL187" s="33"/>
      <c r="AM187" s="33"/>
      <c r="AN187" s="32"/>
      <c r="AO187" s="33"/>
      <c r="AP187" s="33"/>
      <c r="AQ187" s="33"/>
      <c r="AR187" s="33"/>
    </row>
    <row r="188" spans="8:44" x14ac:dyDescent="0.2">
      <c r="H188" s="180"/>
      <c r="I188" s="180"/>
      <c r="J188" s="180"/>
      <c r="K188" s="180"/>
      <c r="L188" s="180"/>
      <c r="M188" s="180"/>
      <c r="N188" s="180"/>
      <c r="O188" s="180"/>
      <c r="P188" s="180"/>
      <c r="R188" s="284"/>
      <c r="S188" s="180"/>
      <c r="T188" s="180"/>
      <c r="U188" s="180"/>
      <c r="V188" s="180"/>
      <c r="W188" s="180"/>
      <c r="X188" s="223"/>
      <c r="Y188" s="223"/>
      <c r="AB188" s="31"/>
      <c r="AC188" s="31"/>
      <c r="AD188" s="294"/>
      <c r="AE188" s="292"/>
      <c r="AF188" s="130"/>
      <c r="AG188" s="30"/>
      <c r="AH188" s="33"/>
      <c r="AI188" s="33"/>
      <c r="AJ188" s="33"/>
      <c r="AK188" s="33"/>
      <c r="AL188" s="33"/>
      <c r="AM188" s="33"/>
      <c r="AN188" s="293"/>
      <c r="AO188" s="33"/>
      <c r="AP188" s="33"/>
      <c r="AQ188" s="33"/>
      <c r="AR188" s="33"/>
    </row>
    <row r="189" spans="8:44" ht="13.5" customHeight="1" x14ac:dyDescent="0.2">
      <c r="H189" s="180"/>
      <c r="I189" s="180"/>
      <c r="J189" s="180"/>
      <c r="K189" s="180"/>
      <c r="L189" s="180"/>
      <c r="M189" s="180"/>
      <c r="N189" s="180"/>
      <c r="O189" s="180"/>
      <c r="P189" s="180"/>
      <c r="R189" s="284"/>
      <c r="S189" s="180"/>
      <c r="T189" s="180"/>
      <c r="U189" s="180"/>
      <c r="V189" s="196"/>
      <c r="W189" s="180"/>
      <c r="X189" s="223"/>
      <c r="Y189" s="223"/>
      <c r="AB189" s="126"/>
      <c r="AC189" s="167"/>
      <c r="AD189" s="295"/>
      <c r="AE189" s="296"/>
      <c r="AF189" s="130"/>
      <c r="AG189" s="30"/>
      <c r="AH189" s="33"/>
      <c r="AI189" s="33"/>
      <c r="AJ189" s="33"/>
      <c r="AK189" s="33"/>
      <c r="AL189" s="33"/>
      <c r="AM189" s="33"/>
      <c r="AN189" s="32"/>
      <c r="AO189" s="33"/>
      <c r="AP189" s="33"/>
      <c r="AQ189" s="33"/>
      <c r="AR189" s="33"/>
    </row>
    <row r="190" spans="8:44" x14ac:dyDescent="0.2">
      <c r="H190" s="180"/>
      <c r="I190" s="180"/>
      <c r="J190" s="180"/>
      <c r="K190" s="180"/>
      <c r="L190" s="180"/>
      <c r="M190" s="180"/>
      <c r="N190" s="180"/>
      <c r="O190" s="180"/>
      <c r="P190" s="180"/>
      <c r="R190" s="284"/>
      <c r="S190" s="180"/>
      <c r="T190" s="180"/>
      <c r="U190" s="180"/>
      <c r="V190" s="196"/>
      <c r="W190" s="180"/>
      <c r="X190" s="223"/>
      <c r="Y190" s="223"/>
      <c r="AB190" s="126"/>
      <c r="AC190" s="126"/>
      <c r="AD190" s="130"/>
      <c r="AE190" s="130"/>
      <c r="AF190" s="130"/>
      <c r="AG190" s="30"/>
      <c r="AH190" s="33"/>
      <c r="AI190" s="33"/>
      <c r="AJ190" s="33"/>
      <c r="AK190" s="33"/>
      <c r="AL190" s="33"/>
      <c r="AM190" s="33"/>
      <c r="AN190" s="32"/>
      <c r="AO190" s="33"/>
      <c r="AP190" s="33"/>
      <c r="AQ190" s="33"/>
      <c r="AR190" s="33"/>
    </row>
    <row r="191" spans="8:44" ht="12.75" customHeight="1" x14ac:dyDescent="0.2">
      <c r="H191" s="180"/>
      <c r="I191" s="180"/>
      <c r="J191" s="180"/>
      <c r="K191" s="180"/>
      <c r="L191" s="180"/>
      <c r="M191" s="180"/>
      <c r="N191" s="180"/>
      <c r="O191" s="180"/>
      <c r="P191" s="180"/>
      <c r="R191" s="284"/>
      <c r="S191" s="180"/>
      <c r="T191" s="180"/>
      <c r="U191" s="180"/>
      <c r="V191" s="180"/>
      <c r="W191" s="180"/>
      <c r="X191" s="223"/>
      <c r="Y191" s="223"/>
      <c r="AB191" s="126"/>
      <c r="AC191" s="138"/>
      <c r="AD191" s="33"/>
      <c r="AE191" s="33"/>
      <c r="AF191" s="138"/>
      <c r="AG191" s="138"/>
      <c r="AH191" s="33"/>
      <c r="AI191" s="33"/>
      <c r="AJ191" s="33"/>
      <c r="AK191" s="33"/>
      <c r="AL191" s="33"/>
      <c r="AM191" s="33"/>
      <c r="AN191" s="33"/>
      <c r="AO191" s="33"/>
      <c r="AP191" s="33"/>
      <c r="AQ191" s="33"/>
      <c r="AR191" s="33"/>
    </row>
    <row r="192" spans="8:44" x14ac:dyDescent="0.2">
      <c r="H192" s="180"/>
      <c r="I192" s="180"/>
      <c r="J192" s="180"/>
      <c r="K192" s="180"/>
      <c r="L192" s="180"/>
      <c r="M192" s="180"/>
      <c r="N192" s="180"/>
      <c r="O192" s="180"/>
      <c r="P192" s="180"/>
      <c r="R192" s="284"/>
      <c r="S192" s="180"/>
      <c r="T192" s="180"/>
      <c r="U192" s="180"/>
      <c r="V192" s="180"/>
      <c r="W192" s="180"/>
      <c r="X192" s="223"/>
      <c r="Y192" s="223"/>
      <c r="AB192" s="126"/>
      <c r="AC192" s="138"/>
      <c r="AD192" s="138"/>
      <c r="AE192" s="138"/>
      <c r="AF192" s="33"/>
      <c r="AG192" s="33"/>
      <c r="AH192" s="33"/>
      <c r="AI192" s="33"/>
      <c r="AJ192" s="33"/>
      <c r="AK192" s="33"/>
      <c r="AL192" s="33"/>
      <c r="AM192" s="33"/>
      <c r="AN192" s="33"/>
      <c r="AO192" s="33"/>
      <c r="AP192" s="33"/>
      <c r="AQ192" s="33"/>
      <c r="AR192" s="33"/>
    </row>
    <row r="193" spans="3:44" x14ac:dyDescent="0.2">
      <c r="H193" s="180"/>
      <c r="I193" s="180"/>
      <c r="J193" s="180"/>
      <c r="K193" s="180"/>
      <c r="L193" s="180"/>
      <c r="M193" s="180"/>
      <c r="N193" s="180"/>
      <c r="O193" s="180"/>
      <c r="P193" s="180"/>
      <c r="R193" s="284"/>
      <c r="S193" s="180"/>
      <c r="T193" s="180"/>
      <c r="U193" s="180"/>
      <c r="V193" s="180"/>
      <c r="W193" s="180"/>
      <c r="X193" s="223"/>
      <c r="Y193" s="223"/>
      <c r="AB193" s="126"/>
      <c r="AC193" s="531"/>
      <c r="AD193" s="532"/>
      <c r="AE193" s="532"/>
      <c r="AF193" s="532"/>
      <c r="AG193" s="532"/>
      <c r="AH193" s="33"/>
      <c r="AI193" s="33"/>
      <c r="AJ193" s="33"/>
      <c r="AK193" s="33"/>
      <c r="AL193" s="33"/>
      <c r="AM193" s="33"/>
      <c r="AN193" s="33"/>
      <c r="AO193" s="33"/>
      <c r="AP193" s="33"/>
      <c r="AQ193" s="33"/>
      <c r="AR193" s="33"/>
    </row>
    <row r="194" spans="3:44" ht="24" customHeight="1" x14ac:dyDescent="0.2">
      <c r="H194" s="180"/>
      <c r="I194" s="180"/>
      <c r="J194" s="180"/>
      <c r="K194" s="180"/>
      <c r="L194" s="180"/>
      <c r="M194" s="180"/>
      <c r="N194" s="180"/>
      <c r="O194" s="180"/>
      <c r="P194" s="180"/>
      <c r="R194" s="284"/>
      <c r="S194" s="180"/>
      <c r="T194" s="180"/>
      <c r="U194" s="180"/>
      <c r="V194" s="180"/>
      <c r="W194" s="180"/>
      <c r="X194" s="223"/>
      <c r="Y194" s="227"/>
      <c r="Z194" s="33"/>
      <c r="AA194" s="33"/>
      <c r="AB194" s="33"/>
      <c r="AC194" s="138"/>
      <c r="AD194" s="33"/>
      <c r="AE194" s="33"/>
      <c r="AF194" s="33"/>
      <c r="AG194" s="33"/>
      <c r="AH194" s="33"/>
      <c r="AI194" s="33"/>
      <c r="AJ194" s="33"/>
      <c r="AK194" s="33"/>
      <c r="AL194" s="33"/>
      <c r="AM194" s="33"/>
      <c r="AN194" s="33"/>
      <c r="AO194" s="33"/>
      <c r="AP194" s="33"/>
      <c r="AQ194" s="33"/>
      <c r="AR194" s="33"/>
    </row>
    <row r="195" spans="3:44" x14ac:dyDescent="0.2">
      <c r="H195" s="180"/>
      <c r="I195" s="180"/>
      <c r="J195" s="180"/>
      <c r="K195" s="180"/>
      <c r="L195" s="180"/>
      <c r="M195" s="180"/>
      <c r="N195" s="180"/>
      <c r="O195" s="180"/>
      <c r="P195" s="180"/>
      <c r="R195" s="284"/>
      <c r="S195" s="180"/>
      <c r="T195" s="180"/>
      <c r="U195" s="180"/>
      <c r="V195" s="180"/>
      <c r="W195" s="180"/>
      <c r="X195" s="223"/>
      <c r="Y195" s="227"/>
      <c r="Z195" s="33"/>
      <c r="AA195" s="33"/>
      <c r="AB195" s="33"/>
      <c r="AC195" s="33"/>
      <c r="AD195" s="33"/>
      <c r="AE195" s="33"/>
      <c r="AF195" s="33"/>
      <c r="AG195" s="33"/>
      <c r="AH195" s="33"/>
      <c r="AI195" s="33"/>
      <c r="AJ195" s="33"/>
      <c r="AK195" s="33"/>
      <c r="AL195" s="33"/>
      <c r="AM195" s="33"/>
      <c r="AN195" s="33"/>
      <c r="AO195" s="33"/>
      <c r="AP195" s="33"/>
      <c r="AQ195" s="33"/>
      <c r="AR195" s="33"/>
    </row>
    <row r="196" spans="3:44" x14ac:dyDescent="0.2">
      <c r="H196" s="180"/>
      <c r="I196" s="180"/>
      <c r="J196" s="180"/>
      <c r="K196" s="180"/>
      <c r="L196" s="180"/>
      <c r="M196" s="180"/>
      <c r="N196" s="180"/>
      <c r="O196" s="180"/>
      <c r="P196" s="180"/>
      <c r="R196" s="284"/>
      <c r="S196" s="180"/>
      <c r="T196" s="180"/>
      <c r="U196" s="180"/>
      <c r="V196" s="180"/>
      <c r="W196" s="180"/>
      <c r="X196" s="223"/>
      <c r="Y196" s="223"/>
      <c r="AB196" s="33"/>
      <c r="AC196" s="33"/>
      <c r="AD196" s="33"/>
      <c r="AE196" s="33"/>
      <c r="AF196" s="33"/>
      <c r="AG196" s="33"/>
      <c r="AH196" s="33"/>
      <c r="AI196" s="33"/>
      <c r="AJ196" s="33"/>
      <c r="AK196" s="33"/>
      <c r="AL196" s="33"/>
      <c r="AM196" s="33"/>
      <c r="AN196" s="33"/>
      <c r="AO196" s="33"/>
      <c r="AP196" s="33"/>
      <c r="AQ196" s="33"/>
      <c r="AR196" s="33"/>
    </row>
    <row r="197" spans="3:44" ht="12.75" customHeight="1" x14ac:dyDescent="0.2">
      <c r="H197" s="180"/>
      <c r="I197" s="180"/>
      <c r="J197" s="180"/>
      <c r="K197" s="180"/>
      <c r="L197" s="180"/>
      <c r="M197" s="180"/>
      <c r="N197" s="180"/>
      <c r="O197" s="180"/>
      <c r="P197" s="180"/>
      <c r="R197" s="284"/>
      <c r="S197" s="180"/>
      <c r="T197" s="180"/>
      <c r="U197" s="180"/>
      <c r="V197" s="180"/>
      <c r="W197" s="180"/>
      <c r="X197" s="223"/>
      <c r="Y197" s="223"/>
      <c r="AB197" s="33"/>
      <c r="AC197" s="33"/>
      <c r="AD197" s="33"/>
      <c r="AE197" s="33"/>
      <c r="AF197" s="33"/>
      <c r="AG197" s="33"/>
      <c r="AH197" s="33"/>
      <c r="AI197" s="33"/>
      <c r="AJ197" s="33"/>
      <c r="AK197" s="33"/>
      <c r="AL197" s="33"/>
      <c r="AM197" s="33"/>
      <c r="AN197" s="33"/>
      <c r="AO197" s="33"/>
      <c r="AP197" s="33"/>
      <c r="AQ197" s="33"/>
      <c r="AR197" s="33"/>
    </row>
    <row r="198" spans="3:44" x14ac:dyDescent="0.2">
      <c r="C198" s="180"/>
      <c r="D198" s="180"/>
      <c r="E198" s="180"/>
      <c r="F198" s="180"/>
      <c r="G198" s="180"/>
      <c r="H198" s="180"/>
      <c r="I198" s="180"/>
      <c r="J198" s="196"/>
      <c r="K198" s="180"/>
      <c r="L198" s="180"/>
      <c r="M198" s="196"/>
      <c r="N198" s="196"/>
      <c r="O198" s="180"/>
      <c r="P198" s="180"/>
      <c r="R198" s="284"/>
      <c r="S198" s="180"/>
      <c r="T198" s="180"/>
      <c r="U198" s="180"/>
      <c r="V198" s="180"/>
      <c r="W198" s="180"/>
      <c r="X198" s="223"/>
      <c r="Y198" s="223"/>
      <c r="AA198" s="24"/>
      <c r="AB198" s="33"/>
      <c r="AC198" s="33"/>
      <c r="AD198" s="33"/>
      <c r="AE198" s="33"/>
      <c r="AF198" s="33"/>
      <c r="AG198" s="33"/>
      <c r="AH198" s="33"/>
      <c r="AI198" s="33"/>
      <c r="AJ198" s="33"/>
      <c r="AK198" s="33"/>
      <c r="AL198" s="33"/>
      <c r="AM198" s="33"/>
      <c r="AN198" s="33"/>
      <c r="AO198" s="33"/>
      <c r="AP198" s="33"/>
      <c r="AQ198" s="33"/>
      <c r="AR198" s="33"/>
    </row>
    <row r="199" spans="3:44" x14ac:dyDescent="0.2">
      <c r="C199" s="180"/>
      <c r="D199" s="180"/>
      <c r="E199" s="180"/>
      <c r="F199" s="180"/>
      <c r="G199" s="180"/>
      <c r="H199" s="180"/>
      <c r="I199" s="314"/>
      <c r="J199" s="314"/>
      <c r="K199" s="314"/>
      <c r="L199" s="314"/>
      <c r="M199" s="314"/>
      <c r="N199" s="314"/>
      <c r="O199" s="314"/>
      <c r="P199" s="314"/>
      <c r="Q199" s="458"/>
      <c r="R199" s="284"/>
      <c r="S199" s="180"/>
      <c r="T199" s="180"/>
      <c r="U199" s="180"/>
      <c r="V199" s="180"/>
      <c r="W199" s="180"/>
      <c r="X199" s="223"/>
      <c r="Y199" s="223"/>
      <c r="AA199" s="24"/>
      <c r="AB199" s="33"/>
      <c r="AC199" s="33"/>
      <c r="AD199" s="33"/>
      <c r="AE199" s="33"/>
      <c r="AF199" s="33"/>
      <c r="AG199" s="33"/>
      <c r="AH199" s="33"/>
      <c r="AI199" s="33"/>
      <c r="AJ199" s="33"/>
      <c r="AK199" s="33"/>
      <c r="AL199" s="33"/>
      <c r="AM199" s="33"/>
      <c r="AN199" s="33"/>
      <c r="AO199" s="33"/>
      <c r="AP199" s="33"/>
      <c r="AQ199" s="33"/>
      <c r="AR199" s="33"/>
    </row>
    <row r="200" spans="3:44" x14ac:dyDescent="0.2">
      <c r="C200" s="180"/>
      <c r="D200" s="180"/>
      <c r="E200" s="180"/>
      <c r="F200" s="180"/>
      <c r="G200" s="180"/>
      <c r="H200" s="180"/>
      <c r="I200" s="314"/>
      <c r="J200" s="314"/>
      <c r="K200" s="314"/>
      <c r="L200" s="314"/>
      <c r="M200" s="314"/>
      <c r="N200" s="314"/>
      <c r="O200" s="314"/>
      <c r="P200" s="314"/>
      <c r="Q200" s="458"/>
      <c r="R200" s="284"/>
      <c r="S200" s="180"/>
      <c r="T200" s="180"/>
      <c r="U200" s="180"/>
      <c r="V200" s="180"/>
      <c r="W200" s="223"/>
      <c r="X200" s="223"/>
      <c r="Y200" s="223"/>
      <c r="AA200" s="24"/>
      <c r="AC200" s="33"/>
      <c r="AD200" s="33"/>
      <c r="AE200" s="33"/>
      <c r="AF200" s="33"/>
      <c r="AG200" s="33"/>
      <c r="AH200" s="33"/>
      <c r="AI200" s="33"/>
      <c r="AJ200" s="33"/>
      <c r="AK200" s="33"/>
      <c r="AL200" s="33"/>
      <c r="AM200" s="33"/>
      <c r="AN200" s="33"/>
      <c r="AO200" s="33"/>
      <c r="AP200" s="33"/>
      <c r="AQ200" s="33"/>
      <c r="AR200" s="33"/>
    </row>
    <row r="201" spans="3:44" ht="22.5" customHeight="1" x14ac:dyDescent="0.2">
      <c r="C201" s="180"/>
      <c r="D201" s="180"/>
      <c r="E201" s="180"/>
      <c r="F201" s="180"/>
      <c r="G201" s="180"/>
      <c r="H201" s="180"/>
      <c r="I201" s="196"/>
      <c r="J201" s="180"/>
      <c r="K201" s="180"/>
      <c r="L201" s="180"/>
      <c r="M201" s="180"/>
      <c r="N201" s="180"/>
      <c r="O201" s="180"/>
      <c r="P201" s="180"/>
      <c r="R201" s="415"/>
      <c r="S201" s="314"/>
      <c r="T201" s="314"/>
      <c r="U201" s="415"/>
      <c r="V201" s="223"/>
      <c r="W201" s="223"/>
      <c r="X201" s="223"/>
      <c r="Y201" s="223"/>
      <c r="AA201" s="24"/>
    </row>
    <row r="202" spans="3:44" x14ac:dyDescent="0.2">
      <c r="C202" s="180"/>
      <c r="H202" s="180"/>
      <c r="I202" s="196"/>
      <c r="J202" s="180"/>
      <c r="K202" s="180"/>
      <c r="L202" s="180"/>
      <c r="M202" s="180"/>
      <c r="N202" s="180"/>
      <c r="O202" s="180"/>
      <c r="P202" s="180"/>
      <c r="R202" s="415"/>
      <c r="S202" s="314"/>
      <c r="T202" s="180"/>
      <c r="U202" s="180"/>
      <c r="V202" s="223"/>
      <c r="W202" s="223"/>
      <c r="X202" s="223"/>
      <c r="Y202" s="223"/>
      <c r="AA202" s="24"/>
    </row>
    <row r="203" spans="3:44" ht="0.75" customHeight="1" x14ac:dyDescent="0.2">
      <c r="C203" s="180"/>
      <c r="H203" s="180"/>
      <c r="I203" s="196"/>
      <c r="J203" s="180"/>
      <c r="K203" s="180"/>
      <c r="L203" s="180"/>
      <c r="M203" s="180"/>
      <c r="N203" s="180"/>
      <c r="O203" s="180"/>
      <c r="P203" s="180"/>
      <c r="R203" s="284"/>
      <c r="S203" s="180"/>
      <c r="T203" s="180"/>
      <c r="U203" s="180"/>
      <c r="V203" s="223"/>
      <c r="W203" s="223"/>
      <c r="X203" s="223"/>
      <c r="Y203" s="223"/>
      <c r="AA203" s="24"/>
    </row>
    <row r="204" spans="3:44" ht="21.75" customHeight="1" x14ac:dyDescent="0.2">
      <c r="C204" s="180"/>
      <c r="H204" s="180"/>
      <c r="I204" s="196"/>
      <c r="J204" s="180"/>
      <c r="K204" s="180"/>
      <c r="L204" s="180"/>
      <c r="M204" s="180"/>
      <c r="N204" s="180"/>
      <c r="O204" s="180"/>
      <c r="P204" s="180"/>
      <c r="R204" s="284"/>
      <c r="S204" s="180"/>
      <c r="T204" s="180"/>
      <c r="U204" s="180"/>
      <c r="V204" s="223"/>
      <c r="W204" s="223"/>
      <c r="X204" s="223"/>
      <c r="Y204" s="223"/>
      <c r="AA204" s="24"/>
    </row>
    <row r="205" spans="3:44" ht="12.75" customHeight="1" x14ac:dyDescent="0.2">
      <c r="C205" s="180"/>
      <c r="P205" s="180"/>
      <c r="R205" s="284"/>
      <c r="S205" s="180"/>
      <c r="T205" s="180"/>
      <c r="U205" s="180"/>
      <c r="V205" s="223"/>
      <c r="W205" s="223"/>
      <c r="X205" s="223"/>
      <c r="Y205" s="223"/>
      <c r="AA205" s="24"/>
    </row>
    <row r="206" spans="3:44" x14ac:dyDescent="0.2">
      <c r="C206" s="180"/>
      <c r="P206" s="180"/>
      <c r="R206" s="284"/>
      <c r="S206" s="180"/>
      <c r="T206" s="180"/>
      <c r="U206" s="180"/>
      <c r="V206" s="223"/>
      <c r="Z206" s="33"/>
      <c r="AA206" s="30"/>
    </row>
    <row r="207" spans="3:44" x14ac:dyDescent="0.2">
      <c r="C207" s="180"/>
      <c r="P207" s="180"/>
      <c r="R207" s="284"/>
      <c r="AA207" s="30"/>
    </row>
    <row r="208" spans="3:44" x14ac:dyDescent="0.2">
      <c r="R208" s="284"/>
      <c r="AA208" s="32"/>
    </row>
    <row r="209" spans="18:27" x14ac:dyDescent="0.2">
      <c r="R209" s="284"/>
      <c r="AA209" s="27"/>
    </row>
    <row r="210" spans="18:27" x14ac:dyDescent="0.2">
      <c r="AA210" s="27"/>
    </row>
    <row r="211" spans="18:27" x14ac:dyDescent="0.2">
      <c r="AA211" s="27"/>
    </row>
    <row r="212" spans="18:27" x14ac:dyDescent="0.2">
      <c r="AA212" s="27"/>
    </row>
    <row r="213" spans="18:27" x14ac:dyDescent="0.2">
      <c r="W213" s="12"/>
      <c r="AA213" s="27"/>
    </row>
    <row r="214" spans="18:27" x14ac:dyDescent="0.2">
      <c r="V214" s="12"/>
      <c r="W214" s="12"/>
      <c r="AA214" s="27"/>
    </row>
    <row r="215" spans="18:27" x14ac:dyDescent="0.2">
      <c r="V215" s="12"/>
      <c r="W215" s="12"/>
      <c r="AA215" s="27"/>
    </row>
    <row r="216" spans="18:27" x14ac:dyDescent="0.2">
      <c r="V216" s="12"/>
      <c r="W216" s="12"/>
      <c r="AA216" s="27"/>
    </row>
    <row r="217" spans="18:27" x14ac:dyDescent="0.2">
      <c r="V217" s="12"/>
      <c r="W217" s="12"/>
      <c r="AA217" s="27"/>
    </row>
    <row r="218" spans="18:27" x14ac:dyDescent="0.2">
      <c r="V218" s="12"/>
      <c r="W218" s="12"/>
      <c r="AA218" s="27"/>
    </row>
    <row r="219" spans="18:27" x14ac:dyDescent="0.2">
      <c r="V219" s="12"/>
      <c r="W219" s="12"/>
      <c r="AA219" s="27"/>
    </row>
    <row r="220" spans="18:27" x14ac:dyDescent="0.2">
      <c r="V220" s="12"/>
      <c r="W220" s="12"/>
      <c r="AA220" s="27"/>
    </row>
    <row r="221" spans="18:27" x14ac:dyDescent="0.2">
      <c r="V221" s="12"/>
      <c r="W221" s="12"/>
      <c r="AA221" s="27"/>
    </row>
    <row r="222" spans="18:27" x14ac:dyDescent="0.2">
      <c r="V222" s="12"/>
      <c r="W222" s="12"/>
      <c r="AA222" s="27"/>
    </row>
    <row r="223" spans="18:27" x14ac:dyDescent="0.2">
      <c r="V223" s="12"/>
      <c r="W223" s="12"/>
      <c r="AA223" s="27"/>
    </row>
    <row r="224" spans="18:27" x14ac:dyDescent="0.2">
      <c r="V224" s="12"/>
      <c r="W224" s="12"/>
      <c r="AA224" s="27"/>
    </row>
    <row r="225" spans="22:27" x14ac:dyDescent="0.2">
      <c r="V225" s="12"/>
      <c r="W225" s="12"/>
      <c r="AA225" s="27"/>
    </row>
    <row r="226" spans="22:27" x14ac:dyDescent="0.2">
      <c r="V226" s="12"/>
      <c r="W226" s="12"/>
      <c r="AA226" s="27"/>
    </row>
    <row r="227" spans="22:27" x14ac:dyDescent="0.2">
      <c r="V227" s="12"/>
      <c r="W227" s="12"/>
      <c r="AA227" s="27"/>
    </row>
    <row r="228" spans="22:27" x14ac:dyDescent="0.2">
      <c r="V228" s="12"/>
      <c r="W228" s="12"/>
      <c r="AA228" s="27"/>
    </row>
    <row r="229" spans="22:27" x14ac:dyDescent="0.2">
      <c r="V229" s="12"/>
    </row>
    <row r="254" spans="13:23" x14ac:dyDescent="0.2">
      <c r="M254" s="51"/>
      <c r="N254" s="51"/>
      <c r="O254" s="51"/>
    </row>
    <row r="255" spans="13:23" x14ac:dyDescent="0.2">
      <c r="W255" s="12"/>
    </row>
    <row r="256" spans="13:23" x14ac:dyDescent="0.2">
      <c r="V256" s="12"/>
    </row>
    <row r="279" spans="19:23" x14ac:dyDescent="0.2">
      <c r="W279" s="12"/>
    </row>
    <row r="280" spans="19:23" x14ac:dyDescent="0.2">
      <c r="S280" s="33"/>
      <c r="T280" s="33"/>
      <c r="U280" s="33"/>
      <c r="V280" s="12"/>
      <c r="W280" s="12"/>
    </row>
    <row r="281" spans="19:23" x14ac:dyDescent="0.2">
      <c r="S281" s="33"/>
      <c r="T281" s="33"/>
      <c r="U281" s="33"/>
      <c r="V281" s="12"/>
    </row>
  </sheetData>
  <mergeCells count="12">
    <mergeCell ref="V18:AF18"/>
    <mergeCell ref="J51:P51"/>
    <mergeCell ref="C92:O92"/>
    <mergeCell ref="C139:O139"/>
    <mergeCell ref="AC193:AG193"/>
    <mergeCell ref="D111:P111"/>
    <mergeCell ref="C117:Q117"/>
    <mergeCell ref="V23:AE23"/>
    <mergeCell ref="V24:AE24"/>
    <mergeCell ref="T111:AC111"/>
    <mergeCell ref="V133:Z133"/>
    <mergeCell ref="T133:U133"/>
  </mergeCells>
  <hyperlinks>
    <hyperlink ref="S1" location="'Key findings'!A1" display="Back to Key Findings"/>
    <hyperlink ref="R117" location="'Quick facts'!A1" display="Back to top"/>
    <hyperlink ref="R72" location="'Quick facts'!A1" display="Back to top"/>
  </hyperlinks>
  <pageMargins left="0.70866141732283472" right="0.70866141732283472" top="0.74803149606299213" bottom="0.74803149606299213" header="0.31496062992125984" footer="0.31496062992125984"/>
  <pageSetup paperSize="9" scale="34" fitToHeight="0" orientation="landscape" r:id="rId1"/>
  <rowBreaks count="2" manualBreakCount="2">
    <brk id="93" max="44" man="1"/>
    <brk id="140" max="4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6"/>
  <sheetViews>
    <sheetView showGridLines="0" zoomScaleNormal="100" workbookViewId="0">
      <selection activeCell="K16" sqref="K16"/>
    </sheetView>
  </sheetViews>
  <sheetFormatPr defaultRowHeight="14.25" x14ac:dyDescent="0.2"/>
  <cols>
    <col min="1" max="1" width="7" style="343" customWidth="1"/>
    <col min="2" max="2" width="2.140625" style="343" customWidth="1"/>
    <col min="3" max="3" width="23.5703125" style="361" customWidth="1"/>
    <col min="4" max="4" width="142.7109375" style="345" customWidth="1"/>
    <col min="5" max="5" width="2.42578125" style="343" customWidth="1"/>
    <col min="6" max="6" width="7.28515625" style="343" customWidth="1"/>
    <col min="7" max="16384" width="9.140625" style="343"/>
  </cols>
  <sheetData>
    <row r="1" spans="2:7" x14ac:dyDescent="0.2">
      <c r="G1" s="344"/>
    </row>
    <row r="2" spans="2:7" ht="29.25" customHeight="1" x14ac:dyDescent="0.2">
      <c r="B2" s="543" t="s">
        <v>298</v>
      </c>
      <c r="C2" s="525"/>
      <c r="D2" s="525"/>
    </row>
    <row r="3" spans="2:7" ht="14.25" customHeight="1" x14ac:dyDescent="0.2">
      <c r="D3" s="329"/>
    </row>
    <row r="4" spans="2:7" x14ac:dyDescent="0.2">
      <c r="B4" s="94"/>
      <c r="C4" s="362"/>
      <c r="D4" s="135"/>
      <c r="E4" s="94"/>
    </row>
    <row r="5" spans="2:7" ht="33" customHeight="1" x14ac:dyDescent="0.2">
      <c r="B5" s="94"/>
      <c r="C5" s="544" t="s">
        <v>546</v>
      </c>
      <c r="D5" s="545"/>
      <c r="E5" s="94"/>
    </row>
    <row r="6" spans="2:7" ht="35.1" customHeight="1" x14ac:dyDescent="0.2">
      <c r="B6" s="94"/>
      <c r="C6" s="362"/>
      <c r="D6" s="411" t="s">
        <v>530</v>
      </c>
      <c r="E6" s="94"/>
    </row>
    <row r="7" spans="2:7" ht="24.95" customHeight="1" x14ac:dyDescent="0.2">
      <c r="B7" s="94"/>
      <c r="C7" s="335" t="s">
        <v>1</v>
      </c>
      <c r="D7" s="351"/>
      <c r="E7" s="94"/>
      <c r="G7" s="350" t="s">
        <v>500</v>
      </c>
    </row>
    <row r="8" spans="2:7" ht="35.1" customHeight="1" x14ac:dyDescent="0.2">
      <c r="B8" s="94"/>
      <c r="C8" s="363"/>
      <c r="D8" s="133" t="s">
        <v>479</v>
      </c>
      <c r="E8" s="94"/>
    </row>
    <row r="9" spans="2:7" ht="24.95" customHeight="1" x14ac:dyDescent="0.2">
      <c r="B9" s="94"/>
      <c r="C9" s="335" t="s">
        <v>98</v>
      </c>
      <c r="D9" s="351"/>
      <c r="E9" s="94"/>
      <c r="G9" s="350" t="s">
        <v>501</v>
      </c>
    </row>
    <row r="10" spans="2:7" ht="27" customHeight="1" x14ac:dyDescent="0.2">
      <c r="B10" s="94"/>
      <c r="C10" s="364"/>
      <c r="D10" s="133" t="s">
        <v>556</v>
      </c>
      <c r="E10" s="94"/>
    </row>
    <row r="11" spans="2:7" ht="12" customHeight="1" x14ac:dyDescent="0.2">
      <c r="B11" s="94"/>
      <c r="C11" s="364"/>
      <c r="D11" s="133"/>
      <c r="E11" s="94"/>
    </row>
    <row r="12" spans="2:7" ht="39.950000000000003" customHeight="1" x14ac:dyDescent="0.2">
      <c r="B12" s="94"/>
      <c r="C12" s="364" t="s">
        <v>499</v>
      </c>
      <c r="D12" s="133" t="s">
        <v>510</v>
      </c>
      <c r="E12" s="94"/>
    </row>
    <row r="13" spans="2:7" ht="12" customHeight="1" x14ac:dyDescent="0.2">
      <c r="B13" s="94"/>
      <c r="C13" s="364"/>
      <c r="D13" s="133"/>
      <c r="E13" s="94"/>
      <c r="G13" s="344"/>
    </row>
    <row r="14" spans="2:7" ht="53.25" customHeight="1" x14ac:dyDescent="0.2">
      <c r="B14" s="94"/>
      <c r="C14" s="364" t="s">
        <v>105</v>
      </c>
      <c r="D14" s="133" t="s">
        <v>531</v>
      </c>
      <c r="E14" s="94"/>
    </row>
    <row r="15" spans="2:7" ht="12" customHeight="1" x14ac:dyDescent="0.2">
      <c r="B15" s="94"/>
      <c r="C15" s="364"/>
      <c r="D15" s="133"/>
      <c r="E15" s="94"/>
    </row>
    <row r="16" spans="2:7" ht="39.950000000000003" customHeight="1" x14ac:dyDescent="0.2">
      <c r="B16" s="94"/>
      <c r="C16" s="364" t="s">
        <v>106</v>
      </c>
      <c r="D16" s="133" t="s">
        <v>480</v>
      </c>
      <c r="E16" s="94"/>
    </row>
    <row r="17" spans="2:7" ht="12" customHeight="1" x14ac:dyDescent="0.2">
      <c r="B17" s="94"/>
      <c r="C17" s="364"/>
      <c r="D17" s="133"/>
      <c r="E17" s="94"/>
    </row>
    <row r="18" spans="2:7" ht="60" customHeight="1" x14ac:dyDescent="0.2">
      <c r="B18" s="94"/>
      <c r="C18" s="364" t="s">
        <v>107</v>
      </c>
      <c r="D18" s="133" t="s">
        <v>532</v>
      </c>
      <c r="E18" s="94"/>
    </row>
    <row r="19" spans="2:7" ht="24.95" customHeight="1" x14ac:dyDescent="0.2">
      <c r="B19" s="94"/>
      <c r="C19" s="335" t="s">
        <v>5</v>
      </c>
      <c r="D19" s="351"/>
      <c r="E19" s="94"/>
      <c r="G19" s="350" t="s">
        <v>495</v>
      </c>
    </row>
    <row r="20" spans="2:7" ht="46.5" customHeight="1" x14ac:dyDescent="0.2">
      <c r="B20" s="94"/>
      <c r="C20" s="363"/>
      <c r="D20" s="133" t="s">
        <v>481</v>
      </c>
      <c r="E20" s="94"/>
    </row>
    <row r="21" spans="2:7" ht="36.75" customHeight="1" x14ac:dyDescent="0.2">
      <c r="B21" s="94"/>
      <c r="C21" s="362"/>
      <c r="D21" s="133" t="s">
        <v>512</v>
      </c>
      <c r="E21" s="94"/>
    </row>
    <row r="22" spans="2:7" ht="34.5" customHeight="1" x14ac:dyDescent="0.2">
      <c r="B22" s="94"/>
      <c r="C22" s="362"/>
      <c r="D22" s="133" t="s">
        <v>533</v>
      </c>
      <c r="E22" s="94"/>
    </row>
    <row r="23" spans="2:7" ht="34.5" customHeight="1" x14ac:dyDescent="0.2">
      <c r="B23" s="94"/>
      <c r="C23" s="362"/>
      <c r="D23" s="133" t="s">
        <v>651</v>
      </c>
      <c r="E23" s="94"/>
    </row>
    <row r="24" spans="2:7" ht="50.25" customHeight="1" x14ac:dyDescent="0.2">
      <c r="B24" s="94"/>
      <c r="C24" s="362"/>
      <c r="D24" s="133" t="s">
        <v>652</v>
      </c>
      <c r="E24" s="94"/>
    </row>
    <row r="25" spans="2:7" ht="24.95" customHeight="1" x14ac:dyDescent="0.2">
      <c r="B25" s="94"/>
      <c r="C25" s="335" t="s">
        <v>6</v>
      </c>
      <c r="D25" s="351"/>
      <c r="E25" s="94"/>
      <c r="G25" s="350" t="s">
        <v>418</v>
      </c>
    </row>
    <row r="26" spans="2:7" ht="50.1" customHeight="1" x14ac:dyDescent="0.2">
      <c r="B26" s="94"/>
      <c r="C26" s="363"/>
      <c r="D26" s="133" t="s">
        <v>417</v>
      </c>
      <c r="E26" s="94"/>
    </row>
    <row r="27" spans="2:7" ht="39.950000000000003" customHeight="1" x14ac:dyDescent="0.2">
      <c r="B27" s="94"/>
      <c r="C27" s="362"/>
      <c r="D27" s="133" t="s">
        <v>483</v>
      </c>
      <c r="E27" s="94"/>
    </row>
    <row r="28" spans="2:7" ht="50.1" customHeight="1" x14ac:dyDescent="0.2">
      <c r="B28" s="94"/>
      <c r="C28" s="362"/>
      <c r="D28" s="133" t="s">
        <v>297</v>
      </c>
      <c r="E28" s="94"/>
    </row>
    <row r="29" spans="2:7" ht="39.950000000000003" customHeight="1" x14ac:dyDescent="0.2">
      <c r="B29" s="94"/>
      <c r="C29" s="335" t="s">
        <v>612</v>
      </c>
      <c r="D29" s="351"/>
      <c r="E29" s="94"/>
      <c r="G29" s="350" t="s">
        <v>414</v>
      </c>
    </row>
    <row r="30" spans="2:7" ht="35.1" customHeight="1" x14ac:dyDescent="0.2">
      <c r="B30" s="94"/>
      <c r="C30" s="363"/>
      <c r="D30" s="133" t="s">
        <v>613</v>
      </c>
      <c r="E30" s="94"/>
    </row>
    <row r="31" spans="2:7" ht="22.5" customHeight="1" x14ac:dyDescent="0.2">
      <c r="B31" s="94"/>
      <c r="C31" s="362"/>
      <c r="D31" s="133" t="s">
        <v>488</v>
      </c>
      <c r="E31" s="94"/>
    </row>
    <row r="32" spans="2:7" ht="24.95" customHeight="1" x14ac:dyDescent="0.2">
      <c r="B32" s="94"/>
      <c r="C32" s="335" t="s">
        <v>509</v>
      </c>
      <c r="D32" s="351"/>
      <c r="E32" s="94"/>
      <c r="G32" s="350" t="s">
        <v>299</v>
      </c>
    </row>
    <row r="33" spans="2:7" ht="20.100000000000001" customHeight="1" x14ac:dyDescent="0.2">
      <c r="B33" s="94"/>
      <c r="C33" s="363"/>
      <c r="D33" s="133" t="s">
        <v>490</v>
      </c>
      <c r="E33" s="94"/>
    </row>
    <row r="34" spans="2:7" ht="35.1" customHeight="1" x14ac:dyDescent="0.2">
      <c r="B34" s="94"/>
      <c r="C34" s="362"/>
      <c r="D34" s="133" t="s">
        <v>489</v>
      </c>
      <c r="E34" s="94"/>
    </row>
    <row r="35" spans="2:7" ht="50.1" customHeight="1" x14ac:dyDescent="0.2">
      <c r="B35" s="94"/>
      <c r="C35" s="362"/>
      <c r="D35" s="133" t="s">
        <v>419</v>
      </c>
      <c r="E35" s="94"/>
      <c r="G35" s="344"/>
    </row>
    <row r="36" spans="2:7" ht="24.95" customHeight="1" x14ac:dyDescent="0.2">
      <c r="B36" s="94"/>
      <c r="C36" s="335" t="s">
        <v>352</v>
      </c>
      <c r="D36" s="351"/>
      <c r="E36" s="94"/>
      <c r="G36" s="350" t="s">
        <v>504</v>
      </c>
    </row>
    <row r="37" spans="2:7" ht="20.100000000000001" customHeight="1" x14ac:dyDescent="0.2">
      <c r="B37" s="94"/>
      <c r="C37" s="362"/>
      <c r="D37" s="348" t="s">
        <v>491</v>
      </c>
      <c r="E37" s="94"/>
    </row>
    <row r="38" spans="2:7" ht="35.1" customHeight="1" x14ac:dyDescent="0.2">
      <c r="B38" s="94"/>
      <c r="C38" s="362"/>
      <c r="D38" s="133" t="s">
        <v>640</v>
      </c>
      <c r="E38" s="94"/>
    </row>
    <row r="39" spans="2:7" ht="20.100000000000001" customHeight="1" x14ac:dyDescent="0.2">
      <c r="B39" s="94"/>
      <c r="C39" s="362"/>
      <c r="D39" s="133" t="s">
        <v>557</v>
      </c>
      <c r="E39" s="94"/>
      <c r="G39" s="344"/>
    </row>
    <row r="40" spans="2:7" ht="20.100000000000001" customHeight="1" x14ac:dyDescent="0.2">
      <c r="B40" s="94"/>
      <c r="C40" s="362"/>
      <c r="D40" s="133" t="s">
        <v>641</v>
      </c>
      <c r="E40" s="94"/>
      <c r="G40" s="344"/>
    </row>
    <row r="41" spans="2:7" ht="24.95" customHeight="1" x14ac:dyDescent="0.2">
      <c r="B41" s="94"/>
      <c r="C41" s="335" t="s">
        <v>484</v>
      </c>
      <c r="D41" s="351"/>
      <c r="E41" s="94"/>
      <c r="G41" s="350" t="s">
        <v>300</v>
      </c>
    </row>
    <row r="42" spans="2:7" ht="39.950000000000003" customHeight="1" x14ac:dyDescent="0.2">
      <c r="B42" s="94"/>
      <c r="C42" s="363"/>
      <c r="D42" s="133" t="s">
        <v>492</v>
      </c>
      <c r="E42" s="94"/>
    </row>
    <row r="43" spans="2:7" ht="37.5" customHeight="1" x14ac:dyDescent="0.2">
      <c r="B43" s="94"/>
      <c r="C43" s="364" t="s">
        <v>1</v>
      </c>
      <c r="D43" s="133" t="s">
        <v>511</v>
      </c>
      <c r="E43" s="94"/>
    </row>
    <row r="44" spans="2:7" ht="50.1" customHeight="1" x14ac:dyDescent="0.2">
      <c r="B44" s="94"/>
      <c r="C44" s="364" t="s">
        <v>356</v>
      </c>
      <c r="D44" s="133" t="s">
        <v>411</v>
      </c>
      <c r="E44" s="94"/>
    </row>
    <row r="45" spans="2:7" ht="35.1" customHeight="1" x14ac:dyDescent="0.2">
      <c r="B45" s="94"/>
      <c r="C45" s="364"/>
      <c r="D45" s="133" t="s">
        <v>534</v>
      </c>
      <c r="E45" s="94"/>
    </row>
    <row r="46" spans="2:7" ht="26.25" customHeight="1" x14ac:dyDescent="0.2">
      <c r="B46" s="94"/>
      <c r="C46" s="364" t="s">
        <v>5</v>
      </c>
      <c r="D46" s="133" t="s">
        <v>535</v>
      </c>
      <c r="E46" s="94"/>
      <c r="G46" s="350" t="s">
        <v>193</v>
      </c>
    </row>
    <row r="47" spans="2:7" ht="24.75" customHeight="1" x14ac:dyDescent="0.2">
      <c r="B47" s="94"/>
      <c r="C47" s="364"/>
      <c r="D47" s="133" t="s">
        <v>493</v>
      </c>
      <c r="E47" s="94"/>
    </row>
    <row r="48" spans="2:7" ht="35.1" customHeight="1" x14ac:dyDescent="0.2">
      <c r="B48" s="94"/>
      <c r="C48" s="364" t="s">
        <v>6</v>
      </c>
      <c r="D48" s="133" t="s">
        <v>337</v>
      </c>
      <c r="E48" s="94"/>
      <c r="G48" s="350" t="s">
        <v>502</v>
      </c>
    </row>
    <row r="49" spans="2:11" ht="24.95" customHeight="1" x14ac:dyDescent="0.2">
      <c r="B49" s="94"/>
      <c r="C49" s="335" t="s">
        <v>365</v>
      </c>
      <c r="D49" s="351"/>
      <c r="E49" s="94"/>
      <c r="G49" s="350" t="s">
        <v>503</v>
      </c>
    </row>
    <row r="50" spans="2:11" ht="24.95" customHeight="1" x14ac:dyDescent="0.2">
      <c r="B50" s="94"/>
      <c r="C50" s="370"/>
      <c r="D50" s="347" t="s">
        <v>515</v>
      </c>
      <c r="E50" s="94"/>
      <c r="G50" s="350"/>
    </row>
    <row r="51" spans="2:11" ht="20.100000000000001" customHeight="1" x14ac:dyDescent="0.2">
      <c r="B51" s="94"/>
      <c r="C51" s="363"/>
      <c r="D51" s="133" t="s">
        <v>513</v>
      </c>
      <c r="E51" s="94"/>
      <c r="H51" s="255"/>
      <c r="I51" s="255"/>
      <c r="J51" s="257"/>
      <c r="K51" s="258"/>
    </row>
    <row r="52" spans="2:11" ht="15" customHeight="1" x14ac:dyDescent="0.2">
      <c r="B52" s="94"/>
      <c r="C52" s="362"/>
      <c r="D52" s="133" t="s">
        <v>412</v>
      </c>
      <c r="E52" s="94"/>
      <c r="H52" s="255"/>
      <c r="I52" s="257"/>
      <c r="J52" s="257"/>
      <c r="K52" s="258"/>
    </row>
    <row r="53" spans="2:11" ht="15" customHeight="1" x14ac:dyDescent="0.2">
      <c r="B53" s="94"/>
      <c r="C53" s="362"/>
      <c r="D53" s="133" t="s">
        <v>413</v>
      </c>
      <c r="E53" s="94"/>
      <c r="H53" s="255"/>
      <c r="I53" s="257"/>
      <c r="J53" s="257"/>
      <c r="K53" s="258"/>
    </row>
    <row r="54" spans="2:11" ht="15" customHeight="1" x14ac:dyDescent="0.2">
      <c r="B54" s="94"/>
      <c r="C54" s="362"/>
      <c r="D54" s="133" t="s">
        <v>607</v>
      </c>
      <c r="E54" s="94"/>
      <c r="H54" s="255"/>
      <c r="I54" s="257"/>
      <c r="J54" s="257"/>
      <c r="K54" s="258"/>
    </row>
    <row r="55" spans="2:11" ht="35.1" customHeight="1" x14ac:dyDescent="0.2">
      <c r="B55" s="94"/>
      <c r="C55" s="364"/>
      <c r="D55" s="133" t="s">
        <v>514</v>
      </c>
      <c r="E55" s="94"/>
    </row>
    <row r="56" spans="2:11" ht="35.1" customHeight="1" x14ac:dyDescent="0.2">
      <c r="B56" s="94"/>
      <c r="C56" s="364" t="s">
        <v>3</v>
      </c>
      <c r="D56" s="133" t="s">
        <v>642</v>
      </c>
      <c r="E56" s="94"/>
    </row>
    <row r="57" spans="2:11" ht="35.1" customHeight="1" x14ac:dyDescent="0.2">
      <c r="B57" s="94"/>
      <c r="C57" s="364"/>
      <c r="D57" s="133" t="s">
        <v>494</v>
      </c>
      <c r="E57" s="94"/>
    </row>
    <row r="58" spans="2:11" ht="17.25" customHeight="1" x14ac:dyDescent="0.2">
      <c r="B58" s="94"/>
      <c r="C58" s="364" t="s">
        <v>79</v>
      </c>
      <c r="D58" s="133" t="s">
        <v>585</v>
      </c>
      <c r="E58" s="94"/>
    </row>
    <row r="59" spans="2:11" ht="35.1" customHeight="1" x14ac:dyDescent="0.2">
      <c r="B59" s="94"/>
      <c r="C59" s="362"/>
      <c r="D59" s="133" t="s">
        <v>516</v>
      </c>
      <c r="E59" s="94"/>
    </row>
    <row r="60" spans="2:11" ht="35.1" customHeight="1" x14ac:dyDescent="0.2">
      <c r="B60" s="94"/>
      <c r="C60" s="364" t="s">
        <v>78</v>
      </c>
      <c r="D60" s="133" t="s">
        <v>593</v>
      </c>
      <c r="E60" s="94"/>
    </row>
    <row r="61" spans="2:11" ht="20.100000000000001" customHeight="1" x14ac:dyDescent="0.2">
      <c r="B61" s="94"/>
      <c r="C61" s="364"/>
      <c r="D61" s="133" t="s">
        <v>586</v>
      </c>
      <c r="E61" s="94"/>
    </row>
    <row r="62" spans="2:11" ht="35.1" customHeight="1" x14ac:dyDescent="0.2">
      <c r="B62" s="94"/>
      <c r="C62" s="364"/>
      <c r="D62" s="133" t="s">
        <v>517</v>
      </c>
      <c r="E62" s="94"/>
    </row>
    <row r="63" spans="2:11" ht="20.100000000000001" customHeight="1" x14ac:dyDescent="0.2">
      <c r="B63" s="94"/>
      <c r="C63" s="364" t="s">
        <v>45</v>
      </c>
      <c r="D63" s="133" t="s">
        <v>415</v>
      </c>
      <c r="E63" s="94"/>
    </row>
    <row r="64" spans="2:11" ht="20.100000000000001" customHeight="1" x14ac:dyDescent="0.2">
      <c r="B64" s="94"/>
      <c r="C64" s="362"/>
      <c r="D64" s="133" t="s">
        <v>416</v>
      </c>
      <c r="E64" s="94"/>
    </row>
    <row r="65" spans="2:7" ht="35.1" customHeight="1" x14ac:dyDescent="0.2">
      <c r="B65" s="94"/>
      <c r="C65" s="362"/>
      <c r="D65" s="133" t="s">
        <v>518</v>
      </c>
      <c r="E65" s="94"/>
    </row>
    <row r="66" spans="2:7" x14ac:dyDescent="0.2">
      <c r="B66" s="94"/>
      <c r="C66" s="362"/>
      <c r="D66" s="349"/>
      <c r="E66" s="94"/>
      <c r="G66" s="344" t="s">
        <v>192</v>
      </c>
    </row>
  </sheetData>
  <mergeCells count="2">
    <mergeCell ref="B2:D2"/>
    <mergeCell ref="C5:D5"/>
  </mergeCells>
  <hyperlinks>
    <hyperlink ref="G9" location="'AGE SEX'!A41" display="Life stage graph and tables"/>
    <hyperlink ref="G25" location="Methods!A1" display="Methods used graphs and tables"/>
    <hyperlink ref="G29" location="'DHB region'!A1" display="DHB graphs and tables (time trend)"/>
    <hyperlink ref="G32" location="'URBAN RURAL'!A1" display="Urban/rural graphs and tables"/>
    <hyperlink ref="G41" location="'MĀORI NON-MĀORI'!A1" display="Māori and non-Māori age and sex graphs and tables"/>
    <hyperlink ref="G48" location="'Māori Non-Māori'!A208" display="Māori and non-Māori methods used graphs and tables"/>
    <hyperlink ref="G46" location="'MĀORI NON-MĀORI'!A140" display="Māori and non-Māori deprivation graphs and tables"/>
    <hyperlink ref="G36" location="INTERNATIONAL!A1" display="International"/>
    <hyperlink ref="G49" location="'Ethnic group'!A1" display="Ethnic groups"/>
    <hyperlink ref="G19" location="Deprivation!A1" display="Deprivation graphs and tables"/>
    <hyperlink ref="G7" location="'AGE SEX'!A1" display="Age sex graph and tables"/>
    <hyperlink ref="G66" location="'Key findings'!A1" display="Back to top"/>
  </hyperlinks>
  <pageMargins left="0.70866141732283472" right="0.70866141732283472" top="0.74803149606299213" bottom="0.74803149606299213" header="0.31496062992125984" footer="0.31496062992125984"/>
  <pageSetup paperSize="9" scale="48" fitToHeight="0" orientation="portrait" r:id="rId1"/>
  <rowBreaks count="1" manualBreakCount="1">
    <brk id="48"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256"/>
  <sheetViews>
    <sheetView showGridLines="0" zoomScaleNormal="100" workbookViewId="0">
      <selection activeCell="AL12" sqref="AL12"/>
    </sheetView>
  </sheetViews>
  <sheetFormatPr defaultRowHeight="12.75" x14ac:dyDescent="0.2"/>
  <cols>
    <col min="1" max="1" width="5.42578125" style="12" customWidth="1"/>
    <col min="2" max="2" width="1.7109375" style="12" customWidth="1"/>
    <col min="3" max="3" width="6.5703125" style="12" customWidth="1"/>
    <col min="4" max="11" width="9.140625" style="12"/>
    <col min="12" max="12" width="7.5703125" style="12" customWidth="1"/>
    <col min="13" max="13" width="5.85546875" style="12" customWidth="1"/>
    <col min="14" max="14" width="15.42578125" style="12" customWidth="1"/>
    <col min="15" max="15" width="26.140625" style="24" customWidth="1"/>
    <col min="16" max="16" width="11.85546875" style="24" customWidth="1"/>
    <col min="17" max="17" width="11.140625" style="25" customWidth="1"/>
    <col min="18" max="18" width="12" style="31" customWidth="1"/>
    <col min="19" max="19" width="6.28515625" style="124" customWidth="1"/>
    <col min="20" max="28" width="6.7109375" style="124" customWidth="1"/>
    <col min="29" max="37" width="6.7109375" style="47" customWidth="1"/>
    <col min="38" max="38" width="6.7109375" style="37" customWidth="1"/>
    <col min="39" max="16384" width="9.140625" style="12"/>
  </cols>
  <sheetData>
    <row r="1" spans="1:83" x14ac:dyDescent="0.2">
      <c r="O1" s="131" t="s">
        <v>505</v>
      </c>
    </row>
    <row r="2" spans="1:83" ht="23.25" x14ac:dyDescent="0.35">
      <c r="C2" s="120" t="s">
        <v>450</v>
      </c>
      <c r="O2" s="131" t="s">
        <v>506</v>
      </c>
    </row>
    <row r="3" spans="1:83" x14ac:dyDescent="0.2">
      <c r="O3" s="131" t="s">
        <v>507</v>
      </c>
    </row>
    <row r="4" spans="1:83" ht="78" customHeight="1" x14ac:dyDescent="0.2">
      <c r="C4" s="547" t="s">
        <v>600</v>
      </c>
      <c r="D4" s="548"/>
      <c r="E4" s="548"/>
      <c r="F4" s="548"/>
      <c r="G4" s="548"/>
      <c r="H4" s="548"/>
      <c r="I4" s="548"/>
      <c r="J4" s="548"/>
      <c r="K4" s="548"/>
      <c r="L4" s="548"/>
      <c r="M4" s="548"/>
      <c r="N4" s="548"/>
    </row>
    <row r="6" spans="1:83" x14ac:dyDescent="0.2">
      <c r="B6" s="71"/>
      <c r="C6" s="71"/>
      <c r="D6" s="71"/>
      <c r="E6" s="71"/>
      <c r="F6" s="71"/>
      <c r="G6" s="71"/>
      <c r="H6" s="71"/>
      <c r="I6" s="71"/>
      <c r="J6" s="71"/>
      <c r="K6" s="71"/>
      <c r="L6" s="71"/>
      <c r="M6" s="71"/>
    </row>
    <row r="7" spans="1:83" ht="15" x14ac:dyDescent="0.25">
      <c r="B7" s="71"/>
      <c r="C7" s="95" t="s">
        <v>437</v>
      </c>
      <c r="D7" s="71"/>
      <c r="E7" s="71"/>
      <c r="F7" s="71"/>
      <c r="G7" s="71"/>
      <c r="H7" s="71"/>
      <c r="I7" s="71"/>
      <c r="J7" s="71"/>
      <c r="K7" s="71"/>
      <c r="L7" s="71"/>
      <c r="M7" s="71"/>
      <c r="O7" s="132" t="s">
        <v>439</v>
      </c>
      <c r="BH7" s="508"/>
      <c r="BI7" s="508" t="s">
        <v>3</v>
      </c>
      <c r="BJ7" s="508" t="s">
        <v>37</v>
      </c>
      <c r="BK7" s="508"/>
      <c r="BL7" s="508"/>
      <c r="BM7" s="508"/>
      <c r="BN7" s="508"/>
      <c r="BO7" s="508"/>
      <c r="BP7" s="508"/>
      <c r="BQ7" s="508"/>
      <c r="BR7" s="508"/>
      <c r="BS7" s="508"/>
      <c r="BT7" s="508"/>
      <c r="BU7" s="508"/>
      <c r="BV7" s="508"/>
      <c r="BW7" s="508"/>
      <c r="BX7" s="508"/>
      <c r="BY7" s="508"/>
      <c r="BZ7" s="508"/>
      <c r="CA7" s="508"/>
      <c r="CB7" s="508"/>
      <c r="CC7" s="508"/>
      <c r="CD7" s="508"/>
      <c r="CE7" s="508"/>
    </row>
    <row r="8" spans="1:83" ht="15" x14ac:dyDescent="0.25">
      <c r="B8" s="71"/>
      <c r="C8" s="71"/>
      <c r="D8" s="71"/>
      <c r="E8" s="71"/>
      <c r="F8" s="71"/>
      <c r="G8" s="71"/>
      <c r="H8" s="71"/>
      <c r="I8" s="71"/>
      <c r="J8" s="71"/>
      <c r="K8" s="71"/>
      <c r="L8" s="71"/>
      <c r="M8" s="71"/>
      <c r="P8" s="132"/>
      <c r="Q8" s="298"/>
      <c r="R8" s="214"/>
      <c r="S8" s="168"/>
      <c r="BH8" s="508"/>
      <c r="BI8" s="508"/>
      <c r="BJ8" s="508"/>
      <c r="BK8" s="508"/>
      <c r="BL8" s="508">
        <v>1996</v>
      </c>
      <c r="BM8" s="508">
        <v>1997</v>
      </c>
      <c r="BN8" s="508">
        <v>1998</v>
      </c>
      <c r="BO8" s="508">
        <v>1999</v>
      </c>
      <c r="BP8" s="508">
        <v>2000</v>
      </c>
      <c r="BQ8" s="508">
        <v>2001</v>
      </c>
      <c r="BR8" s="508">
        <v>2002</v>
      </c>
      <c r="BS8" s="508">
        <v>2003</v>
      </c>
      <c r="BT8" s="508">
        <v>2004</v>
      </c>
      <c r="BU8" s="508">
        <v>2005</v>
      </c>
      <c r="BV8" s="508">
        <v>2006</v>
      </c>
      <c r="BW8" s="508">
        <v>2007</v>
      </c>
      <c r="BX8" s="508">
        <v>2008</v>
      </c>
      <c r="BY8" s="508">
        <v>2009</v>
      </c>
      <c r="BZ8" s="508">
        <v>2010</v>
      </c>
      <c r="CA8" s="508">
        <v>2011</v>
      </c>
      <c r="CB8" s="508">
        <v>2012</v>
      </c>
      <c r="CC8" s="508">
        <v>2013</v>
      </c>
      <c r="CD8" s="508">
        <v>2014</v>
      </c>
      <c r="CE8" s="508">
        <v>2015</v>
      </c>
    </row>
    <row r="9" spans="1:83" x14ac:dyDescent="0.2">
      <c r="B9" s="71"/>
      <c r="C9" s="71"/>
      <c r="D9" s="71"/>
      <c r="E9" s="71"/>
      <c r="F9" s="71"/>
      <c r="G9" s="71"/>
      <c r="H9" s="71"/>
      <c r="I9" s="71"/>
      <c r="J9" s="71"/>
      <c r="K9" s="71"/>
      <c r="L9" s="71"/>
      <c r="M9" s="71"/>
      <c r="O9" s="125" t="s">
        <v>3</v>
      </c>
      <c r="P9" s="164" t="s">
        <v>37</v>
      </c>
      <c r="BH9" s="508"/>
      <c r="BI9" s="508" t="s">
        <v>0</v>
      </c>
      <c r="BJ9" s="508" t="s">
        <v>9</v>
      </c>
      <c r="BK9" s="508" t="s">
        <v>22</v>
      </c>
      <c r="BL9" s="508">
        <f>VLOOKUP(BL8&amp;"AllSex"&amp;"Maori"&amp;19,agesextable,7,FALSE)</f>
        <v>18.424036081023001</v>
      </c>
      <c r="BM9" s="508">
        <f t="shared" ref="BM9:CE9" si="0">VLOOKUP(BM$8&amp;"AllSex"&amp;"Maori"&amp;19,agesextable,7,FALSE)</f>
        <v>19.8982046762785</v>
      </c>
      <c r="BN9" s="508">
        <f t="shared" si="0"/>
        <v>21.066325436544499</v>
      </c>
      <c r="BO9" s="508">
        <f t="shared" si="0"/>
        <v>13.680080488400799</v>
      </c>
      <c r="BP9" s="508">
        <f t="shared" si="0"/>
        <v>15.0216247954586</v>
      </c>
      <c r="BQ9" s="508">
        <f t="shared" si="0"/>
        <v>14.087317407503001</v>
      </c>
      <c r="BR9" s="508">
        <f t="shared" si="0"/>
        <v>13.892088049665601</v>
      </c>
      <c r="BS9" s="508">
        <f t="shared" si="0"/>
        <v>14.459643080013199</v>
      </c>
      <c r="BT9" s="508">
        <f t="shared" si="0"/>
        <v>18.923065742235899</v>
      </c>
      <c r="BU9" s="508">
        <f t="shared" si="0"/>
        <v>17.852603495775298</v>
      </c>
      <c r="BV9" s="508">
        <f t="shared" si="0"/>
        <v>17.9531609994688</v>
      </c>
      <c r="BW9" s="508">
        <f t="shared" si="0"/>
        <v>16.111509144203101</v>
      </c>
      <c r="BX9" s="508">
        <f t="shared" si="0"/>
        <v>14.0105109663824</v>
      </c>
      <c r="BY9" s="508">
        <f t="shared" si="0"/>
        <v>13.081017831193</v>
      </c>
      <c r="BZ9" s="508">
        <f t="shared" si="0"/>
        <v>15.806302990390501</v>
      </c>
      <c r="CA9" s="508">
        <f t="shared" si="0"/>
        <v>17.366835060391999</v>
      </c>
      <c r="CB9" s="508">
        <f t="shared" si="0"/>
        <v>17.627168762910401</v>
      </c>
      <c r="CC9" s="508">
        <f t="shared" si="0"/>
        <v>15.956035439304101</v>
      </c>
      <c r="CD9" s="508">
        <f t="shared" si="0"/>
        <v>14.4433248002785</v>
      </c>
      <c r="CE9" s="508">
        <f t="shared" si="0"/>
        <v>17.835459808531901</v>
      </c>
    </row>
    <row r="10" spans="1:83" x14ac:dyDescent="0.2">
      <c r="B10" s="71"/>
      <c r="C10" s="71"/>
      <c r="D10" s="71"/>
      <c r="E10" s="71"/>
      <c r="F10" s="71"/>
      <c r="G10" s="71"/>
      <c r="H10" s="71"/>
      <c r="I10" s="71"/>
      <c r="J10" s="71"/>
      <c r="K10" s="71"/>
      <c r="L10" s="71"/>
      <c r="M10" s="71"/>
      <c r="O10" s="25"/>
      <c r="P10" s="25"/>
      <c r="S10" s="169">
        <v>1996</v>
      </c>
      <c r="T10" s="169">
        <v>1997</v>
      </c>
      <c r="U10" s="169">
        <v>1998</v>
      </c>
      <c r="V10" s="169">
        <v>1999</v>
      </c>
      <c r="W10" s="169">
        <v>2000</v>
      </c>
      <c r="X10" s="169">
        <v>2001</v>
      </c>
      <c r="Y10" s="169">
        <v>2002</v>
      </c>
      <c r="Z10" s="169">
        <v>2003</v>
      </c>
      <c r="AA10" s="169">
        <v>2004</v>
      </c>
      <c r="AB10" s="169">
        <v>2005</v>
      </c>
      <c r="AC10" s="169">
        <v>2006</v>
      </c>
      <c r="AD10" s="49">
        <v>2007</v>
      </c>
      <c r="AE10" s="49">
        <v>2008</v>
      </c>
      <c r="AF10" s="49">
        <v>2009</v>
      </c>
      <c r="AG10" s="49">
        <v>2010</v>
      </c>
      <c r="AH10" s="49">
        <v>2011</v>
      </c>
      <c r="AI10" s="49">
        <v>2012</v>
      </c>
      <c r="AJ10" s="49">
        <v>2013</v>
      </c>
      <c r="AK10" s="49">
        <v>2014</v>
      </c>
      <c r="AL10" s="49">
        <v>2015</v>
      </c>
      <c r="BH10" s="508"/>
      <c r="BI10" s="508"/>
      <c r="BJ10" s="508"/>
      <c r="BK10" s="508" t="s">
        <v>16</v>
      </c>
      <c r="BL10" s="508">
        <f t="shared" ref="BL10:CE10" si="1">VLOOKUP(BL8&amp;"AllSex"&amp;"Maori"&amp;19,agesextable,8,FALSE)</f>
        <v>3.7</v>
      </c>
      <c r="BM10" s="508">
        <f t="shared" si="1"/>
        <v>3.8</v>
      </c>
      <c r="BN10" s="508">
        <f t="shared" si="1"/>
        <v>3.9</v>
      </c>
      <c r="BO10" s="508">
        <f t="shared" si="1"/>
        <v>3</v>
      </c>
      <c r="BP10" s="508">
        <f t="shared" si="1"/>
        <v>3.3</v>
      </c>
      <c r="BQ10" s="508">
        <f t="shared" si="1"/>
        <v>3.1</v>
      </c>
      <c r="BR10" s="508">
        <f t="shared" si="1"/>
        <v>3</v>
      </c>
      <c r="BS10" s="508">
        <f t="shared" si="1"/>
        <v>3</v>
      </c>
      <c r="BT10" s="508">
        <f t="shared" si="1"/>
        <v>3.5</v>
      </c>
      <c r="BU10" s="508">
        <f t="shared" si="1"/>
        <v>3.4</v>
      </c>
      <c r="BV10" s="508">
        <f t="shared" si="1"/>
        <v>3.4</v>
      </c>
      <c r="BW10" s="508">
        <f t="shared" si="1"/>
        <v>3.2</v>
      </c>
      <c r="BX10" s="508">
        <f t="shared" si="1"/>
        <v>2.9</v>
      </c>
      <c r="BY10" s="508">
        <f t="shared" si="1"/>
        <v>2.8</v>
      </c>
      <c r="BZ10" s="508">
        <f t="shared" si="1"/>
        <v>3.1</v>
      </c>
      <c r="CA10" s="508">
        <f t="shared" si="1"/>
        <v>3.2</v>
      </c>
      <c r="CB10" s="508">
        <f t="shared" si="1"/>
        <v>3.2</v>
      </c>
      <c r="CC10" s="508">
        <f t="shared" si="1"/>
        <v>3.1</v>
      </c>
      <c r="CD10" s="508">
        <f t="shared" si="1"/>
        <v>3</v>
      </c>
      <c r="CE10" s="508">
        <f t="shared" si="1"/>
        <v>3.2</v>
      </c>
    </row>
    <row r="11" spans="1:83" x14ac:dyDescent="0.2">
      <c r="B11" s="71"/>
      <c r="C11" s="71"/>
      <c r="D11" s="71"/>
      <c r="E11" s="71"/>
      <c r="F11" s="71"/>
      <c r="G11" s="71"/>
      <c r="H11" s="71"/>
      <c r="I11" s="71"/>
      <c r="J11" s="71"/>
      <c r="K11" s="71"/>
      <c r="L11" s="71"/>
      <c r="M11" s="71"/>
      <c r="O11" s="25" t="s">
        <v>0</v>
      </c>
      <c r="P11" s="25" t="s">
        <v>9</v>
      </c>
      <c r="Q11" s="25" t="s">
        <v>21</v>
      </c>
      <c r="S11" s="124">
        <f t="shared" ref="S11:AL11" si="2">VLOOKUP(S$10&amp;"AllSex"&amp;"Maori"&amp;19,agesextable,6,FALSE)</f>
        <v>97</v>
      </c>
      <c r="T11" s="124">
        <f t="shared" si="2"/>
        <v>106</v>
      </c>
      <c r="U11" s="124">
        <f t="shared" si="2"/>
        <v>113</v>
      </c>
      <c r="V11" s="124">
        <f t="shared" si="2"/>
        <v>79</v>
      </c>
      <c r="W11" s="124">
        <f t="shared" si="2"/>
        <v>80</v>
      </c>
      <c r="X11" s="124">
        <f t="shared" si="2"/>
        <v>79</v>
      </c>
      <c r="Y11" s="124">
        <f t="shared" si="2"/>
        <v>80</v>
      </c>
      <c r="Z11" s="124">
        <f t="shared" si="2"/>
        <v>87</v>
      </c>
      <c r="AA11" s="124">
        <f t="shared" si="2"/>
        <v>111</v>
      </c>
      <c r="AB11" s="124">
        <f t="shared" si="2"/>
        <v>105</v>
      </c>
      <c r="AC11" s="124">
        <f t="shared" si="2"/>
        <v>108</v>
      </c>
      <c r="AD11" s="124">
        <f t="shared" si="2"/>
        <v>97</v>
      </c>
      <c r="AE11" s="124">
        <f t="shared" si="2"/>
        <v>87</v>
      </c>
      <c r="AF11" s="124">
        <f t="shared" si="2"/>
        <v>83</v>
      </c>
      <c r="AG11" s="124">
        <f t="shared" si="2"/>
        <v>102</v>
      </c>
      <c r="AH11" s="124">
        <f t="shared" si="2"/>
        <v>113</v>
      </c>
      <c r="AI11" s="124">
        <f t="shared" si="2"/>
        <v>119</v>
      </c>
      <c r="AJ11" s="124">
        <f t="shared" si="2"/>
        <v>105</v>
      </c>
      <c r="AK11" s="124">
        <f t="shared" si="2"/>
        <v>92</v>
      </c>
      <c r="AL11" s="124">
        <f t="shared" si="2"/>
        <v>118</v>
      </c>
      <c r="BH11" s="508"/>
      <c r="BI11" s="508"/>
      <c r="BJ11" s="508"/>
      <c r="BK11" s="508" t="s">
        <v>568</v>
      </c>
      <c r="BL11" s="510">
        <f>BL10/BL9*100</f>
        <v>20.082461756634579</v>
      </c>
      <c r="BM11" s="510">
        <f t="shared" ref="BM11:CE11" si="3">BM10/BM9*100</f>
        <v>19.097200284255507</v>
      </c>
      <c r="BN11" s="510">
        <f t="shared" si="3"/>
        <v>18.512958093937598</v>
      </c>
      <c r="BO11" s="510">
        <f t="shared" si="3"/>
        <v>21.929695534640086</v>
      </c>
      <c r="BP11" s="510">
        <f t="shared" si="3"/>
        <v>21.968329291500275</v>
      </c>
      <c r="BQ11" s="510">
        <f t="shared" si="3"/>
        <v>22.005609090265253</v>
      </c>
      <c r="BR11" s="510">
        <f t="shared" si="3"/>
        <v>21.595025810912663</v>
      </c>
      <c r="BS11" s="510">
        <f t="shared" si="3"/>
        <v>20.747400080343208</v>
      </c>
      <c r="BT11" s="510">
        <f t="shared" si="3"/>
        <v>18.495945887817062</v>
      </c>
      <c r="BU11" s="510">
        <f t="shared" si="3"/>
        <v>19.044841279338264</v>
      </c>
      <c r="BV11" s="510">
        <f t="shared" si="3"/>
        <v>18.938169161968744</v>
      </c>
      <c r="BW11" s="510">
        <f t="shared" si="3"/>
        <v>19.861578275250245</v>
      </c>
      <c r="BX11" s="510">
        <f t="shared" si="3"/>
        <v>20.698745441607528</v>
      </c>
      <c r="BY11" s="510">
        <f t="shared" si="3"/>
        <v>21.40506217584322</v>
      </c>
      <c r="BZ11" s="510">
        <f t="shared" si="3"/>
        <v>19.612429306743369</v>
      </c>
      <c r="CA11" s="510">
        <f t="shared" si="3"/>
        <v>18.425924982141051</v>
      </c>
      <c r="CB11" s="510">
        <f t="shared" si="3"/>
        <v>18.153794537516259</v>
      </c>
      <c r="CC11" s="510">
        <f t="shared" si="3"/>
        <v>19.428385025793112</v>
      </c>
      <c r="CD11" s="510">
        <f t="shared" si="3"/>
        <v>20.770840796588281</v>
      </c>
      <c r="CE11" s="510">
        <f t="shared" si="3"/>
        <v>17.941785826397506</v>
      </c>
    </row>
    <row r="12" spans="1:83" x14ac:dyDescent="0.2">
      <c r="B12" s="71"/>
      <c r="C12" s="71"/>
      <c r="D12" s="71"/>
      <c r="E12" s="71"/>
      <c r="F12" s="71"/>
      <c r="G12" s="71"/>
      <c r="H12" s="71"/>
      <c r="I12" s="71"/>
      <c r="J12" s="71"/>
      <c r="K12" s="71"/>
      <c r="L12" s="71"/>
      <c r="M12" s="71"/>
      <c r="O12" s="25"/>
      <c r="P12" s="25"/>
      <c r="Q12" s="25" t="s">
        <v>22</v>
      </c>
      <c r="S12" s="46">
        <f>VLOOKUP(S10&amp;"AllSex"&amp;"Maori"&amp;19,agesextable,7,FALSE)</f>
        <v>18.424036081023001</v>
      </c>
      <c r="T12" s="46">
        <f t="shared" ref="T12:AL12" si="4">VLOOKUP(T$10&amp;"AllSex"&amp;"Maori"&amp;19,agesextable,7,FALSE)</f>
        <v>19.8982046762785</v>
      </c>
      <c r="U12" s="46">
        <f t="shared" si="4"/>
        <v>21.066325436544499</v>
      </c>
      <c r="V12" s="46">
        <f t="shared" si="4"/>
        <v>13.680080488400799</v>
      </c>
      <c r="W12" s="46">
        <f t="shared" si="4"/>
        <v>15.0216247954586</v>
      </c>
      <c r="X12" s="46">
        <f t="shared" si="4"/>
        <v>14.087317407503001</v>
      </c>
      <c r="Y12" s="46">
        <f t="shared" si="4"/>
        <v>13.892088049665601</v>
      </c>
      <c r="Z12" s="46">
        <f t="shared" si="4"/>
        <v>14.459643080013199</v>
      </c>
      <c r="AA12" s="46">
        <f t="shared" si="4"/>
        <v>18.923065742235899</v>
      </c>
      <c r="AB12" s="46">
        <f t="shared" si="4"/>
        <v>17.852603495775298</v>
      </c>
      <c r="AC12" s="46">
        <f t="shared" si="4"/>
        <v>17.9531609994688</v>
      </c>
      <c r="AD12" s="46">
        <f t="shared" si="4"/>
        <v>16.111509144203101</v>
      </c>
      <c r="AE12" s="46">
        <f t="shared" si="4"/>
        <v>14.0105109663824</v>
      </c>
      <c r="AF12" s="46">
        <f t="shared" si="4"/>
        <v>13.081017831193</v>
      </c>
      <c r="AG12" s="46">
        <f t="shared" si="4"/>
        <v>15.806302990390501</v>
      </c>
      <c r="AH12" s="46">
        <f t="shared" si="4"/>
        <v>17.366835060391999</v>
      </c>
      <c r="AI12" s="46">
        <f t="shared" si="4"/>
        <v>17.627168762910401</v>
      </c>
      <c r="AJ12" s="46">
        <f t="shared" si="4"/>
        <v>15.956035439304101</v>
      </c>
      <c r="AK12" s="46">
        <f t="shared" si="4"/>
        <v>14.4433248002785</v>
      </c>
      <c r="AL12" s="46">
        <f t="shared" si="4"/>
        <v>17.835459808531901</v>
      </c>
      <c r="BH12" s="508"/>
      <c r="BI12" s="508"/>
      <c r="BJ12" s="508"/>
      <c r="BK12" s="508"/>
      <c r="BL12" s="508"/>
      <c r="BM12" s="508"/>
      <c r="BN12" s="508"/>
      <c r="BO12" s="508"/>
      <c r="BP12" s="508"/>
      <c r="BQ12" s="508"/>
      <c r="BR12" s="508"/>
      <c r="BS12" s="508"/>
      <c r="BT12" s="508"/>
      <c r="BU12" s="508"/>
      <c r="BV12" s="508"/>
      <c r="BW12" s="508"/>
      <c r="BX12" s="508"/>
      <c r="BY12" s="508"/>
      <c r="BZ12" s="508"/>
      <c r="CA12" s="508"/>
      <c r="CB12" s="508"/>
      <c r="CC12" s="508"/>
      <c r="CD12" s="508"/>
      <c r="CE12" s="508"/>
    </row>
    <row r="13" spans="1:83" x14ac:dyDescent="0.2">
      <c r="B13" s="71"/>
      <c r="C13" s="71"/>
      <c r="D13" s="71"/>
      <c r="E13" s="71"/>
      <c r="F13" s="71"/>
      <c r="G13" s="71"/>
      <c r="H13" s="71"/>
      <c r="I13" s="71"/>
      <c r="J13" s="71"/>
      <c r="K13" s="76"/>
      <c r="L13" s="76"/>
      <c r="M13" s="76"/>
      <c r="N13" s="33"/>
      <c r="O13" s="25"/>
      <c r="P13" s="25"/>
      <c r="AC13" s="124"/>
      <c r="AL13" s="47"/>
      <c r="BH13" s="508"/>
      <c r="BI13" s="508"/>
      <c r="BJ13" s="508"/>
      <c r="BK13" s="508"/>
      <c r="BL13" s="508"/>
      <c r="BM13" s="508"/>
      <c r="BN13" s="508"/>
      <c r="BO13" s="508"/>
      <c r="BP13" s="508"/>
      <c r="BQ13" s="508"/>
      <c r="BR13" s="508"/>
      <c r="BS13" s="508"/>
      <c r="BT13" s="508"/>
      <c r="BU13" s="508"/>
      <c r="BV13" s="508"/>
      <c r="BW13" s="508"/>
      <c r="BX13" s="508"/>
      <c r="BY13" s="508"/>
      <c r="BZ13" s="508"/>
      <c r="CA13" s="508"/>
      <c r="CB13" s="508"/>
      <c r="CC13" s="508"/>
      <c r="CD13" s="508"/>
      <c r="CE13" s="508"/>
    </row>
    <row r="14" spans="1:83" ht="18" customHeight="1" x14ac:dyDescent="0.2">
      <c r="A14" s="33"/>
      <c r="B14" s="76"/>
      <c r="C14" s="76"/>
      <c r="D14" s="76"/>
      <c r="E14" s="76"/>
      <c r="F14" s="76"/>
      <c r="G14" s="76"/>
      <c r="H14" s="71"/>
      <c r="I14" s="71"/>
      <c r="J14" s="71"/>
      <c r="K14" s="76"/>
      <c r="L14" s="76"/>
      <c r="M14" s="76"/>
      <c r="N14" s="33"/>
      <c r="O14" s="25" t="s">
        <v>20</v>
      </c>
      <c r="P14" s="25" t="s">
        <v>9</v>
      </c>
      <c r="Q14" s="25" t="s">
        <v>21</v>
      </c>
      <c r="S14" s="124">
        <f t="shared" ref="S14:AL14" si="5">VLOOKUP(S10&amp;"Male"&amp;"Maori"&amp;19,agesextable,6,FALSE)</f>
        <v>73</v>
      </c>
      <c r="T14" s="124">
        <f t="shared" si="5"/>
        <v>80</v>
      </c>
      <c r="U14" s="124">
        <f t="shared" si="5"/>
        <v>88</v>
      </c>
      <c r="V14" s="124">
        <f t="shared" si="5"/>
        <v>59</v>
      </c>
      <c r="W14" s="124">
        <f t="shared" si="5"/>
        <v>69</v>
      </c>
      <c r="X14" s="124">
        <f t="shared" si="5"/>
        <v>58</v>
      </c>
      <c r="Y14" s="124">
        <f t="shared" si="5"/>
        <v>60</v>
      </c>
      <c r="Z14" s="124">
        <f t="shared" si="5"/>
        <v>67</v>
      </c>
      <c r="AA14" s="124">
        <f t="shared" si="5"/>
        <v>83</v>
      </c>
      <c r="AB14" s="124">
        <f t="shared" si="5"/>
        <v>78</v>
      </c>
      <c r="AC14" s="124">
        <f t="shared" si="5"/>
        <v>75</v>
      </c>
      <c r="AD14" s="124">
        <f t="shared" si="5"/>
        <v>74</v>
      </c>
      <c r="AE14" s="124">
        <f t="shared" si="5"/>
        <v>56</v>
      </c>
      <c r="AF14" s="124">
        <f t="shared" si="5"/>
        <v>58</v>
      </c>
      <c r="AG14" s="124">
        <f t="shared" si="5"/>
        <v>72</v>
      </c>
      <c r="AH14" s="124">
        <f t="shared" si="5"/>
        <v>81</v>
      </c>
      <c r="AI14" s="124">
        <f t="shared" si="5"/>
        <v>82</v>
      </c>
      <c r="AJ14" s="124">
        <f t="shared" si="5"/>
        <v>66</v>
      </c>
      <c r="AK14" s="124">
        <f t="shared" si="5"/>
        <v>67</v>
      </c>
      <c r="AL14" s="124">
        <f t="shared" si="5"/>
        <v>77</v>
      </c>
      <c r="BH14" s="508"/>
      <c r="BI14" s="508" t="s">
        <v>440</v>
      </c>
      <c r="BJ14" s="508"/>
      <c r="BK14" s="508"/>
      <c r="BL14" s="508"/>
      <c r="BM14" s="508"/>
      <c r="BN14" s="508"/>
      <c r="BO14" s="508"/>
      <c r="BP14" s="508"/>
      <c r="BQ14" s="508"/>
      <c r="BR14" s="508"/>
      <c r="BS14" s="508"/>
      <c r="BT14" s="508"/>
      <c r="BU14" s="508"/>
      <c r="BV14" s="508"/>
      <c r="BW14" s="508"/>
      <c r="BX14" s="508"/>
      <c r="BY14" s="508"/>
      <c r="BZ14" s="508"/>
      <c r="CA14" s="508"/>
      <c r="CB14" s="508"/>
      <c r="CC14" s="508"/>
      <c r="CD14" s="508"/>
      <c r="CE14" s="508"/>
    </row>
    <row r="15" spans="1:83" ht="17.25" customHeight="1" x14ac:dyDescent="0.2">
      <c r="A15" s="33"/>
      <c r="B15" s="76"/>
      <c r="C15" s="76"/>
      <c r="D15" s="76"/>
      <c r="E15" s="76"/>
      <c r="F15" s="76"/>
      <c r="G15" s="76"/>
      <c r="H15" s="108"/>
      <c r="I15" s="71"/>
      <c r="J15" s="71"/>
      <c r="K15" s="109"/>
      <c r="L15" s="76"/>
      <c r="M15" s="76"/>
      <c r="N15" s="33"/>
      <c r="O15" s="31"/>
      <c r="P15" s="31"/>
      <c r="Q15" s="31" t="s">
        <v>22</v>
      </c>
      <c r="S15" s="46">
        <f t="shared" ref="S15:AL15" si="6">VLOOKUP(S$10&amp;"Male"&amp;"Maori"&amp;19,agesextable,7,FALSE)</f>
        <v>28.6634614636843</v>
      </c>
      <c r="T15" s="46">
        <f t="shared" si="6"/>
        <v>30.622870852715899</v>
      </c>
      <c r="U15" s="46">
        <f t="shared" si="6"/>
        <v>34.656914608583101</v>
      </c>
      <c r="V15" s="46">
        <f t="shared" si="6"/>
        <v>21.453377474962299</v>
      </c>
      <c r="W15" s="46">
        <f t="shared" si="6"/>
        <v>27.198711801126699</v>
      </c>
      <c r="X15" s="46">
        <f t="shared" si="6"/>
        <v>22.0828947481947</v>
      </c>
      <c r="Y15" s="46">
        <f t="shared" si="6"/>
        <v>21.881613181334401</v>
      </c>
      <c r="Z15" s="46">
        <f t="shared" si="6"/>
        <v>23.229010507537701</v>
      </c>
      <c r="AA15" s="46">
        <f t="shared" si="6"/>
        <v>30.210797391523901</v>
      </c>
      <c r="AB15" s="46">
        <f t="shared" si="6"/>
        <v>27.973177382021099</v>
      </c>
      <c r="AC15" s="46">
        <f t="shared" si="6"/>
        <v>25.8876809253644</v>
      </c>
      <c r="AD15" s="46">
        <f t="shared" si="6"/>
        <v>25.915091779548401</v>
      </c>
      <c r="AE15" s="46">
        <f t="shared" si="6"/>
        <v>19.8732690696398</v>
      </c>
      <c r="AF15" s="46">
        <f t="shared" si="6"/>
        <v>19.4811396989931</v>
      </c>
      <c r="AG15" s="46">
        <f t="shared" si="6"/>
        <v>23.689392361421</v>
      </c>
      <c r="AH15" s="46">
        <f t="shared" si="6"/>
        <v>26.239623561034499</v>
      </c>
      <c r="AI15" s="46">
        <f t="shared" si="6"/>
        <v>25.657974492525501</v>
      </c>
      <c r="AJ15" s="46">
        <f t="shared" si="6"/>
        <v>21.474445318173501</v>
      </c>
      <c r="AK15" s="46">
        <f t="shared" si="6"/>
        <v>22.382934863323399</v>
      </c>
      <c r="AL15" s="46">
        <f t="shared" si="6"/>
        <v>25.316443855804899</v>
      </c>
      <c r="BH15" s="508"/>
      <c r="BI15" s="508"/>
      <c r="BJ15" s="508"/>
      <c r="BK15" s="508"/>
      <c r="BL15" s="508"/>
      <c r="BM15" s="508"/>
      <c r="BN15" s="508"/>
      <c r="BO15" s="508"/>
      <c r="BP15" s="508"/>
      <c r="BQ15" s="508"/>
      <c r="BR15" s="508"/>
      <c r="BS15" s="508"/>
      <c r="BT15" s="508"/>
      <c r="BU15" s="508"/>
      <c r="BV15" s="508"/>
      <c r="BW15" s="508"/>
      <c r="BX15" s="508"/>
      <c r="BY15" s="508"/>
      <c r="BZ15" s="508"/>
      <c r="CA15" s="508"/>
      <c r="CB15" s="508"/>
      <c r="CC15" s="508"/>
      <c r="CD15" s="508"/>
      <c r="CE15" s="508"/>
    </row>
    <row r="16" spans="1:83" x14ac:dyDescent="0.2">
      <c r="A16" s="33"/>
      <c r="B16" s="76"/>
      <c r="C16" s="76"/>
      <c r="D16" s="76"/>
      <c r="E16" s="76"/>
      <c r="F16" s="76"/>
      <c r="G16" s="76"/>
      <c r="H16" s="71"/>
      <c r="I16" s="71"/>
      <c r="J16" s="71"/>
      <c r="K16" s="76"/>
      <c r="L16" s="76"/>
      <c r="M16" s="76"/>
      <c r="N16" s="33"/>
      <c r="O16" s="31"/>
      <c r="P16" s="31"/>
      <c r="Q16" s="31"/>
      <c r="AC16" s="124"/>
      <c r="AL16" s="47"/>
      <c r="BH16" s="508"/>
      <c r="BI16" s="508" t="s">
        <v>0</v>
      </c>
      <c r="BJ16" s="508" t="s">
        <v>9</v>
      </c>
      <c r="BK16" s="508" t="s">
        <v>22</v>
      </c>
      <c r="BL16" s="508">
        <f>VLOOKUP(BL$8&amp;"AllSex"&amp;"Non-Maori"&amp;19,agesextable,7,FALSE)</f>
        <v>13.202661641130099</v>
      </c>
      <c r="BM16" s="508">
        <f t="shared" ref="BM16:CE16" si="7">VLOOKUP(BM$8&amp;"AllSex"&amp;"Non-Maori"&amp;19,agesextable,7,FALSE)</f>
        <v>13.6356969902152</v>
      </c>
      <c r="BN16" s="508">
        <f t="shared" si="7"/>
        <v>13.719933399984299</v>
      </c>
      <c r="BO16" s="508">
        <f t="shared" si="7"/>
        <v>12.8439199652067</v>
      </c>
      <c r="BP16" s="508">
        <f t="shared" si="7"/>
        <v>11.1683814296716</v>
      </c>
      <c r="BQ16" s="508">
        <f t="shared" si="7"/>
        <v>12.3764768268776</v>
      </c>
      <c r="BR16" s="508">
        <f t="shared" si="7"/>
        <v>10.9882846931341</v>
      </c>
      <c r="BS16" s="508">
        <f t="shared" si="7"/>
        <v>11.6548370610064</v>
      </c>
      <c r="BT16" s="508">
        <f t="shared" si="7"/>
        <v>10.3253251579566</v>
      </c>
      <c r="BU16" s="508">
        <f t="shared" si="7"/>
        <v>10.916375074971301</v>
      </c>
      <c r="BV16" s="508">
        <f t="shared" si="7"/>
        <v>10.9315740531038</v>
      </c>
      <c r="BW16" s="508">
        <f t="shared" si="7"/>
        <v>10.318814507971201</v>
      </c>
      <c r="BX16" s="508">
        <f t="shared" si="7"/>
        <v>11.1639267014209</v>
      </c>
      <c r="BY16" s="508">
        <f t="shared" si="7"/>
        <v>10.9175102802797</v>
      </c>
      <c r="BZ16" s="508">
        <f t="shared" si="7"/>
        <v>10.8724229875909</v>
      </c>
      <c r="CA16" s="508">
        <f t="shared" si="7"/>
        <v>9.6064019829245701</v>
      </c>
      <c r="CB16" s="508">
        <f t="shared" si="7"/>
        <v>10.8700975052411</v>
      </c>
      <c r="CC16" s="508">
        <f t="shared" si="7"/>
        <v>9.7148957708980408</v>
      </c>
      <c r="CD16" s="508">
        <f t="shared" si="7"/>
        <v>9.9109767454623192</v>
      </c>
      <c r="CE16" s="508">
        <f t="shared" si="7"/>
        <v>9.5574665818482494</v>
      </c>
    </row>
    <row r="17" spans="1:84" x14ac:dyDescent="0.2">
      <c r="A17" s="33"/>
      <c r="B17" s="76"/>
      <c r="C17" s="76"/>
      <c r="D17" s="76"/>
      <c r="E17" s="76"/>
      <c r="F17" s="76"/>
      <c r="G17" s="76"/>
      <c r="H17" s="71"/>
      <c r="I17" s="71"/>
      <c r="J17" s="71"/>
      <c r="K17" s="76"/>
      <c r="L17" s="76"/>
      <c r="M17" s="76"/>
      <c r="N17" s="33"/>
      <c r="O17" s="31" t="s">
        <v>8</v>
      </c>
      <c r="P17" s="31" t="s">
        <v>9</v>
      </c>
      <c r="Q17" s="31" t="s">
        <v>21</v>
      </c>
      <c r="S17" s="124">
        <f t="shared" ref="S17:AL17" si="8">VLOOKUP(S$10&amp;"Female"&amp;"Maori"&amp;19,agesextable,6,FALSE)</f>
        <v>24</v>
      </c>
      <c r="T17" s="124">
        <f t="shared" si="8"/>
        <v>26</v>
      </c>
      <c r="U17" s="124">
        <f t="shared" si="8"/>
        <v>25</v>
      </c>
      <c r="V17" s="124">
        <f t="shared" si="8"/>
        <v>20</v>
      </c>
      <c r="W17" s="124">
        <f t="shared" si="8"/>
        <v>11</v>
      </c>
      <c r="X17" s="124">
        <f t="shared" si="8"/>
        <v>21</v>
      </c>
      <c r="Y17" s="124">
        <f t="shared" si="8"/>
        <v>20</v>
      </c>
      <c r="Z17" s="124">
        <f t="shared" si="8"/>
        <v>20</v>
      </c>
      <c r="AA17" s="124">
        <f t="shared" si="8"/>
        <v>28</v>
      </c>
      <c r="AB17" s="124">
        <f t="shared" si="8"/>
        <v>27</v>
      </c>
      <c r="AC17" s="124">
        <f t="shared" si="8"/>
        <v>33</v>
      </c>
      <c r="AD17" s="124">
        <f t="shared" si="8"/>
        <v>23</v>
      </c>
      <c r="AE17" s="124">
        <f t="shared" si="8"/>
        <v>31</v>
      </c>
      <c r="AF17" s="124">
        <f t="shared" si="8"/>
        <v>25</v>
      </c>
      <c r="AG17" s="124">
        <f t="shared" si="8"/>
        <v>30</v>
      </c>
      <c r="AH17" s="124">
        <f t="shared" si="8"/>
        <v>32</v>
      </c>
      <c r="AI17" s="124">
        <f t="shared" si="8"/>
        <v>37</v>
      </c>
      <c r="AJ17" s="124">
        <f t="shared" si="8"/>
        <v>39</v>
      </c>
      <c r="AK17" s="124">
        <f t="shared" si="8"/>
        <v>25</v>
      </c>
      <c r="AL17" s="124">
        <f t="shared" si="8"/>
        <v>41</v>
      </c>
      <c r="BH17" s="508"/>
      <c r="BI17" s="508"/>
      <c r="BJ17" s="508"/>
      <c r="BK17" s="508" t="s">
        <v>16</v>
      </c>
      <c r="BL17" s="508">
        <f t="shared" ref="BL17:CE17" si="9">VLOOKUP(BL$8&amp;"AllSex"&amp;"Non-Maori"&amp;19,agesextable,8,FALSE)</f>
        <v>1.2</v>
      </c>
      <c r="BM17" s="508">
        <f t="shared" si="9"/>
        <v>1.3</v>
      </c>
      <c r="BN17" s="508">
        <f t="shared" si="9"/>
        <v>1.2</v>
      </c>
      <c r="BO17" s="508">
        <f t="shared" si="9"/>
        <v>1.2</v>
      </c>
      <c r="BP17" s="508">
        <f t="shared" si="9"/>
        <v>1.1000000000000001</v>
      </c>
      <c r="BQ17" s="508">
        <f t="shared" si="9"/>
        <v>1.2</v>
      </c>
      <c r="BR17" s="508">
        <f t="shared" si="9"/>
        <v>1.1000000000000001</v>
      </c>
      <c r="BS17" s="508">
        <f t="shared" si="9"/>
        <v>1.1000000000000001</v>
      </c>
      <c r="BT17" s="508">
        <f t="shared" si="9"/>
        <v>1</v>
      </c>
      <c r="BU17" s="508">
        <f t="shared" si="9"/>
        <v>1.1000000000000001</v>
      </c>
      <c r="BV17" s="508">
        <f t="shared" si="9"/>
        <v>1.1000000000000001</v>
      </c>
      <c r="BW17" s="508">
        <f t="shared" si="9"/>
        <v>1</v>
      </c>
      <c r="BX17" s="508">
        <f t="shared" si="9"/>
        <v>1.1000000000000001</v>
      </c>
      <c r="BY17" s="508">
        <f t="shared" si="9"/>
        <v>1</v>
      </c>
      <c r="BZ17" s="508">
        <f t="shared" si="9"/>
        <v>1</v>
      </c>
      <c r="CA17" s="508">
        <f t="shared" si="9"/>
        <v>1</v>
      </c>
      <c r="CB17" s="508">
        <f t="shared" si="9"/>
        <v>1</v>
      </c>
      <c r="CC17" s="508">
        <f t="shared" si="9"/>
        <v>0.9</v>
      </c>
      <c r="CD17" s="508">
        <f t="shared" si="9"/>
        <v>1</v>
      </c>
      <c r="CE17" s="508">
        <f t="shared" si="9"/>
        <v>0.9</v>
      </c>
    </row>
    <row r="18" spans="1:84" x14ac:dyDescent="0.2">
      <c r="A18" s="33"/>
      <c r="B18" s="76"/>
      <c r="C18" s="76"/>
      <c r="D18" s="76"/>
      <c r="E18" s="76"/>
      <c r="F18" s="76"/>
      <c r="G18" s="76"/>
      <c r="H18" s="71"/>
      <c r="I18" s="71"/>
      <c r="J18" s="71"/>
      <c r="K18" s="76"/>
      <c r="L18" s="76"/>
      <c r="M18" s="76"/>
      <c r="N18" s="33"/>
      <c r="O18" s="31"/>
      <c r="P18" s="31"/>
      <c r="Q18" s="31" t="s">
        <v>22</v>
      </c>
      <c r="S18" s="46">
        <f t="shared" ref="S18:AL18" si="10">VLOOKUP(S$10&amp;"Female"&amp;"Maori"&amp;19,agesextable,7,FALSE)</f>
        <v>9.0066061781584406</v>
      </c>
      <c r="T18" s="46">
        <f t="shared" si="10"/>
        <v>9.7792096693832598</v>
      </c>
      <c r="U18" s="46">
        <f t="shared" si="10"/>
        <v>8.5337610468083493</v>
      </c>
      <c r="V18" s="46">
        <f t="shared" si="10"/>
        <v>6.5325578987774104</v>
      </c>
      <c r="W18" s="46">
        <f t="shared" si="10"/>
        <v>3.9576666859530998</v>
      </c>
      <c r="X18" s="46">
        <f t="shared" si="10"/>
        <v>6.6998382352426704</v>
      </c>
      <c r="Y18" s="46">
        <f t="shared" si="10"/>
        <v>6.4896231886298903</v>
      </c>
      <c r="Z18" s="46">
        <f t="shared" si="10"/>
        <v>6.4102244752664204</v>
      </c>
      <c r="AA18" s="46">
        <f t="shared" si="10"/>
        <v>8.6787187808636208</v>
      </c>
      <c r="AB18" s="46">
        <f t="shared" si="10"/>
        <v>8.7267571514896503</v>
      </c>
      <c r="AC18" s="46">
        <f t="shared" si="10"/>
        <v>10.6723123955334</v>
      </c>
      <c r="AD18" s="46">
        <f t="shared" si="10"/>
        <v>7.2545885050603403</v>
      </c>
      <c r="AE18" s="46">
        <f t="shared" si="10"/>
        <v>8.8796426541518301</v>
      </c>
      <c r="AF18" s="46">
        <f t="shared" si="10"/>
        <v>7.3206868063360204</v>
      </c>
      <c r="AG18" s="46">
        <f t="shared" si="10"/>
        <v>8.74468389486562</v>
      </c>
      <c r="AH18" s="46">
        <f t="shared" si="10"/>
        <v>9.3323745071337907</v>
      </c>
      <c r="AI18" s="46">
        <f t="shared" si="10"/>
        <v>10.376266848783301</v>
      </c>
      <c r="AJ18" s="46">
        <f t="shared" si="10"/>
        <v>11.129535195000299</v>
      </c>
      <c r="AK18" s="46">
        <f t="shared" si="10"/>
        <v>7.4271825890909202</v>
      </c>
      <c r="AL18" s="46">
        <f t="shared" si="10"/>
        <v>11.481074678715</v>
      </c>
    </row>
    <row r="19" spans="1:84" x14ac:dyDescent="0.2">
      <c r="A19" s="33"/>
      <c r="B19" s="76"/>
      <c r="C19" s="79" t="s">
        <v>101</v>
      </c>
      <c r="D19" s="79" t="s">
        <v>108</v>
      </c>
      <c r="E19" s="80"/>
      <c r="F19" s="80"/>
      <c r="G19" s="76"/>
      <c r="H19" s="71"/>
      <c r="I19" s="71"/>
      <c r="J19" s="71"/>
      <c r="K19" s="76"/>
      <c r="L19" s="76"/>
      <c r="M19" s="76"/>
      <c r="N19" s="33"/>
      <c r="O19" s="28"/>
      <c r="P19" s="28"/>
      <c r="Q19" s="28"/>
      <c r="R19" s="28"/>
      <c r="S19" s="128"/>
      <c r="T19" s="128"/>
      <c r="U19" s="128"/>
      <c r="V19" s="128"/>
      <c r="W19" s="128"/>
      <c r="X19" s="128"/>
      <c r="Y19" s="128"/>
      <c r="Z19" s="128"/>
      <c r="AA19" s="128"/>
      <c r="AB19" s="128"/>
      <c r="AC19" s="128"/>
      <c r="AD19" s="128"/>
      <c r="AE19" s="128"/>
      <c r="AF19" s="128"/>
      <c r="AG19" s="128"/>
      <c r="AH19" s="128"/>
      <c r="AI19" s="128"/>
      <c r="AJ19" s="128"/>
      <c r="AK19" s="128"/>
      <c r="AL19" s="128"/>
    </row>
    <row r="20" spans="1:84" x14ac:dyDescent="0.2">
      <c r="A20" s="33"/>
      <c r="B20" s="76"/>
      <c r="C20" s="71"/>
      <c r="D20" s="84" t="s">
        <v>291</v>
      </c>
      <c r="E20" s="78"/>
      <c r="F20" s="78"/>
      <c r="G20" s="76"/>
      <c r="H20" s="71"/>
      <c r="I20" s="71"/>
      <c r="J20" s="71"/>
      <c r="K20" s="76"/>
      <c r="L20" s="76"/>
      <c r="M20" s="76"/>
      <c r="N20" s="33"/>
      <c r="O20" s="165" t="s">
        <v>4</v>
      </c>
      <c r="P20" s="166"/>
      <c r="Q20" s="166"/>
      <c r="S20" s="46"/>
      <c r="T20" s="46"/>
      <c r="U20" s="46"/>
      <c r="V20" s="46"/>
      <c r="W20" s="46"/>
      <c r="X20" s="46"/>
      <c r="Y20" s="46"/>
      <c r="Z20" s="46"/>
      <c r="AA20" s="46"/>
      <c r="AB20" s="46"/>
      <c r="AC20" s="46"/>
      <c r="AD20" s="46"/>
      <c r="AE20" s="46"/>
      <c r="AF20" s="46"/>
      <c r="AG20" s="46"/>
      <c r="AH20" s="46"/>
      <c r="AI20" s="46"/>
      <c r="AL20" s="47"/>
      <c r="BI20" s="23"/>
    </row>
    <row r="21" spans="1:84" x14ac:dyDescent="0.2">
      <c r="A21" s="33"/>
      <c r="B21" s="71"/>
      <c r="C21" s="79" t="s">
        <v>146</v>
      </c>
      <c r="D21" s="79" t="s">
        <v>149</v>
      </c>
      <c r="E21" s="78"/>
      <c r="F21" s="78"/>
      <c r="G21" s="71"/>
      <c r="H21" s="71"/>
      <c r="I21" s="71"/>
      <c r="J21" s="71"/>
      <c r="K21" s="76"/>
      <c r="L21" s="76"/>
      <c r="M21" s="76"/>
      <c r="N21" s="33"/>
      <c r="O21" s="31"/>
      <c r="P21" s="31"/>
      <c r="Q21" s="31"/>
      <c r="AC21" s="124"/>
      <c r="AL21" s="47"/>
      <c r="BI21" s="125"/>
      <c r="BJ21" s="164"/>
      <c r="BK21" s="25"/>
      <c r="BL21" s="31"/>
      <c r="BM21" s="124"/>
      <c r="BN21" s="124"/>
      <c r="BO21" s="124"/>
      <c r="BP21" s="124"/>
      <c r="BQ21" s="124"/>
      <c r="BR21" s="124"/>
      <c r="BS21" s="124"/>
      <c r="BT21" s="124"/>
      <c r="BU21" s="124"/>
      <c r="BV21" s="124"/>
      <c r="BW21" s="47"/>
      <c r="BX21" s="47"/>
      <c r="BY21" s="47"/>
      <c r="BZ21" s="47"/>
      <c r="CA21" s="47"/>
      <c r="CB21" s="47"/>
      <c r="CC21" s="47"/>
      <c r="CD21" s="47"/>
      <c r="CE21" s="47"/>
      <c r="CF21" s="37"/>
    </row>
    <row r="22" spans="1:84" x14ac:dyDescent="0.2">
      <c r="A22" s="33"/>
      <c r="B22" s="71"/>
      <c r="C22" s="80"/>
      <c r="D22" s="80"/>
      <c r="E22" s="80"/>
      <c r="F22" s="80"/>
      <c r="G22" s="71"/>
      <c r="H22" s="71"/>
      <c r="I22" s="71"/>
      <c r="J22" s="71"/>
      <c r="K22" s="76"/>
      <c r="L22" s="76"/>
      <c r="M22" s="76"/>
      <c r="N22" s="33"/>
      <c r="O22" s="31" t="s">
        <v>0</v>
      </c>
      <c r="P22" s="31" t="s">
        <v>9</v>
      </c>
      <c r="Q22" s="31" t="s">
        <v>21</v>
      </c>
      <c r="S22" s="124">
        <f t="shared" ref="S22:AL22" si="11">VLOOKUP(S$10&amp;"AllSex"&amp;"Non-Maori"&amp;19,agesextable,6,FALSE)</f>
        <v>443</v>
      </c>
      <c r="T22" s="124">
        <f t="shared" si="11"/>
        <v>456</v>
      </c>
      <c r="U22" s="124">
        <f t="shared" si="11"/>
        <v>466</v>
      </c>
      <c r="V22" s="124">
        <f t="shared" si="11"/>
        <v>438</v>
      </c>
      <c r="W22" s="124">
        <f t="shared" si="11"/>
        <v>379</v>
      </c>
      <c r="X22" s="124">
        <f t="shared" si="11"/>
        <v>429</v>
      </c>
      <c r="Y22" s="124">
        <f t="shared" si="11"/>
        <v>390</v>
      </c>
      <c r="Z22" s="124">
        <f t="shared" si="11"/>
        <v>435</v>
      </c>
      <c r="AA22" s="124">
        <f t="shared" si="11"/>
        <v>383</v>
      </c>
      <c r="AB22" s="124">
        <f t="shared" si="11"/>
        <v>410</v>
      </c>
      <c r="AC22" s="124">
        <f t="shared" si="11"/>
        <v>416</v>
      </c>
      <c r="AD22" s="47">
        <f t="shared" si="11"/>
        <v>404</v>
      </c>
      <c r="AE22" s="47">
        <f t="shared" si="11"/>
        <v>431</v>
      </c>
      <c r="AF22" s="47">
        <f t="shared" si="11"/>
        <v>429</v>
      </c>
      <c r="AG22" s="47">
        <f t="shared" si="11"/>
        <v>432</v>
      </c>
      <c r="AH22" s="47">
        <f t="shared" si="11"/>
        <v>381</v>
      </c>
      <c r="AI22" s="47">
        <f t="shared" si="11"/>
        <v>431</v>
      </c>
      <c r="AJ22" s="47">
        <f t="shared" si="11"/>
        <v>409</v>
      </c>
      <c r="AK22" s="47">
        <f t="shared" si="11"/>
        <v>417</v>
      </c>
      <c r="AL22" s="47">
        <f t="shared" si="11"/>
        <v>407</v>
      </c>
      <c r="BI22" s="25"/>
      <c r="BJ22" s="25"/>
      <c r="BK22" s="25"/>
      <c r="BL22" s="31"/>
      <c r="BM22" s="169"/>
      <c r="BN22" s="169"/>
      <c r="BO22" s="169"/>
      <c r="BP22" s="169"/>
      <c r="BQ22" s="169"/>
      <c r="BR22" s="169"/>
      <c r="BS22" s="169"/>
      <c r="BT22" s="169"/>
      <c r="BU22" s="169"/>
      <c r="BV22" s="169"/>
      <c r="BW22" s="169"/>
      <c r="BX22" s="49"/>
      <c r="BY22" s="49"/>
      <c r="BZ22" s="49"/>
      <c r="CA22" s="49"/>
      <c r="CB22" s="49"/>
      <c r="CC22" s="49"/>
      <c r="CD22" s="49"/>
      <c r="CE22" s="49"/>
      <c r="CF22" s="49"/>
    </row>
    <row r="23" spans="1:84" x14ac:dyDescent="0.2">
      <c r="A23" s="33"/>
      <c r="K23" s="33"/>
      <c r="L23" s="33"/>
      <c r="M23" s="33"/>
      <c r="N23" s="33"/>
      <c r="O23" s="31"/>
      <c r="P23" s="31"/>
      <c r="Q23" s="31" t="s">
        <v>22</v>
      </c>
      <c r="S23" s="46">
        <f t="shared" ref="S23:AL23" si="12">VLOOKUP(S$10&amp;"AllSex"&amp;"Non-Maori"&amp;19,agesextable,7,FALSE)</f>
        <v>13.202661641130099</v>
      </c>
      <c r="T23" s="46">
        <f t="shared" si="12"/>
        <v>13.6356969902152</v>
      </c>
      <c r="U23" s="46">
        <f t="shared" si="12"/>
        <v>13.719933399984299</v>
      </c>
      <c r="V23" s="46">
        <f t="shared" si="12"/>
        <v>12.8439199652067</v>
      </c>
      <c r="W23" s="46">
        <f t="shared" si="12"/>
        <v>11.1683814296716</v>
      </c>
      <c r="X23" s="46">
        <f t="shared" si="12"/>
        <v>12.3764768268776</v>
      </c>
      <c r="Y23" s="46">
        <f t="shared" si="12"/>
        <v>10.9882846931341</v>
      </c>
      <c r="Z23" s="46">
        <f t="shared" si="12"/>
        <v>11.6548370610064</v>
      </c>
      <c r="AA23" s="46">
        <f t="shared" si="12"/>
        <v>10.3253251579566</v>
      </c>
      <c r="AB23" s="46">
        <f t="shared" si="12"/>
        <v>10.916375074971301</v>
      </c>
      <c r="AC23" s="46">
        <f t="shared" si="12"/>
        <v>10.9315740531038</v>
      </c>
      <c r="AD23" s="46">
        <f t="shared" si="12"/>
        <v>10.318814507971201</v>
      </c>
      <c r="AE23" s="46">
        <f t="shared" si="12"/>
        <v>11.1639267014209</v>
      </c>
      <c r="AF23" s="46">
        <f t="shared" si="12"/>
        <v>10.9175102802797</v>
      </c>
      <c r="AG23" s="46">
        <f t="shared" si="12"/>
        <v>10.8724229875909</v>
      </c>
      <c r="AH23" s="46">
        <f t="shared" si="12"/>
        <v>9.6064019829245701</v>
      </c>
      <c r="AI23" s="46">
        <f t="shared" si="12"/>
        <v>10.8700975052411</v>
      </c>
      <c r="AJ23" s="46">
        <f t="shared" si="12"/>
        <v>9.7148957708980408</v>
      </c>
      <c r="AK23" s="46">
        <f t="shared" si="12"/>
        <v>9.9109767454623192</v>
      </c>
      <c r="AL23" s="46">
        <f t="shared" si="12"/>
        <v>9.5574665818482494</v>
      </c>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row>
    <row r="24" spans="1:84" x14ac:dyDescent="0.2">
      <c r="N24" s="33"/>
      <c r="O24" s="31"/>
      <c r="P24" s="31"/>
      <c r="Q24" s="31"/>
      <c r="AC24" s="124"/>
      <c r="AL24" s="47"/>
      <c r="BI24" s="23"/>
      <c r="BK24" s="23"/>
      <c r="BL24" s="23"/>
      <c r="BM24" s="499"/>
      <c r="BN24" s="499"/>
      <c r="BO24" s="498"/>
      <c r="BP24" s="498"/>
      <c r="BQ24" s="498"/>
      <c r="BR24" s="498"/>
      <c r="BS24" s="498"/>
      <c r="BT24" s="498"/>
      <c r="BU24" s="498"/>
      <c r="BV24" s="498"/>
      <c r="BW24" s="498"/>
      <c r="BX24" s="498"/>
      <c r="BY24" s="498"/>
      <c r="BZ24" s="498"/>
      <c r="CA24" s="498"/>
      <c r="CB24" s="498"/>
      <c r="CC24" s="498"/>
      <c r="CD24" s="498"/>
      <c r="CE24" s="498"/>
      <c r="CF24" s="498"/>
    </row>
    <row r="25" spans="1:84" x14ac:dyDescent="0.2">
      <c r="B25" s="71"/>
      <c r="C25" s="71"/>
      <c r="D25" s="71"/>
      <c r="E25" s="71"/>
      <c r="F25" s="71"/>
      <c r="G25" s="71"/>
      <c r="H25" s="71"/>
      <c r="I25" s="71"/>
      <c r="J25" s="71"/>
      <c r="K25" s="71"/>
      <c r="L25" s="71"/>
      <c r="M25" s="71"/>
      <c r="O25" s="31" t="s">
        <v>20</v>
      </c>
      <c r="P25" s="31" t="s">
        <v>9</v>
      </c>
      <c r="Q25" s="31" t="s">
        <v>21</v>
      </c>
      <c r="S25" s="124">
        <f t="shared" ref="S25:AL25" si="13">VLOOKUP(S10&amp;"Male"&amp;"Non-Maori"&amp;19,agesextable,6,FALSE)</f>
        <v>356</v>
      </c>
      <c r="T25" s="124">
        <f t="shared" si="13"/>
        <v>361</v>
      </c>
      <c r="U25" s="124">
        <f t="shared" si="13"/>
        <v>358</v>
      </c>
      <c r="V25" s="124">
        <f t="shared" si="13"/>
        <v>326</v>
      </c>
      <c r="W25" s="124">
        <f t="shared" si="13"/>
        <v>307</v>
      </c>
      <c r="X25" s="124">
        <f t="shared" si="13"/>
        <v>332</v>
      </c>
      <c r="Y25" s="124">
        <f t="shared" si="13"/>
        <v>296</v>
      </c>
      <c r="Z25" s="124">
        <f t="shared" si="13"/>
        <v>313</v>
      </c>
      <c r="AA25" s="124">
        <f t="shared" si="13"/>
        <v>299</v>
      </c>
      <c r="AB25" s="124">
        <f t="shared" si="13"/>
        <v>305</v>
      </c>
      <c r="AC25" s="124">
        <f t="shared" si="13"/>
        <v>312</v>
      </c>
      <c r="AD25" s="124">
        <f t="shared" si="13"/>
        <v>307</v>
      </c>
      <c r="AE25" s="124">
        <f t="shared" si="13"/>
        <v>323</v>
      </c>
      <c r="AF25" s="124">
        <f t="shared" si="13"/>
        <v>336</v>
      </c>
      <c r="AG25" s="124">
        <f t="shared" si="13"/>
        <v>315</v>
      </c>
      <c r="AH25" s="124">
        <f t="shared" si="13"/>
        <v>296</v>
      </c>
      <c r="AI25" s="124">
        <f t="shared" si="13"/>
        <v>323</v>
      </c>
      <c r="AJ25" s="124">
        <f t="shared" si="13"/>
        <v>300</v>
      </c>
      <c r="AK25" s="124">
        <f t="shared" si="13"/>
        <v>312</v>
      </c>
      <c r="AL25" s="124">
        <f t="shared" si="13"/>
        <v>306</v>
      </c>
      <c r="BI25" s="23"/>
      <c r="BM25" s="499"/>
      <c r="BN25" s="499"/>
      <c r="BO25" s="41"/>
      <c r="BP25" s="41"/>
      <c r="BQ25" s="41"/>
      <c r="BR25" s="41"/>
      <c r="BS25" s="41"/>
      <c r="BT25" s="41"/>
      <c r="BU25" s="41"/>
      <c r="BV25" s="41"/>
      <c r="BW25" s="41"/>
      <c r="BX25" s="41"/>
      <c r="BY25" s="41"/>
      <c r="BZ25" s="41"/>
      <c r="CA25" s="41"/>
      <c r="CB25" s="41"/>
      <c r="CC25" s="41"/>
      <c r="CD25" s="41"/>
      <c r="CE25" s="41"/>
      <c r="CF25" s="41"/>
    </row>
    <row r="26" spans="1:84" ht="15" x14ac:dyDescent="0.25">
      <c r="A26" s="33"/>
      <c r="B26" s="71"/>
      <c r="C26" s="95" t="s">
        <v>438</v>
      </c>
      <c r="D26" s="71"/>
      <c r="E26" s="71"/>
      <c r="F26" s="71"/>
      <c r="G26" s="71"/>
      <c r="H26" s="71"/>
      <c r="I26" s="71"/>
      <c r="J26" s="71"/>
      <c r="K26" s="71"/>
      <c r="L26" s="71"/>
      <c r="M26" s="71"/>
      <c r="O26" s="31"/>
      <c r="P26" s="31"/>
      <c r="Q26" s="31" t="s">
        <v>22</v>
      </c>
      <c r="S26" s="46">
        <f t="shared" ref="S26:AL26" si="14">VLOOKUP(S$10&amp;"Male"&amp;"Non-Maori"&amp;19,agesextable,7,FALSE)</f>
        <v>21.479905755824099</v>
      </c>
      <c r="T26" s="46">
        <f t="shared" si="14"/>
        <v>21.882813084323601</v>
      </c>
      <c r="U26" s="46">
        <f t="shared" si="14"/>
        <v>21.517130626241698</v>
      </c>
      <c r="V26" s="46">
        <f t="shared" si="14"/>
        <v>19.529367053720598</v>
      </c>
      <c r="W26" s="46">
        <f t="shared" si="14"/>
        <v>18.542595685537702</v>
      </c>
      <c r="X26" s="46">
        <f t="shared" si="14"/>
        <v>19.754574256070502</v>
      </c>
      <c r="Y26" s="46">
        <f t="shared" si="14"/>
        <v>17.053757227886599</v>
      </c>
      <c r="Z26" s="46">
        <f t="shared" si="14"/>
        <v>17.1757108224569</v>
      </c>
      <c r="AA26" s="46">
        <f t="shared" si="14"/>
        <v>16.521659709264298</v>
      </c>
      <c r="AB26" s="46">
        <f t="shared" si="14"/>
        <v>16.809710006140801</v>
      </c>
      <c r="AC26" s="46">
        <f t="shared" si="14"/>
        <v>16.923735957565398</v>
      </c>
      <c r="AD26" s="46">
        <f t="shared" si="14"/>
        <v>16.348296242666599</v>
      </c>
      <c r="AE26" s="46">
        <f t="shared" si="14"/>
        <v>17.136851166956198</v>
      </c>
      <c r="AF26" s="46">
        <f t="shared" si="14"/>
        <v>17.704891753148601</v>
      </c>
      <c r="AG26" s="46">
        <f t="shared" si="14"/>
        <v>16.134328558354198</v>
      </c>
      <c r="AH26" s="46">
        <f t="shared" si="14"/>
        <v>15.374728749309</v>
      </c>
      <c r="AI26" s="46">
        <f t="shared" si="14"/>
        <v>16.829965457080299</v>
      </c>
      <c r="AJ26" s="46">
        <f t="shared" si="14"/>
        <v>14.441701119553899</v>
      </c>
      <c r="AK26" s="46">
        <f t="shared" si="14"/>
        <v>15.149508074973401</v>
      </c>
      <c r="AL26" s="46">
        <f t="shared" si="14"/>
        <v>14.6757131829523</v>
      </c>
      <c r="BM26" s="499"/>
      <c r="BN26" s="499"/>
    </row>
    <row r="27" spans="1:84" x14ac:dyDescent="0.2">
      <c r="A27" s="33"/>
      <c r="B27" s="71"/>
      <c r="C27" s="71"/>
      <c r="D27" s="71"/>
      <c r="E27" s="71"/>
      <c r="F27" s="71"/>
      <c r="G27" s="71"/>
      <c r="H27" s="71"/>
      <c r="I27" s="71"/>
      <c r="J27" s="71"/>
      <c r="K27" s="71"/>
      <c r="L27" s="71"/>
      <c r="M27" s="71"/>
      <c r="N27" s="33"/>
      <c r="O27" s="25"/>
      <c r="P27" s="25"/>
      <c r="AC27" s="124"/>
      <c r="AL27" s="47"/>
      <c r="BI27" s="23"/>
      <c r="BM27" s="499"/>
      <c r="BN27" s="499"/>
    </row>
    <row r="28" spans="1:84" x14ac:dyDescent="0.2">
      <c r="A28" s="33"/>
      <c r="B28" s="71"/>
      <c r="C28" s="71"/>
      <c r="D28" s="71"/>
      <c r="E28" s="112" t="s">
        <v>538</v>
      </c>
      <c r="F28" s="71"/>
      <c r="G28" s="71"/>
      <c r="H28" s="71"/>
      <c r="I28" s="71"/>
      <c r="J28" s="112" t="s">
        <v>539</v>
      </c>
      <c r="K28" s="71"/>
      <c r="L28" s="71"/>
      <c r="M28" s="71"/>
      <c r="N28" s="33"/>
      <c r="O28" s="25" t="s">
        <v>8</v>
      </c>
      <c r="P28" s="25" t="s">
        <v>9</v>
      </c>
      <c r="Q28" s="25" t="s">
        <v>21</v>
      </c>
      <c r="S28" s="124">
        <f t="shared" ref="S28:AL28" si="15">VLOOKUP(S$10&amp;"Female"&amp;"Non-Maori"&amp;19,agesextable,6,FALSE)</f>
        <v>87</v>
      </c>
      <c r="T28" s="124">
        <f t="shared" si="15"/>
        <v>95</v>
      </c>
      <c r="U28" s="124">
        <f t="shared" si="15"/>
        <v>108</v>
      </c>
      <c r="V28" s="124">
        <f t="shared" si="15"/>
        <v>112</v>
      </c>
      <c r="W28" s="124">
        <f t="shared" si="15"/>
        <v>72</v>
      </c>
      <c r="X28" s="124">
        <f t="shared" si="15"/>
        <v>97</v>
      </c>
      <c r="Y28" s="124">
        <f t="shared" si="15"/>
        <v>94</v>
      </c>
      <c r="Z28" s="124">
        <f t="shared" si="15"/>
        <v>122</v>
      </c>
      <c r="AA28" s="124">
        <f t="shared" si="15"/>
        <v>84</v>
      </c>
      <c r="AB28" s="124">
        <f t="shared" si="15"/>
        <v>105</v>
      </c>
      <c r="AC28" s="124">
        <f t="shared" si="15"/>
        <v>104</v>
      </c>
      <c r="AD28" s="47">
        <f t="shared" si="15"/>
        <v>97</v>
      </c>
      <c r="AE28" s="47">
        <f t="shared" si="15"/>
        <v>108</v>
      </c>
      <c r="AF28" s="47">
        <f t="shared" si="15"/>
        <v>93</v>
      </c>
      <c r="AG28" s="47">
        <f t="shared" si="15"/>
        <v>117</v>
      </c>
      <c r="AH28" s="47">
        <f t="shared" si="15"/>
        <v>85</v>
      </c>
      <c r="AI28" s="47">
        <f t="shared" si="15"/>
        <v>108</v>
      </c>
      <c r="AJ28" s="47">
        <f t="shared" si="15"/>
        <v>109</v>
      </c>
      <c r="AK28" s="47">
        <f t="shared" si="15"/>
        <v>105</v>
      </c>
      <c r="AL28" s="47">
        <f t="shared" si="15"/>
        <v>101</v>
      </c>
      <c r="BI28" s="23"/>
      <c r="BM28" s="499"/>
      <c r="BN28" s="499"/>
      <c r="BO28" s="41"/>
      <c r="BP28" s="41"/>
      <c r="BQ28" s="41"/>
      <c r="BR28" s="41"/>
      <c r="BS28" s="41"/>
      <c r="BT28" s="41"/>
      <c r="BU28" s="41"/>
      <c r="BV28" s="41"/>
      <c r="BW28" s="41"/>
      <c r="BX28" s="41"/>
      <c r="BY28" s="41"/>
      <c r="BZ28" s="41"/>
      <c r="CA28" s="41"/>
      <c r="CB28" s="41"/>
      <c r="CC28" s="41"/>
      <c r="CD28" s="41"/>
      <c r="CE28" s="41"/>
      <c r="CF28" s="41"/>
    </row>
    <row r="29" spans="1:84" x14ac:dyDescent="0.2">
      <c r="A29" s="33"/>
      <c r="B29" s="71"/>
      <c r="C29" s="71"/>
      <c r="D29" s="71"/>
      <c r="E29" s="71"/>
      <c r="F29" s="71"/>
      <c r="G29" s="71"/>
      <c r="H29" s="71"/>
      <c r="I29" s="71"/>
      <c r="J29" s="71"/>
      <c r="K29" s="76"/>
      <c r="L29" s="76"/>
      <c r="M29" s="76"/>
      <c r="N29" s="33"/>
      <c r="O29" s="31"/>
      <c r="P29" s="25"/>
      <c r="Q29" s="25" t="s">
        <v>22</v>
      </c>
      <c r="S29" s="46">
        <f t="shared" ref="S29:AL29" si="16">VLOOKUP(S$10&amp;"Female"&amp;"Non-Maori"&amp;19,agesextable,7,FALSE)</f>
        <v>5.2986962640135697</v>
      </c>
      <c r="T29" s="46">
        <f t="shared" si="16"/>
        <v>5.6892468332060497</v>
      </c>
      <c r="U29" s="46">
        <f t="shared" si="16"/>
        <v>6.1878498162513402</v>
      </c>
      <c r="V29" s="46">
        <f t="shared" si="16"/>
        <v>6.4624543900880198</v>
      </c>
      <c r="W29" s="46">
        <f t="shared" si="16"/>
        <v>4.1381655103116204</v>
      </c>
      <c r="X29" s="46">
        <f t="shared" si="16"/>
        <v>5.3611446727339196</v>
      </c>
      <c r="Y29" s="46">
        <f t="shared" si="16"/>
        <v>5.26343516708328</v>
      </c>
      <c r="Z29" s="46">
        <f t="shared" si="16"/>
        <v>6.4039999122093398</v>
      </c>
      <c r="AA29" s="46">
        <f t="shared" si="16"/>
        <v>4.5051607691466504</v>
      </c>
      <c r="AB29" s="46">
        <f t="shared" si="16"/>
        <v>5.2590011370533496</v>
      </c>
      <c r="AC29" s="46">
        <f t="shared" si="16"/>
        <v>5.2009651380039701</v>
      </c>
      <c r="AD29" s="46">
        <f t="shared" si="16"/>
        <v>4.6012421251756503</v>
      </c>
      <c r="AE29" s="46">
        <f t="shared" si="16"/>
        <v>5.4589151940525902</v>
      </c>
      <c r="AF29" s="46">
        <f t="shared" si="16"/>
        <v>4.4437437379171101</v>
      </c>
      <c r="AG29" s="46">
        <f t="shared" si="16"/>
        <v>5.9134650848101904</v>
      </c>
      <c r="AH29" s="46">
        <f t="shared" si="16"/>
        <v>4.0833090975863904</v>
      </c>
      <c r="AI29" s="46">
        <f t="shared" si="16"/>
        <v>5.1528651892542001</v>
      </c>
      <c r="AJ29" s="46">
        <f t="shared" si="16"/>
        <v>5.2765407142672398</v>
      </c>
      <c r="AK29" s="46">
        <f t="shared" si="16"/>
        <v>4.9008932000909704</v>
      </c>
      <c r="AL29" s="46">
        <f t="shared" si="16"/>
        <v>4.6330361677979601</v>
      </c>
      <c r="BI29" s="23"/>
      <c r="BM29" s="499"/>
      <c r="BN29" s="499"/>
      <c r="BO29" s="41"/>
      <c r="BP29" s="41"/>
      <c r="BQ29" s="41"/>
      <c r="BR29" s="41"/>
      <c r="BS29" s="41"/>
      <c r="BT29" s="41"/>
      <c r="BU29" s="41"/>
      <c r="BV29" s="41"/>
      <c r="BW29" s="41"/>
      <c r="BX29" s="41"/>
      <c r="BY29" s="41"/>
      <c r="BZ29" s="41"/>
      <c r="CA29" s="41"/>
      <c r="CB29" s="41"/>
      <c r="CC29" s="41"/>
      <c r="CD29" s="41"/>
      <c r="CE29" s="41"/>
      <c r="CF29" s="41"/>
    </row>
    <row r="30" spans="1:84" x14ac:dyDescent="0.2">
      <c r="A30" s="33"/>
      <c r="B30" s="76"/>
      <c r="C30" s="76"/>
      <c r="D30" s="76"/>
      <c r="E30" s="76"/>
      <c r="F30" s="76"/>
      <c r="G30" s="76"/>
      <c r="H30" s="76"/>
      <c r="I30" s="76"/>
      <c r="J30" s="76"/>
      <c r="K30" s="76"/>
      <c r="L30" s="76"/>
      <c r="M30" s="76"/>
      <c r="N30" s="33"/>
      <c r="O30" s="28"/>
      <c r="P30" s="28"/>
      <c r="Q30" s="28"/>
      <c r="R30" s="28"/>
      <c r="S30" s="128"/>
      <c r="T30" s="128"/>
      <c r="U30" s="128"/>
      <c r="V30" s="128"/>
      <c r="W30" s="128"/>
      <c r="X30" s="128"/>
      <c r="Y30" s="128"/>
      <c r="Z30" s="128"/>
      <c r="AA30" s="128"/>
      <c r="AB30" s="128"/>
      <c r="AC30" s="128"/>
      <c r="AD30" s="128"/>
      <c r="AE30" s="128"/>
      <c r="AF30" s="128"/>
      <c r="AG30" s="128"/>
      <c r="AH30" s="128"/>
      <c r="AI30" s="128"/>
      <c r="AJ30" s="128"/>
      <c r="AK30" s="128"/>
      <c r="AL30" s="128"/>
    </row>
    <row r="31" spans="1:84" x14ac:dyDescent="0.2">
      <c r="A31" s="33"/>
      <c r="B31" s="76"/>
      <c r="C31" s="76"/>
      <c r="D31" s="76"/>
      <c r="E31" s="76"/>
      <c r="F31" s="76"/>
      <c r="G31" s="76"/>
      <c r="H31" s="76"/>
      <c r="I31" s="76"/>
      <c r="J31" s="76"/>
      <c r="K31" s="76"/>
      <c r="L31" s="76"/>
      <c r="M31" s="76"/>
      <c r="N31" s="33"/>
      <c r="O31" s="18" t="s">
        <v>140</v>
      </c>
      <c r="P31" s="87" t="s">
        <v>9</v>
      </c>
      <c r="Q31" s="18" t="s">
        <v>113</v>
      </c>
      <c r="S31" s="46">
        <f t="shared" ref="S31:AL31" si="17">S12/S23</f>
        <v>1.3954789255241393</v>
      </c>
      <c r="T31" s="46">
        <f t="shared" si="17"/>
        <v>1.4592730163010512</v>
      </c>
      <c r="U31" s="46">
        <f t="shared" si="17"/>
        <v>1.5354539138337659</v>
      </c>
      <c r="V31" s="46">
        <f t="shared" si="17"/>
        <v>1.0651016609772719</v>
      </c>
      <c r="W31" s="46">
        <f t="shared" si="17"/>
        <v>1.3450135894848554</v>
      </c>
      <c r="X31" s="46">
        <f t="shared" si="17"/>
        <v>1.1382332471960053</v>
      </c>
      <c r="Y31" s="46">
        <f t="shared" si="17"/>
        <v>1.2642635713967174</v>
      </c>
      <c r="Z31" s="46">
        <f t="shared" si="17"/>
        <v>1.2406559614969515</v>
      </c>
      <c r="AA31" s="46">
        <f t="shared" si="17"/>
        <v>1.8326847293185686</v>
      </c>
      <c r="AB31" s="46">
        <f t="shared" si="17"/>
        <v>1.6353966745524482</v>
      </c>
      <c r="AC31" s="46">
        <f t="shared" si="17"/>
        <v>1.6423216741024922</v>
      </c>
      <c r="AD31" s="46">
        <f t="shared" si="17"/>
        <v>1.5613721064330686</v>
      </c>
      <c r="AE31" s="46">
        <f t="shared" si="17"/>
        <v>1.254980558462391</v>
      </c>
      <c r="AF31" s="46">
        <f t="shared" si="17"/>
        <v>1.1981685838044269</v>
      </c>
      <c r="AG31" s="46">
        <f t="shared" si="17"/>
        <v>1.4537976501126586</v>
      </c>
      <c r="AH31" s="46">
        <f t="shared" si="17"/>
        <v>1.8078397188938835</v>
      </c>
      <c r="AI31" s="46">
        <f t="shared" si="17"/>
        <v>1.6216201146688267</v>
      </c>
      <c r="AJ31" s="46">
        <f t="shared" si="17"/>
        <v>1.6424299154193738</v>
      </c>
      <c r="AK31" s="46">
        <f t="shared" si="17"/>
        <v>1.4573058913584163</v>
      </c>
      <c r="AL31" s="46">
        <f t="shared" si="17"/>
        <v>1.8661283987542681</v>
      </c>
    </row>
    <row r="32" spans="1:84" x14ac:dyDescent="0.2">
      <c r="A32" s="33"/>
      <c r="B32" s="76"/>
      <c r="C32" s="76"/>
      <c r="D32" s="76"/>
      <c r="E32" s="76"/>
      <c r="F32" s="76"/>
      <c r="G32" s="76"/>
      <c r="H32" s="76"/>
      <c r="I32" s="76"/>
      <c r="J32" s="76"/>
      <c r="K32" s="76"/>
      <c r="L32" s="76"/>
      <c r="M32" s="76"/>
      <c r="N32" s="33"/>
      <c r="O32" s="18" t="s">
        <v>445</v>
      </c>
      <c r="P32" s="68"/>
      <c r="Q32" s="18" t="s">
        <v>113</v>
      </c>
      <c r="S32" s="123">
        <f t="shared" ref="S32:AL32" si="18">S15/S18</f>
        <v>3.1824930386314558</v>
      </c>
      <c r="T32" s="123">
        <f t="shared" si="18"/>
        <v>3.1314259421791468</v>
      </c>
      <c r="U32" s="123">
        <f t="shared" si="18"/>
        <v>4.0611536248187878</v>
      </c>
      <c r="V32" s="123">
        <f t="shared" si="18"/>
        <v>3.2840700086221002</v>
      </c>
      <c r="W32" s="123">
        <f t="shared" si="18"/>
        <v>6.8724109328516141</v>
      </c>
      <c r="X32" s="123">
        <f t="shared" si="18"/>
        <v>3.2960340194534341</v>
      </c>
      <c r="Y32" s="123">
        <f t="shared" si="18"/>
        <v>3.3717848548852523</v>
      </c>
      <c r="Z32" s="123">
        <f t="shared" si="18"/>
        <v>3.623743692153973</v>
      </c>
      <c r="AA32" s="123">
        <f t="shared" si="18"/>
        <v>3.4810204310500334</v>
      </c>
      <c r="AB32" s="123">
        <f t="shared" si="18"/>
        <v>3.2054492747338683</v>
      </c>
      <c r="AC32" s="123">
        <f t="shared" si="18"/>
        <v>2.4256862023828099</v>
      </c>
      <c r="AD32" s="123">
        <f t="shared" si="18"/>
        <v>3.5722345604401515</v>
      </c>
      <c r="AE32" s="123">
        <f t="shared" si="18"/>
        <v>2.2380708147470001</v>
      </c>
      <c r="AF32" s="123">
        <f t="shared" si="18"/>
        <v>2.6611082012321936</v>
      </c>
      <c r="AG32" s="123">
        <f t="shared" si="18"/>
        <v>2.7090049962046154</v>
      </c>
      <c r="AH32" s="123">
        <f t="shared" si="18"/>
        <v>2.8116770861452873</v>
      </c>
      <c r="AI32" s="123">
        <f t="shared" si="18"/>
        <v>2.4727558443173714</v>
      </c>
      <c r="AJ32" s="123">
        <f t="shared" si="18"/>
        <v>1.9295006432811701</v>
      </c>
      <c r="AK32" s="123">
        <f t="shared" si="18"/>
        <v>3.0136508150748247</v>
      </c>
      <c r="AL32" s="123">
        <f t="shared" si="18"/>
        <v>2.2050587217884381</v>
      </c>
    </row>
    <row r="33" spans="1:38" x14ac:dyDescent="0.2">
      <c r="A33" s="33"/>
      <c r="B33" s="76"/>
      <c r="C33" s="76"/>
      <c r="D33" s="76"/>
      <c r="E33" s="76"/>
      <c r="F33" s="76"/>
      <c r="G33" s="76"/>
      <c r="H33" s="76"/>
      <c r="I33" s="76"/>
      <c r="J33" s="76"/>
      <c r="K33" s="76"/>
      <c r="L33" s="76"/>
      <c r="M33" s="76"/>
      <c r="N33" s="33"/>
      <c r="O33" s="18" t="s">
        <v>446</v>
      </c>
      <c r="P33" s="68"/>
      <c r="Q33" s="18" t="s">
        <v>113</v>
      </c>
      <c r="S33" s="123">
        <f t="shared" ref="S33:AL33" si="19">S15/S26</f>
        <v>1.3344314351059217</v>
      </c>
      <c r="T33" s="123">
        <f t="shared" si="19"/>
        <v>1.3994028434421668</v>
      </c>
      <c r="U33" s="123">
        <f t="shared" si="19"/>
        <v>1.6106661808483183</v>
      </c>
      <c r="V33" s="123">
        <f t="shared" si="19"/>
        <v>1.0985188314577328</v>
      </c>
      <c r="W33" s="123">
        <f t="shared" si="19"/>
        <v>1.4668233219548834</v>
      </c>
      <c r="X33" s="123">
        <f t="shared" si="19"/>
        <v>1.1178623473198221</v>
      </c>
      <c r="Y33" s="123">
        <f t="shared" si="19"/>
        <v>1.283096322349025</v>
      </c>
      <c r="Z33" s="123">
        <f t="shared" si="19"/>
        <v>1.3524337215299547</v>
      </c>
      <c r="AA33" s="123">
        <f t="shared" si="19"/>
        <v>1.8285570531744824</v>
      </c>
      <c r="AB33" s="123">
        <f t="shared" si="19"/>
        <v>1.6641082666983631</v>
      </c>
      <c r="AC33" s="123">
        <f t="shared" si="19"/>
        <v>1.529667030393006</v>
      </c>
      <c r="AD33" s="123">
        <f t="shared" si="19"/>
        <v>1.5851860888056275</v>
      </c>
      <c r="AE33" s="123">
        <f t="shared" si="19"/>
        <v>1.1596803214326823</v>
      </c>
      <c r="AF33" s="123">
        <f t="shared" si="19"/>
        <v>1.1003252643738199</v>
      </c>
      <c r="AG33" s="123">
        <f t="shared" si="19"/>
        <v>1.4682601929012324</v>
      </c>
      <c r="AH33" s="123">
        <f t="shared" si="19"/>
        <v>1.7066722924925626</v>
      </c>
      <c r="AI33" s="123">
        <f t="shared" si="19"/>
        <v>1.5245411262404758</v>
      </c>
      <c r="AJ33" s="123">
        <f t="shared" si="19"/>
        <v>1.4869747781372753</v>
      </c>
      <c r="AK33" s="123">
        <f t="shared" si="19"/>
        <v>1.477469416997073</v>
      </c>
      <c r="AL33" s="123">
        <f t="shared" si="19"/>
        <v>1.7250571430636268</v>
      </c>
    </row>
    <row r="34" spans="1:38" x14ac:dyDescent="0.2">
      <c r="A34" s="33"/>
      <c r="B34" s="76"/>
      <c r="C34" s="76"/>
      <c r="D34" s="76"/>
      <c r="E34" s="76"/>
      <c r="F34" s="76"/>
      <c r="G34" s="76"/>
      <c r="H34" s="76"/>
      <c r="I34" s="76"/>
      <c r="J34" s="76"/>
      <c r="K34" s="76"/>
      <c r="L34" s="76"/>
      <c r="M34" s="76"/>
      <c r="N34" s="33"/>
      <c r="O34" s="18" t="s">
        <v>447</v>
      </c>
      <c r="P34" s="68"/>
      <c r="Q34" s="18" t="s">
        <v>113</v>
      </c>
      <c r="S34" s="123">
        <f t="shared" ref="S34:AL34" si="20">S18/S29</f>
        <v>1.6997777810604799</v>
      </c>
      <c r="T34" s="123">
        <f t="shared" si="20"/>
        <v>1.7188935470870406</v>
      </c>
      <c r="U34" s="123">
        <f t="shared" si="20"/>
        <v>1.3791157349029173</v>
      </c>
      <c r="V34" s="123">
        <f t="shared" si="20"/>
        <v>1.0108478148483204</v>
      </c>
      <c r="W34" s="123">
        <f t="shared" si="20"/>
        <v>0.95638192239804143</v>
      </c>
      <c r="X34" s="123">
        <f t="shared" si="20"/>
        <v>1.2497029355162099</v>
      </c>
      <c r="Y34" s="123">
        <f t="shared" si="20"/>
        <v>1.2329634511725351</v>
      </c>
      <c r="Z34" s="123">
        <f t="shared" si="20"/>
        <v>1.0009719805031874</v>
      </c>
      <c r="AA34" s="123">
        <f t="shared" si="20"/>
        <v>1.9263949114312093</v>
      </c>
      <c r="AB34" s="123">
        <f t="shared" si="20"/>
        <v>1.6593944218805219</v>
      </c>
      <c r="AC34" s="123">
        <f t="shared" si="20"/>
        <v>2.05198691249625</v>
      </c>
      <c r="AD34" s="123">
        <f t="shared" si="20"/>
        <v>1.5766587168640684</v>
      </c>
      <c r="AE34" s="123">
        <f t="shared" si="20"/>
        <v>1.6266313614518271</v>
      </c>
      <c r="AF34" s="123">
        <f t="shared" si="20"/>
        <v>1.6474142610589428</v>
      </c>
      <c r="AG34" s="123">
        <f t="shared" si="20"/>
        <v>1.4787749262827188</v>
      </c>
      <c r="AH34" s="123">
        <f t="shared" si="20"/>
        <v>2.2854930361872627</v>
      </c>
      <c r="AI34" s="123">
        <f t="shared" si="20"/>
        <v>2.0136887862740904</v>
      </c>
      <c r="AJ34" s="123">
        <f t="shared" si="20"/>
        <v>2.1092484257549926</v>
      </c>
      <c r="AK34" s="123">
        <f t="shared" si="20"/>
        <v>1.5154752992685205</v>
      </c>
      <c r="AL34" s="123">
        <f t="shared" si="20"/>
        <v>2.4780887225777586</v>
      </c>
    </row>
    <row r="35" spans="1:38" x14ac:dyDescent="0.2">
      <c r="A35" s="33"/>
      <c r="B35" s="76"/>
      <c r="C35" s="76"/>
      <c r="D35" s="76"/>
      <c r="E35" s="76"/>
      <c r="F35" s="76"/>
      <c r="G35" s="76"/>
      <c r="H35" s="76"/>
      <c r="I35" s="76"/>
      <c r="J35" s="76"/>
      <c r="K35" s="76"/>
      <c r="L35" s="76"/>
      <c r="M35" s="76"/>
      <c r="N35" s="33"/>
      <c r="S35" s="47"/>
      <c r="T35" s="47"/>
      <c r="U35" s="47"/>
      <c r="V35" s="47"/>
      <c r="W35" s="47"/>
      <c r="X35" s="47"/>
      <c r="Y35" s="47"/>
      <c r="Z35" s="47"/>
      <c r="AC35" s="124"/>
      <c r="AD35" s="124"/>
      <c r="AE35" s="124"/>
      <c r="AF35" s="124"/>
      <c r="AG35" s="124"/>
      <c r="AH35" s="124"/>
      <c r="AI35" s="124"/>
      <c r="AJ35" s="124"/>
      <c r="AK35" s="124"/>
      <c r="AL35" s="124"/>
    </row>
    <row r="36" spans="1:38" x14ac:dyDescent="0.2">
      <c r="B36" s="76"/>
      <c r="C36" s="76"/>
      <c r="D36" s="76"/>
      <c r="E36" s="76"/>
      <c r="F36" s="76"/>
      <c r="G36" s="76"/>
      <c r="H36" s="76"/>
      <c r="I36" s="76"/>
      <c r="J36" s="76"/>
      <c r="K36" s="76"/>
      <c r="L36" s="76"/>
      <c r="M36" s="76"/>
      <c r="N36" s="33"/>
      <c r="O36" s="51" t="s">
        <v>448</v>
      </c>
      <c r="P36" s="51"/>
      <c r="Q36" s="199"/>
      <c r="R36" s="199"/>
      <c r="S36" s="170"/>
      <c r="T36" s="170"/>
      <c r="U36" s="170"/>
      <c r="V36" s="170"/>
      <c r="W36" s="170"/>
      <c r="X36" s="170"/>
      <c r="Y36" s="47"/>
      <c r="Z36" s="171"/>
      <c r="AA36" s="171"/>
      <c r="AB36" s="171"/>
      <c r="AC36" s="172"/>
      <c r="AD36" s="172"/>
      <c r="AE36" s="172"/>
      <c r="AF36" s="172"/>
      <c r="AG36" s="172"/>
    </row>
    <row r="37" spans="1:38" x14ac:dyDescent="0.2">
      <c r="B37" s="76"/>
      <c r="C37" s="76"/>
      <c r="D37" s="76"/>
      <c r="E37" s="76"/>
      <c r="F37" s="76"/>
      <c r="G37" s="76"/>
      <c r="H37" s="76"/>
      <c r="I37" s="76"/>
      <c r="J37" s="76"/>
      <c r="K37" s="71"/>
      <c r="L37" s="76"/>
      <c r="M37" s="76"/>
      <c r="N37" s="33"/>
      <c r="O37" s="560" t="s">
        <v>102</v>
      </c>
      <c r="P37" s="561"/>
      <c r="Q37" s="234"/>
      <c r="R37" s="234"/>
      <c r="S37" s="387"/>
      <c r="T37" s="387"/>
      <c r="U37" s="387"/>
      <c r="V37" s="387"/>
      <c r="W37" s="387"/>
      <c r="X37" s="387"/>
      <c r="Y37" s="236"/>
      <c r="Z37" s="236"/>
      <c r="AA37" s="236"/>
      <c r="AB37" s="236"/>
      <c r="AC37" s="236"/>
      <c r="AD37" s="236"/>
      <c r="AE37" s="236"/>
      <c r="AF37" s="236"/>
      <c r="AG37" s="236"/>
      <c r="AH37" s="236"/>
      <c r="AI37" s="236"/>
      <c r="AJ37" s="236"/>
      <c r="AK37" s="236"/>
      <c r="AL37" s="388"/>
    </row>
    <row r="38" spans="1:38" x14ac:dyDescent="0.2">
      <c r="B38" s="76"/>
      <c r="C38" s="76"/>
      <c r="D38" s="76"/>
      <c r="E38" s="76"/>
      <c r="F38" s="76"/>
      <c r="G38" s="76"/>
      <c r="H38" s="76"/>
      <c r="I38" s="76"/>
      <c r="J38" s="76"/>
      <c r="K38" s="71"/>
      <c r="L38" s="76"/>
      <c r="M38" s="76"/>
      <c r="N38" s="33"/>
      <c r="O38" s="30"/>
      <c r="P38" s="30"/>
      <c r="Q38" s="31"/>
      <c r="AC38" s="124"/>
      <c r="AD38" s="124"/>
      <c r="AE38" s="124"/>
      <c r="AF38" s="124"/>
      <c r="AG38" s="124"/>
      <c r="AH38" s="124"/>
      <c r="AI38" s="124"/>
      <c r="AJ38" s="124"/>
      <c r="AK38" s="124"/>
      <c r="AL38" s="130"/>
    </row>
    <row r="39" spans="1:38" ht="30.75" customHeight="1" x14ac:dyDescent="0.2">
      <c r="B39" s="71"/>
      <c r="C39" s="71"/>
      <c r="D39" s="71"/>
      <c r="E39" s="71"/>
      <c r="F39" s="71"/>
      <c r="G39" s="76"/>
      <c r="H39" s="71"/>
      <c r="I39" s="71"/>
      <c r="J39" s="71"/>
      <c r="K39" s="71"/>
      <c r="L39" s="76"/>
      <c r="M39" s="76"/>
      <c r="N39" s="33"/>
    </row>
    <row r="40" spans="1:38" x14ac:dyDescent="0.2">
      <c r="B40" s="71"/>
      <c r="C40" s="71"/>
      <c r="D40" s="71"/>
      <c r="E40" s="71"/>
      <c r="F40" s="71"/>
      <c r="G40" s="76"/>
      <c r="H40" s="71"/>
      <c r="I40" s="71"/>
      <c r="J40" s="71"/>
      <c r="K40" s="71"/>
      <c r="L40" s="76"/>
      <c r="M40" s="76"/>
      <c r="N40" s="33"/>
    </row>
    <row r="41" spans="1:38" x14ac:dyDescent="0.2">
      <c r="B41" s="71"/>
      <c r="C41" s="79" t="s">
        <v>145</v>
      </c>
      <c r="D41" s="84" t="s">
        <v>108</v>
      </c>
      <c r="E41" s="80"/>
      <c r="F41" s="80"/>
      <c r="G41" s="71"/>
      <c r="H41" s="71"/>
      <c r="I41" s="71"/>
      <c r="J41" s="71"/>
      <c r="K41" s="71"/>
      <c r="L41" s="71"/>
      <c r="M41" s="71"/>
    </row>
    <row r="42" spans="1:38" x14ac:dyDescent="0.2">
      <c r="B42" s="71"/>
      <c r="C42" s="71"/>
      <c r="D42" s="84" t="s">
        <v>599</v>
      </c>
      <c r="E42" s="71"/>
      <c r="F42" s="71"/>
      <c r="G42" s="71"/>
      <c r="H42" s="71"/>
      <c r="I42" s="71"/>
      <c r="J42" s="71"/>
      <c r="K42" s="71"/>
      <c r="L42" s="71"/>
      <c r="M42" s="71"/>
    </row>
    <row r="43" spans="1:38" x14ac:dyDescent="0.2">
      <c r="B43" s="71"/>
      <c r="C43" s="79" t="s">
        <v>146</v>
      </c>
      <c r="D43" s="79" t="s">
        <v>149</v>
      </c>
      <c r="E43" s="78"/>
      <c r="F43" s="78"/>
      <c r="G43" s="71"/>
      <c r="H43" s="71"/>
      <c r="I43" s="71"/>
      <c r="J43" s="71"/>
      <c r="K43" s="71"/>
      <c r="L43" s="71"/>
      <c r="M43" s="71"/>
    </row>
    <row r="44" spans="1:38" ht="18" customHeight="1" x14ac:dyDescent="0.25">
      <c r="B44" s="71"/>
      <c r="C44" s="71"/>
      <c r="D44" s="71"/>
      <c r="E44" s="71"/>
      <c r="F44" s="71"/>
      <c r="G44" s="71"/>
      <c r="H44" s="71"/>
      <c r="I44" s="71"/>
      <c r="J44" s="71"/>
      <c r="K44" s="71"/>
      <c r="L44" s="71"/>
      <c r="M44" s="71"/>
      <c r="O44" s="546" t="s">
        <v>441</v>
      </c>
      <c r="P44" s="525"/>
      <c r="Q44" s="525"/>
      <c r="R44" s="525"/>
      <c r="S44" s="525"/>
      <c r="T44" s="525"/>
      <c r="U44" s="525"/>
      <c r="V44" s="525"/>
      <c r="W44" s="525"/>
      <c r="X44" s="525"/>
      <c r="Y44" s="525"/>
      <c r="Z44" s="525"/>
      <c r="AA44" s="525"/>
      <c r="AB44" s="525"/>
      <c r="AC44" s="525"/>
      <c r="AD44" s="525"/>
    </row>
    <row r="45" spans="1:38" x14ac:dyDescent="0.2">
      <c r="O45" s="12"/>
      <c r="P45" s="12"/>
      <c r="Q45" s="45"/>
      <c r="R45" s="45"/>
      <c r="S45" s="37"/>
      <c r="T45" s="37"/>
      <c r="U45" s="37"/>
      <c r="V45" s="37"/>
      <c r="W45" s="37"/>
      <c r="X45" s="37"/>
    </row>
    <row r="46" spans="1:38" x14ac:dyDescent="0.2">
      <c r="O46" s="34" t="s">
        <v>3</v>
      </c>
    </row>
    <row r="47" spans="1:38" ht="16.5" customHeight="1" x14ac:dyDescent="0.2">
      <c r="O47" s="167" t="s">
        <v>1</v>
      </c>
      <c r="P47" s="125" t="s">
        <v>37</v>
      </c>
      <c r="Q47" s="125"/>
      <c r="S47" s="169">
        <v>1996</v>
      </c>
      <c r="T47" s="169">
        <v>1997</v>
      </c>
      <c r="U47" s="169">
        <v>1998</v>
      </c>
      <c r="V47" s="169">
        <v>1999</v>
      </c>
      <c r="W47" s="169">
        <v>2000</v>
      </c>
      <c r="X47" s="169">
        <v>2001</v>
      </c>
      <c r="Y47" s="169">
        <v>2002</v>
      </c>
      <c r="Z47" s="169">
        <v>2003</v>
      </c>
      <c r="AA47" s="169">
        <v>2004</v>
      </c>
      <c r="AB47" s="169">
        <v>2005</v>
      </c>
      <c r="AC47" s="169">
        <v>2006</v>
      </c>
      <c r="AD47" s="49">
        <v>2007</v>
      </c>
      <c r="AE47" s="49">
        <v>2008</v>
      </c>
      <c r="AF47" s="49">
        <v>2009</v>
      </c>
      <c r="AG47" s="49">
        <v>2010</v>
      </c>
      <c r="AH47" s="49">
        <v>2011</v>
      </c>
      <c r="AI47" s="49">
        <v>2012</v>
      </c>
      <c r="AJ47" s="49">
        <v>2013</v>
      </c>
      <c r="AK47" s="49">
        <v>2014</v>
      </c>
      <c r="AL47" s="49">
        <v>2015</v>
      </c>
    </row>
    <row r="48" spans="1:38" ht="9.75" customHeight="1" x14ac:dyDescent="0.2">
      <c r="O48" s="31"/>
      <c r="P48" s="25"/>
      <c r="AC48" s="124"/>
      <c r="AL48" s="47"/>
    </row>
    <row r="49" spans="1:38" x14ac:dyDescent="0.2">
      <c r="O49" s="31" t="s">
        <v>0</v>
      </c>
      <c r="P49" s="25" t="s">
        <v>189</v>
      </c>
      <c r="Q49" s="25" t="s">
        <v>21</v>
      </c>
      <c r="R49" s="408"/>
      <c r="S49" s="124">
        <f t="shared" ref="S49:AL49" si="21">VLOOKUP(S$47&amp;"AllSex"&amp;"Maori"&amp;22,agesextable,6,FALSE)</f>
        <v>39</v>
      </c>
      <c r="T49" s="124">
        <f t="shared" si="21"/>
        <v>38</v>
      </c>
      <c r="U49" s="124">
        <f t="shared" si="21"/>
        <v>43</v>
      </c>
      <c r="V49" s="124">
        <f t="shared" si="21"/>
        <v>33</v>
      </c>
      <c r="W49" s="124">
        <f t="shared" si="21"/>
        <v>28</v>
      </c>
      <c r="X49" s="124">
        <f>VLOOKUP(X$47&amp;"AllSex"&amp;"Maori"&amp;22,agesextable,6,FALSE)</f>
        <v>29</v>
      </c>
      <c r="Y49" s="124">
        <f t="shared" si="21"/>
        <v>33</v>
      </c>
      <c r="Z49" s="124">
        <f t="shared" si="21"/>
        <v>31</v>
      </c>
      <c r="AA49" s="124">
        <f t="shared" si="21"/>
        <v>42</v>
      </c>
      <c r="AB49" s="124">
        <f t="shared" si="21"/>
        <v>40</v>
      </c>
      <c r="AC49" s="124">
        <f t="shared" si="21"/>
        <v>37</v>
      </c>
      <c r="AD49" s="124">
        <f t="shared" si="21"/>
        <v>33</v>
      </c>
      <c r="AE49" s="124">
        <f t="shared" si="21"/>
        <v>35</v>
      </c>
      <c r="AF49" s="124">
        <f t="shared" si="21"/>
        <v>35</v>
      </c>
      <c r="AG49" s="124">
        <f t="shared" si="21"/>
        <v>42</v>
      </c>
      <c r="AH49" s="124">
        <f t="shared" si="21"/>
        <v>49</v>
      </c>
      <c r="AI49" s="124">
        <f t="shared" si="21"/>
        <v>61</v>
      </c>
      <c r="AJ49" s="124">
        <f t="shared" si="21"/>
        <v>50</v>
      </c>
      <c r="AK49" s="124">
        <f t="shared" si="21"/>
        <v>28</v>
      </c>
      <c r="AL49" s="124">
        <f t="shared" si="21"/>
        <v>42</v>
      </c>
    </row>
    <row r="50" spans="1:38" x14ac:dyDescent="0.2">
      <c r="O50" s="31"/>
      <c r="P50" s="25" t="s">
        <v>35</v>
      </c>
      <c r="R50" s="408"/>
      <c r="S50" s="124">
        <f t="shared" ref="S50:AL50" si="22">VLOOKUP(S$47&amp;"AllSex"&amp;"Maori"&amp;23,agesextable,6,FALSE)</f>
        <v>45</v>
      </c>
      <c r="T50" s="124">
        <f t="shared" si="22"/>
        <v>56</v>
      </c>
      <c r="U50" s="124">
        <f t="shared" si="22"/>
        <v>47</v>
      </c>
      <c r="V50" s="124">
        <f t="shared" si="22"/>
        <v>41</v>
      </c>
      <c r="W50" s="124">
        <f t="shared" si="22"/>
        <v>40</v>
      </c>
      <c r="X50" s="124">
        <f t="shared" si="22"/>
        <v>42</v>
      </c>
      <c r="Y50" s="124">
        <f t="shared" si="22"/>
        <v>40</v>
      </c>
      <c r="Z50" s="124">
        <f t="shared" si="22"/>
        <v>46</v>
      </c>
      <c r="AA50" s="124">
        <f t="shared" si="22"/>
        <v>55</v>
      </c>
      <c r="AB50" s="124">
        <f t="shared" si="22"/>
        <v>54</v>
      </c>
      <c r="AC50" s="124">
        <f t="shared" si="22"/>
        <v>54</v>
      </c>
      <c r="AD50" s="124">
        <f t="shared" si="22"/>
        <v>50</v>
      </c>
      <c r="AE50" s="124">
        <f t="shared" si="22"/>
        <v>37</v>
      </c>
      <c r="AF50" s="124">
        <f t="shared" si="22"/>
        <v>31</v>
      </c>
      <c r="AG50" s="124">
        <f t="shared" si="22"/>
        <v>41</v>
      </c>
      <c r="AH50" s="124">
        <f t="shared" si="22"/>
        <v>44</v>
      </c>
      <c r="AI50" s="124">
        <f t="shared" si="22"/>
        <v>39</v>
      </c>
      <c r="AJ50" s="124">
        <f t="shared" si="22"/>
        <v>44</v>
      </c>
      <c r="AK50" s="124">
        <f t="shared" si="22"/>
        <v>51</v>
      </c>
      <c r="AL50" s="124">
        <f t="shared" si="22"/>
        <v>54</v>
      </c>
    </row>
    <row r="51" spans="1:38" x14ac:dyDescent="0.2">
      <c r="B51" s="71"/>
      <c r="C51" s="71"/>
      <c r="D51" s="71"/>
      <c r="E51" s="71"/>
      <c r="F51" s="71"/>
      <c r="G51" s="71"/>
      <c r="H51" s="71"/>
      <c r="I51" s="71"/>
      <c r="J51" s="71"/>
      <c r="K51" s="71"/>
      <c r="L51" s="71"/>
      <c r="M51" s="71"/>
      <c r="O51" s="31"/>
      <c r="P51" s="25" t="s">
        <v>36</v>
      </c>
      <c r="R51" s="408"/>
      <c r="S51" s="124">
        <f t="shared" ref="S51:AL51" si="23">VLOOKUP(S$47&amp;"AllSex"&amp;"Maori"&amp;24,agesextable,6,FALSE)</f>
        <v>8</v>
      </c>
      <c r="T51" s="124">
        <f t="shared" si="23"/>
        <v>7</v>
      </c>
      <c r="U51" s="124">
        <f t="shared" si="23"/>
        <v>12</v>
      </c>
      <c r="V51" s="124">
        <f t="shared" si="23"/>
        <v>1</v>
      </c>
      <c r="W51" s="124">
        <f t="shared" si="23"/>
        <v>10</v>
      </c>
      <c r="X51" s="124">
        <f t="shared" si="23"/>
        <v>5</v>
      </c>
      <c r="Y51" s="124">
        <f t="shared" si="23"/>
        <v>7</v>
      </c>
      <c r="Z51" s="124">
        <f t="shared" si="23"/>
        <v>5</v>
      </c>
      <c r="AA51" s="124">
        <f t="shared" si="23"/>
        <v>9</v>
      </c>
      <c r="AB51" s="124">
        <f t="shared" si="23"/>
        <v>7</v>
      </c>
      <c r="AC51" s="124">
        <f t="shared" si="23"/>
        <v>12</v>
      </c>
      <c r="AD51" s="124">
        <f t="shared" si="23"/>
        <v>12</v>
      </c>
      <c r="AE51" s="124">
        <f t="shared" si="23"/>
        <v>10</v>
      </c>
      <c r="AF51" s="124">
        <f t="shared" si="23"/>
        <v>11</v>
      </c>
      <c r="AG51" s="124">
        <f t="shared" si="23"/>
        <v>15</v>
      </c>
      <c r="AH51" s="124">
        <f t="shared" si="23"/>
        <v>16</v>
      </c>
      <c r="AI51" s="124">
        <f t="shared" si="23"/>
        <v>10</v>
      </c>
      <c r="AJ51" s="124">
        <f t="shared" si="23"/>
        <v>10</v>
      </c>
      <c r="AK51" s="124">
        <f t="shared" si="23"/>
        <v>11</v>
      </c>
      <c r="AL51" s="124">
        <f t="shared" si="23"/>
        <v>18</v>
      </c>
    </row>
    <row r="52" spans="1:38" ht="16.5" customHeight="1" x14ac:dyDescent="0.25">
      <c r="A52" s="33"/>
      <c r="B52" s="71"/>
      <c r="C52" s="554" t="s">
        <v>574</v>
      </c>
      <c r="D52" s="525"/>
      <c r="E52" s="525"/>
      <c r="F52" s="525"/>
      <c r="G52" s="525"/>
      <c r="H52" s="525"/>
      <c r="I52" s="525"/>
      <c r="J52" s="525"/>
      <c r="K52" s="525"/>
      <c r="L52" s="525"/>
      <c r="M52" s="103"/>
      <c r="O52" s="31"/>
      <c r="P52" s="25" t="s">
        <v>26</v>
      </c>
      <c r="R52" s="408"/>
      <c r="S52" s="124">
        <f t="shared" ref="S52:AL52" si="24">VLOOKUP(S$47&amp;"AllSex"&amp;"Maori"&amp;25,agesextable,6,FALSE)</f>
        <v>1</v>
      </c>
      <c r="T52" s="124">
        <f t="shared" si="24"/>
        <v>1</v>
      </c>
      <c r="U52" s="124">
        <f t="shared" si="24"/>
        <v>2</v>
      </c>
      <c r="V52" s="124">
        <f t="shared" si="24"/>
        <v>0</v>
      </c>
      <c r="W52" s="124">
        <f t="shared" si="24"/>
        <v>1</v>
      </c>
      <c r="X52" s="124">
        <f t="shared" si="24"/>
        <v>2</v>
      </c>
      <c r="Y52" s="124">
        <f t="shared" si="24"/>
        <v>0</v>
      </c>
      <c r="Z52" s="124">
        <f t="shared" si="24"/>
        <v>0</v>
      </c>
      <c r="AA52" s="124">
        <f t="shared" si="24"/>
        <v>2</v>
      </c>
      <c r="AB52" s="124">
        <f t="shared" si="24"/>
        <v>2</v>
      </c>
      <c r="AC52" s="124">
        <f t="shared" si="24"/>
        <v>1</v>
      </c>
      <c r="AD52" s="124">
        <f t="shared" si="24"/>
        <v>1</v>
      </c>
      <c r="AE52" s="124">
        <f t="shared" si="24"/>
        <v>1</v>
      </c>
      <c r="AF52" s="124">
        <f t="shared" si="24"/>
        <v>1</v>
      </c>
      <c r="AG52" s="124">
        <f t="shared" si="24"/>
        <v>0</v>
      </c>
      <c r="AH52" s="124">
        <f t="shared" si="24"/>
        <v>0</v>
      </c>
      <c r="AI52" s="124">
        <f t="shared" si="24"/>
        <v>1</v>
      </c>
      <c r="AJ52" s="124">
        <f t="shared" si="24"/>
        <v>0</v>
      </c>
      <c r="AK52" s="124">
        <f t="shared" si="24"/>
        <v>0</v>
      </c>
      <c r="AL52" s="124">
        <f t="shared" si="24"/>
        <v>0</v>
      </c>
    </row>
    <row r="53" spans="1:38" ht="16.5" customHeight="1" x14ac:dyDescent="0.25">
      <c r="A53" s="33"/>
      <c r="B53" s="71"/>
      <c r="C53" s="554" t="s">
        <v>575</v>
      </c>
      <c r="D53" s="525"/>
      <c r="E53" s="525"/>
      <c r="F53" s="525"/>
      <c r="G53" s="525"/>
      <c r="H53" s="525"/>
      <c r="I53" s="525"/>
      <c r="J53" s="525"/>
      <c r="K53" s="525"/>
      <c r="L53" s="525"/>
      <c r="M53" s="71"/>
      <c r="O53" s="28"/>
      <c r="P53" s="28"/>
      <c r="Q53" s="28"/>
      <c r="R53" s="409"/>
      <c r="S53" s="128"/>
      <c r="T53" s="128"/>
      <c r="U53" s="128"/>
      <c r="V53" s="128"/>
      <c r="W53" s="128"/>
      <c r="X53" s="128"/>
      <c r="Y53" s="128"/>
      <c r="Z53" s="128"/>
      <c r="AA53" s="128"/>
      <c r="AB53" s="128"/>
      <c r="AC53" s="128"/>
      <c r="AD53" s="128"/>
      <c r="AE53" s="128"/>
      <c r="AF53" s="128"/>
      <c r="AG53" s="128"/>
      <c r="AH53" s="128"/>
      <c r="AI53" s="128"/>
      <c r="AJ53" s="128"/>
      <c r="AK53" s="128"/>
      <c r="AL53" s="128"/>
    </row>
    <row r="54" spans="1:38" ht="18" customHeight="1" x14ac:dyDescent="0.2">
      <c r="A54" s="33"/>
      <c r="B54" s="71"/>
      <c r="C54" s="71"/>
      <c r="D54" s="71"/>
      <c r="E54" s="112" t="s">
        <v>536</v>
      </c>
      <c r="F54" s="71"/>
      <c r="G54" s="71"/>
      <c r="H54" s="71"/>
      <c r="I54" s="71"/>
      <c r="J54" s="112" t="s">
        <v>537</v>
      </c>
      <c r="K54" s="71"/>
      <c r="L54" s="71"/>
      <c r="M54" s="71"/>
      <c r="O54" s="25" t="s">
        <v>20</v>
      </c>
      <c r="P54" s="25" t="s">
        <v>189</v>
      </c>
      <c r="Q54" s="25" t="s">
        <v>21</v>
      </c>
      <c r="R54" s="408"/>
      <c r="S54" s="124">
        <f t="shared" ref="S54:AL54" si="25">VLOOKUP(S$47&amp;"Male"&amp;"Maori"&amp;22,agesextable,6,FALSE)</f>
        <v>30</v>
      </c>
      <c r="T54" s="124">
        <f t="shared" si="25"/>
        <v>29</v>
      </c>
      <c r="U54" s="124">
        <f t="shared" si="25"/>
        <v>30</v>
      </c>
      <c r="V54" s="124">
        <f t="shared" si="25"/>
        <v>23</v>
      </c>
      <c r="W54" s="124">
        <f t="shared" si="25"/>
        <v>24</v>
      </c>
      <c r="X54" s="124">
        <f t="shared" si="25"/>
        <v>20</v>
      </c>
      <c r="Y54" s="124">
        <f t="shared" si="25"/>
        <v>23</v>
      </c>
      <c r="Z54" s="124">
        <f t="shared" si="25"/>
        <v>20</v>
      </c>
      <c r="AA54" s="124">
        <f t="shared" si="25"/>
        <v>28</v>
      </c>
      <c r="AB54" s="124">
        <f t="shared" si="25"/>
        <v>29</v>
      </c>
      <c r="AC54" s="124">
        <f t="shared" si="25"/>
        <v>29</v>
      </c>
      <c r="AD54" s="124">
        <f t="shared" si="25"/>
        <v>23</v>
      </c>
      <c r="AE54" s="124">
        <f t="shared" si="25"/>
        <v>17</v>
      </c>
      <c r="AF54" s="124">
        <f t="shared" si="25"/>
        <v>24</v>
      </c>
      <c r="AG54" s="124">
        <f t="shared" si="25"/>
        <v>27</v>
      </c>
      <c r="AH54" s="124">
        <f t="shared" si="25"/>
        <v>33</v>
      </c>
      <c r="AI54" s="124">
        <f t="shared" si="25"/>
        <v>37</v>
      </c>
      <c r="AJ54" s="124">
        <f t="shared" si="25"/>
        <v>30</v>
      </c>
      <c r="AK54" s="124">
        <f t="shared" si="25"/>
        <v>20</v>
      </c>
      <c r="AL54" s="124">
        <f t="shared" si="25"/>
        <v>19</v>
      </c>
    </row>
    <row r="55" spans="1:38" x14ac:dyDescent="0.2">
      <c r="A55" s="33"/>
      <c r="B55" s="71"/>
      <c r="C55" s="71"/>
      <c r="D55" s="71"/>
      <c r="E55" s="71"/>
      <c r="F55" s="71"/>
      <c r="G55" s="71"/>
      <c r="H55" s="71"/>
      <c r="I55" s="71"/>
      <c r="J55" s="71"/>
      <c r="K55" s="71"/>
      <c r="L55" s="71"/>
      <c r="M55" s="71"/>
      <c r="O55" s="25"/>
      <c r="P55" s="25" t="s">
        <v>35</v>
      </c>
      <c r="R55" s="408"/>
      <c r="S55" s="124">
        <f t="shared" ref="S55:AL55" si="26">VLOOKUP(S$47&amp;"Male"&amp;"Maori"&amp;23,agesextable,6,FALSE)</f>
        <v>36</v>
      </c>
      <c r="T55" s="124">
        <f t="shared" si="26"/>
        <v>41</v>
      </c>
      <c r="U55" s="124">
        <f t="shared" si="26"/>
        <v>40</v>
      </c>
      <c r="V55" s="124">
        <f t="shared" si="26"/>
        <v>34</v>
      </c>
      <c r="W55" s="124">
        <f t="shared" si="26"/>
        <v>35</v>
      </c>
      <c r="X55" s="124">
        <f t="shared" si="26"/>
        <v>31</v>
      </c>
      <c r="Y55" s="124">
        <f t="shared" si="26"/>
        <v>31</v>
      </c>
      <c r="Z55" s="124">
        <f t="shared" si="26"/>
        <v>39</v>
      </c>
      <c r="AA55" s="124">
        <f t="shared" si="26"/>
        <v>44</v>
      </c>
      <c r="AB55" s="124">
        <f t="shared" si="26"/>
        <v>42</v>
      </c>
      <c r="AC55" s="124">
        <f t="shared" si="26"/>
        <v>36</v>
      </c>
      <c r="AD55" s="124">
        <f t="shared" si="26"/>
        <v>39</v>
      </c>
      <c r="AE55" s="124">
        <f t="shared" si="26"/>
        <v>28</v>
      </c>
      <c r="AF55" s="124">
        <f t="shared" si="26"/>
        <v>23</v>
      </c>
      <c r="AG55" s="124">
        <f t="shared" si="26"/>
        <v>32</v>
      </c>
      <c r="AH55" s="124">
        <f t="shared" si="26"/>
        <v>33</v>
      </c>
      <c r="AI55" s="124">
        <f t="shared" si="26"/>
        <v>30</v>
      </c>
      <c r="AJ55" s="124">
        <f t="shared" si="26"/>
        <v>31</v>
      </c>
      <c r="AK55" s="124">
        <f t="shared" si="26"/>
        <v>37</v>
      </c>
      <c r="AL55" s="124">
        <f t="shared" si="26"/>
        <v>40</v>
      </c>
    </row>
    <row r="56" spans="1:38" x14ac:dyDescent="0.2">
      <c r="A56" s="33"/>
      <c r="B56" s="71"/>
      <c r="C56" s="71"/>
      <c r="D56" s="71"/>
      <c r="E56" s="71"/>
      <c r="F56" s="71"/>
      <c r="G56" s="71"/>
      <c r="H56" s="71"/>
      <c r="I56" s="71"/>
      <c r="J56" s="71"/>
      <c r="K56" s="71"/>
      <c r="L56" s="71"/>
      <c r="M56" s="71"/>
      <c r="O56" s="25"/>
      <c r="P56" s="25" t="s">
        <v>36</v>
      </c>
      <c r="R56" s="408"/>
      <c r="S56" s="124">
        <f t="shared" ref="S56:AL56" si="27">VLOOKUP(S$47&amp;"Male"&amp;"Maori"&amp;24,agesextable,6,FALSE)</f>
        <v>5</v>
      </c>
      <c r="T56" s="124">
        <f t="shared" si="27"/>
        <v>7</v>
      </c>
      <c r="U56" s="124">
        <f t="shared" si="27"/>
        <v>10</v>
      </c>
      <c r="V56" s="124">
        <f t="shared" si="27"/>
        <v>1</v>
      </c>
      <c r="W56" s="124">
        <f t="shared" si="27"/>
        <v>8</v>
      </c>
      <c r="X56" s="124">
        <f t="shared" si="27"/>
        <v>5</v>
      </c>
      <c r="Y56" s="124">
        <f t="shared" si="27"/>
        <v>6</v>
      </c>
      <c r="Z56" s="124">
        <f t="shared" si="27"/>
        <v>4</v>
      </c>
      <c r="AA56" s="124">
        <f t="shared" si="27"/>
        <v>7</v>
      </c>
      <c r="AB56" s="124">
        <f t="shared" si="27"/>
        <v>5</v>
      </c>
      <c r="AC56" s="124">
        <f t="shared" si="27"/>
        <v>10</v>
      </c>
      <c r="AD56" s="124">
        <f t="shared" si="27"/>
        <v>11</v>
      </c>
      <c r="AE56" s="124">
        <f t="shared" si="27"/>
        <v>8</v>
      </c>
      <c r="AF56" s="124">
        <f t="shared" si="27"/>
        <v>7</v>
      </c>
      <c r="AG56" s="124">
        <f t="shared" si="27"/>
        <v>11</v>
      </c>
      <c r="AH56" s="124">
        <f t="shared" si="27"/>
        <v>13</v>
      </c>
      <c r="AI56" s="124">
        <f t="shared" si="27"/>
        <v>9</v>
      </c>
      <c r="AJ56" s="124">
        <f t="shared" si="27"/>
        <v>5</v>
      </c>
      <c r="AK56" s="124">
        <f t="shared" si="27"/>
        <v>9</v>
      </c>
      <c r="AL56" s="124">
        <f t="shared" si="27"/>
        <v>15</v>
      </c>
    </row>
    <row r="57" spans="1:38" x14ac:dyDescent="0.2">
      <c r="A57" s="33"/>
      <c r="B57" s="71"/>
      <c r="C57" s="71"/>
      <c r="D57" s="71"/>
      <c r="E57" s="71"/>
      <c r="F57" s="71"/>
      <c r="G57" s="71"/>
      <c r="H57" s="71"/>
      <c r="I57" s="71"/>
      <c r="J57" s="71"/>
      <c r="K57" s="71"/>
      <c r="L57" s="71"/>
      <c r="M57" s="71"/>
      <c r="O57" s="25"/>
      <c r="P57" s="25" t="s">
        <v>26</v>
      </c>
      <c r="R57" s="408"/>
      <c r="S57" s="124">
        <f t="shared" ref="S57:AL57" si="28">VLOOKUP(S$47&amp;"Male"&amp;"Maori"&amp;25,agesextable,6,FALSE)</f>
        <v>1</v>
      </c>
      <c r="T57" s="124">
        <f t="shared" si="28"/>
        <v>0</v>
      </c>
      <c r="U57" s="124">
        <f t="shared" si="28"/>
        <v>2</v>
      </c>
      <c r="V57" s="124">
        <f t="shared" si="28"/>
        <v>0</v>
      </c>
      <c r="W57" s="124">
        <f t="shared" si="28"/>
        <v>1</v>
      </c>
      <c r="X57" s="124">
        <f t="shared" si="28"/>
        <v>2</v>
      </c>
      <c r="Y57" s="124">
        <f t="shared" si="28"/>
        <v>0</v>
      </c>
      <c r="Z57" s="124">
        <f t="shared" si="28"/>
        <v>0</v>
      </c>
      <c r="AA57" s="124">
        <f t="shared" si="28"/>
        <v>2</v>
      </c>
      <c r="AB57" s="124">
        <f t="shared" si="28"/>
        <v>2</v>
      </c>
      <c r="AC57" s="124">
        <f t="shared" si="28"/>
        <v>0</v>
      </c>
      <c r="AD57" s="124">
        <f t="shared" si="28"/>
        <v>1</v>
      </c>
      <c r="AE57" s="124">
        <f t="shared" si="28"/>
        <v>1</v>
      </c>
      <c r="AF57" s="124">
        <f t="shared" si="28"/>
        <v>1</v>
      </c>
      <c r="AG57" s="124">
        <f t="shared" si="28"/>
        <v>0</v>
      </c>
      <c r="AH57" s="124">
        <f t="shared" si="28"/>
        <v>0</v>
      </c>
      <c r="AI57" s="124">
        <f t="shared" si="28"/>
        <v>1</v>
      </c>
      <c r="AJ57" s="124">
        <f t="shared" si="28"/>
        <v>0</v>
      </c>
      <c r="AK57" s="124">
        <f t="shared" si="28"/>
        <v>0</v>
      </c>
      <c r="AL57" s="124">
        <f t="shared" si="28"/>
        <v>0</v>
      </c>
    </row>
    <row r="58" spans="1:38" x14ac:dyDescent="0.2">
      <c r="B58" s="71"/>
      <c r="C58" s="71"/>
      <c r="D58" s="71"/>
      <c r="E58" s="71"/>
      <c r="F58" s="71"/>
      <c r="G58" s="71"/>
      <c r="H58" s="71"/>
      <c r="I58" s="71"/>
      <c r="J58" s="71"/>
      <c r="K58" s="71"/>
      <c r="L58" s="71"/>
      <c r="M58" s="71"/>
      <c r="O58" s="28"/>
      <c r="P58" s="28"/>
      <c r="Q58" s="28"/>
      <c r="R58" s="409"/>
      <c r="S58" s="128"/>
      <c r="T58" s="128"/>
      <c r="U58" s="128"/>
      <c r="V58" s="128"/>
      <c r="W58" s="128"/>
      <c r="X58" s="128"/>
      <c r="Y58" s="128"/>
      <c r="Z58" s="128"/>
      <c r="AA58" s="128"/>
      <c r="AB58" s="128"/>
      <c r="AC58" s="128"/>
      <c r="AD58" s="128"/>
      <c r="AE58" s="128"/>
      <c r="AF58" s="128"/>
      <c r="AG58" s="128"/>
      <c r="AH58" s="128"/>
      <c r="AI58" s="128"/>
      <c r="AJ58" s="128"/>
      <c r="AK58" s="128"/>
      <c r="AL58" s="128"/>
    </row>
    <row r="59" spans="1:38" x14ac:dyDescent="0.2">
      <c r="B59" s="71"/>
      <c r="C59" s="71"/>
      <c r="D59" s="71"/>
      <c r="E59" s="71"/>
      <c r="F59" s="71"/>
      <c r="G59" s="71"/>
      <c r="H59" s="71"/>
      <c r="I59" s="71"/>
      <c r="J59" s="71"/>
      <c r="K59" s="71"/>
      <c r="L59" s="71"/>
      <c r="M59" s="71"/>
      <c r="O59" s="25" t="s">
        <v>8</v>
      </c>
      <c r="P59" s="25" t="s">
        <v>189</v>
      </c>
      <c r="Q59" s="25" t="s">
        <v>21</v>
      </c>
      <c r="R59" s="408"/>
      <c r="S59" s="124">
        <f t="shared" ref="S59:AL59" si="29">VLOOKUP(S$47&amp;"Female"&amp;"Maori"&amp;22,agesextable,6,FALSE)</f>
        <v>9</v>
      </c>
      <c r="T59" s="124">
        <f t="shared" si="29"/>
        <v>9</v>
      </c>
      <c r="U59" s="124">
        <f t="shared" si="29"/>
        <v>13</v>
      </c>
      <c r="V59" s="124">
        <f t="shared" si="29"/>
        <v>10</v>
      </c>
      <c r="W59" s="124">
        <f t="shared" si="29"/>
        <v>4</v>
      </c>
      <c r="X59" s="124">
        <f t="shared" si="29"/>
        <v>9</v>
      </c>
      <c r="Y59" s="124">
        <f t="shared" si="29"/>
        <v>10</v>
      </c>
      <c r="Z59" s="124">
        <f t="shared" si="29"/>
        <v>11</v>
      </c>
      <c r="AA59" s="124">
        <f t="shared" si="29"/>
        <v>14</v>
      </c>
      <c r="AB59" s="124">
        <f t="shared" si="29"/>
        <v>11</v>
      </c>
      <c r="AC59" s="124">
        <f t="shared" si="29"/>
        <v>8</v>
      </c>
      <c r="AD59" s="124">
        <f t="shared" si="29"/>
        <v>10</v>
      </c>
      <c r="AE59" s="124">
        <f t="shared" si="29"/>
        <v>18</v>
      </c>
      <c r="AF59" s="124">
        <f t="shared" si="29"/>
        <v>11</v>
      </c>
      <c r="AG59" s="124">
        <f t="shared" si="29"/>
        <v>15</v>
      </c>
      <c r="AH59" s="124">
        <f t="shared" si="29"/>
        <v>16</v>
      </c>
      <c r="AI59" s="124">
        <f t="shared" si="29"/>
        <v>24</v>
      </c>
      <c r="AJ59" s="124">
        <f t="shared" si="29"/>
        <v>20</v>
      </c>
      <c r="AK59" s="124">
        <f t="shared" si="29"/>
        <v>8</v>
      </c>
      <c r="AL59" s="124">
        <f t="shared" si="29"/>
        <v>23</v>
      </c>
    </row>
    <row r="60" spans="1:38" x14ac:dyDescent="0.2">
      <c r="B60" s="71"/>
      <c r="C60" s="71"/>
      <c r="D60" s="71"/>
      <c r="E60" s="71"/>
      <c r="F60" s="71"/>
      <c r="G60" s="71"/>
      <c r="H60" s="71"/>
      <c r="I60" s="71"/>
      <c r="J60" s="71"/>
      <c r="K60" s="71"/>
      <c r="L60" s="71"/>
      <c r="M60" s="71"/>
      <c r="O60" s="25"/>
      <c r="P60" s="25" t="s">
        <v>35</v>
      </c>
      <c r="R60" s="408"/>
      <c r="S60" s="124">
        <f t="shared" ref="S60:AL60" si="30">VLOOKUP(S$47&amp;"Female"&amp;"Maori"&amp;23,agesextable,6,FALSE)</f>
        <v>9</v>
      </c>
      <c r="T60" s="124">
        <f t="shared" si="30"/>
        <v>15</v>
      </c>
      <c r="U60" s="124">
        <f t="shared" si="30"/>
        <v>7</v>
      </c>
      <c r="V60" s="124">
        <f t="shared" si="30"/>
        <v>7</v>
      </c>
      <c r="W60" s="124">
        <f t="shared" si="30"/>
        <v>5</v>
      </c>
      <c r="X60" s="124">
        <f t="shared" si="30"/>
        <v>11</v>
      </c>
      <c r="Y60" s="124">
        <f t="shared" si="30"/>
        <v>9</v>
      </c>
      <c r="Z60" s="124">
        <f t="shared" si="30"/>
        <v>7</v>
      </c>
      <c r="AA60" s="124">
        <f t="shared" si="30"/>
        <v>11</v>
      </c>
      <c r="AB60" s="124">
        <f t="shared" si="30"/>
        <v>12</v>
      </c>
      <c r="AC60" s="124">
        <f t="shared" si="30"/>
        <v>18</v>
      </c>
      <c r="AD60" s="124">
        <f t="shared" si="30"/>
        <v>11</v>
      </c>
      <c r="AE60" s="124">
        <f t="shared" si="30"/>
        <v>9</v>
      </c>
      <c r="AF60" s="124">
        <f t="shared" si="30"/>
        <v>8</v>
      </c>
      <c r="AG60" s="124">
        <f t="shared" si="30"/>
        <v>9</v>
      </c>
      <c r="AH60" s="124">
        <f t="shared" si="30"/>
        <v>11</v>
      </c>
      <c r="AI60" s="124">
        <f t="shared" si="30"/>
        <v>9</v>
      </c>
      <c r="AJ60" s="124">
        <f t="shared" si="30"/>
        <v>13</v>
      </c>
      <c r="AK60" s="124">
        <f t="shared" si="30"/>
        <v>14</v>
      </c>
      <c r="AL60" s="124">
        <f t="shared" si="30"/>
        <v>14</v>
      </c>
    </row>
    <row r="61" spans="1:38" x14ac:dyDescent="0.2">
      <c r="B61" s="71"/>
      <c r="C61" s="71"/>
      <c r="D61" s="71"/>
      <c r="E61" s="71"/>
      <c r="F61" s="71"/>
      <c r="G61" s="71"/>
      <c r="H61" s="71"/>
      <c r="I61" s="71"/>
      <c r="J61" s="71"/>
      <c r="K61" s="71"/>
      <c r="L61" s="71"/>
      <c r="M61" s="71"/>
      <c r="O61" s="25"/>
      <c r="P61" s="25" t="s">
        <v>36</v>
      </c>
      <c r="R61" s="408"/>
      <c r="S61" s="124">
        <f t="shared" ref="S61:AL61" si="31">VLOOKUP(S$47&amp;"Female"&amp;"Maori"&amp;24,agesextable,6,FALSE)</f>
        <v>3</v>
      </c>
      <c r="T61" s="124">
        <f t="shared" si="31"/>
        <v>0</v>
      </c>
      <c r="U61" s="124">
        <f t="shared" si="31"/>
        <v>2</v>
      </c>
      <c r="V61" s="124">
        <f t="shared" si="31"/>
        <v>0</v>
      </c>
      <c r="W61" s="124">
        <f t="shared" si="31"/>
        <v>2</v>
      </c>
      <c r="X61" s="124">
        <f t="shared" si="31"/>
        <v>0</v>
      </c>
      <c r="Y61" s="124">
        <f t="shared" si="31"/>
        <v>1</v>
      </c>
      <c r="Z61" s="124">
        <f t="shared" si="31"/>
        <v>1</v>
      </c>
      <c r="AA61" s="124">
        <f t="shared" si="31"/>
        <v>2</v>
      </c>
      <c r="AB61" s="124">
        <f t="shared" si="31"/>
        <v>2</v>
      </c>
      <c r="AC61" s="124">
        <f t="shared" si="31"/>
        <v>2</v>
      </c>
      <c r="AD61" s="124">
        <f t="shared" si="31"/>
        <v>1</v>
      </c>
      <c r="AE61" s="124">
        <f t="shared" si="31"/>
        <v>2</v>
      </c>
      <c r="AF61" s="124">
        <f t="shared" si="31"/>
        <v>4</v>
      </c>
      <c r="AG61" s="124">
        <f t="shared" si="31"/>
        <v>4</v>
      </c>
      <c r="AH61" s="124">
        <f t="shared" si="31"/>
        <v>3</v>
      </c>
      <c r="AI61" s="124">
        <f t="shared" si="31"/>
        <v>1</v>
      </c>
      <c r="AJ61" s="124">
        <f t="shared" si="31"/>
        <v>5</v>
      </c>
      <c r="AK61" s="124">
        <f t="shared" si="31"/>
        <v>2</v>
      </c>
      <c r="AL61" s="124">
        <f t="shared" si="31"/>
        <v>3</v>
      </c>
    </row>
    <row r="62" spans="1:38" x14ac:dyDescent="0.2">
      <c r="B62" s="71"/>
      <c r="C62" s="71"/>
      <c r="D62" s="71"/>
      <c r="E62" s="71"/>
      <c r="F62" s="71"/>
      <c r="G62" s="71"/>
      <c r="H62" s="71"/>
      <c r="I62" s="71"/>
      <c r="J62" s="71"/>
      <c r="K62" s="71"/>
      <c r="L62" s="71"/>
      <c r="M62" s="71"/>
      <c r="O62" s="25"/>
      <c r="P62" s="25" t="s">
        <v>26</v>
      </c>
      <c r="R62" s="408"/>
      <c r="S62" s="124">
        <f t="shared" ref="S62:AL62" si="32">VLOOKUP(S$47&amp;"Female"&amp;"Maori"&amp;25,agesextable,6,FALSE)</f>
        <v>0</v>
      </c>
      <c r="T62" s="124">
        <f t="shared" si="32"/>
        <v>1</v>
      </c>
      <c r="U62" s="124">
        <f t="shared" si="32"/>
        <v>0</v>
      </c>
      <c r="V62" s="124">
        <f t="shared" si="32"/>
        <v>0</v>
      </c>
      <c r="W62" s="124">
        <f t="shared" si="32"/>
        <v>0</v>
      </c>
      <c r="X62" s="124">
        <f t="shared" si="32"/>
        <v>0</v>
      </c>
      <c r="Y62" s="124">
        <f t="shared" si="32"/>
        <v>0</v>
      </c>
      <c r="Z62" s="124">
        <f t="shared" si="32"/>
        <v>0</v>
      </c>
      <c r="AA62" s="124">
        <f t="shared" si="32"/>
        <v>0</v>
      </c>
      <c r="AB62" s="124">
        <f t="shared" si="32"/>
        <v>0</v>
      </c>
      <c r="AC62" s="124">
        <f t="shared" si="32"/>
        <v>1</v>
      </c>
      <c r="AD62" s="124">
        <f t="shared" si="32"/>
        <v>0</v>
      </c>
      <c r="AE62" s="124">
        <f t="shared" si="32"/>
        <v>0</v>
      </c>
      <c r="AF62" s="124">
        <f t="shared" si="32"/>
        <v>0</v>
      </c>
      <c r="AG62" s="124">
        <f t="shared" si="32"/>
        <v>0</v>
      </c>
      <c r="AH62" s="124">
        <f t="shared" si="32"/>
        <v>0</v>
      </c>
      <c r="AI62" s="124">
        <f t="shared" si="32"/>
        <v>0</v>
      </c>
      <c r="AJ62" s="124">
        <f t="shared" si="32"/>
        <v>0</v>
      </c>
      <c r="AK62" s="124">
        <f t="shared" si="32"/>
        <v>0</v>
      </c>
      <c r="AL62" s="124">
        <f t="shared" si="32"/>
        <v>0</v>
      </c>
    </row>
    <row r="63" spans="1:38" x14ac:dyDescent="0.2">
      <c r="B63" s="71"/>
      <c r="C63" s="71"/>
      <c r="D63" s="71"/>
      <c r="E63" s="71"/>
      <c r="F63" s="71"/>
      <c r="G63" s="71"/>
      <c r="H63" s="71"/>
      <c r="I63" s="71"/>
      <c r="J63" s="71"/>
      <c r="K63" s="76"/>
      <c r="L63" s="71"/>
      <c r="M63" s="71"/>
      <c r="O63" s="28"/>
      <c r="P63" s="28"/>
      <c r="Q63" s="28"/>
      <c r="R63" s="409"/>
      <c r="S63" s="128"/>
      <c r="T63" s="128"/>
      <c r="U63" s="128"/>
      <c r="V63" s="128"/>
      <c r="W63" s="128"/>
      <c r="X63" s="128"/>
      <c r="Y63" s="128"/>
      <c r="Z63" s="128"/>
      <c r="AA63" s="128"/>
      <c r="AB63" s="128"/>
      <c r="AC63" s="128"/>
      <c r="AD63" s="128"/>
      <c r="AE63" s="128"/>
      <c r="AF63" s="128"/>
      <c r="AG63" s="128"/>
      <c r="AH63" s="128"/>
      <c r="AI63" s="128"/>
      <c r="AJ63" s="128"/>
      <c r="AK63" s="128"/>
      <c r="AL63" s="128"/>
    </row>
    <row r="64" spans="1:38" x14ac:dyDescent="0.2">
      <c r="B64" s="71"/>
      <c r="C64" s="71"/>
      <c r="D64" s="71"/>
      <c r="E64" s="71"/>
      <c r="F64" s="71"/>
      <c r="G64" s="71"/>
      <c r="H64" s="71"/>
      <c r="I64" s="71"/>
      <c r="J64" s="71"/>
      <c r="K64" s="76"/>
      <c r="L64" s="71"/>
      <c r="M64" s="71"/>
      <c r="O64" s="25" t="s">
        <v>0</v>
      </c>
      <c r="P64" s="25" t="s">
        <v>189</v>
      </c>
      <c r="Q64" s="25" t="s">
        <v>22</v>
      </c>
      <c r="R64" s="408"/>
      <c r="S64" s="46">
        <f t="shared" ref="S64:AL64" si="33">IF(S49&lt;5,"-",VLOOKUP(S$47&amp;"AllSex"&amp;"Maori"&amp;22,agesextable,7,FALSE))</f>
        <v>37.445991358617398</v>
      </c>
      <c r="T64" s="46">
        <f t="shared" si="33"/>
        <v>36.496350364963497</v>
      </c>
      <c r="U64" s="46">
        <f t="shared" si="33"/>
        <v>41.485769416304898</v>
      </c>
      <c r="V64" s="46">
        <f t="shared" si="33"/>
        <v>32.110538094774697</v>
      </c>
      <c r="W64" s="46">
        <f t="shared" si="33"/>
        <v>27.378507871320998</v>
      </c>
      <c r="X64" s="46">
        <f t="shared" si="33"/>
        <v>28.016616752004602</v>
      </c>
      <c r="Y64" s="46">
        <f t="shared" si="33"/>
        <v>31.252959560564399</v>
      </c>
      <c r="Z64" s="46">
        <f t="shared" si="33"/>
        <v>28.6162651158497</v>
      </c>
      <c r="AA64" s="46">
        <f t="shared" si="33"/>
        <v>37.732458898571601</v>
      </c>
      <c r="AB64" s="46">
        <f t="shared" si="33"/>
        <v>35.010940919037203</v>
      </c>
      <c r="AC64" s="46">
        <f t="shared" si="33"/>
        <v>31.8498751829216</v>
      </c>
      <c r="AD64" s="46">
        <f t="shared" si="33"/>
        <v>27.961362480935399</v>
      </c>
      <c r="AE64" s="46">
        <f t="shared" si="33"/>
        <v>29.247096181164899</v>
      </c>
      <c r="AF64" s="46">
        <f t="shared" si="33"/>
        <v>28.863598878443</v>
      </c>
      <c r="AG64" s="46">
        <f t="shared" si="33"/>
        <v>34.126919639229698</v>
      </c>
      <c r="AH64" s="46">
        <f t="shared" si="33"/>
        <v>39.319531375381203</v>
      </c>
      <c r="AI64" s="46">
        <f t="shared" si="33"/>
        <v>48.389655719498698</v>
      </c>
      <c r="AJ64" s="46">
        <f t="shared" si="33"/>
        <v>39.135879774577297</v>
      </c>
      <c r="AK64" s="46">
        <f t="shared" si="33"/>
        <v>21.611608521148501</v>
      </c>
      <c r="AL64" s="46">
        <f t="shared" si="33"/>
        <v>31.7989097516657</v>
      </c>
    </row>
    <row r="65" spans="2:38" x14ac:dyDescent="0.2">
      <c r="B65" s="71"/>
      <c r="C65" s="79"/>
      <c r="D65" s="71"/>
      <c r="E65" s="80"/>
      <c r="F65" s="80"/>
      <c r="G65" s="76"/>
      <c r="H65" s="71"/>
      <c r="I65" s="71"/>
      <c r="J65" s="71"/>
      <c r="K65" s="76"/>
      <c r="L65" s="71"/>
      <c r="M65" s="71"/>
      <c r="O65" s="25"/>
      <c r="P65" s="25" t="s">
        <v>35</v>
      </c>
      <c r="R65" s="408"/>
      <c r="S65" s="46">
        <f t="shared" ref="S65:AL65" si="34">IF(S50&lt;5,"-",VLOOKUP(S$47&amp;"AllSex"&amp;"Maori"&amp;23,agesextable,7,FALSE))</f>
        <v>30.213508795488099</v>
      </c>
      <c r="T65" s="46">
        <f t="shared" si="34"/>
        <v>36.558297427862598</v>
      </c>
      <c r="U65" s="46">
        <f t="shared" si="34"/>
        <v>29.862125929220401</v>
      </c>
      <c r="V65" s="46">
        <f t="shared" si="34"/>
        <v>25.360301849446401</v>
      </c>
      <c r="W65" s="46">
        <f t="shared" si="34"/>
        <v>24.150214333152199</v>
      </c>
      <c r="X65" s="46">
        <f t="shared" si="34"/>
        <v>24.9346948468297</v>
      </c>
      <c r="Y65" s="46">
        <f t="shared" si="34"/>
        <v>23.602997580692701</v>
      </c>
      <c r="Z65" s="46">
        <f t="shared" si="34"/>
        <v>27.093886205677901</v>
      </c>
      <c r="AA65" s="46">
        <f t="shared" si="34"/>
        <v>32.433069937492597</v>
      </c>
      <c r="AB65" s="46">
        <f t="shared" si="34"/>
        <v>31.865927062433599</v>
      </c>
      <c r="AC65" s="46">
        <f t="shared" si="34"/>
        <v>31.802120141342801</v>
      </c>
      <c r="AD65" s="46">
        <f t="shared" si="34"/>
        <v>29.570051451889501</v>
      </c>
      <c r="AE65" s="46">
        <f t="shared" si="34"/>
        <v>22.0277430493541</v>
      </c>
      <c r="AF65" s="46">
        <f t="shared" si="34"/>
        <v>18.520731270163701</v>
      </c>
      <c r="AG65" s="46">
        <f t="shared" si="34"/>
        <v>24.4863831820354</v>
      </c>
      <c r="AH65" s="46">
        <f t="shared" si="34"/>
        <v>26.256116481680401</v>
      </c>
      <c r="AI65" s="46">
        <f t="shared" si="34"/>
        <v>23.2641374373658</v>
      </c>
      <c r="AJ65" s="46">
        <f t="shared" si="34"/>
        <v>26.227944682880299</v>
      </c>
      <c r="AK65" s="46">
        <f t="shared" si="34"/>
        <v>30.236556589790698</v>
      </c>
      <c r="AL65" s="46">
        <f t="shared" si="34"/>
        <v>31.665982525068902</v>
      </c>
    </row>
    <row r="66" spans="2:38" ht="15" customHeight="1" x14ac:dyDescent="0.2">
      <c r="B66" s="76"/>
      <c r="C66" s="71"/>
      <c r="D66" s="71"/>
      <c r="E66" s="71"/>
      <c r="F66" s="71"/>
      <c r="G66" s="76"/>
      <c r="H66" s="76"/>
      <c r="I66" s="76"/>
      <c r="J66" s="76"/>
      <c r="K66" s="76"/>
      <c r="L66" s="71"/>
      <c r="M66" s="71"/>
      <c r="O66" s="25"/>
      <c r="P66" s="25" t="s">
        <v>36</v>
      </c>
      <c r="R66" s="408"/>
      <c r="S66" s="46">
        <f t="shared" ref="S66:AL66" si="35">IF(S51&lt;5,"-",VLOOKUP(S$47&amp;"AllSex"&amp;"Maori"&amp;24,agesextable,7,FALSE))</f>
        <v>12.674271229404299</v>
      </c>
      <c r="T66" s="46">
        <f t="shared" si="35"/>
        <v>10.644768856447699</v>
      </c>
      <c r="U66" s="46">
        <f t="shared" si="35"/>
        <v>17.528483786152499</v>
      </c>
      <c r="V66" s="46" t="str">
        <f t="shared" si="35"/>
        <v>-</v>
      </c>
      <c r="W66" s="46">
        <f t="shared" si="35"/>
        <v>13.4156157767642</v>
      </c>
      <c r="X66" s="46">
        <f t="shared" si="35"/>
        <v>6.4094346878605304</v>
      </c>
      <c r="Y66" s="46">
        <f t="shared" si="35"/>
        <v>8.5637386836310192</v>
      </c>
      <c r="Z66" s="46">
        <f t="shared" si="35"/>
        <v>5.8486372675166702</v>
      </c>
      <c r="AA66" s="46">
        <f t="shared" si="35"/>
        <v>10.058113544926201</v>
      </c>
      <c r="AB66" s="46">
        <f t="shared" si="35"/>
        <v>7.4994643239768601</v>
      </c>
      <c r="AC66" s="46">
        <f t="shared" si="35"/>
        <v>12.327922745017499</v>
      </c>
      <c r="AD66" s="46">
        <f t="shared" si="35"/>
        <v>11.773940345368899</v>
      </c>
      <c r="AE66" s="46">
        <f t="shared" si="35"/>
        <v>9.3624192491339802</v>
      </c>
      <c r="AF66" s="46">
        <f t="shared" si="35"/>
        <v>9.8858632156016899</v>
      </c>
      <c r="AG66" s="46">
        <f t="shared" si="35"/>
        <v>12.978023879563899</v>
      </c>
      <c r="AH66" s="46">
        <f t="shared" si="35"/>
        <v>13.3723359799415</v>
      </c>
      <c r="AI66" s="46">
        <f t="shared" si="35"/>
        <v>8.08865162177465</v>
      </c>
      <c r="AJ66" s="46">
        <f t="shared" si="35"/>
        <v>7.8492935635792804</v>
      </c>
      <c r="AK66" s="46">
        <f t="shared" si="35"/>
        <v>8.4207303069738995</v>
      </c>
      <c r="AL66" s="46">
        <f t="shared" si="35"/>
        <v>13.474062429822601</v>
      </c>
    </row>
    <row r="67" spans="2:38" x14ac:dyDescent="0.2">
      <c r="B67" s="76"/>
      <c r="C67" s="71"/>
      <c r="D67" s="71"/>
      <c r="E67" s="71"/>
      <c r="F67" s="71"/>
      <c r="G67" s="76"/>
      <c r="H67" s="76"/>
      <c r="I67" s="76"/>
      <c r="J67" s="76"/>
      <c r="K67" s="76"/>
      <c r="L67" s="71"/>
      <c r="M67" s="71"/>
      <c r="O67" s="25"/>
      <c r="P67" s="25" t="s">
        <v>26</v>
      </c>
      <c r="R67" s="408"/>
      <c r="S67" s="46" t="str">
        <f t="shared" ref="S67:AL67" si="36">IF(S52&lt;5,"-",VLOOKUP(S$47&amp;"AllSex"&amp;"Maori"&amp;25,agesextable,7,FALSE))</f>
        <v>-</v>
      </c>
      <c r="T67" s="46" t="str">
        <f t="shared" si="36"/>
        <v>-</v>
      </c>
      <c r="U67" s="46" t="str">
        <f t="shared" si="36"/>
        <v>-</v>
      </c>
      <c r="V67" s="46" t="str">
        <f t="shared" si="36"/>
        <v>-</v>
      </c>
      <c r="W67" s="46" t="str">
        <f t="shared" si="36"/>
        <v>-</v>
      </c>
      <c r="X67" s="46" t="str">
        <f t="shared" si="36"/>
        <v>-</v>
      </c>
      <c r="Y67" s="46" t="str">
        <f t="shared" si="36"/>
        <v>-</v>
      </c>
      <c r="Z67" s="46" t="str">
        <f t="shared" si="36"/>
        <v>-</v>
      </c>
      <c r="AA67" s="46" t="str">
        <f t="shared" si="36"/>
        <v>-</v>
      </c>
      <c r="AB67" s="46" t="str">
        <f t="shared" si="36"/>
        <v>-</v>
      </c>
      <c r="AC67" s="46" t="str">
        <f t="shared" si="36"/>
        <v>-</v>
      </c>
      <c r="AD67" s="46" t="str">
        <f t="shared" si="36"/>
        <v>-</v>
      </c>
      <c r="AE67" s="46" t="str">
        <f t="shared" si="36"/>
        <v>-</v>
      </c>
      <c r="AF67" s="46" t="str">
        <f t="shared" si="36"/>
        <v>-</v>
      </c>
      <c r="AG67" s="46" t="str">
        <f t="shared" si="36"/>
        <v>-</v>
      </c>
      <c r="AH67" s="46" t="str">
        <f t="shared" si="36"/>
        <v>-</v>
      </c>
      <c r="AI67" s="46" t="str">
        <f t="shared" si="36"/>
        <v>-</v>
      </c>
      <c r="AJ67" s="46" t="str">
        <f t="shared" si="36"/>
        <v>-</v>
      </c>
      <c r="AK67" s="46" t="str">
        <f t="shared" si="36"/>
        <v>-</v>
      </c>
      <c r="AL67" s="46" t="str">
        <f t="shared" si="36"/>
        <v>-</v>
      </c>
    </row>
    <row r="68" spans="2:38" x14ac:dyDescent="0.2">
      <c r="B68" s="71"/>
      <c r="C68" s="71"/>
      <c r="D68" s="71"/>
      <c r="E68" s="78"/>
      <c r="F68" s="78"/>
      <c r="G68" s="71"/>
      <c r="H68" s="71"/>
      <c r="I68" s="71"/>
      <c r="J68" s="71"/>
      <c r="K68" s="71"/>
      <c r="L68" s="71"/>
      <c r="M68" s="71"/>
      <c r="O68" s="28"/>
      <c r="P68" s="28"/>
      <c r="Q68" s="28"/>
      <c r="R68" s="409"/>
      <c r="S68" s="38"/>
      <c r="T68" s="38"/>
      <c r="U68" s="38"/>
      <c r="V68" s="38"/>
      <c r="W68" s="38"/>
      <c r="X68" s="38"/>
      <c r="Y68" s="38"/>
      <c r="Z68" s="38"/>
      <c r="AA68" s="38"/>
      <c r="AB68" s="38"/>
      <c r="AC68" s="38"/>
      <c r="AD68" s="38"/>
      <c r="AE68" s="38"/>
      <c r="AF68" s="38"/>
      <c r="AG68" s="38"/>
      <c r="AH68" s="38"/>
      <c r="AI68" s="38"/>
      <c r="AJ68" s="38"/>
      <c r="AK68" s="38"/>
      <c r="AL68" s="38"/>
    </row>
    <row r="69" spans="2:38" x14ac:dyDescent="0.2">
      <c r="B69" s="71"/>
      <c r="C69" s="84" t="s">
        <v>145</v>
      </c>
      <c r="D69" s="79" t="s">
        <v>103</v>
      </c>
      <c r="E69" s="71"/>
      <c r="F69" s="71"/>
      <c r="G69" s="71"/>
      <c r="H69" s="71"/>
      <c r="I69" s="71"/>
      <c r="J69" s="71"/>
      <c r="K69" s="71"/>
      <c r="L69" s="71"/>
      <c r="M69" s="71"/>
      <c r="O69" s="25" t="s">
        <v>20</v>
      </c>
      <c r="P69" s="25" t="s">
        <v>189</v>
      </c>
      <c r="Q69" s="25" t="s">
        <v>22</v>
      </c>
      <c r="R69" s="408"/>
      <c r="S69" s="46">
        <f t="shared" ref="S69:AL69" si="37">IF(S54&lt;5, "-",VLOOKUP(S$47&amp;"Male"&amp;"Maori"&amp;22,agesextable,7,FALSE))</f>
        <v>58.59375</v>
      </c>
      <c r="T69" s="46">
        <f t="shared" si="37"/>
        <v>56.431212298112499</v>
      </c>
      <c r="U69" s="46">
        <f t="shared" si="37"/>
        <v>58.490933905244702</v>
      </c>
      <c r="V69" s="46">
        <f t="shared" si="37"/>
        <v>45.195519748477103</v>
      </c>
      <c r="W69" s="46">
        <f t="shared" si="37"/>
        <v>47.374654559810502</v>
      </c>
      <c r="X69" s="46">
        <f t="shared" si="37"/>
        <v>38.978756577665202</v>
      </c>
      <c r="Y69" s="46">
        <f t="shared" si="37"/>
        <v>43.909889270713997</v>
      </c>
      <c r="Z69" s="46">
        <f t="shared" si="37"/>
        <v>37.306472673008798</v>
      </c>
      <c r="AA69" s="46">
        <f t="shared" si="37"/>
        <v>50.918348790689201</v>
      </c>
      <c r="AB69" s="46">
        <f t="shared" si="37"/>
        <v>51.5280739161336</v>
      </c>
      <c r="AC69" s="46">
        <f t="shared" si="37"/>
        <v>50.752537626881299</v>
      </c>
      <c r="AD69" s="46">
        <f t="shared" si="37"/>
        <v>39.593733861249802</v>
      </c>
      <c r="AE69" s="46">
        <f t="shared" si="37"/>
        <v>28.857579358343202</v>
      </c>
      <c r="AF69" s="46">
        <f t="shared" si="37"/>
        <v>40.140491721023601</v>
      </c>
      <c r="AG69" s="46">
        <f t="shared" si="37"/>
        <v>44.437129690585898</v>
      </c>
      <c r="AH69" s="46">
        <f t="shared" si="37"/>
        <v>53.519299383717197</v>
      </c>
      <c r="AI69" s="46">
        <f t="shared" si="37"/>
        <v>59.247397918334698</v>
      </c>
      <c r="AJ69" s="46">
        <f t="shared" si="37"/>
        <v>47.169811320754697</v>
      </c>
      <c r="AK69" s="46">
        <f t="shared" si="37"/>
        <v>30.736130321192601</v>
      </c>
      <c r="AL69" s="46">
        <f t="shared" si="37"/>
        <v>28.4048437733592</v>
      </c>
    </row>
    <row r="70" spans="2:38" x14ac:dyDescent="0.2">
      <c r="B70" s="71"/>
      <c r="C70" s="71"/>
      <c r="D70" s="84" t="s">
        <v>599</v>
      </c>
      <c r="E70" s="76"/>
      <c r="F70" s="76"/>
      <c r="G70" s="71"/>
      <c r="H70" s="71"/>
      <c r="I70" s="71"/>
      <c r="J70" s="71"/>
      <c r="K70" s="71"/>
      <c r="L70" s="71"/>
      <c r="M70" s="71"/>
      <c r="O70" s="25"/>
      <c r="P70" s="25" t="s">
        <v>35</v>
      </c>
      <c r="R70" s="408"/>
      <c r="S70" s="46">
        <f t="shared" ref="S70:AL70" si="38">IF(S55&lt;5, "-",VLOOKUP(S$47&amp;"Male"&amp;"Maori"&amp;23,agesextable,7,FALSE))</f>
        <v>50.811573747353599</v>
      </c>
      <c r="T70" s="46">
        <f t="shared" si="38"/>
        <v>56.365136101182301</v>
      </c>
      <c r="U70" s="46">
        <f t="shared" si="38"/>
        <v>53.569037096558198</v>
      </c>
      <c r="V70" s="46">
        <f t="shared" si="38"/>
        <v>44.328552803129099</v>
      </c>
      <c r="W70" s="46">
        <f t="shared" si="38"/>
        <v>44.523597506678499</v>
      </c>
      <c r="X70" s="46">
        <f t="shared" si="38"/>
        <v>38.7548443555444</v>
      </c>
      <c r="Y70" s="46">
        <f t="shared" si="38"/>
        <v>38.581207218419401</v>
      </c>
      <c r="Z70" s="46">
        <f t="shared" si="38"/>
        <v>48.555776892430302</v>
      </c>
      <c r="AA70" s="46">
        <f t="shared" si="38"/>
        <v>55</v>
      </c>
      <c r="AB70" s="46">
        <f t="shared" si="38"/>
        <v>52.618391380606397</v>
      </c>
      <c r="AC70" s="46">
        <f t="shared" si="38"/>
        <v>45.028142589118197</v>
      </c>
      <c r="AD70" s="46">
        <f t="shared" si="38"/>
        <v>49.044265593561398</v>
      </c>
      <c r="AE70" s="46">
        <f t="shared" si="38"/>
        <v>35.523978685612803</v>
      </c>
      <c r="AF70" s="46">
        <f t="shared" si="38"/>
        <v>29.362951614962299</v>
      </c>
      <c r="AG70" s="46">
        <f t="shared" si="38"/>
        <v>40.994107097104802</v>
      </c>
      <c r="AH70" s="46">
        <f t="shared" si="38"/>
        <v>42.411001156663701</v>
      </c>
      <c r="AI70" s="46">
        <f t="shared" si="38"/>
        <v>38.669760247486501</v>
      </c>
      <c r="AJ70" s="46">
        <f t="shared" si="38"/>
        <v>40.119063025753803</v>
      </c>
      <c r="AK70" s="46">
        <f t="shared" si="38"/>
        <v>47.723461885721697</v>
      </c>
      <c r="AL70" s="46">
        <f t="shared" si="38"/>
        <v>51.026916698558502</v>
      </c>
    </row>
    <row r="71" spans="2:38" x14ac:dyDescent="0.2">
      <c r="B71" s="71"/>
      <c r="C71" s="79" t="s">
        <v>150</v>
      </c>
      <c r="D71" s="315" t="s">
        <v>149</v>
      </c>
      <c r="E71" s="71"/>
      <c r="F71" s="71"/>
      <c r="G71" s="71"/>
      <c r="H71" s="71"/>
      <c r="I71" s="71"/>
      <c r="J71" s="71"/>
      <c r="K71" s="71"/>
      <c r="L71" s="71"/>
      <c r="M71" s="71"/>
      <c r="O71" s="25"/>
      <c r="P71" s="25" t="s">
        <v>36</v>
      </c>
      <c r="R71" s="408"/>
      <c r="S71" s="46">
        <f t="shared" ref="S71:AL71" si="39">IF(S56&lt;5, "-",VLOOKUP(S$47&amp;"Male"&amp;"Maori"&amp;24,agesextable,7,FALSE))</f>
        <v>16.103059581320501</v>
      </c>
      <c r="T71" s="46">
        <f t="shared" si="39"/>
        <v>21.6450216450216</v>
      </c>
      <c r="U71" s="46">
        <f t="shared" si="39"/>
        <v>29.753049687592998</v>
      </c>
      <c r="V71" s="46" t="str">
        <f>IF(V56&lt;5, "-",VLOOKUP(V$47&amp;"Male"&amp;"Maori"&amp;24,agesextable,7,FALSE))</f>
        <v>-</v>
      </c>
      <c r="W71" s="46">
        <f t="shared" si="39"/>
        <v>22.0507166482911</v>
      </c>
      <c r="X71" s="46">
        <f t="shared" si="39"/>
        <v>13.185654008438799</v>
      </c>
      <c r="Y71" s="46">
        <f t="shared" si="39"/>
        <v>15.1285930408472</v>
      </c>
      <c r="Z71" s="46" t="str">
        <f t="shared" si="39"/>
        <v>-</v>
      </c>
      <c r="AA71" s="46">
        <f t="shared" si="39"/>
        <v>16.199953714418001</v>
      </c>
      <c r="AB71" s="46">
        <f t="shared" si="39"/>
        <v>11.148272017837201</v>
      </c>
      <c r="AC71" s="46">
        <f t="shared" si="39"/>
        <v>21.4868929952729</v>
      </c>
      <c r="AD71" s="46">
        <f t="shared" si="39"/>
        <v>22.680412371134</v>
      </c>
      <c r="AE71" s="46">
        <f t="shared" si="39"/>
        <v>15.7946692991116</v>
      </c>
      <c r="AF71" s="46">
        <f t="shared" si="39"/>
        <v>13.292821876186901</v>
      </c>
      <c r="AG71" s="46">
        <f t="shared" si="39"/>
        <v>20.139143170999599</v>
      </c>
      <c r="AH71" s="46">
        <f t="shared" si="39"/>
        <v>23.008849557522101</v>
      </c>
      <c r="AI71" s="46">
        <f t="shared" si="39"/>
        <v>15.442690459849</v>
      </c>
      <c r="AJ71" s="46">
        <f t="shared" si="39"/>
        <v>8.3514280942041097</v>
      </c>
      <c r="AK71" s="46">
        <f t="shared" si="39"/>
        <v>14.6866840731071</v>
      </c>
      <c r="AL71" s="46">
        <f t="shared" si="39"/>
        <v>23.996160614301701</v>
      </c>
    </row>
    <row r="72" spans="2:38" x14ac:dyDescent="0.2">
      <c r="B72" s="71"/>
      <c r="C72" s="71"/>
      <c r="D72" s="71"/>
      <c r="E72" s="71"/>
      <c r="F72" s="71"/>
      <c r="G72" s="71"/>
      <c r="H72" s="71"/>
      <c r="I72" s="71"/>
      <c r="J72" s="71"/>
      <c r="K72" s="71"/>
      <c r="L72" s="71"/>
      <c r="M72" s="71"/>
      <c r="O72" s="25"/>
      <c r="P72" s="25" t="s">
        <v>26</v>
      </c>
      <c r="R72" s="408"/>
      <c r="S72" s="46" t="str">
        <f t="shared" ref="S72:AL72" si="40">IF(S57&lt;5, "-",VLOOKUP(S$47&amp;"Male"&amp;"Maori"&amp;25,agesextable,7,FALSE))</f>
        <v>-</v>
      </c>
      <c r="T72" s="46" t="str">
        <f t="shared" si="40"/>
        <v>-</v>
      </c>
      <c r="U72" s="46" t="str">
        <f t="shared" si="40"/>
        <v>-</v>
      </c>
      <c r="V72" s="46" t="str">
        <f t="shared" si="40"/>
        <v>-</v>
      </c>
      <c r="W72" s="46" t="str">
        <f t="shared" si="40"/>
        <v>-</v>
      </c>
      <c r="X72" s="46" t="str">
        <f t="shared" si="40"/>
        <v>-</v>
      </c>
      <c r="Y72" s="46" t="str">
        <f t="shared" si="40"/>
        <v>-</v>
      </c>
      <c r="Z72" s="46" t="str">
        <f t="shared" si="40"/>
        <v>-</v>
      </c>
      <c r="AA72" s="46" t="str">
        <f t="shared" si="40"/>
        <v>-</v>
      </c>
      <c r="AB72" s="46" t="str">
        <f t="shared" si="40"/>
        <v>-</v>
      </c>
      <c r="AC72" s="46" t="str">
        <f t="shared" si="40"/>
        <v>-</v>
      </c>
      <c r="AD72" s="46" t="str">
        <f t="shared" si="40"/>
        <v>-</v>
      </c>
      <c r="AE72" s="46" t="str">
        <f t="shared" si="40"/>
        <v>-</v>
      </c>
      <c r="AF72" s="46" t="str">
        <f t="shared" si="40"/>
        <v>-</v>
      </c>
      <c r="AG72" s="46" t="str">
        <f t="shared" si="40"/>
        <v>-</v>
      </c>
      <c r="AH72" s="46" t="str">
        <f t="shared" si="40"/>
        <v>-</v>
      </c>
      <c r="AI72" s="46" t="str">
        <f t="shared" si="40"/>
        <v>-</v>
      </c>
      <c r="AJ72" s="46" t="str">
        <f t="shared" si="40"/>
        <v>-</v>
      </c>
      <c r="AK72" s="46" t="str">
        <f t="shared" si="40"/>
        <v>-</v>
      </c>
      <c r="AL72" s="46" t="str">
        <f t="shared" si="40"/>
        <v>-</v>
      </c>
    </row>
    <row r="73" spans="2:38" x14ac:dyDescent="0.2">
      <c r="O73" s="28"/>
      <c r="P73" s="28"/>
      <c r="Q73" s="28"/>
      <c r="R73" s="409"/>
      <c r="S73" s="38"/>
      <c r="T73" s="38"/>
      <c r="U73" s="38"/>
      <c r="V73" s="38"/>
      <c r="W73" s="38"/>
      <c r="X73" s="38"/>
      <c r="Y73" s="38"/>
      <c r="Z73" s="38"/>
      <c r="AA73" s="38"/>
      <c r="AB73" s="38"/>
      <c r="AC73" s="38"/>
      <c r="AD73" s="38"/>
      <c r="AE73" s="38"/>
      <c r="AF73" s="38"/>
      <c r="AG73" s="38"/>
      <c r="AH73" s="38"/>
      <c r="AI73" s="38"/>
      <c r="AJ73" s="38"/>
      <c r="AK73" s="38"/>
      <c r="AL73" s="38"/>
    </row>
    <row r="74" spans="2:38" x14ac:dyDescent="0.2">
      <c r="O74" s="25" t="s">
        <v>8</v>
      </c>
      <c r="P74" s="25" t="s">
        <v>189</v>
      </c>
      <c r="Q74" s="25" t="s">
        <v>22</v>
      </c>
      <c r="R74" s="408"/>
      <c r="S74" s="46">
        <f t="shared" ref="S74:AL74" si="41">IF(S59&lt;5, "-",VLOOKUP(S$47&amp;"Female"&amp;"Maori"&amp;22,agesextable,7,FALSE))</f>
        <v>16.997167138810202</v>
      </c>
      <c r="T74" s="46">
        <f t="shared" si="41"/>
        <v>17.0680826853783</v>
      </c>
      <c r="U74" s="46">
        <f t="shared" si="41"/>
        <v>24.823372159633401</v>
      </c>
      <c r="V74" s="46">
        <f t="shared" si="41"/>
        <v>19.275250578257499</v>
      </c>
      <c r="W74" s="46">
        <f>IF(W59&lt;4, "-",VLOOKUP(W$47&amp;"Female"&amp;"Maori"&amp;22,agesextable,7,FALSE))</f>
        <v>7.7489345215032897</v>
      </c>
      <c r="X74" s="46">
        <f t="shared" si="41"/>
        <v>17.241379310344801</v>
      </c>
      <c r="Y74" s="46">
        <f t="shared" si="41"/>
        <v>18.793459875963201</v>
      </c>
      <c r="Z74" s="46">
        <f t="shared" si="41"/>
        <v>20.106013525863599</v>
      </c>
      <c r="AA74" s="46">
        <f t="shared" si="41"/>
        <v>24.857954545454501</v>
      </c>
      <c r="AB74" s="46">
        <f t="shared" si="41"/>
        <v>18.9753320683112</v>
      </c>
      <c r="AC74" s="46">
        <f t="shared" si="41"/>
        <v>13.552430967304799</v>
      </c>
      <c r="AD74" s="46">
        <f t="shared" si="41"/>
        <v>16.686133822793298</v>
      </c>
      <c r="AE74" s="46">
        <f t="shared" si="41"/>
        <v>29.6247531270573</v>
      </c>
      <c r="AF74" s="46">
        <f t="shared" si="41"/>
        <v>17.889087656529501</v>
      </c>
      <c r="AG74" s="46">
        <f t="shared" si="41"/>
        <v>24.0731824747232</v>
      </c>
      <c r="AH74" s="46">
        <f t="shared" si="41"/>
        <v>25.412960609911099</v>
      </c>
      <c r="AI74" s="46">
        <f t="shared" si="41"/>
        <v>37.7299166797673</v>
      </c>
      <c r="AJ74" s="46">
        <f t="shared" si="41"/>
        <v>31.172069825436399</v>
      </c>
      <c r="AK74" s="46">
        <f t="shared" si="41"/>
        <v>12.405024034734099</v>
      </c>
      <c r="AL74" s="46">
        <f t="shared" si="41"/>
        <v>35.281484890320598</v>
      </c>
    </row>
    <row r="75" spans="2:38" x14ac:dyDescent="0.2">
      <c r="O75" s="25"/>
      <c r="P75" s="25" t="s">
        <v>35</v>
      </c>
      <c r="R75" s="408"/>
      <c r="S75" s="46">
        <f t="shared" ref="S75:AL75" si="42">IF(S60&lt;5, "-",VLOOKUP(S$47&amp;"Female"&amp;"Maori"&amp;23,agesextable,7,FALSE))</f>
        <v>11.5266393442623</v>
      </c>
      <c r="T75" s="46">
        <f t="shared" si="42"/>
        <v>18.649757553151801</v>
      </c>
      <c r="U75" s="46">
        <f t="shared" si="42"/>
        <v>8.4622823984526097</v>
      </c>
      <c r="V75" s="46">
        <f t="shared" si="42"/>
        <v>8.2382017182534995</v>
      </c>
      <c r="W75" s="46">
        <f t="shared" si="42"/>
        <v>5.7451453521774098</v>
      </c>
      <c r="X75" s="46">
        <f t="shared" si="42"/>
        <v>12.439217460138</v>
      </c>
      <c r="Y75" s="46">
        <f t="shared" si="42"/>
        <v>10.097610232245</v>
      </c>
      <c r="Z75" s="46">
        <f t="shared" si="42"/>
        <v>7.8238515703587801</v>
      </c>
      <c r="AA75" s="46">
        <f t="shared" si="42"/>
        <v>12.279526680062499</v>
      </c>
      <c r="AB75" s="46">
        <f t="shared" si="42"/>
        <v>13.386880856760399</v>
      </c>
      <c r="AC75" s="46">
        <f t="shared" si="42"/>
        <v>20.028930677645501</v>
      </c>
      <c r="AD75" s="46">
        <f t="shared" si="42"/>
        <v>12.280897621971601</v>
      </c>
      <c r="AE75" s="46">
        <f t="shared" si="42"/>
        <v>10.0964774512004</v>
      </c>
      <c r="AF75" s="46">
        <f t="shared" si="42"/>
        <v>8.9827082865483892</v>
      </c>
      <c r="AG75" s="46">
        <f t="shared" si="42"/>
        <v>10.0682402953351</v>
      </c>
      <c r="AH75" s="46">
        <f t="shared" si="42"/>
        <v>12.2562674094708</v>
      </c>
      <c r="AI75" s="46">
        <f t="shared" si="42"/>
        <v>9.9922282669035205</v>
      </c>
      <c r="AJ75" s="46">
        <f t="shared" si="42"/>
        <v>14.3662283125207</v>
      </c>
      <c r="AK75" s="46">
        <f t="shared" si="42"/>
        <v>15.360983102918601</v>
      </c>
      <c r="AL75" s="46">
        <f t="shared" si="42"/>
        <v>15.1909722222222</v>
      </c>
    </row>
    <row r="76" spans="2:38" x14ac:dyDescent="0.2">
      <c r="O76" s="25"/>
      <c r="P76" s="25" t="s">
        <v>36</v>
      </c>
      <c r="R76" s="408"/>
      <c r="S76" s="46" t="str">
        <f t="shared" ref="S76:AL76" si="43">IF(S61&lt;5, "-",VLOOKUP(S$47&amp;"Female"&amp;"Maori"&amp;24,agesextable,7,FALSE))</f>
        <v>-</v>
      </c>
      <c r="T76" s="46" t="str">
        <f t="shared" si="43"/>
        <v>-</v>
      </c>
      <c r="U76" s="46" t="str">
        <f t="shared" si="43"/>
        <v>-</v>
      </c>
      <c r="V76" s="46" t="str">
        <f t="shared" si="43"/>
        <v>-</v>
      </c>
      <c r="W76" s="46" t="str">
        <f t="shared" si="43"/>
        <v>-</v>
      </c>
      <c r="X76" s="46" t="str">
        <f t="shared" si="43"/>
        <v>-</v>
      </c>
      <c r="Y76" s="46" t="str">
        <f t="shared" si="43"/>
        <v>-</v>
      </c>
      <c r="Z76" s="46" t="str">
        <f t="shared" si="43"/>
        <v>-</v>
      </c>
      <c r="AA76" s="46" t="str">
        <f t="shared" si="43"/>
        <v>-</v>
      </c>
      <c r="AB76" s="46" t="str">
        <f t="shared" si="43"/>
        <v>-</v>
      </c>
      <c r="AC76" s="46" t="str">
        <f t="shared" si="43"/>
        <v>-</v>
      </c>
      <c r="AD76" s="46" t="str">
        <f t="shared" si="43"/>
        <v>-</v>
      </c>
      <c r="AE76" s="46" t="str">
        <f t="shared" si="43"/>
        <v>-</v>
      </c>
      <c r="AF76" s="46" t="str">
        <f t="shared" si="43"/>
        <v>-</v>
      </c>
      <c r="AG76" s="46" t="str">
        <f t="shared" si="43"/>
        <v>-</v>
      </c>
      <c r="AH76" s="46" t="str">
        <f t="shared" si="43"/>
        <v>-</v>
      </c>
      <c r="AI76" s="46" t="str">
        <f t="shared" si="43"/>
        <v>-</v>
      </c>
      <c r="AJ76" s="46">
        <f t="shared" si="43"/>
        <v>7.4041166888790197</v>
      </c>
      <c r="AK76" s="46" t="str">
        <f t="shared" si="43"/>
        <v>-</v>
      </c>
      <c r="AL76" s="46" t="str">
        <f t="shared" si="43"/>
        <v>-</v>
      </c>
    </row>
    <row r="77" spans="2:38" x14ac:dyDescent="0.2">
      <c r="B77" s="201"/>
      <c r="C77" s="366"/>
      <c r="D77" s="366"/>
      <c r="E77" s="366"/>
      <c r="F77" s="366"/>
      <c r="G77" s="366"/>
      <c r="H77" s="366"/>
      <c r="I77" s="366"/>
      <c r="J77" s="366"/>
      <c r="K77" s="366"/>
      <c r="L77" s="366"/>
      <c r="M77" s="201"/>
      <c r="P77" s="24" t="s">
        <v>26</v>
      </c>
      <c r="R77" s="410"/>
      <c r="S77" s="46" t="str">
        <f t="shared" ref="S77:AL77" si="44">IF(S62&lt;5, "-",VLOOKUP(S$47&amp;"Female"&amp;"Maori"&amp;25,agesextable,7,FALSE))</f>
        <v>-</v>
      </c>
      <c r="T77" s="46" t="str">
        <f t="shared" si="44"/>
        <v>-</v>
      </c>
      <c r="U77" s="46" t="str">
        <f t="shared" si="44"/>
        <v>-</v>
      </c>
      <c r="V77" s="46" t="str">
        <f t="shared" si="44"/>
        <v>-</v>
      </c>
      <c r="W77" s="46" t="str">
        <f t="shared" si="44"/>
        <v>-</v>
      </c>
      <c r="X77" s="46" t="str">
        <f t="shared" si="44"/>
        <v>-</v>
      </c>
      <c r="Y77" s="46" t="str">
        <f t="shared" si="44"/>
        <v>-</v>
      </c>
      <c r="Z77" s="46" t="str">
        <f t="shared" si="44"/>
        <v>-</v>
      </c>
      <c r="AA77" s="46" t="str">
        <f t="shared" si="44"/>
        <v>-</v>
      </c>
      <c r="AB77" s="46" t="str">
        <f t="shared" si="44"/>
        <v>-</v>
      </c>
      <c r="AC77" s="46" t="str">
        <f t="shared" si="44"/>
        <v>-</v>
      </c>
      <c r="AD77" s="46" t="str">
        <f t="shared" si="44"/>
        <v>-</v>
      </c>
      <c r="AE77" s="46" t="str">
        <f t="shared" si="44"/>
        <v>-</v>
      </c>
      <c r="AF77" s="46" t="str">
        <f t="shared" si="44"/>
        <v>-</v>
      </c>
      <c r="AG77" s="46" t="str">
        <f t="shared" si="44"/>
        <v>-</v>
      </c>
      <c r="AH77" s="46" t="str">
        <f t="shared" si="44"/>
        <v>-</v>
      </c>
      <c r="AI77" s="46" t="str">
        <f t="shared" si="44"/>
        <v>-</v>
      </c>
      <c r="AJ77" s="46" t="str">
        <f t="shared" si="44"/>
        <v>-</v>
      </c>
      <c r="AK77" s="46" t="str">
        <f t="shared" si="44"/>
        <v>-</v>
      </c>
      <c r="AL77" s="46" t="str">
        <f t="shared" si="44"/>
        <v>-</v>
      </c>
    </row>
    <row r="78" spans="2:38" x14ac:dyDescent="0.2">
      <c r="O78" s="26"/>
      <c r="P78" s="26"/>
      <c r="Q78" s="28"/>
      <c r="R78" s="409"/>
      <c r="S78" s="128"/>
      <c r="T78" s="128"/>
      <c r="U78" s="128"/>
      <c r="V78" s="128"/>
      <c r="W78" s="128"/>
      <c r="X78" s="128"/>
      <c r="Y78" s="128"/>
      <c r="Z78" s="128"/>
      <c r="AA78" s="128"/>
      <c r="AB78" s="128"/>
      <c r="AC78" s="128"/>
      <c r="AD78" s="128"/>
      <c r="AE78" s="128"/>
      <c r="AF78" s="128"/>
      <c r="AG78" s="128"/>
      <c r="AH78" s="128"/>
      <c r="AI78" s="128"/>
      <c r="AJ78" s="128"/>
      <c r="AK78" s="128"/>
      <c r="AL78" s="43"/>
    </row>
    <row r="79" spans="2:38" x14ac:dyDescent="0.2">
      <c r="B79" s="71"/>
      <c r="C79" s="71"/>
      <c r="D79" s="71"/>
      <c r="E79" s="71"/>
      <c r="F79" s="71"/>
      <c r="G79" s="71"/>
      <c r="H79" s="71"/>
      <c r="I79" s="71"/>
      <c r="J79" s="71"/>
      <c r="K79" s="71"/>
      <c r="L79" s="71"/>
      <c r="M79" s="71"/>
      <c r="P79" s="30"/>
      <c r="Q79" s="31"/>
      <c r="R79" s="408"/>
      <c r="AC79" s="124"/>
      <c r="AD79" s="124"/>
      <c r="AE79" s="124"/>
      <c r="AF79" s="124"/>
      <c r="AG79" s="124"/>
      <c r="AH79" s="124"/>
      <c r="AI79" s="124"/>
      <c r="AJ79" s="124"/>
      <c r="AK79" s="124"/>
      <c r="AL79" s="130"/>
    </row>
    <row r="80" spans="2:38" ht="13.5" x14ac:dyDescent="0.25">
      <c r="B80" s="365"/>
      <c r="C80" s="553" t="s">
        <v>436</v>
      </c>
      <c r="D80" s="525"/>
      <c r="E80" s="525"/>
      <c r="F80" s="525"/>
      <c r="G80" s="525"/>
      <c r="H80" s="525"/>
      <c r="I80" s="525"/>
      <c r="J80" s="525"/>
      <c r="K80" s="525"/>
      <c r="L80" s="525"/>
      <c r="M80" s="365"/>
      <c r="O80" s="22" t="s">
        <v>4</v>
      </c>
      <c r="R80" s="408"/>
    </row>
    <row r="81" spans="2:38" x14ac:dyDescent="0.2">
      <c r="B81" s="71"/>
      <c r="C81" s="71"/>
      <c r="D81" s="71"/>
      <c r="E81" s="71"/>
      <c r="F81" s="71"/>
      <c r="G81" s="71"/>
      <c r="H81" s="71"/>
      <c r="I81" s="71"/>
      <c r="J81" s="71"/>
      <c r="K81" s="71"/>
      <c r="L81" s="71"/>
      <c r="M81" s="71"/>
      <c r="R81" s="408"/>
    </row>
    <row r="82" spans="2:38" x14ac:dyDescent="0.2">
      <c r="B82" s="76"/>
      <c r="C82" s="76"/>
      <c r="D82" s="76"/>
      <c r="E82" s="111"/>
      <c r="F82" s="76"/>
      <c r="G82" s="76"/>
      <c r="H82" s="76"/>
      <c r="I82" s="76"/>
      <c r="J82" s="111"/>
      <c r="K82" s="71"/>
      <c r="L82" s="71"/>
      <c r="M82" s="71"/>
      <c r="O82" s="34" t="s">
        <v>1</v>
      </c>
      <c r="P82" s="22" t="s">
        <v>37</v>
      </c>
      <c r="R82" s="408"/>
      <c r="S82" s="169">
        <v>1996</v>
      </c>
      <c r="T82" s="169">
        <v>1997</v>
      </c>
      <c r="U82" s="169">
        <v>1998</v>
      </c>
      <c r="V82" s="169">
        <v>1999</v>
      </c>
      <c r="W82" s="169">
        <v>2000</v>
      </c>
      <c r="X82" s="169">
        <v>2001</v>
      </c>
      <c r="Y82" s="169">
        <v>2002</v>
      </c>
      <c r="Z82" s="169">
        <v>2003</v>
      </c>
      <c r="AA82" s="169">
        <v>2004</v>
      </c>
      <c r="AB82" s="169">
        <v>2005</v>
      </c>
      <c r="AC82" s="169">
        <v>2006</v>
      </c>
      <c r="AD82" s="49">
        <v>2007</v>
      </c>
      <c r="AE82" s="49">
        <v>2008</v>
      </c>
      <c r="AF82" s="49">
        <v>2009</v>
      </c>
      <c r="AG82" s="49">
        <v>2010</v>
      </c>
      <c r="AH82" s="49">
        <v>2011</v>
      </c>
      <c r="AI82" s="49">
        <v>2012</v>
      </c>
      <c r="AJ82" s="49">
        <v>2013</v>
      </c>
      <c r="AK82" s="49">
        <v>2014</v>
      </c>
      <c r="AL82" s="49">
        <v>2015</v>
      </c>
    </row>
    <row r="83" spans="2:38" x14ac:dyDescent="0.2">
      <c r="B83" s="76"/>
      <c r="C83" s="76"/>
      <c r="D83" s="76"/>
      <c r="E83" s="71"/>
      <c r="F83" s="76"/>
      <c r="G83" s="76"/>
      <c r="H83" s="76"/>
      <c r="I83" s="76"/>
      <c r="J83" s="71"/>
      <c r="K83" s="71"/>
      <c r="L83" s="71"/>
      <c r="M83" s="71"/>
      <c r="O83" s="30"/>
      <c r="R83" s="408"/>
      <c r="AC83" s="124"/>
      <c r="AL83" s="47"/>
    </row>
    <row r="84" spans="2:38" x14ac:dyDescent="0.2">
      <c r="B84" s="76"/>
      <c r="C84" s="76"/>
      <c r="D84" s="76"/>
      <c r="E84" s="76"/>
      <c r="F84" s="76"/>
      <c r="G84" s="76"/>
      <c r="H84" s="76"/>
      <c r="I84" s="76"/>
      <c r="J84" s="76"/>
      <c r="K84" s="71"/>
      <c r="L84" s="71"/>
      <c r="M84" s="71"/>
      <c r="O84" s="30" t="s">
        <v>0</v>
      </c>
      <c r="P84" s="24" t="s">
        <v>189</v>
      </c>
      <c r="Q84" s="25" t="s">
        <v>21</v>
      </c>
      <c r="R84" s="408"/>
      <c r="S84" s="124">
        <f t="shared" ref="S84:AL84" si="45">VLOOKUP(S$47&amp;"AllSex"&amp;"Non-Maori"&amp;22,agesextable,6,FALSE)</f>
        <v>104</v>
      </c>
      <c r="T84" s="124">
        <f t="shared" si="45"/>
        <v>104</v>
      </c>
      <c r="U84" s="124">
        <f t="shared" si="45"/>
        <v>97</v>
      </c>
      <c r="V84" s="124">
        <f t="shared" si="45"/>
        <v>87</v>
      </c>
      <c r="W84" s="124">
        <f t="shared" si="45"/>
        <v>68</v>
      </c>
      <c r="X84" s="124">
        <f t="shared" si="45"/>
        <v>81</v>
      </c>
      <c r="Y84" s="124">
        <f t="shared" si="45"/>
        <v>63</v>
      </c>
      <c r="Z84" s="124">
        <f t="shared" si="45"/>
        <v>67</v>
      </c>
      <c r="AA84" s="124">
        <f t="shared" si="45"/>
        <v>72</v>
      </c>
      <c r="AB84" s="124">
        <f t="shared" si="45"/>
        <v>69</v>
      </c>
      <c r="AC84" s="124">
        <f t="shared" si="45"/>
        <v>82</v>
      </c>
      <c r="AD84" s="124">
        <f t="shared" si="45"/>
        <v>61</v>
      </c>
      <c r="AE84" s="124">
        <f t="shared" si="45"/>
        <v>86</v>
      </c>
      <c r="AF84" s="124">
        <f t="shared" si="45"/>
        <v>81</v>
      </c>
      <c r="AG84" s="124">
        <f t="shared" si="45"/>
        <v>69</v>
      </c>
      <c r="AH84" s="124">
        <f t="shared" si="45"/>
        <v>81</v>
      </c>
      <c r="AI84" s="124">
        <f t="shared" si="45"/>
        <v>87</v>
      </c>
      <c r="AJ84" s="124">
        <f t="shared" si="45"/>
        <v>62</v>
      </c>
      <c r="AK84" s="124">
        <f t="shared" si="45"/>
        <v>62</v>
      </c>
      <c r="AL84" s="124">
        <f t="shared" si="45"/>
        <v>69</v>
      </c>
    </row>
    <row r="85" spans="2:38" x14ac:dyDescent="0.2">
      <c r="B85" s="76"/>
      <c r="C85" s="76"/>
      <c r="D85" s="76"/>
      <c r="E85" s="76"/>
      <c r="F85" s="76"/>
      <c r="G85" s="76"/>
      <c r="H85" s="76"/>
      <c r="I85" s="76"/>
      <c r="J85" s="76"/>
      <c r="K85" s="71"/>
      <c r="L85" s="71"/>
      <c r="M85" s="71"/>
      <c r="O85" s="30"/>
      <c r="P85" s="24" t="s">
        <v>35</v>
      </c>
      <c r="R85" s="408"/>
      <c r="S85" s="124">
        <f t="shared" ref="S85:AL85" si="46">VLOOKUP(S$47&amp;"AllSex"&amp;"Non-Maori"&amp;23,agesextable,6,FALSE)</f>
        <v>177</v>
      </c>
      <c r="T85" s="124">
        <f t="shared" si="46"/>
        <v>200</v>
      </c>
      <c r="U85" s="124">
        <f t="shared" si="46"/>
        <v>202</v>
      </c>
      <c r="V85" s="124">
        <f t="shared" si="46"/>
        <v>194</v>
      </c>
      <c r="W85" s="124">
        <f t="shared" si="46"/>
        <v>169</v>
      </c>
      <c r="X85" s="124">
        <f t="shared" si="46"/>
        <v>197</v>
      </c>
      <c r="Y85" s="124">
        <f t="shared" si="46"/>
        <v>173</v>
      </c>
      <c r="Z85" s="124">
        <f t="shared" si="46"/>
        <v>171</v>
      </c>
      <c r="AA85" s="124">
        <f t="shared" si="46"/>
        <v>146</v>
      </c>
      <c r="AB85" s="124">
        <f t="shared" si="46"/>
        <v>165</v>
      </c>
      <c r="AC85" s="124">
        <f t="shared" si="46"/>
        <v>153</v>
      </c>
      <c r="AD85" s="124">
        <f t="shared" si="46"/>
        <v>163</v>
      </c>
      <c r="AE85" s="124">
        <f t="shared" si="46"/>
        <v>145</v>
      </c>
      <c r="AF85" s="124">
        <f t="shared" si="46"/>
        <v>142</v>
      </c>
      <c r="AG85" s="124">
        <f t="shared" si="46"/>
        <v>158</v>
      </c>
      <c r="AH85" s="124">
        <f t="shared" si="46"/>
        <v>119</v>
      </c>
      <c r="AI85" s="124">
        <f t="shared" si="46"/>
        <v>147</v>
      </c>
      <c r="AJ85" s="124">
        <f t="shared" si="46"/>
        <v>117</v>
      </c>
      <c r="AK85" s="124">
        <f t="shared" si="46"/>
        <v>139</v>
      </c>
      <c r="AL85" s="124">
        <f t="shared" si="46"/>
        <v>117</v>
      </c>
    </row>
    <row r="86" spans="2:38" x14ac:dyDescent="0.2">
      <c r="B86" s="71"/>
      <c r="C86" s="71"/>
      <c r="D86" s="71"/>
      <c r="E86" s="71"/>
      <c r="F86" s="71"/>
      <c r="G86" s="71"/>
      <c r="H86" s="71"/>
      <c r="I86" s="71"/>
      <c r="J86" s="71"/>
      <c r="K86" s="71"/>
      <c r="L86" s="71"/>
      <c r="M86" s="71"/>
      <c r="O86" s="30"/>
      <c r="P86" s="24" t="s">
        <v>36</v>
      </c>
      <c r="R86" s="408"/>
      <c r="S86" s="124">
        <f t="shared" ref="S86:AL86" si="47">VLOOKUP(S$47&amp;"AllSex"&amp;"Non-Maori"&amp;24,agesextable,6,FALSE)</f>
        <v>94</v>
      </c>
      <c r="T86" s="124">
        <f t="shared" si="47"/>
        <v>95</v>
      </c>
      <c r="U86" s="124">
        <f t="shared" si="47"/>
        <v>102</v>
      </c>
      <c r="V86" s="124">
        <f t="shared" si="47"/>
        <v>103</v>
      </c>
      <c r="W86" s="124">
        <f t="shared" si="47"/>
        <v>93</v>
      </c>
      <c r="X86" s="124">
        <f t="shared" si="47"/>
        <v>87</v>
      </c>
      <c r="Y86" s="124">
        <f t="shared" si="47"/>
        <v>106</v>
      </c>
      <c r="Z86" s="124">
        <f t="shared" si="47"/>
        <v>130</v>
      </c>
      <c r="AA86" s="124">
        <f t="shared" si="47"/>
        <v>109</v>
      </c>
      <c r="AB86" s="124">
        <f t="shared" si="47"/>
        <v>129</v>
      </c>
      <c r="AC86" s="124">
        <f t="shared" si="47"/>
        <v>129</v>
      </c>
      <c r="AD86" s="124">
        <f t="shared" si="47"/>
        <v>130</v>
      </c>
      <c r="AE86" s="124">
        <f t="shared" si="47"/>
        <v>149</v>
      </c>
      <c r="AF86" s="124">
        <f t="shared" si="47"/>
        <v>148</v>
      </c>
      <c r="AG86" s="124">
        <f t="shared" si="47"/>
        <v>146</v>
      </c>
      <c r="AH86" s="124">
        <f t="shared" si="47"/>
        <v>134</v>
      </c>
      <c r="AI86" s="124">
        <f t="shared" si="47"/>
        <v>137</v>
      </c>
      <c r="AJ86" s="124">
        <f t="shared" si="47"/>
        <v>173</v>
      </c>
      <c r="AK86" s="124">
        <f t="shared" si="47"/>
        <v>153</v>
      </c>
      <c r="AL86" s="124">
        <f t="shared" si="47"/>
        <v>151</v>
      </c>
    </row>
    <row r="87" spans="2:38" x14ac:dyDescent="0.2">
      <c r="B87" s="71"/>
      <c r="C87" s="71"/>
      <c r="D87" s="71"/>
      <c r="E87" s="71"/>
      <c r="F87" s="71"/>
      <c r="G87" s="71"/>
      <c r="H87" s="71"/>
      <c r="I87" s="71"/>
      <c r="J87" s="71"/>
      <c r="K87" s="71"/>
      <c r="L87" s="71"/>
      <c r="M87" s="71"/>
      <c r="O87" s="30"/>
      <c r="P87" s="24" t="s">
        <v>26</v>
      </c>
      <c r="R87" s="408"/>
      <c r="S87" s="124">
        <f t="shared" ref="S87:AL87" si="48">VLOOKUP(S$47&amp;"AllSex"&amp;"Non-Maori"&amp;25,agesextable,6,FALSE)</f>
        <v>65</v>
      </c>
      <c r="T87" s="124">
        <f t="shared" si="48"/>
        <v>53</v>
      </c>
      <c r="U87" s="124">
        <f t="shared" si="48"/>
        <v>62</v>
      </c>
      <c r="V87" s="124">
        <f t="shared" si="48"/>
        <v>52</v>
      </c>
      <c r="W87" s="124">
        <f t="shared" si="48"/>
        <v>46</v>
      </c>
      <c r="X87" s="124">
        <f t="shared" si="48"/>
        <v>62</v>
      </c>
      <c r="Y87" s="124">
        <f t="shared" si="48"/>
        <v>48</v>
      </c>
      <c r="Z87" s="124">
        <f t="shared" si="48"/>
        <v>67</v>
      </c>
      <c r="AA87" s="124">
        <f t="shared" si="48"/>
        <v>53</v>
      </c>
      <c r="AB87" s="124">
        <f t="shared" si="48"/>
        <v>46</v>
      </c>
      <c r="AC87" s="124">
        <f t="shared" si="48"/>
        <v>50</v>
      </c>
      <c r="AD87" s="124">
        <f t="shared" si="48"/>
        <v>49</v>
      </c>
      <c r="AE87" s="124">
        <f t="shared" si="48"/>
        <v>50</v>
      </c>
      <c r="AF87" s="124">
        <f t="shared" si="48"/>
        <v>53</v>
      </c>
      <c r="AG87" s="124">
        <f t="shared" si="48"/>
        <v>57</v>
      </c>
      <c r="AH87" s="124">
        <f t="shared" si="48"/>
        <v>45</v>
      </c>
      <c r="AI87" s="124">
        <f t="shared" si="48"/>
        <v>56</v>
      </c>
      <c r="AJ87" s="124">
        <f t="shared" si="48"/>
        <v>56</v>
      </c>
      <c r="AK87" s="124">
        <f t="shared" si="48"/>
        <v>60</v>
      </c>
      <c r="AL87" s="124">
        <f t="shared" si="48"/>
        <v>64</v>
      </c>
    </row>
    <row r="88" spans="2:38" x14ac:dyDescent="0.2">
      <c r="B88" s="71"/>
      <c r="C88" s="71"/>
      <c r="D88" s="71"/>
      <c r="E88" s="71"/>
      <c r="F88" s="71"/>
      <c r="G88" s="71"/>
      <c r="H88" s="71"/>
      <c r="I88" s="71"/>
      <c r="J88" s="71"/>
      <c r="K88" s="71"/>
      <c r="L88" s="71"/>
      <c r="M88" s="71"/>
      <c r="O88" s="26"/>
      <c r="P88" s="26"/>
      <c r="Q88" s="28"/>
      <c r="R88" s="409"/>
      <c r="S88" s="128"/>
      <c r="T88" s="128"/>
      <c r="U88" s="128"/>
      <c r="V88" s="128"/>
      <c r="W88" s="128"/>
      <c r="X88" s="128"/>
      <c r="Y88" s="128"/>
      <c r="Z88" s="128"/>
      <c r="AA88" s="128"/>
      <c r="AB88" s="128"/>
      <c r="AC88" s="128"/>
      <c r="AD88" s="128"/>
      <c r="AE88" s="128"/>
      <c r="AF88" s="128"/>
      <c r="AG88" s="128"/>
      <c r="AH88" s="128"/>
      <c r="AI88" s="128"/>
      <c r="AJ88" s="128"/>
      <c r="AK88" s="128"/>
      <c r="AL88" s="128"/>
    </row>
    <row r="89" spans="2:38" x14ac:dyDescent="0.2">
      <c r="B89" s="71"/>
      <c r="C89" s="71"/>
      <c r="D89" s="71"/>
      <c r="E89" s="71"/>
      <c r="F89" s="71"/>
      <c r="G89" s="71"/>
      <c r="H89" s="71"/>
      <c r="I89" s="71"/>
      <c r="J89" s="71"/>
      <c r="K89" s="71"/>
      <c r="L89" s="71"/>
      <c r="M89" s="71"/>
      <c r="O89" s="24" t="s">
        <v>20</v>
      </c>
      <c r="P89" s="24" t="s">
        <v>189</v>
      </c>
      <c r="Q89" s="25" t="s">
        <v>21</v>
      </c>
      <c r="R89" s="408"/>
      <c r="S89" s="124">
        <f t="shared" ref="S89:AL89" si="49">VLOOKUP(S$47&amp;"Male"&amp;"Non-Maori"&amp;22,agesextable,6,FALSE)</f>
        <v>75</v>
      </c>
      <c r="T89" s="124">
        <f t="shared" si="49"/>
        <v>84</v>
      </c>
      <c r="U89" s="124">
        <f t="shared" si="49"/>
        <v>75</v>
      </c>
      <c r="V89" s="124">
        <f t="shared" si="49"/>
        <v>60</v>
      </c>
      <c r="W89" s="124">
        <f t="shared" si="49"/>
        <v>57</v>
      </c>
      <c r="X89" s="124">
        <f t="shared" si="49"/>
        <v>67</v>
      </c>
      <c r="Y89" s="124">
        <f t="shared" si="49"/>
        <v>43</v>
      </c>
      <c r="Z89" s="124">
        <f t="shared" si="49"/>
        <v>47</v>
      </c>
      <c r="AA89" s="124">
        <f t="shared" si="49"/>
        <v>55</v>
      </c>
      <c r="AB89" s="124">
        <f t="shared" si="49"/>
        <v>55</v>
      </c>
      <c r="AC89" s="124">
        <f t="shared" si="49"/>
        <v>66</v>
      </c>
      <c r="AD89" s="124">
        <f t="shared" si="49"/>
        <v>48</v>
      </c>
      <c r="AE89" s="124">
        <f t="shared" si="49"/>
        <v>66</v>
      </c>
      <c r="AF89" s="124">
        <f t="shared" si="49"/>
        <v>71</v>
      </c>
      <c r="AG89" s="124">
        <f t="shared" si="49"/>
        <v>50</v>
      </c>
      <c r="AH89" s="124">
        <f t="shared" si="49"/>
        <v>63</v>
      </c>
      <c r="AI89" s="124">
        <f t="shared" si="49"/>
        <v>70</v>
      </c>
      <c r="AJ89" s="124">
        <f t="shared" si="49"/>
        <v>44</v>
      </c>
      <c r="AK89" s="124">
        <f t="shared" si="49"/>
        <v>48</v>
      </c>
      <c r="AL89" s="124">
        <f t="shared" si="49"/>
        <v>50</v>
      </c>
    </row>
    <row r="90" spans="2:38" x14ac:dyDescent="0.2">
      <c r="B90" s="71"/>
      <c r="C90" s="71"/>
      <c r="D90" s="71"/>
      <c r="E90" s="71"/>
      <c r="F90" s="71"/>
      <c r="G90" s="71"/>
      <c r="H90" s="71"/>
      <c r="I90" s="71"/>
      <c r="J90" s="71"/>
      <c r="K90" s="71"/>
      <c r="L90" s="71"/>
      <c r="M90" s="71"/>
      <c r="P90" s="24" t="s">
        <v>35</v>
      </c>
      <c r="R90" s="408"/>
      <c r="S90" s="124">
        <f t="shared" ref="S90:AL90" si="50">VLOOKUP(S$47&amp;"Male"&amp;"Non-Maori"&amp;23,agesextable,6,FALSE)</f>
        <v>152</v>
      </c>
      <c r="T90" s="124">
        <f t="shared" si="50"/>
        <v>160</v>
      </c>
      <c r="U90" s="124">
        <f t="shared" si="50"/>
        <v>155</v>
      </c>
      <c r="V90" s="124">
        <f t="shared" si="50"/>
        <v>146</v>
      </c>
      <c r="W90" s="124">
        <f t="shared" si="50"/>
        <v>136</v>
      </c>
      <c r="X90" s="124">
        <f t="shared" si="50"/>
        <v>158</v>
      </c>
      <c r="Y90" s="124">
        <f t="shared" si="50"/>
        <v>135</v>
      </c>
      <c r="Z90" s="124">
        <f t="shared" si="50"/>
        <v>124</v>
      </c>
      <c r="AA90" s="124">
        <f>VLOOKUP(AA$47&amp;"Male"&amp;"Non-Maori"&amp;23,agesextable,6,FALSE)</f>
        <v>117</v>
      </c>
      <c r="AB90" s="124">
        <f t="shared" si="50"/>
        <v>119</v>
      </c>
      <c r="AC90" s="124">
        <f t="shared" si="50"/>
        <v>111</v>
      </c>
      <c r="AD90" s="124">
        <f t="shared" si="50"/>
        <v>126</v>
      </c>
      <c r="AE90" s="124">
        <f t="shared" si="50"/>
        <v>105</v>
      </c>
      <c r="AF90" s="124">
        <f t="shared" si="50"/>
        <v>109</v>
      </c>
      <c r="AG90" s="124">
        <f t="shared" si="50"/>
        <v>114</v>
      </c>
      <c r="AH90" s="124">
        <f t="shared" si="50"/>
        <v>97</v>
      </c>
      <c r="AI90" s="124">
        <f t="shared" si="50"/>
        <v>113</v>
      </c>
      <c r="AJ90" s="124">
        <f t="shared" si="50"/>
        <v>83</v>
      </c>
      <c r="AK90" s="124">
        <f>VLOOKUP(AK$47&amp;"Male"&amp;"Non-Maori"&amp;23,agesextable,6,FALSE)</f>
        <v>104</v>
      </c>
      <c r="AL90" s="124">
        <f t="shared" si="50"/>
        <v>96</v>
      </c>
    </row>
    <row r="91" spans="2:38" x14ac:dyDescent="0.2">
      <c r="B91" s="71"/>
      <c r="C91" s="71"/>
      <c r="D91" s="71"/>
      <c r="E91" s="71"/>
      <c r="F91" s="71"/>
      <c r="G91" s="71"/>
      <c r="H91" s="71"/>
      <c r="I91" s="71"/>
      <c r="J91" s="71"/>
      <c r="K91" s="71"/>
      <c r="L91" s="71"/>
      <c r="M91" s="71"/>
      <c r="P91" s="24" t="s">
        <v>36</v>
      </c>
      <c r="R91" s="408"/>
      <c r="S91" s="124">
        <f t="shared" ref="S91:AL91" si="51">VLOOKUP(S$47&amp;"Male"&amp;"Non-Maori"&amp;24,agesextable,6,FALSE)</f>
        <v>75</v>
      </c>
      <c r="T91" s="124">
        <f t="shared" si="51"/>
        <v>69</v>
      </c>
      <c r="U91" s="124">
        <f t="shared" si="51"/>
        <v>80</v>
      </c>
      <c r="V91" s="124">
        <f t="shared" si="51"/>
        <v>82</v>
      </c>
      <c r="W91" s="124">
        <f t="shared" si="51"/>
        <v>72</v>
      </c>
      <c r="X91" s="124">
        <f t="shared" si="51"/>
        <v>60</v>
      </c>
      <c r="Y91" s="124">
        <f t="shared" si="51"/>
        <v>82</v>
      </c>
      <c r="Z91" s="124">
        <f t="shared" si="51"/>
        <v>96</v>
      </c>
      <c r="AA91" s="124">
        <f t="shared" si="51"/>
        <v>81</v>
      </c>
      <c r="AB91" s="124">
        <f t="shared" si="51"/>
        <v>100</v>
      </c>
      <c r="AC91" s="124">
        <f t="shared" si="51"/>
        <v>100</v>
      </c>
      <c r="AD91" s="124">
        <f>VLOOKUP(AD$47&amp;"Male"&amp;"Non-Maori"&amp;24,agesextable,6,FALSE)</f>
        <v>91</v>
      </c>
      <c r="AE91" s="124">
        <f t="shared" si="51"/>
        <v>117</v>
      </c>
      <c r="AF91" s="124">
        <f t="shared" si="51"/>
        <v>113</v>
      </c>
      <c r="AG91" s="124">
        <f t="shared" si="51"/>
        <v>107</v>
      </c>
      <c r="AH91" s="124">
        <f t="shared" si="51"/>
        <v>104</v>
      </c>
      <c r="AI91" s="124">
        <f t="shared" si="51"/>
        <v>96</v>
      </c>
      <c r="AJ91" s="124">
        <f t="shared" si="51"/>
        <v>125</v>
      </c>
      <c r="AK91" s="124">
        <f t="shared" si="51"/>
        <v>110</v>
      </c>
      <c r="AL91" s="124">
        <f t="shared" si="51"/>
        <v>109</v>
      </c>
    </row>
    <row r="92" spans="2:38" x14ac:dyDescent="0.2">
      <c r="B92" s="71"/>
      <c r="C92" s="71"/>
      <c r="D92" s="71"/>
      <c r="E92" s="71"/>
      <c r="F92" s="71"/>
      <c r="G92" s="71"/>
      <c r="H92" s="71"/>
      <c r="I92" s="71"/>
      <c r="J92" s="71"/>
      <c r="K92" s="71"/>
      <c r="L92" s="71"/>
      <c r="M92" s="71"/>
      <c r="P92" s="24" t="s">
        <v>26</v>
      </c>
      <c r="R92" s="408"/>
      <c r="S92" s="124">
        <f t="shared" ref="S92:AL92" si="52">VLOOKUP(S$47&amp;"Male"&amp;"Non-Maori"&amp;25,agesextable,6,FALSE)</f>
        <v>52</v>
      </c>
      <c r="T92" s="124">
        <f t="shared" si="52"/>
        <v>46</v>
      </c>
      <c r="U92" s="124">
        <f t="shared" si="52"/>
        <v>46</v>
      </c>
      <c r="V92" s="124">
        <f t="shared" si="52"/>
        <v>36</v>
      </c>
      <c r="W92" s="124">
        <f t="shared" si="52"/>
        <v>40</v>
      </c>
      <c r="X92" s="124">
        <f t="shared" si="52"/>
        <v>46</v>
      </c>
      <c r="Y92" s="124">
        <f t="shared" si="52"/>
        <v>36</v>
      </c>
      <c r="Z92" s="124">
        <f t="shared" si="52"/>
        <v>46</v>
      </c>
      <c r="AA92" s="124">
        <f t="shared" si="52"/>
        <v>44</v>
      </c>
      <c r="AB92" s="124">
        <f t="shared" si="52"/>
        <v>30</v>
      </c>
      <c r="AC92" s="124">
        <f t="shared" si="52"/>
        <v>33</v>
      </c>
      <c r="AD92" s="124">
        <f t="shared" si="52"/>
        <v>41</v>
      </c>
      <c r="AE92" s="124">
        <f t="shared" si="52"/>
        <v>35</v>
      </c>
      <c r="AF92" s="124">
        <f t="shared" si="52"/>
        <v>40</v>
      </c>
      <c r="AG92" s="124">
        <f t="shared" si="52"/>
        <v>43</v>
      </c>
      <c r="AH92" s="124">
        <f t="shared" si="52"/>
        <v>31</v>
      </c>
      <c r="AI92" s="124">
        <f t="shared" si="52"/>
        <v>42</v>
      </c>
      <c r="AJ92" s="124">
        <f t="shared" si="52"/>
        <v>48</v>
      </c>
      <c r="AK92" s="124">
        <f t="shared" si="52"/>
        <v>49</v>
      </c>
      <c r="AL92" s="124">
        <f t="shared" si="52"/>
        <v>48</v>
      </c>
    </row>
    <row r="93" spans="2:38" x14ac:dyDescent="0.2">
      <c r="B93" s="71"/>
      <c r="C93" s="71"/>
      <c r="D93" s="71"/>
      <c r="E93" s="71"/>
      <c r="F93" s="71"/>
      <c r="G93" s="71"/>
      <c r="H93" s="71"/>
      <c r="I93" s="71"/>
      <c r="J93" s="71"/>
      <c r="K93" s="71"/>
      <c r="L93" s="71"/>
      <c r="M93" s="71"/>
      <c r="O93" s="26"/>
      <c r="P93" s="26"/>
      <c r="Q93" s="28"/>
      <c r="R93" s="409"/>
      <c r="S93" s="128"/>
      <c r="T93" s="128"/>
      <c r="U93" s="128"/>
      <c r="V93" s="128"/>
      <c r="W93" s="128"/>
      <c r="X93" s="128"/>
      <c r="Y93" s="128"/>
      <c r="Z93" s="128"/>
      <c r="AA93" s="128"/>
      <c r="AB93" s="128"/>
      <c r="AC93" s="128"/>
      <c r="AD93" s="128"/>
      <c r="AE93" s="128"/>
      <c r="AF93" s="128"/>
      <c r="AG93" s="128"/>
      <c r="AH93" s="128"/>
      <c r="AI93" s="128"/>
      <c r="AJ93" s="128"/>
      <c r="AK93" s="128"/>
      <c r="AL93" s="128"/>
    </row>
    <row r="94" spans="2:38" x14ac:dyDescent="0.2">
      <c r="B94" s="71"/>
      <c r="C94" s="71"/>
      <c r="D94" s="71"/>
      <c r="E94" s="71"/>
      <c r="F94" s="71"/>
      <c r="G94" s="71"/>
      <c r="H94" s="71"/>
      <c r="I94" s="71"/>
      <c r="J94" s="71"/>
      <c r="K94" s="71"/>
      <c r="L94" s="71"/>
      <c r="M94" s="71"/>
      <c r="O94" s="24" t="s">
        <v>8</v>
      </c>
      <c r="P94" s="24" t="s">
        <v>189</v>
      </c>
      <c r="Q94" s="25" t="s">
        <v>21</v>
      </c>
      <c r="R94" s="408"/>
      <c r="S94" s="124">
        <f t="shared" ref="S94:AL94" si="53">VLOOKUP(S$47&amp;"Female"&amp;"Non-Maori"&amp;22,agesextable,6,FALSE)</f>
        <v>29</v>
      </c>
      <c r="T94" s="124">
        <f t="shared" si="53"/>
        <v>20</v>
      </c>
      <c r="U94" s="124">
        <f t="shared" si="53"/>
        <v>22</v>
      </c>
      <c r="V94" s="124">
        <f t="shared" si="53"/>
        <v>27</v>
      </c>
      <c r="W94" s="124">
        <f t="shared" si="53"/>
        <v>11</v>
      </c>
      <c r="X94" s="124">
        <f t="shared" si="53"/>
        <v>14</v>
      </c>
      <c r="Y94" s="124">
        <f t="shared" si="53"/>
        <v>20</v>
      </c>
      <c r="Z94" s="124">
        <f t="shared" si="53"/>
        <v>20</v>
      </c>
      <c r="AA94" s="124">
        <f t="shared" si="53"/>
        <v>17</v>
      </c>
      <c r="AB94" s="124">
        <f t="shared" si="53"/>
        <v>14</v>
      </c>
      <c r="AC94" s="124">
        <f t="shared" si="53"/>
        <v>16</v>
      </c>
      <c r="AD94" s="124">
        <f t="shared" si="53"/>
        <v>13</v>
      </c>
      <c r="AE94" s="124">
        <f t="shared" si="53"/>
        <v>20</v>
      </c>
      <c r="AF94" s="124">
        <f t="shared" si="53"/>
        <v>10</v>
      </c>
      <c r="AG94" s="124">
        <f t="shared" si="53"/>
        <v>19</v>
      </c>
      <c r="AH94" s="124">
        <f t="shared" si="53"/>
        <v>18</v>
      </c>
      <c r="AI94" s="124">
        <f t="shared" si="53"/>
        <v>17</v>
      </c>
      <c r="AJ94" s="124">
        <f t="shared" si="53"/>
        <v>18</v>
      </c>
      <c r="AK94" s="124">
        <f t="shared" si="53"/>
        <v>14</v>
      </c>
      <c r="AL94" s="124">
        <f t="shared" si="53"/>
        <v>19</v>
      </c>
    </row>
    <row r="95" spans="2:38" x14ac:dyDescent="0.2">
      <c r="B95" s="71"/>
      <c r="C95" s="71"/>
      <c r="D95" s="71"/>
      <c r="E95" s="71"/>
      <c r="F95" s="71"/>
      <c r="G95" s="71"/>
      <c r="H95" s="71"/>
      <c r="I95" s="71"/>
      <c r="J95" s="71"/>
      <c r="K95" s="71"/>
      <c r="L95" s="71"/>
      <c r="M95" s="71"/>
      <c r="P95" s="24" t="s">
        <v>35</v>
      </c>
      <c r="R95" s="408"/>
      <c r="S95" s="124">
        <f t="shared" ref="S95:AL95" si="54">VLOOKUP(S$47&amp;"Female"&amp;"Non-Maori"&amp;23,agesextable,6,FALSE)</f>
        <v>25</v>
      </c>
      <c r="T95" s="124">
        <f t="shared" si="54"/>
        <v>40</v>
      </c>
      <c r="U95" s="124">
        <f t="shared" si="54"/>
        <v>47</v>
      </c>
      <c r="V95" s="124">
        <f t="shared" si="54"/>
        <v>48</v>
      </c>
      <c r="W95" s="124">
        <f t="shared" si="54"/>
        <v>33</v>
      </c>
      <c r="X95" s="124">
        <f t="shared" si="54"/>
        <v>39</v>
      </c>
      <c r="Y95" s="124">
        <f t="shared" si="54"/>
        <v>38</v>
      </c>
      <c r="Z95" s="124">
        <f t="shared" si="54"/>
        <v>47</v>
      </c>
      <c r="AA95" s="124">
        <f t="shared" si="54"/>
        <v>29</v>
      </c>
      <c r="AB95" s="124">
        <f t="shared" si="54"/>
        <v>46</v>
      </c>
      <c r="AC95" s="124">
        <f t="shared" si="54"/>
        <v>42</v>
      </c>
      <c r="AD95" s="124">
        <f t="shared" si="54"/>
        <v>37</v>
      </c>
      <c r="AE95" s="124">
        <f t="shared" si="54"/>
        <v>40</v>
      </c>
      <c r="AF95" s="124">
        <f t="shared" si="54"/>
        <v>33</v>
      </c>
      <c r="AG95" s="124">
        <f t="shared" si="54"/>
        <v>44</v>
      </c>
      <c r="AH95" s="124">
        <f t="shared" si="54"/>
        <v>22</v>
      </c>
      <c r="AI95" s="124">
        <f t="shared" si="54"/>
        <v>34</v>
      </c>
      <c r="AJ95" s="124">
        <f t="shared" si="54"/>
        <v>34</v>
      </c>
      <c r="AK95" s="124">
        <f t="shared" si="54"/>
        <v>35</v>
      </c>
      <c r="AL95" s="124">
        <f t="shared" si="54"/>
        <v>21</v>
      </c>
    </row>
    <row r="96" spans="2:38" x14ac:dyDescent="0.2">
      <c r="B96" s="71"/>
      <c r="C96" s="71"/>
      <c r="D96" s="71"/>
      <c r="E96" s="112"/>
      <c r="F96" s="71"/>
      <c r="G96" s="71"/>
      <c r="H96" s="71"/>
      <c r="I96" s="71"/>
      <c r="J96" s="71"/>
      <c r="K96" s="71"/>
      <c r="L96" s="71"/>
      <c r="M96" s="71"/>
      <c r="P96" s="24" t="s">
        <v>36</v>
      </c>
      <c r="R96" s="408"/>
      <c r="S96" s="124">
        <f t="shared" ref="S96:AL96" si="55">VLOOKUP(S$47&amp;"Female"&amp;"Non-Maori"&amp;24,agesextable,6,FALSE)</f>
        <v>19</v>
      </c>
      <c r="T96" s="124">
        <f t="shared" si="55"/>
        <v>26</v>
      </c>
      <c r="U96" s="124">
        <f t="shared" si="55"/>
        <v>22</v>
      </c>
      <c r="V96" s="124">
        <f t="shared" si="55"/>
        <v>21</v>
      </c>
      <c r="W96" s="124">
        <f t="shared" si="55"/>
        <v>21</v>
      </c>
      <c r="X96" s="124">
        <f t="shared" si="55"/>
        <v>27</v>
      </c>
      <c r="Y96" s="124">
        <f t="shared" si="55"/>
        <v>24</v>
      </c>
      <c r="Z96" s="124">
        <f t="shared" si="55"/>
        <v>34</v>
      </c>
      <c r="AA96" s="124">
        <f t="shared" si="55"/>
        <v>28</v>
      </c>
      <c r="AB96" s="124">
        <f t="shared" si="55"/>
        <v>29</v>
      </c>
      <c r="AC96" s="124">
        <f t="shared" si="55"/>
        <v>29</v>
      </c>
      <c r="AD96" s="124">
        <f t="shared" si="55"/>
        <v>39</v>
      </c>
      <c r="AE96" s="124">
        <f t="shared" si="55"/>
        <v>32</v>
      </c>
      <c r="AF96" s="124">
        <f t="shared" si="55"/>
        <v>35</v>
      </c>
      <c r="AG96" s="124">
        <f t="shared" si="55"/>
        <v>39</v>
      </c>
      <c r="AH96" s="124">
        <f t="shared" si="55"/>
        <v>30</v>
      </c>
      <c r="AI96" s="124">
        <f t="shared" si="55"/>
        <v>41</v>
      </c>
      <c r="AJ96" s="124">
        <f t="shared" si="55"/>
        <v>48</v>
      </c>
      <c r="AK96" s="124">
        <f t="shared" si="55"/>
        <v>43</v>
      </c>
      <c r="AL96" s="124">
        <f t="shared" si="55"/>
        <v>42</v>
      </c>
    </row>
    <row r="97" spans="2:38" x14ac:dyDescent="0.2">
      <c r="B97" s="71"/>
      <c r="C97" s="71"/>
      <c r="D97" s="71"/>
      <c r="E97" s="71"/>
      <c r="F97" s="71"/>
      <c r="G97" s="71"/>
      <c r="H97" s="71"/>
      <c r="I97" s="71"/>
      <c r="J97" s="71"/>
      <c r="K97" s="71"/>
      <c r="L97" s="71"/>
      <c r="M97" s="71"/>
      <c r="P97" s="24" t="s">
        <v>26</v>
      </c>
      <c r="R97" s="408"/>
      <c r="S97" s="124">
        <f t="shared" ref="S97:AL97" si="56">VLOOKUP(S$47&amp;"Female"&amp;"Non-Maori"&amp;25,agesextable,6,FALSE)</f>
        <v>13</v>
      </c>
      <c r="T97" s="124">
        <f t="shared" si="56"/>
        <v>7</v>
      </c>
      <c r="U97" s="124">
        <f t="shared" si="56"/>
        <v>16</v>
      </c>
      <c r="V97" s="124">
        <f t="shared" si="56"/>
        <v>16</v>
      </c>
      <c r="W97" s="124">
        <f t="shared" si="56"/>
        <v>6</v>
      </c>
      <c r="X97" s="124">
        <f t="shared" si="56"/>
        <v>16</v>
      </c>
      <c r="Y97" s="124">
        <f t="shared" si="56"/>
        <v>12</v>
      </c>
      <c r="Z97" s="124">
        <f t="shared" si="56"/>
        <v>21</v>
      </c>
      <c r="AA97" s="124">
        <f t="shared" si="56"/>
        <v>9</v>
      </c>
      <c r="AB97" s="124">
        <f t="shared" si="56"/>
        <v>16</v>
      </c>
      <c r="AC97" s="124">
        <f t="shared" si="56"/>
        <v>17</v>
      </c>
      <c r="AD97" s="124">
        <f t="shared" si="56"/>
        <v>8</v>
      </c>
      <c r="AE97" s="124">
        <f t="shared" si="56"/>
        <v>15</v>
      </c>
      <c r="AF97" s="124">
        <f t="shared" si="56"/>
        <v>13</v>
      </c>
      <c r="AG97" s="124">
        <f t="shared" si="56"/>
        <v>14</v>
      </c>
      <c r="AH97" s="124">
        <f t="shared" si="56"/>
        <v>14</v>
      </c>
      <c r="AI97" s="124">
        <f t="shared" si="56"/>
        <v>14</v>
      </c>
      <c r="AJ97" s="124">
        <f t="shared" si="56"/>
        <v>8</v>
      </c>
      <c r="AK97" s="124">
        <f t="shared" si="56"/>
        <v>11</v>
      </c>
      <c r="AL97" s="124">
        <f t="shared" si="56"/>
        <v>16</v>
      </c>
    </row>
    <row r="98" spans="2:38" x14ac:dyDescent="0.2">
      <c r="B98" s="71"/>
      <c r="C98" s="71"/>
      <c r="D98" s="71"/>
      <c r="E98" s="71"/>
      <c r="F98" s="71"/>
      <c r="G98" s="71"/>
      <c r="H98" s="71"/>
      <c r="I98" s="71"/>
      <c r="J98" s="71"/>
      <c r="K98" s="71"/>
      <c r="L98" s="71"/>
      <c r="M98" s="71"/>
      <c r="O98" s="26"/>
      <c r="P98" s="26"/>
      <c r="Q98" s="28"/>
      <c r="R98" s="409"/>
      <c r="S98" s="128"/>
      <c r="T98" s="128"/>
      <c r="U98" s="128"/>
      <c r="V98" s="128"/>
      <c r="W98" s="128"/>
      <c r="X98" s="128"/>
      <c r="Y98" s="128"/>
      <c r="Z98" s="128"/>
      <c r="AA98" s="128"/>
      <c r="AB98" s="128"/>
      <c r="AC98" s="128"/>
      <c r="AD98" s="128"/>
      <c r="AE98" s="128"/>
      <c r="AF98" s="128"/>
      <c r="AG98" s="128"/>
      <c r="AH98" s="128"/>
      <c r="AI98" s="128"/>
      <c r="AJ98" s="128"/>
      <c r="AK98" s="128"/>
      <c r="AL98" s="128"/>
    </row>
    <row r="99" spans="2:38" x14ac:dyDescent="0.2">
      <c r="B99" s="71"/>
      <c r="C99" s="71"/>
      <c r="D99" s="71"/>
      <c r="E99" s="71"/>
      <c r="F99" s="71"/>
      <c r="G99" s="71"/>
      <c r="H99" s="71"/>
      <c r="I99" s="71"/>
      <c r="J99" s="71"/>
      <c r="K99" s="71"/>
      <c r="L99" s="71"/>
      <c r="M99" s="71"/>
      <c r="O99" s="24" t="s">
        <v>0</v>
      </c>
      <c r="P99" s="24" t="s">
        <v>189</v>
      </c>
      <c r="Q99" s="25" t="s">
        <v>22</v>
      </c>
      <c r="R99" s="408"/>
      <c r="S99" s="46">
        <f t="shared" ref="S99:AL99" si="57">VLOOKUP(S$47&amp;"AllSex"&amp;"Non-Maori"&amp;22,agesextable,7,FALSE)</f>
        <v>23.258934561882199</v>
      </c>
      <c r="T99" s="46">
        <f t="shared" si="57"/>
        <v>23.608462725869401</v>
      </c>
      <c r="U99" s="46">
        <f t="shared" si="57"/>
        <v>22.384787575289</v>
      </c>
      <c r="V99" s="46">
        <f t="shared" si="57"/>
        <v>20.338032120064501</v>
      </c>
      <c r="W99" s="46">
        <f t="shared" si="57"/>
        <v>15.9399906235349</v>
      </c>
      <c r="X99" s="46">
        <f t="shared" si="57"/>
        <v>18.786965093355001</v>
      </c>
      <c r="Y99" s="46">
        <f t="shared" si="57"/>
        <v>14.0980598384318</v>
      </c>
      <c r="Z99" s="46">
        <f t="shared" si="57"/>
        <v>14.4042653824655</v>
      </c>
      <c r="AA99" s="46">
        <f t="shared" si="57"/>
        <v>15.163960320970499</v>
      </c>
      <c r="AB99" s="46">
        <f t="shared" si="57"/>
        <v>14.344816116089101</v>
      </c>
      <c r="AC99" s="46">
        <f t="shared" si="57"/>
        <v>16.795018843191901</v>
      </c>
      <c r="AD99" s="46">
        <f t="shared" si="57"/>
        <v>12.488228309380499</v>
      </c>
      <c r="AE99" s="46">
        <f t="shared" si="57"/>
        <v>17.6642155855893</v>
      </c>
      <c r="AF99" s="46">
        <f t="shared" si="57"/>
        <v>16.560353287536799</v>
      </c>
      <c r="AG99" s="46">
        <f t="shared" si="57"/>
        <v>13.9464375947448</v>
      </c>
      <c r="AH99" s="46">
        <f t="shared" si="57"/>
        <v>16.261794820317199</v>
      </c>
      <c r="AI99" s="46">
        <f t="shared" si="57"/>
        <v>17.457259812183999</v>
      </c>
      <c r="AJ99" s="46">
        <f t="shared" si="57"/>
        <v>12.380438906527701</v>
      </c>
      <c r="AK99" s="46">
        <f t="shared" si="57"/>
        <v>12.134497201236901</v>
      </c>
      <c r="AL99" s="46">
        <f t="shared" si="57"/>
        <v>13.155887736424599</v>
      </c>
    </row>
    <row r="100" spans="2:38" x14ac:dyDescent="0.2">
      <c r="B100" s="71"/>
      <c r="C100" s="71"/>
      <c r="D100" s="71"/>
      <c r="E100" s="71"/>
      <c r="F100" s="71"/>
      <c r="G100" s="71"/>
      <c r="H100" s="71"/>
      <c r="I100" s="71"/>
      <c r="J100" s="71"/>
      <c r="K100" s="71"/>
      <c r="L100" s="71"/>
      <c r="M100" s="71"/>
      <c r="P100" s="24" t="s">
        <v>35</v>
      </c>
      <c r="R100" s="408"/>
      <c r="S100" s="46">
        <f t="shared" ref="S100:AL100" si="58">VLOOKUP(S$47&amp;"AllSex"&amp;"Non-Maori"&amp;23,agesextable,7,FALSE)</f>
        <v>17.723039951937501</v>
      </c>
      <c r="T100" s="46">
        <f t="shared" si="58"/>
        <v>19.763431722284299</v>
      </c>
      <c r="U100" s="46">
        <f t="shared" si="58"/>
        <v>19.9213009990237</v>
      </c>
      <c r="V100" s="46">
        <f t="shared" si="58"/>
        <v>19.248896165103901</v>
      </c>
      <c r="W100" s="46">
        <f t="shared" si="58"/>
        <v>16.9221680401326</v>
      </c>
      <c r="X100" s="46">
        <f t="shared" si="58"/>
        <v>19.962304683541699</v>
      </c>
      <c r="Y100" s="46">
        <f t="shared" si="58"/>
        <v>17.429852400382899</v>
      </c>
      <c r="Z100" s="46">
        <f t="shared" si="58"/>
        <v>17.0213613107444</v>
      </c>
      <c r="AA100" s="46">
        <f t="shared" si="58"/>
        <v>14.429443972248</v>
      </c>
      <c r="AB100" s="46">
        <f t="shared" si="58"/>
        <v>16.289699973344099</v>
      </c>
      <c r="AC100" s="46">
        <f t="shared" si="58"/>
        <v>15.112902269898701</v>
      </c>
      <c r="AD100" s="46">
        <f t="shared" si="58"/>
        <v>16.1504468620574</v>
      </c>
      <c r="AE100" s="46">
        <f t="shared" si="58"/>
        <v>14.4589366199992</v>
      </c>
      <c r="AF100" s="46">
        <f t="shared" si="58"/>
        <v>14.2147833747097</v>
      </c>
      <c r="AG100" s="46">
        <f t="shared" si="58"/>
        <v>15.868392772850999</v>
      </c>
      <c r="AH100" s="46">
        <f t="shared" si="58"/>
        <v>12.051121058068199</v>
      </c>
      <c r="AI100" s="46">
        <f t="shared" si="58"/>
        <v>15.025451274608001</v>
      </c>
      <c r="AJ100" s="46">
        <f t="shared" si="58"/>
        <v>11.9851261511355</v>
      </c>
      <c r="AK100" s="46">
        <f t="shared" si="58"/>
        <v>14.0580120555039</v>
      </c>
      <c r="AL100" s="46">
        <f t="shared" si="58"/>
        <v>11.542331748318</v>
      </c>
    </row>
    <row r="101" spans="2:38" x14ac:dyDescent="0.2">
      <c r="B101" s="71"/>
      <c r="C101" s="71"/>
      <c r="D101" s="71"/>
      <c r="E101" s="71"/>
      <c r="F101" s="71"/>
      <c r="G101" s="71"/>
      <c r="H101" s="71"/>
      <c r="I101" s="71"/>
      <c r="J101" s="71"/>
      <c r="K101" s="71"/>
      <c r="L101" s="71"/>
      <c r="M101" s="71"/>
      <c r="P101" s="24" t="s">
        <v>36</v>
      </c>
      <c r="R101" s="408"/>
      <c r="S101" s="46">
        <f t="shared" ref="S101:AL101" si="59">VLOOKUP(S$47&amp;"AllSex"&amp;"Non-Maori"&amp;24,agesextable,7,FALSE)</f>
        <v>13.7837996363423</v>
      </c>
      <c r="T101" s="46">
        <f t="shared" si="59"/>
        <v>13.5431813645824</v>
      </c>
      <c r="U101" s="46">
        <f t="shared" si="59"/>
        <v>14.1448600074885</v>
      </c>
      <c r="V101" s="46">
        <f t="shared" si="59"/>
        <v>13.904075378987301</v>
      </c>
      <c r="W101" s="46">
        <f t="shared" si="59"/>
        <v>12.2329790592444</v>
      </c>
      <c r="X101" s="46">
        <f t="shared" si="59"/>
        <v>11.152988231674501</v>
      </c>
      <c r="Y101" s="46">
        <f t="shared" si="59"/>
        <v>13.187360039810899</v>
      </c>
      <c r="Z101" s="46">
        <f t="shared" si="59"/>
        <v>15.6785180182353</v>
      </c>
      <c r="AA101" s="46">
        <f t="shared" si="59"/>
        <v>12.756445515933899</v>
      </c>
      <c r="AB101" s="46">
        <f t="shared" si="59"/>
        <v>14.689805957912</v>
      </c>
      <c r="AC101" s="46">
        <f t="shared" si="59"/>
        <v>14.3125006934351</v>
      </c>
      <c r="AD101" s="46">
        <f t="shared" si="59"/>
        <v>14.0802356814834</v>
      </c>
      <c r="AE101" s="46">
        <f t="shared" si="59"/>
        <v>15.737053896769201</v>
      </c>
      <c r="AF101" s="46">
        <f t="shared" si="59"/>
        <v>15.298580746529399</v>
      </c>
      <c r="AG101" s="46">
        <f t="shared" si="59"/>
        <v>14.822335025380699</v>
      </c>
      <c r="AH101" s="46">
        <f t="shared" si="59"/>
        <v>13.431025669296099</v>
      </c>
      <c r="AI101" s="46">
        <f t="shared" si="59"/>
        <v>13.648137079099399</v>
      </c>
      <c r="AJ101" s="46">
        <f t="shared" si="59"/>
        <v>17.105002966185499</v>
      </c>
      <c r="AK101" s="46">
        <f t="shared" si="59"/>
        <v>14.954111403242999</v>
      </c>
      <c r="AL101" s="46">
        <f t="shared" si="59"/>
        <v>14.5703671539538</v>
      </c>
    </row>
    <row r="102" spans="2:38" x14ac:dyDescent="0.2">
      <c r="B102" s="71"/>
      <c r="C102" s="71"/>
      <c r="D102" s="71"/>
      <c r="E102" s="71"/>
      <c r="F102" s="71"/>
      <c r="G102" s="71"/>
      <c r="H102" s="71"/>
      <c r="I102" s="71"/>
      <c r="J102" s="71"/>
      <c r="K102" s="71"/>
      <c r="L102" s="71"/>
      <c r="M102" s="71"/>
      <c r="P102" s="24" t="s">
        <v>26</v>
      </c>
      <c r="R102" s="408"/>
      <c r="S102" s="46">
        <f t="shared" ref="S102:AL102" si="60">VLOOKUP(S$47&amp;"AllSex"&amp;"Non-Maori"&amp;25,agesextable,7,FALSE)</f>
        <v>15.678139849007501</v>
      </c>
      <c r="T102" s="46">
        <f t="shared" si="60"/>
        <v>12.6244581010909</v>
      </c>
      <c r="U102" s="46">
        <f t="shared" si="60"/>
        <v>14.590638458099001</v>
      </c>
      <c r="V102" s="46">
        <f t="shared" si="60"/>
        <v>12.099776619508599</v>
      </c>
      <c r="W102" s="46">
        <f t="shared" si="60"/>
        <v>10.582497469402799</v>
      </c>
      <c r="X102" s="46">
        <f t="shared" si="60"/>
        <v>14.070762317590701</v>
      </c>
      <c r="Y102" s="46">
        <f t="shared" si="60"/>
        <v>10.7481134821649</v>
      </c>
      <c r="Z102" s="46">
        <f t="shared" si="60"/>
        <v>14.766816538834499</v>
      </c>
      <c r="AA102" s="46">
        <f t="shared" si="60"/>
        <v>11.478818331456299</v>
      </c>
      <c r="AB102" s="46">
        <f t="shared" si="60"/>
        <v>9.7373044601088008</v>
      </c>
      <c r="AC102" s="46">
        <f t="shared" si="60"/>
        <v>10.293148880105401</v>
      </c>
      <c r="AD102" s="46">
        <f t="shared" si="60"/>
        <v>9.8389622906710592</v>
      </c>
      <c r="AE102" s="46">
        <f t="shared" si="60"/>
        <v>9.8545468879340898</v>
      </c>
      <c r="AF102" s="46">
        <f t="shared" si="60"/>
        <v>10.2131267583921</v>
      </c>
      <c r="AG102" s="46">
        <f t="shared" si="60"/>
        <v>10.7016127518165</v>
      </c>
      <c r="AH102" s="46">
        <f t="shared" si="60"/>
        <v>8.2083834956769195</v>
      </c>
      <c r="AI102" s="46">
        <f t="shared" si="60"/>
        <v>9.8484049101333095</v>
      </c>
      <c r="AJ102" s="46">
        <f t="shared" si="60"/>
        <v>9.4941000949410004</v>
      </c>
      <c r="AK102" s="46">
        <f t="shared" si="60"/>
        <v>9.8053635338530203</v>
      </c>
      <c r="AL102" s="46">
        <f t="shared" si="60"/>
        <v>10.103242509392899</v>
      </c>
    </row>
    <row r="103" spans="2:38" x14ac:dyDescent="0.2">
      <c r="B103" s="71"/>
      <c r="C103" s="71"/>
      <c r="D103" s="71"/>
      <c r="E103" s="71"/>
      <c r="F103" s="71"/>
      <c r="G103" s="71"/>
      <c r="H103" s="71"/>
      <c r="I103" s="71"/>
      <c r="J103" s="71"/>
      <c r="K103" s="71"/>
      <c r="L103" s="71"/>
      <c r="M103" s="71"/>
      <c r="O103" s="26"/>
      <c r="P103" s="26"/>
      <c r="Q103" s="28"/>
      <c r="R103" s="409"/>
      <c r="S103" s="38"/>
      <c r="T103" s="38"/>
      <c r="U103" s="38"/>
      <c r="V103" s="38"/>
      <c r="W103" s="38"/>
      <c r="X103" s="38"/>
      <c r="Y103" s="38"/>
      <c r="Z103" s="38"/>
      <c r="AA103" s="38"/>
      <c r="AB103" s="38"/>
      <c r="AC103" s="38"/>
      <c r="AD103" s="38"/>
      <c r="AE103" s="38"/>
      <c r="AF103" s="38"/>
      <c r="AG103" s="38"/>
      <c r="AH103" s="38"/>
      <c r="AI103" s="38"/>
      <c r="AJ103" s="38"/>
      <c r="AK103" s="38"/>
      <c r="AL103" s="38"/>
    </row>
    <row r="104" spans="2:38" x14ac:dyDescent="0.2">
      <c r="B104" s="71"/>
      <c r="C104" s="71"/>
      <c r="D104" s="71"/>
      <c r="E104" s="71"/>
      <c r="F104" s="71"/>
      <c r="G104" s="71"/>
      <c r="H104" s="71"/>
      <c r="I104" s="71"/>
      <c r="J104" s="71"/>
      <c r="K104" s="71"/>
      <c r="L104" s="71"/>
      <c r="M104" s="71"/>
      <c r="O104" s="24" t="s">
        <v>20</v>
      </c>
      <c r="P104" s="24" t="s">
        <v>189</v>
      </c>
      <c r="Q104" s="25" t="s">
        <v>22</v>
      </c>
      <c r="R104" s="408"/>
      <c r="S104" s="46">
        <f t="shared" ref="S104:AL104" si="61">VLOOKUP(S$47&amp;"Male"&amp;"Non-Maori"&amp;22,agesextable,7,FALSE)</f>
        <v>33.017829627999099</v>
      </c>
      <c r="T104" s="46">
        <f t="shared" si="61"/>
        <v>37.505022994150998</v>
      </c>
      <c r="U104" s="46">
        <f t="shared" si="61"/>
        <v>34.083162917518699</v>
      </c>
      <c r="V104" s="46">
        <f t="shared" si="61"/>
        <v>27.653592662580099</v>
      </c>
      <c r="W104" s="46">
        <f t="shared" si="61"/>
        <v>26.336459825347699</v>
      </c>
      <c r="X104" s="46">
        <f t="shared" si="61"/>
        <v>30.611778681409099</v>
      </c>
      <c r="Y104" s="46">
        <f t="shared" si="61"/>
        <v>18.9260563380282</v>
      </c>
      <c r="Z104" s="46">
        <f t="shared" si="61"/>
        <v>19.839594765723898</v>
      </c>
      <c r="AA104" s="46">
        <f t="shared" si="61"/>
        <v>22.754540565140001</v>
      </c>
      <c r="AB104" s="46">
        <f t="shared" si="61"/>
        <v>22.494887525562401</v>
      </c>
      <c r="AC104" s="46">
        <f t="shared" si="61"/>
        <v>26.6311584553928</v>
      </c>
      <c r="AD104" s="46">
        <f t="shared" si="61"/>
        <v>19.402562755163899</v>
      </c>
      <c r="AE104" s="46">
        <f t="shared" si="61"/>
        <v>26.791150801704902</v>
      </c>
      <c r="AF104" s="46">
        <f t="shared" si="61"/>
        <v>28.669493236422401</v>
      </c>
      <c r="AG104" s="46">
        <f t="shared" si="61"/>
        <v>19.9163513244374</v>
      </c>
      <c r="AH104" s="46">
        <f t="shared" si="61"/>
        <v>24.846190250828201</v>
      </c>
      <c r="AI104" s="46">
        <f t="shared" si="61"/>
        <v>27.5319567354966</v>
      </c>
      <c r="AJ104" s="46">
        <f t="shared" si="61"/>
        <v>17.1667121844641</v>
      </c>
      <c r="AK104" s="46">
        <f t="shared" si="61"/>
        <v>18.231540565177799</v>
      </c>
      <c r="AL104" s="46">
        <f t="shared" si="61"/>
        <v>18.353338472268099</v>
      </c>
    </row>
    <row r="105" spans="2:38" ht="12" customHeight="1" x14ac:dyDescent="0.2">
      <c r="B105" s="71"/>
      <c r="C105" s="71"/>
      <c r="D105" s="71"/>
      <c r="E105" s="71"/>
      <c r="F105" s="71"/>
      <c r="G105" s="71"/>
      <c r="H105" s="71"/>
      <c r="I105" s="71"/>
      <c r="J105" s="71"/>
      <c r="K105" s="71"/>
      <c r="L105" s="71"/>
      <c r="M105" s="71"/>
      <c r="P105" s="24" t="s">
        <v>35</v>
      </c>
      <c r="R105" s="408"/>
      <c r="S105" s="46">
        <f t="shared" ref="S105:AL105" si="62">VLOOKUP(S$47&amp;"Male"&amp;"Non-Maori"&amp;23,agesextable,7,FALSE)</f>
        <v>30.860437730945701</v>
      </c>
      <c r="T105" s="46">
        <f t="shared" si="62"/>
        <v>32.142067940296101</v>
      </c>
      <c r="U105" s="46">
        <f t="shared" si="62"/>
        <v>31.1701892332133</v>
      </c>
      <c r="V105" s="46">
        <f t="shared" si="62"/>
        <v>29.6537016350157</v>
      </c>
      <c r="W105" s="46">
        <f t="shared" si="62"/>
        <v>27.966275961340699</v>
      </c>
      <c r="X105" s="46">
        <f t="shared" si="62"/>
        <v>32.968179447052698</v>
      </c>
      <c r="Y105" s="46">
        <f t="shared" si="62"/>
        <v>28.0379654821492</v>
      </c>
      <c r="Z105" s="46">
        <f t="shared" si="62"/>
        <v>25.4609666954129</v>
      </c>
      <c r="AA105" s="46">
        <f t="shared" si="62"/>
        <v>23.892178885031701</v>
      </c>
      <c r="AB105" s="46">
        <f t="shared" si="62"/>
        <v>24.3100243100243</v>
      </c>
      <c r="AC105" s="46">
        <f t="shared" si="62"/>
        <v>22.715645144786698</v>
      </c>
      <c r="AD105" s="46">
        <f t="shared" si="62"/>
        <v>25.875346544819799</v>
      </c>
      <c r="AE105" s="46">
        <f t="shared" si="62"/>
        <v>21.701837422235101</v>
      </c>
      <c r="AF105" s="46">
        <f t="shared" si="62"/>
        <v>22.622556141297601</v>
      </c>
      <c r="AG105" s="46">
        <f t="shared" si="62"/>
        <v>23.758414438446898</v>
      </c>
      <c r="AH105" s="46">
        <f t="shared" si="62"/>
        <v>20.4038704249053</v>
      </c>
      <c r="AI105" s="46">
        <f t="shared" si="62"/>
        <v>23.994564063362599</v>
      </c>
      <c r="AJ105" s="46">
        <f t="shared" si="62"/>
        <v>17.636684303351</v>
      </c>
      <c r="AK105" s="46">
        <f t="shared" si="62"/>
        <v>21.706461846719002</v>
      </c>
      <c r="AL105" s="46">
        <f t="shared" si="62"/>
        <v>19.418654044541501</v>
      </c>
    </row>
    <row r="106" spans="2:38" x14ac:dyDescent="0.2">
      <c r="B106" s="71"/>
      <c r="C106" s="71"/>
      <c r="D106" s="71"/>
      <c r="E106" s="71"/>
      <c r="F106" s="71"/>
      <c r="G106" s="71"/>
      <c r="H106" s="71"/>
      <c r="I106" s="71"/>
      <c r="J106" s="71"/>
      <c r="K106" s="71"/>
      <c r="L106" s="71"/>
      <c r="M106" s="71"/>
      <c r="P106" s="24" t="s">
        <v>36</v>
      </c>
      <c r="R106" s="408"/>
      <c r="S106" s="46">
        <f t="shared" ref="S106:AL106" si="63">VLOOKUP(S$47&amp;"Male"&amp;"Non-Maori"&amp;24,agesextable,7,FALSE)</f>
        <v>21.985753231905701</v>
      </c>
      <c r="T106" s="46">
        <f t="shared" si="63"/>
        <v>19.691218857909298</v>
      </c>
      <c r="U106" s="46">
        <f t="shared" si="63"/>
        <v>22.2450852264828</v>
      </c>
      <c r="V106" s="46">
        <f t="shared" si="63"/>
        <v>22.2372881355932</v>
      </c>
      <c r="W106" s="46">
        <f t="shared" si="63"/>
        <v>19.071837253655399</v>
      </c>
      <c r="X106" s="46">
        <f t="shared" si="63"/>
        <v>15.513095638234599</v>
      </c>
      <c r="Y106" s="46">
        <f t="shared" si="63"/>
        <v>20.5828459549688</v>
      </c>
      <c r="Z106" s="46">
        <f t="shared" si="63"/>
        <v>23.3804188991719</v>
      </c>
      <c r="AA106" s="46">
        <f t="shared" si="63"/>
        <v>19.157994323557201</v>
      </c>
      <c r="AB106" s="46">
        <f t="shared" si="63"/>
        <v>23.042005576165302</v>
      </c>
      <c r="AC106" s="46">
        <f t="shared" si="63"/>
        <v>22.492633662475502</v>
      </c>
      <c r="AD106" s="46">
        <f t="shared" si="63"/>
        <v>20.0105550180315</v>
      </c>
      <c r="AE106" s="46">
        <f t="shared" si="63"/>
        <v>25.138044389059601</v>
      </c>
      <c r="AF106" s="46">
        <f t="shared" si="63"/>
        <v>23.8014997051142</v>
      </c>
      <c r="AG106" s="46">
        <f t="shared" si="63"/>
        <v>22.1734084880637</v>
      </c>
      <c r="AH106" s="46">
        <f t="shared" si="63"/>
        <v>21.3219616204691</v>
      </c>
      <c r="AI106" s="46">
        <f t="shared" si="63"/>
        <v>19.613852283175</v>
      </c>
      <c r="AJ106" s="46">
        <f t="shared" si="63"/>
        <v>25.395148510828498</v>
      </c>
      <c r="AK106" s="46">
        <f t="shared" si="63"/>
        <v>22.127454135822301</v>
      </c>
      <c r="AL106" s="46">
        <f t="shared" si="63"/>
        <v>21.676013204470401</v>
      </c>
    </row>
    <row r="107" spans="2:38" ht="34.5" customHeight="1" x14ac:dyDescent="0.2">
      <c r="B107" s="365"/>
      <c r="C107" s="369" t="s">
        <v>101</v>
      </c>
      <c r="D107" s="556" t="s">
        <v>643</v>
      </c>
      <c r="E107" s="557"/>
      <c r="F107" s="557"/>
      <c r="G107" s="557"/>
      <c r="H107" s="557"/>
      <c r="I107" s="557"/>
      <c r="J107" s="557"/>
      <c r="K107" s="557"/>
      <c r="L107" s="557"/>
      <c r="M107" s="365"/>
      <c r="P107" s="203" t="s">
        <v>26</v>
      </c>
      <c r="Q107" s="204"/>
      <c r="R107" s="210"/>
      <c r="S107" s="465">
        <f t="shared" ref="S107:AL107" si="64">VLOOKUP(S$47&amp;"Male"&amp;"Non-Maori"&amp;25,agesextable,7,FALSE)</f>
        <v>29.087654528164698</v>
      </c>
      <c r="T107" s="465">
        <f t="shared" si="64"/>
        <v>25.3290017069545</v>
      </c>
      <c r="U107" s="465">
        <f t="shared" si="64"/>
        <v>24.970144392574099</v>
      </c>
      <c r="V107" s="465">
        <f t="shared" si="64"/>
        <v>19.2688540384307</v>
      </c>
      <c r="W107" s="465">
        <f t="shared" si="64"/>
        <v>21.108179419525101</v>
      </c>
      <c r="X107" s="465">
        <f t="shared" si="64"/>
        <v>23.8973453166398</v>
      </c>
      <c r="Y107" s="465">
        <f t="shared" si="64"/>
        <v>18.379537448307602</v>
      </c>
      <c r="Z107" s="465">
        <f t="shared" si="64"/>
        <v>23.013808284970999</v>
      </c>
      <c r="AA107" s="465">
        <f t="shared" si="64"/>
        <v>21.5570035765029</v>
      </c>
      <c r="AB107" s="465">
        <f t="shared" si="64"/>
        <v>14.2891164562991</v>
      </c>
      <c r="AC107" s="465">
        <f t="shared" si="64"/>
        <v>15.1933701657459</v>
      </c>
      <c r="AD107" s="465">
        <f t="shared" si="64"/>
        <v>18.316654753395301</v>
      </c>
      <c r="AE107" s="465">
        <f t="shared" si="64"/>
        <v>15.281840806881201</v>
      </c>
      <c r="AF107" s="465">
        <f t="shared" si="64"/>
        <v>16.995963458678599</v>
      </c>
      <c r="AG107" s="465">
        <f t="shared" si="64"/>
        <v>17.730496453900699</v>
      </c>
      <c r="AH107" s="465">
        <f t="shared" si="64"/>
        <v>12.360939431396799</v>
      </c>
      <c r="AI107" s="465">
        <f t="shared" si="64"/>
        <v>16.070403673235099</v>
      </c>
      <c r="AJ107" s="465">
        <f t="shared" si="64"/>
        <v>17.635388345947501</v>
      </c>
      <c r="AK107" s="465">
        <f t="shared" si="64"/>
        <v>17.287609370589902</v>
      </c>
      <c r="AL107" s="465">
        <f t="shared" si="64"/>
        <v>16.3148771285816</v>
      </c>
    </row>
    <row r="108" spans="2:38" s="177" customFormat="1" x14ac:dyDescent="0.2">
      <c r="B108" s="422"/>
      <c r="C108" s="423"/>
      <c r="D108" s="423" t="s">
        <v>103</v>
      </c>
      <c r="E108" s="423"/>
      <c r="F108" s="423"/>
      <c r="G108" s="419"/>
      <c r="H108" s="500"/>
      <c r="I108" s="423"/>
      <c r="J108" s="422"/>
      <c r="K108" s="422"/>
      <c r="L108" s="422"/>
      <c r="M108" s="422"/>
      <c r="O108" s="205"/>
      <c r="P108" s="205"/>
      <c r="Q108" s="208"/>
      <c r="R108" s="205"/>
      <c r="S108" s="466"/>
      <c r="T108" s="466"/>
      <c r="U108" s="466"/>
      <c r="V108" s="466"/>
      <c r="W108" s="466"/>
      <c r="X108" s="466"/>
      <c r="Y108" s="466"/>
      <c r="Z108" s="466"/>
      <c r="AA108" s="466"/>
      <c r="AB108" s="466"/>
      <c r="AC108" s="466"/>
      <c r="AD108" s="466"/>
      <c r="AE108" s="466"/>
      <c r="AF108" s="466"/>
      <c r="AG108" s="466"/>
      <c r="AH108" s="466"/>
      <c r="AI108" s="466"/>
      <c r="AJ108" s="466"/>
      <c r="AK108" s="466"/>
      <c r="AL108" s="466"/>
    </row>
    <row r="109" spans="2:38" x14ac:dyDescent="0.2">
      <c r="B109" s="419"/>
      <c r="C109" s="71"/>
      <c r="D109" s="84" t="s">
        <v>599</v>
      </c>
      <c r="E109" s="71"/>
      <c r="F109" s="71"/>
      <c r="G109" s="414"/>
      <c r="H109" s="419"/>
      <c r="I109" s="414"/>
      <c r="J109" s="419"/>
      <c r="K109" s="419"/>
      <c r="L109" s="419"/>
      <c r="M109" s="419"/>
      <c r="O109" s="24" t="s">
        <v>8</v>
      </c>
      <c r="P109" s="24" t="s">
        <v>189</v>
      </c>
      <c r="Q109" s="25" t="s">
        <v>22</v>
      </c>
      <c r="R109" s="408"/>
      <c r="S109" s="46">
        <f t="shared" ref="S109:AL109" si="65">VLOOKUP(S$47&amp;"Female"&amp;"Non-Maori"&amp;22,agesextable,7,FALSE)</f>
        <v>13.1824173826083</v>
      </c>
      <c r="T109" s="46">
        <f t="shared" si="65"/>
        <v>9.2357423227891893</v>
      </c>
      <c r="U109" s="46">
        <f t="shared" si="65"/>
        <v>10.315562432597201</v>
      </c>
      <c r="V109" s="46">
        <f t="shared" si="65"/>
        <v>12.808956781631</v>
      </c>
      <c r="W109" s="46">
        <f t="shared" si="65"/>
        <v>5.2338583051815197</v>
      </c>
      <c r="X109" s="46">
        <f t="shared" si="65"/>
        <v>6.5950631241756197</v>
      </c>
      <c r="Y109" s="46">
        <f t="shared" si="65"/>
        <v>9.1049804242920906</v>
      </c>
      <c r="Z109" s="46">
        <f t="shared" si="65"/>
        <v>8.7623220153340604</v>
      </c>
      <c r="AA109" s="46">
        <f t="shared" si="65"/>
        <v>7.2933201767557598</v>
      </c>
      <c r="AB109" s="46">
        <f t="shared" si="65"/>
        <v>5.9194114413766901</v>
      </c>
      <c r="AC109" s="46">
        <f t="shared" si="65"/>
        <v>6.6552972006156201</v>
      </c>
      <c r="AD109" s="46">
        <f t="shared" si="65"/>
        <v>5.3926245488862197</v>
      </c>
      <c r="AE109" s="46">
        <f t="shared" si="65"/>
        <v>8.3156625504137001</v>
      </c>
      <c r="AF109" s="46">
        <f t="shared" si="65"/>
        <v>4.1414727076948603</v>
      </c>
      <c r="AG109" s="46">
        <f t="shared" si="65"/>
        <v>7.7961511632678198</v>
      </c>
      <c r="AH109" s="46">
        <f t="shared" si="65"/>
        <v>7.3604579840523403</v>
      </c>
      <c r="AI109" s="46">
        <f t="shared" si="65"/>
        <v>6.96407357338905</v>
      </c>
      <c r="AJ109" s="46">
        <f t="shared" si="65"/>
        <v>7.3625654450261804</v>
      </c>
      <c r="AK109" s="46">
        <f t="shared" si="65"/>
        <v>5.65291124929339</v>
      </c>
      <c r="AL109" s="46">
        <f t="shared" si="65"/>
        <v>7.5381868676849804</v>
      </c>
    </row>
    <row r="110" spans="2:38" x14ac:dyDescent="0.2">
      <c r="B110" s="419"/>
      <c r="C110" s="419" t="s">
        <v>146</v>
      </c>
      <c r="D110" s="419" t="s">
        <v>149</v>
      </c>
      <c r="E110" s="419"/>
      <c r="F110" s="419"/>
      <c r="G110" s="71"/>
      <c r="H110" s="419"/>
      <c r="I110" s="414"/>
      <c r="J110" s="419"/>
      <c r="K110" s="419"/>
      <c r="L110" s="419"/>
      <c r="M110" s="419"/>
      <c r="P110" s="24" t="s">
        <v>35</v>
      </c>
      <c r="R110" s="408"/>
      <c r="S110" s="46">
        <f t="shared" ref="S110:AL110" si="66">VLOOKUP(S$47&amp;"Female"&amp;"Non-Maori"&amp;23,agesextable,7,FALSE)</f>
        <v>4.9390520971215199</v>
      </c>
      <c r="T110" s="46">
        <f t="shared" si="66"/>
        <v>7.77937687191256</v>
      </c>
      <c r="U110" s="46">
        <f t="shared" si="66"/>
        <v>9.0956592417703597</v>
      </c>
      <c r="V110" s="46">
        <f t="shared" si="66"/>
        <v>9.3111675816182</v>
      </c>
      <c r="W110" s="46">
        <f t="shared" si="66"/>
        <v>6.4405324173464997</v>
      </c>
      <c r="X110" s="46">
        <f t="shared" si="66"/>
        <v>7.6827610661308396</v>
      </c>
      <c r="Y110" s="46">
        <f t="shared" si="66"/>
        <v>7.4356716563937004</v>
      </c>
      <c r="Z110" s="46">
        <f t="shared" si="66"/>
        <v>9.0805463784076199</v>
      </c>
      <c r="AA110" s="46">
        <f t="shared" si="66"/>
        <v>5.5543850912642903</v>
      </c>
      <c r="AB110" s="46">
        <f t="shared" si="66"/>
        <v>8.7888572574944099</v>
      </c>
      <c r="AC110" s="46">
        <f t="shared" si="66"/>
        <v>8.0195524325975693</v>
      </c>
      <c r="AD110" s="46">
        <f t="shared" si="66"/>
        <v>7.0840513115067996</v>
      </c>
      <c r="AE110" s="46">
        <f t="shared" si="66"/>
        <v>7.7069805976763499</v>
      </c>
      <c r="AF110" s="46">
        <f t="shared" si="66"/>
        <v>6.3814975247524801</v>
      </c>
      <c r="AG110" s="46">
        <f t="shared" si="66"/>
        <v>8.5296113211204805</v>
      </c>
      <c r="AH110" s="46">
        <f t="shared" si="66"/>
        <v>4.2961198226874204</v>
      </c>
      <c r="AI110" s="46">
        <f t="shared" si="66"/>
        <v>6.7010918837951801</v>
      </c>
      <c r="AJ110" s="46">
        <f t="shared" si="66"/>
        <v>6.7246835443038</v>
      </c>
      <c r="AK110" s="46">
        <f t="shared" si="66"/>
        <v>6.8674580594525603</v>
      </c>
      <c r="AL110" s="46">
        <f t="shared" si="66"/>
        <v>4.0441388872840696</v>
      </c>
    </row>
    <row r="111" spans="2:38" x14ac:dyDescent="0.2">
      <c r="B111" s="71"/>
      <c r="C111" s="71"/>
      <c r="D111" s="71"/>
      <c r="E111" s="71"/>
      <c r="F111" s="71"/>
      <c r="G111" s="71"/>
      <c r="H111" s="71"/>
      <c r="I111" s="71"/>
      <c r="J111" s="71"/>
      <c r="K111" s="71"/>
      <c r="L111" s="71"/>
      <c r="M111" s="71"/>
      <c r="P111" s="24" t="s">
        <v>36</v>
      </c>
      <c r="R111" s="408"/>
      <c r="S111" s="46">
        <f t="shared" ref="S111:AL111" si="67">VLOOKUP(S$47&amp;"Female"&amp;"Non-Maori"&amp;24,agesextable,7,FALSE)</f>
        <v>5.5746266467153696</v>
      </c>
      <c r="T111" s="46">
        <f t="shared" si="67"/>
        <v>7.4063523714570598</v>
      </c>
      <c r="U111" s="46">
        <f t="shared" si="67"/>
        <v>6.08625888732122</v>
      </c>
      <c r="V111" s="46">
        <f t="shared" si="67"/>
        <v>5.6445543489947303</v>
      </c>
      <c r="W111" s="46">
        <f t="shared" si="67"/>
        <v>5.48704013377926</v>
      </c>
      <c r="X111" s="46">
        <f t="shared" si="67"/>
        <v>6.8653376729047997</v>
      </c>
      <c r="Y111" s="46">
        <f t="shared" si="67"/>
        <v>5.9197868876720401</v>
      </c>
      <c r="Z111" s="46">
        <f t="shared" si="67"/>
        <v>8.1232827619161405</v>
      </c>
      <c r="AA111" s="46">
        <f t="shared" si="67"/>
        <v>6.4864363981745301</v>
      </c>
      <c r="AB111" s="46">
        <f t="shared" si="67"/>
        <v>6.5290316770605799</v>
      </c>
      <c r="AC111" s="46">
        <f t="shared" si="67"/>
        <v>6.3500405088791103</v>
      </c>
      <c r="AD111" s="46">
        <f t="shared" si="67"/>
        <v>8.3240843507214208</v>
      </c>
      <c r="AE111" s="46">
        <f t="shared" si="67"/>
        <v>6.6474168553563597</v>
      </c>
      <c r="AF111" s="46">
        <f t="shared" si="67"/>
        <v>7.1047236262509399</v>
      </c>
      <c r="AG111" s="46">
        <f t="shared" si="67"/>
        <v>7.7616574123828297</v>
      </c>
      <c r="AH111" s="46">
        <f t="shared" si="67"/>
        <v>5.8832758079698797</v>
      </c>
      <c r="AI111" s="46">
        <f t="shared" si="67"/>
        <v>7.9715357844185597</v>
      </c>
      <c r="AJ111" s="46">
        <f t="shared" si="67"/>
        <v>9.2453484340691094</v>
      </c>
      <c r="AK111" s="46">
        <f t="shared" si="67"/>
        <v>8.1747495294766299</v>
      </c>
      <c r="AL111" s="46">
        <f t="shared" si="67"/>
        <v>7.8725398313027197</v>
      </c>
    </row>
    <row r="112" spans="2:38" x14ac:dyDescent="0.2">
      <c r="P112" s="24" t="s">
        <v>26</v>
      </c>
      <c r="R112" s="408"/>
      <c r="S112" s="46">
        <f t="shared" ref="S112:AL112" si="68">VLOOKUP(S$47&amp;"Female"&amp;"Non-Maori"&amp;25,agesextable,7,FALSE)</f>
        <v>5.5124454055887702</v>
      </c>
      <c r="T112" s="46">
        <f t="shared" si="68"/>
        <v>2.9385836027034999</v>
      </c>
      <c r="U112" s="46">
        <f t="shared" si="68"/>
        <v>6.6472787702534299</v>
      </c>
      <c r="V112" s="46">
        <f t="shared" si="68"/>
        <v>6.5862594162927603</v>
      </c>
      <c r="W112" s="46">
        <f t="shared" si="68"/>
        <v>2.4475809741372299</v>
      </c>
      <c r="X112" s="46">
        <f t="shared" si="68"/>
        <v>6.4479729185137398</v>
      </c>
      <c r="Y112" s="46">
        <f t="shared" si="68"/>
        <v>4.7844982257485702</v>
      </c>
      <c r="Z112" s="46">
        <f t="shared" si="68"/>
        <v>8.2726019302737797</v>
      </c>
      <c r="AA112" s="46">
        <f t="shared" si="68"/>
        <v>3.49473847707063</v>
      </c>
      <c r="AB112" s="46">
        <f t="shared" si="68"/>
        <v>6.0966316110349004</v>
      </c>
      <c r="AC112" s="46">
        <f t="shared" si="68"/>
        <v>6.3300565981531101</v>
      </c>
      <c r="AD112" s="46">
        <f t="shared" si="68"/>
        <v>2.91779123203735</v>
      </c>
      <c r="AE112" s="46">
        <f t="shared" si="68"/>
        <v>5.38889886833124</v>
      </c>
      <c r="AF112" s="46">
        <f t="shared" si="68"/>
        <v>4.5840826545364797</v>
      </c>
      <c r="AG112" s="46">
        <f t="shared" si="68"/>
        <v>4.8262548262548304</v>
      </c>
      <c r="AH112" s="46">
        <f t="shared" si="68"/>
        <v>4.70540785803112</v>
      </c>
      <c r="AI112" s="46">
        <f t="shared" si="68"/>
        <v>4.5559569136646196</v>
      </c>
      <c r="AJ112" s="46">
        <f t="shared" si="68"/>
        <v>2.5182573659027998</v>
      </c>
      <c r="AK112" s="46">
        <f t="shared" si="68"/>
        <v>3.3487579152459799</v>
      </c>
      <c r="AL112" s="46">
        <f t="shared" si="68"/>
        <v>4.7162859248341897</v>
      </c>
    </row>
    <row r="113" spans="2:38" x14ac:dyDescent="0.2">
      <c r="O113" s="26"/>
      <c r="P113" s="26"/>
      <c r="Q113" s="28"/>
      <c r="R113" s="409"/>
      <c r="S113" s="128"/>
      <c r="T113" s="128"/>
      <c r="U113" s="128"/>
      <c r="V113" s="128"/>
      <c r="W113" s="128"/>
      <c r="X113" s="128"/>
      <c r="Y113" s="128"/>
      <c r="Z113" s="128"/>
      <c r="AA113" s="128"/>
      <c r="AB113" s="128"/>
      <c r="AC113" s="128"/>
      <c r="AD113" s="128"/>
      <c r="AE113" s="128"/>
      <c r="AF113" s="128"/>
      <c r="AG113" s="128"/>
      <c r="AH113" s="128"/>
      <c r="AI113" s="128"/>
      <c r="AJ113" s="128"/>
      <c r="AK113" s="128"/>
      <c r="AL113" s="128"/>
    </row>
    <row r="114" spans="2:38" x14ac:dyDescent="0.2">
      <c r="O114" s="10" t="s">
        <v>140</v>
      </c>
      <c r="P114" s="87" t="s">
        <v>189</v>
      </c>
      <c r="Q114" s="18" t="s">
        <v>113</v>
      </c>
      <c r="R114" s="408"/>
      <c r="S114" s="46">
        <f>IFERROR(S64/S99, "-")</f>
        <v>1.6099615938550167</v>
      </c>
      <c r="T114" s="46">
        <f t="shared" ref="T114:AK114" si="69">IFERROR(T64/T99, "-")</f>
        <v>1.5459011791128594</v>
      </c>
      <c r="U114" s="46">
        <f t="shared" si="69"/>
        <v>1.8533019032131375</v>
      </c>
      <c r="V114" s="46">
        <f t="shared" si="69"/>
        <v>1.5788419403220444</v>
      </c>
      <c r="W114" s="46">
        <f t="shared" si="69"/>
        <v>1.7175987438096409</v>
      </c>
      <c r="X114" s="46">
        <f t="shared" si="69"/>
        <v>1.4912795447687373</v>
      </c>
      <c r="Y114" s="46">
        <f t="shared" si="69"/>
        <v>2.2168269902903766</v>
      </c>
      <c r="Z114" s="46">
        <f>IFERROR(Z64/Z99, "-")</f>
        <v>1.9866521725352724</v>
      </c>
      <c r="AA114" s="46">
        <f t="shared" si="69"/>
        <v>2.4882984457820521</v>
      </c>
      <c r="AB114" s="46">
        <f t="shared" si="69"/>
        <v>2.4406685060095712</v>
      </c>
      <c r="AC114" s="46">
        <f t="shared" si="69"/>
        <v>1.8963881779645873</v>
      </c>
      <c r="AD114" s="46">
        <f>IFERROR(AD64/AD99, "-")</f>
        <v>2.2390175602356899</v>
      </c>
      <c r="AE114" s="46">
        <f t="shared" si="69"/>
        <v>1.6557257263676666</v>
      </c>
      <c r="AF114" s="46">
        <f t="shared" si="69"/>
        <v>1.7429337633856841</v>
      </c>
      <c r="AG114" s="46">
        <f t="shared" si="69"/>
        <v>2.446999056740423</v>
      </c>
      <c r="AH114" s="46">
        <f>IFERROR(AH64/AH99, "-")</f>
        <v>2.4179084664293069</v>
      </c>
      <c r="AI114" s="46">
        <f t="shared" si="69"/>
        <v>2.7718929683183129</v>
      </c>
      <c r="AJ114" s="46">
        <f t="shared" si="69"/>
        <v>3.1611060052113777</v>
      </c>
      <c r="AK114" s="46">
        <f t="shared" si="69"/>
        <v>1.7810056867412334</v>
      </c>
      <c r="AL114" s="46">
        <f>IFERROR(AL64/AL99, "-")</f>
        <v>2.417085824138216</v>
      </c>
    </row>
    <row r="115" spans="2:38" x14ac:dyDescent="0.2">
      <c r="O115" s="10" t="s">
        <v>140</v>
      </c>
      <c r="P115" s="24" t="s">
        <v>35</v>
      </c>
      <c r="R115" s="408"/>
      <c r="S115" s="46">
        <f>IFERROR(S65/S100, "-")</f>
        <v>1.7047588267827116</v>
      </c>
      <c r="T115" s="46">
        <f t="shared" ref="T115:AL115" si="70">IFERROR(T65/T100, "-")</f>
        <v>1.8497950124037017</v>
      </c>
      <c r="U115" s="46">
        <f t="shared" si="70"/>
        <v>1.499004805493571</v>
      </c>
      <c r="V115" s="46">
        <f t="shared" si="70"/>
        <v>1.3174938257198248</v>
      </c>
      <c r="W115" s="46">
        <f t="shared" si="70"/>
        <v>1.4271347664127652</v>
      </c>
      <c r="X115" s="46">
        <f t="shared" si="70"/>
        <v>1.2490889825656044</v>
      </c>
      <c r="Y115" s="46">
        <f t="shared" si="70"/>
        <v>1.3541708236252299</v>
      </c>
      <c r="Z115" s="46">
        <f>IFERROR(Z65/Z100, "-")</f>
        <v>1.5917578923946241</v>
      </c>
      <c r="AA115" s="46">
        <f t="shared" si="70"/>
        <v>2.2477006043940975</v>
      </c>
      <c r="AB115" s="46">
        <f t="shared" si="70"/>
        <v>1.9562009806551317</v>
      </c>
      <c r="AC115" s="46">
        <f t="shared" si="70"/>
        <v>2.1043026397838251</v>
      </c>
      <c r="AD115" s="46">
        <f t="shared" si="70"/>
        <v>1.8309122778118958</v>
      </c>
      <c r="AE115" s="46">
        <f t="shared" si="70"/>
        <v>1.523469092387191</v>
      </c>
      <c r="AF115" s="46">
        <f t="shared" si="70"/>
        <v>1.302920402087516</v>
      </c>
      <c r="AG115" s="46">
        <f t="shared" si="70"/>
        <v>1.5430915740835955</v>
      </c>
      <c r="AH115" s="46">
        <f t="shared" si="70"/>
        <v>2.1787281328571493</v>
      </c>
      <c r="AI115" s="46">
        <f t="shared" si="70"/>
        <v>1.5483153891477872</v>
      </c>
      <c r="AJ115" s="46">
        <f t="shared" si="70"/>
        <v>2.1883745195619322</v>
      </c>
      <c r="AK115" s="46">
        <f t="shared" si="70"/>
        <v>2.1508415606993796</v>
      </c>
      <c r="AL115" s="46">
        <f t="shared" si="70"/>
        <v>2.7434649441334424</v>
      </c>
    </row>
    <row r="116" spans="2:38" x14ac:dyDescent="0.2">
      <c r="O116" s="10" t="s">
        <v>140</v>
      </c>
      <c r="P116" s="24" t="s">
        <v>36</v>
      </c>
      <c r="R116" s="408"/>
      <c r="S116" s="46">
        <f>IFERROR(S66/S101, "-")</f>
        <v>0.91950489442601713</v>
      </c>
      <c r="T116" s="46">
        <f t="shared" ref="T116:AK116" si="71">IFERROR(T66/T101, "-")</f>
        <v>0.7859873223204028</v>
      </c>
      <c r="U116" s="46">
        <f t="shared" si="71"/>
        <v>1.2392122493169009</v>
      </c>
      <c r="V116" s="46" t="str">
        <f t="shared" si="71"/>
        <v>-</v>
      </c>
      <c r="W116" s="46">
        <f t="shared" si="71"/>
        <v>1.0966761008738986</v>
      </c>
      <c r="X116" s="46">
        <f t="shared" si="71"/>
        <v>0.57468317501292865</v>
      </c>
      <c r="Y116" s="46">
        <f t="shared" si="71"/>
        <v>0.64938992017949171</v>
      </c>
      <c r="Z116" s="46">
        <f t="shared" si="71"/>
        <v>0.37303508282570225</v>
      </c>
      <c r="AA116" s="46">
        <f t="shared" si="71"/>
        <v>0.78847305327826234</v>
      </c>
      <c r="AB116" s="46">
        <f t="shared" si="71"/>
        <v>0.51052167370104795</v>
      </c>
      <c r="AC116" s="46">
        <f t="shared" si="71"/>
        <v>0.86133953870633573</v>
      </c>
      <c r="AD116" s="46">
        <f t="shared" si="71"/>
        <v>0.83620335708247717</v>
      </c>
      <c r="AE116" s="46">
        <f t="shared" si="71"/>
        <v>0.5949283335082225</v>
      </c>
      <c r="AF116" s="46">
        <f t="shared" si="71"/>
        <v>0.64619479279765046</v>
      </c>
      <c r="AG116" s="46">
        <f t="shared" si="71"/>
        <v>0.87557215899797614</v>
      </c>
      <c r="AH116" s="46">
        <f t="shared" si="71"/>
        <v>0.99563028983789625</v>
      </c>
      <c r="AI116" s="46">
        <f t="shared" si="71"/>
        <v>0.59265609473995673</v>
      </c>
      <c r="AJ116" s="46">
        <f t="shared" si="71"/>
        <v>0.45888875781526461</v>
      </c>
      <c r="AK116" s="46">
        <f t="shared" si="71"/>
        <v>0.56310469274341179</v>
      </c>
      <c r="AL116" s="46">
        <f>IFERROR(AL66/AL101, "-")</f>
        <v>0.92475792047328698</v>
      </c>
    </row>
    <row r="117" spans="2:38" x14ac:dyDescent="0.2">
      <c r="S117" s="173"/>
      <c r="AC117" s="124"/>
      <c r="AD117" s="124"/>
      <c r="AE117" s="124"/>
      <c r="AF117" s="124"/>
      <c r="AG117" s="124"/>
      <c r="AH117" s="124"/>
      <c r="AI117" s="124"/>
      <c r="AJ117" s="124"/>
      <c r="AK117" s="124"/>
    </row>
    <row r="118" spans="2:38" x14ac:dyDescent="0.2">
      <c r="O118" s="138" t="s">
        <v>101</v>
      </c>
      <c r="P118" s="138" t="s">
        <v>558</v>
      </c>
      <c r="Q118" s="216"/>
      <c r="R118" s="216"/>
      <c r="S118" s="170"/>
    </row>
    <row r="119" spans="2:38" ht="10.5" customHeight="1" x14ac:dyDescent="0.2">
      <c r="O119" s="51"/>
      <c r="P119" s="51" t="s">
        <v>103</v>
      </c>
      <c r="Q119" s="199"/>
      <c r="R119" s="199"/>
      <c r="S119" s="170"/>
    </row>
    <row r="120" spans="2:38" x14ac:dyDescent="0.2">
      <c r="O120" s="386" t="s">
        <v>146</v>
      </c>
      <c r="P120" s="386" t="s">
        <v>149</v>
      </c>
      <c r="Q120" s="234"/>
      <c r="R120" s="234"/>
      <c r="S120" s="236"/>
      <c r="T120" s="236"/>
      <c r="U120" s="236"/>
      <c r="V120" s="236"/>
      <c r="W120" s="236"/>
      <c r="X120" s="236"/>
      <c r="Y120" s="236"/>
      <c r="Z120" s="236"/>
      <c r="AA120" s="236"/>
      <c r="AB120" s="236"/>
      <c r="AC120" s="236"/>
      <c r="AD120" s="236"/>
      <c r="AE120" s="236"/>
      <c r="AF120" s="236"/>
      <c r="AG120" s="236"/>
      <c r="AH120" s="236"/>
      <c r="AI120" s="236"/>
      <c r="AJ120" s="236"/>
      <c r="AK120" s="236"/>
      <c r="AL120" s="388"/>
    </row>
    <row r="121" spans="2:38" ht="15.75" x14ac:dyDescent="0.25">
      <c r="C121" s="39"/>
      <c r="O121" s="138"/>
      <c r="P121" s="138"/>
      <c r="Q121" s="216"/>
      <c r="R121" s="216"/>
      <c r="AC121" s="124"/>
      <c r="AD121" s="124"/>
      <c r="AE121" s="124"/>
      <c r="AF121" s="124"/>
      <c r="AG121" s="124"/>
      <c r="AH121" s="124"/>
      <c r="AI121" s="124"/>
      <c r="AJ121" s="124"/>
      <c r="AK121" s="124"/>
      <c r="AL121" s="130"/>
    </row>
    <row r="122" spans="2:38" ht="15.75" x14ac:dyDescent="0.25">
      <c r="C122" s="39"/>
      <c r="O122" s="138"/>
      <c r="P122" s="138"/>
      <c r="Q122" s="216"/>
      <c r="R122" s="216"/>
      <c r="AC122" s="124"/>
      <c r="AD122" s="124"/>
      <c r="AE122" s="124"/>
      <c r="AF122" s="124"/>
      <c r="AG122" s="124"/>
      <c r="AH122" s="124"/>
      <c r="AI122" s="124"/>
      <c r="AJ122" s="124"/>
      <c r="AK122" s="124"/>
      <c r="AL122" s="130"/>
    </row>
    <row r="123" spans="2:38" ht="15.75" x14ac:dyDescent="0.25">
      <c r="C123" s="39" t="s">
        <v>442</v>
      </c>
      <c r="O123" s="138"/>
      <c r="P123" s="138"/>
      <c r="Q123" s="216"/>
      <c r="R123" s="216"/>
      <c r="AC123" s="124"/>
      <c r="AD123" s="124"/>
      <c r="AE123" s="124"/>
      <c r="AF123" s="124"/>
      <c r="AG123" s="124"/>
      <c r="AH123" s="124"/>
      <c r="AI123" s="124"/>
      <c r="AJ123" s="124"/>
      <c r="AK123" s="124"/>
      <c r="AL123" s="130"/>
    </row>
    <row r="124" spans="2:38" ht="8.25" customHeight="1" x14ac:dyDescent="0.2">
      <c r="O124" s="30"/>
      <c r="P124" s="30"/>
      <c r="Q124" s="31"/>
      <c r="AC124" s="124"/>
      <c r="AD124" s="124"/>
      <c r="AE124" s="124"/>
      <c r="AF124" s="124"/>
      <c r="AG124" s="124"/>
      <c r="AH124" s="124"/>
      <c r="AI124" s="124"/>
      <c r="AJ124" s="124"/>
      <c r="AK124" s="124"/>
      <c r="AL124" s="130"/>
    </row>
    <row r="125" spans="2:38" ht="42" customHeight="1" x14ac:dyDescent="0.2">
      <c r="C125" s="549" t="s">
        <v>577</v>
      </c>
      <c r="D125" s="550"/>
      <c r="E125" s="550"/>
      <c r="F125" s="550"/>
      <c r="G125" s="550"/>
      <c r="H125" s="550"/>
      <c r="I125" s="550"/>
      <c r="J125" s="550"/>
      <c r="K125" s="550"/>
      <c r="L125" s="550"/>
      <c r="O125" s="12"/>
      <c r="P125" s="12"/>
      <c r="Q125" s="45"/>
      <c r="R125" s="12"/>
      <c r="S125" s="12"/>
      <c r="T125" s="12"/>
      <c r="U125" s="12"/>
      <c r="V125" s="12"/>
      <c r="W125" s="12"/>
      <c r="X125" s="12"/>
      <c r="Y125" s="12"/>
      <c r="Z125" s="12"/>
      <c r="AA125" s="12"/>
      <c r="AB125" s="12"/>
      <c r="AC125" s="12"/>
      <c r="AD125" s="12"/>
      <c r="AE125" s="12"/>
      <c r="AF125" s="12"/>
      <c r="AG125" s="12"/>
      <c r="AH125" s="12"/>
      <c r="AI125" s="12"/>
      <c r="AJ125" s="12"/>
      <c r="AK125" s="12"/>
      <c r="AL125" s="12"/>
    </row>
    <row r="126" spans="2:38" ht="12.75" customHeight="1" x14ac:dyDescent="0.2">
      <c r="C126" s="23" t="s">
        <v>576</v>
      </c>
      <c r="N126" s="475" t="s">
        <v>192</v>
      </c>
      <c r="O126" s="12"/>
      <c r="P126" s="12"/>
      <c r="Q126" s="45"/>
      <c r="R126" s="12"/>
      <c r="S126" s="12"/>
      <c r="T126" s="12"/>
      <c r="U126" s="12"/>
      <c r="V126" s="12"/>
      <c r="W126" s="12"/>
      <c r="X126" s="12"/>
      <c r="Y126" s="12"/>
      <c r="Z126" s="12"/>
      <c r="AA126" s="12"/>
      <c r="AB126" s="12"/>
      <c r="AC126" s="12"/>
      <c r="AD126" s="12"/>
      <c r="AE126" s="12"/>
      <c r="AF126" s="12"/>
      <c r="AG126" s="12"/>
      <c r="AH126" s="12"/>
      <c r="AI126" s="12"/>
      <c r="AJ126" s="12"/>
      <c r="AK126" s="12"/>
      <c r="AL126" s="12"/>
    </row>
    <row r="127" spans="2:38" x14ac:dyDescent="0.2">
      <c r="O127" s="30"/>
      <c r="P127" s="30"/>
      <c r="Q127" s="31"/>
      <c r="AC127" s="124"/>
      <c r="AD127" s="124"/>
      <c r="AE127" s="124"/>
      <c r="AF127" s="124"/>
      <c r="AG127" s="124"/>
      <c r="AH127" s="124"/>
      <c r="AI127" s="124"/>
      <c r="AJ127" s="124"/>
      <c r="AK127" s="124"/>
    </row>
    <row r="128" spans="2:38" x14ac:dyDescent="0.2">
      <c r="B128" s="71"/>
      <c r="C128" s="71"/>
      <c r="D128" s="71"/>
      <c r="E128" s="71"/>
      <c r="F128" s="71"/>
      <c r="G128" s="71"/>
      <c r="H128" s="71"/>
      <c r="I128" s="71"/>
      <c r="J128" s="71"/>
      <c r="K128" s="71"/>
      <c r="L128" s="71"/>
      <c r="M128" s="71"/>
      <c r="O128" s="51"/>
      <c r="P128" s="51"/>
      <c r="Q128" s="199"/>
      <c r="R128" s="199"/>
    </row>
    <row r="129" spans="2:38" ht="17.25" customHeight="1" x14ac:dyDescent="0.2">
      <c r="B129" s="71"/>
      <c r="C129" s="555" t="s">
        <v>399</v>
      </c>
      <c r="D129" s="528"/>
      <c r="E129" s="528"/>
      <c r="F129" s="528"/>
      <c r="G129" s="528"/>
      <c r="H129" s="528"/>
      <c r="I129" s="528"/>
      <c r="J129" s="528"/>
      <c r="K129" s="528"/>
      <c r="L129" s="528"/>
      <c r="M129" s="71"/>
      <c r="O129" s="51"/>
      <c r="P129" s="51"/>
      <c r="Q129" s="199"/>
      <c r="R129" s="199"/>
    </row>
    <row r="130" spans="2:38" ht="15" x14ac:dyDescent="0.25">
      <c r="B130" s="71"/>
      <c r="C130" s="71"/>
      <c r="D130" s="71"/>
      <c r="E130" s="71"/>
      <c r="F130" s="71"/>
      <c r="G130" s="71"/>
      <c r="H130" s="71"/>
      <c r="I130" s="71"/>
      <c r="J130" s="71"/>
      <c r="K130" s="71"/>
      <c r="L130" s="71"/>
      <c r="M130" s="71"/>
      <c r="O130" s="546" t="s">
        <v>478</v>
      </c>
      <c r="P130" s="546"/>
      <c r="Q130" s="546"/>
      <c r="R130" s="546"/>
      <c r="S130" s="546"/>
      <c r="T130" s="546"/>
      <c r="U130" s="546"/>
      <c r="V130" s="546"/>
      <c r="W130" s="546"/>
      <c r="X130" s="546"/>
      <c r="Y130" s="546"/>
      <c r="Z130" s="546"/>
      <c r="AA130" s="546"/>
      <c r="AB130" s="546"/>
      <c r="AC130" s="546"/>
      <c r="AD130" s="546"/>
      <c r="AE130" s="546"/>
      <c r="AF130" s="546"/>
      <c r="AG130" s="37"/>
      <c r="AH130" s="37"/>
      <c r="AI130" s="37"/>
      <c r="AJ130" s="37"/>
      <c r="AK130" s="37"/>
      <c r="AL130" s="130"/>
    </row>
    <row r="131" spans="2:38" ht="12.75" customHeight="1" x14ac:dyDescent="0.2">
      <c r="B131" s="71"/>
      <c r="C131" s="417"/>
      <c r="D131" s="417"/>
      <c r="E131" s="417"/>
      <c r="F131" s="417"/>
      <c r="G131" s="417"/>
      <c r="H131" s="417"/>
      <c r="I131" s="417"/>
      <c r="J131" s="417"/>
      <c r="K131" s="417"/>
      <c r="L131" s="417"/>
      <c r="M131" s="71"/>
    </row>
    <row r="132" spans="2:38" ht="20.25" customHeight="1" x14ac:dyDescent="0.2">
      <c r="B132" s="71"/>
      <c r="C132" s="71"/>
      <c r="D132" s="71"/>
      <c r="E132" s="71"/>
      <c r="F132" s="71"/>
      <c r="G132" s="71"/>
      <c r="H132" s="71"/>
      <c r="I132" s="71"/>
      <c r="J132" s="71"/>
      <c r="K132" s="71"/>
      <c r="L132" s="71"/>
      <c r="M132" s="71"/>
      <c r="O132" s="22" t="s">
        <v>3</v>
      </c>
      <c r="R132" s="25"/>
      <c r="S132" s="47"/>
      <c r="T132" s="47"/>
      <c r="U132" s="47"/>
      <c r="V132" s="47"/>
      <c r="W132" s="47"/>
      <c r="X132" s="47"/>
      <c r="Y132" s="47"/>
      <c r="Z132" s="47"/>
      <c r="AA132" s="47"/>
      <c r="AB132" s="47"/>
      <c r="AC132" s="37"/>
      <c r="AD132" s="37"/>
      <c r="AE132" s="37"/>
      <c r="AF132" s="37"/>
    </row>
    <row r="133" spans="2:38" x14ac:dyDescent="0.2">
      <c r="B133" s="71"/>
      <c r="C133" s="71"/>
      <c r="D133" s="71"/>
      <c r="E133" s="71"/>
      <c r="F133" s="71"/>
      <c r="G133" s="71"/>
      <c r="H133" s="71"/>
      <c r="I133" s="71"/>
      <c r="J133" s="71"/>
      <c r="K133" s="71"/>
      <c r="L133" s="71"/>
      <c r="M133" s="71"/>
      <c r="O133" s="22"/>
      <c r="R133" s="25"/>
      <c r="S133" s="47"/>
      <c r="T133" s="47"/>
      <c r="U133" s="47"/>
      <c r="V133" s="47"/>
      <c r="W133" s="47"/>
      <c r="X133" s="47"/>
      <c r="Y133" s="47"/>
      <c r="Z133" s="47"/>
      <c r="AA133" s="47"/>
      <c r="AB133" s="47"/>
      <c r="AC133" s="37"/>
      <c r="AD133" s="37"/>
      <c r="AE133" s="37"/>
      <c r="AF133" s="37"/>
    </row>
    <row r="134" spans="2:38" x14ac:dyDescent="0.2">
      <c r="B134" s="71"/>
      <c r="C134" s="71"/>
      <c r="D134" s="71"/>
      <c r="E134" s="71"/>
      <c r="F134" s="71"/>
      <c r="G134" s="71"/>
      <c r="H134" s="71"/>
      <c r="I134" s="71"/>
      <c r="J134" s="71"/>
      <c r="K134" s="71"/>
      <c r="L134" s="71"/>
      <c r="M134" s="71"/>
      <c r="O134" s="22"/>
      <c r="P134" s="125" t="s">
        <v>38</v>
      </c>
      <c r="Q134" s="125"/>
      <c r="S134" s="49">
        <v>2006</v>
      </c>
      <c r="T134" s="49">
        <v>2007</v>
      </c>
      <c r="U134" s="49">
        <v>2008</v>
      </c>
      <c r="V134" s="49">
        <v>2009</v>
      </c>
      <c r="W134" s="49">
        <v>2010</v>
      </c>
      <c r="X134" s="49">
        <v>2011</v>
      </c>
      <c r="Y134" s="49">
        <v>2012</v>
      </c>
      <c r="Z134" s="49">
        <v>2013</v>
      </c>
      <c r="AA134" s="49">
        <v>2014</v>
      </c>
      <c r="AB134" s="49">
        <v>2015</v>
      </c>
    </row>
    <row r="135" spans="2:38" x14ac:dyDescent="0.2">
      <c r="B135" s="71"/>
      <c r="C135" s="71"/>
      <c r="D135" s="71"/>
      <c r="E135" s="71"/>
      <c r="F135" s="71"/>
      <c r="G135" s="71"/>
      <c r="H135" s="71"/>
      <c r="I135" s="71"/>
      <c r="J135" s="71"/>
      <c r="K135" s="71"/>
      <c r="L135" s="71"/>
      <c r="M135" s="71"/>
      <c r="P135" s="25"/>
      <c r="S135" s="47"/>
      <c r="T135" s="47"/>
      <c r="U135" s="47"/>
      <c r="V135" s="47"/>
      <c r="W135" s="47"/>
      <c r="X135" s="47"/>
      <c r="Y135" s="47"/>
      <c r="Z135" s="47"/>
      <c r="AA135" s="47"/>
      <c r="AB135" s="47"/>
    </row>
    <row r="136" spans="2:38" x14ac:dyDescent="0.2">
      <c r="B136" s="71"/>
      <c r="C136" s="71"/>
      <c r="D136" s="71"/>
      <c r="E136" s="71"/>
      <c r="F136" s="71"/>
      <c r="G136" s="71"/>
      <c r="H136" s="71"/>
      <c r="I136" s="71"/>
      <c r="J136" s="71"/>
      <c r="K136" s="71"/>
      <c r="L136" s="71"/>
      <c r="M136" s="71"/>
      <c r="O136" s="24" t="s">
        <v>0</v>
      </c>
      <c r="P136" s="25">
        <v>1</v>
      </c>
      <c r="Q136" s="25" t="s">
        <v>21</v>
      </c>
      <c r="S136" s="47">
        <f t="shared" ref="S136:AB136" si="72">VLOOKUP(S$134&amp;"AllSex"&amp;"Maori"&amp;19&amp;1,deptable,7,FALSE)</f>
        <v>8</v>
      </c>
      <c r="T136" s="47">
        <f t="shared" si="72"/>
        <v>9</v>
      </c>
      <c r="U136" s="47">
        <f>VLOOKUP(U$134&amp;"AllSex"&amp;"Maori"&amp;19&amp;1,deptable,7,FALSE)</f>
        <v>3</v>
      </c>
      <c r="V136" s="47">
        <f t="shared" si="72"/>
        <v>4</v>
      </c>
      <c r="W136" s="47">
        <f t="shared" si="72"/>
        <v>2</v>
      </c>
      <c r="X136" s="47">
        <f t="shared" si="72"/>
        <v>6</v>
      </c>
      <c r="Y136" s="47">
        <f t="shared" si="72"/>
        <v>2</v>
      </c>
      <c r="Z136" s="47">
        <f t="shared" si="72"/>
        <v>2</v>
      </c>
      <c r="AA136" s="47">
        <f t="shared" si="72"/>
        <v>8</v>
      </c>
      <c r="AB136" s="47">
        <f t="shared" si="72"/>
        <v>3</v>
      </c>
    </row>
    <row r="137" spans="2:38" x14ac:dyDescent="0.2">
      <c r="B137" s="71"/>
      <c r="C137" s="71"/>
      <c r="D137" s="71"/>
      <c r="E137" s="71"/>
      <c r="F137" s="71"/>
      <c r="G137" s="71"/>
      <c r="H137" s="71"/>
      <c r="I137" s="71"/>
      <c r="J137" s="71"/>
      <c r="K137" s="71"/>
      <c r="L137" s="71"/>
      <c r="M137" s="71"/>
      <c r="P137" s="25">
        <v>2</v>
      </c>
      <c r="S137" s="47">
        <f t="shared" ref="S137:AB137" si="73">VLOOKUP(S$134&amp;"AllSex"&amp;"Maori"&amp;19&amp;2,deptable,7,FALSE)</f>
        <v>7</v>
      </c>
      <c r="T137" s="47">
        <f t="shared" si="73"/>
        <v>6</v>
      </c>
      <c r="U137" s="47">
        <f t="shared" si="73"/>
        <v>7</v>
      </c>
      <c r="V137" s="47">
        <f t="shared" si="73"/>
        <v>8</v>
      </c>
      <c r="W137" s="47">
        <f t="shared" si="73"/>
        <v>10</v>
      </c>
      <c r="X137" s="47">
        <f t="shared" si="73"/>
        <v>17</v>
      </c>
      <c r="Y137" s="47">
        <f t="shared" si="73"/>
        <v>12</v>
      </c>
      <c r="Z137" s="47">
        <f t="shared" si="73"/>
        <v>9</v>
      </c>
      <c r="AA137" s="47">
        <f t="shared" si="73"/>
        <v>4</v>
      </c>
      <c r="AB137" s="47">
        <f t="shared" si="73"/>
        <v>13</v>
      </c>
    </row>
    <row r="138" spans="2:38" x14ac:dyDescent="0.2">
      <c r="B138" s="71"/>
      <c r="C138" s="71"/>
      <c r="D138" s="71"/>
      <c r="E138" s="71"/>
      <c r="F138" s="71"/>
      <c r="G138" s="71"/>
      <c r="H138" s="71"/>
      <c r="I138" s="71"/>
      <c r="J138" s="71"/>
      <c r="K138" s="71"/>
      <c r="L138" s="71"/>
      <c r="M138" s="71"/>
      <c r="P138" s="25">
        <v>3</v>
      </c>
      <c r="S138" s="47">
        <f t="shared" ref="S138:AB138" si="74">VLOOKUP(S$134&amp;"AllSex"&amp;"Maori"&amp;19&amp;3,deptable,7,FALSE)</f>
        <v>13</v>
      </c>
      <c r="T138" s="47">
        <f t="shared" si="74"/>
        <v>18</v>
      </c>
      <c r="U138" s="47">
        <f t="shared" si="74"/>
        <v>15</v>
      </c>
      <c r="V138" s="47">
        <f t="shared" si="74"/>
        <v>14</v>
      </c>
      <c r="W138" s="47">
        <f t="shared" si="74"/>
        <v>12</v>
      </c>
      <c r="X138" s="47">
        <f t="shared" si="74"/>
        <v>14</v>
      </c>
      <c r="Y138" s="47">
        <f t="shared" si="74"/>
        <v>18</v>
      </c>
      <c r="Z138" s="47">
        <f t="shared" si="74"/>
        <v>11</v>
      </c>
      <c r="AA138" s="47">
        <f t="shared" si="74"/>
        <v>18</v>
      </c>
      <c r="AB138" s="47">
        <f t="shared" si="74"/>
        <v>17</v>
      </c>
    </row>
    <row r="139" spans="2:38" x14ac:dyDescent="0.2">
      <c r="B139" s="71"/>
      <c r="C139" s="71"/>
      <c r="D139" s="71"/>
      <c r="E139" s="71"/>
      <c r="F139" s="71"/>
      <c r="G139" s="71"/>
      <c r="H139" s="71"/>
      <c r="I139" s="71"/>
      <c r="J139" s="71"/>
      <c r="K139" s="71"/>
      <c r="L139" s="71"/>
      <c r="M139" s="71"/>
      <c r="P139" s="25">
        <v>4</v>
      </c>
      <c r="S139" s="47">
        <f t="shared" ref="S139:AB139" si="75">VLOOKUP(S$134&amp;"AllSex"&amp;"Maori"&amp;19&amp;4,deptable,7,FALSE)</f>
        <v>24</v>
      </c>
      <c r="T139" s="47">
        <f t="shared" si="75"/>
        <v>16</v>
      </c>
      <c r="U139" s="47">
        <f t="shared" si="75"/>
        <v>20</v>
      </c>
      <c r="V139" s="47">
        <f t="shared" si="75"/>
        <v>19</v>
      </c>
      <c r="W139" s="47">
        <f t="shared" si="75"/>
        <v>20</v>
      </c>
      <c r="X139" s="47">
        <f t="shared" si="75"/>
        <v>20</v>
      </c>
      <c r="Y139" s="47">
        <f t="shared" si="75"/>
        <v>34</v>
      </c>
      <c r="Z139" s="47">
        <f t="shared" si="75"/>
        <v>28</v>
      </c>
      <c r="AA139" s="47">
        <f t="shared" si="75"/>
        <v>19</v>
      </c>
      <c r="AB139" s="47">
        <f t="shared" si="75"/>
        <v>29</v>
      </c>
    </row>
    <row r="140" spans="2:38" x14ac:dyDescent="0.2">
      <c r="B140" s="71"/>
      <c r="C140" s="71"/>
      <c r="D140" s="71"/>
      <c r="E140" s="71"/>
      <c r="F140" s="71"/>
      <c r="G140" s="71"/>
      <c r="H140" s="71"/>
      <c r="I140" s="71"/>
      <c r="J140" s="71"/>
      <c r="K140" s="71"/>
      <c r="L140" s="71"/>
      <c r="M140" s="71"/>
      <c r="P140" s="25">
        <v>5</v>
      </c>
      <c r="S140" s="47">
        <f t="shared" ref="S140:AB140" si="76">VLOOKUP(S$134&amp;"AllSex"&amp;"Maori"&amp;19&amp;5,deptable,7,FALSE)</f>
        <v>54</v>
      </c>
      <c r="T140" s="47">
        <f t="shared" si="76"/>
        <v>47</v>
      </c>
      <c r="U140" s="47">
        <f t="shared" si="76"/>
        <v>41</v>
      </c>
      <c r="V140" s="47">
        <f t="shared" si="76"/>
        <v>38</v>
      </c>
      <c r="W140" s="47">
        <f t="shared" si="76"/>
        <v>56</v>
      </c>
      <c r="X140" s="47">
        <f t="shared" si="76"/>
        <v>55</v>
      </c>
      <c r="Y140" s="47">
        <f t="shared" si="76"/>
        <v>50</v>
      </c>
      <c r="Z140" s="47">
        <f t="shared" si="76"/>
        <v>54</v>
      </c>
      <c r="AA140" s="47">
        <f t="shared" si="76"/>
        <v>40</v>
      </c>
      <c r="AB140" s="47">
        <f t="shared" si="76"/>
        <v>56</v>
      </c>
    </row>
    <row r="141" spans="2:38" x14ac:dyDescent="0.2">
      <c r="B141" s="71"/>
      <c r="C141" s="71"/>
      <c r="D141" s="71"/>
      <c r="E141" s="71"/>
      <c r="F141" s="71"/>
      <c r="G141" s="71"/>
      <c r="H141" s="71"/>
      <c r="I141" s="71"/>
      <c r="J141" s="71"/>
      <c r="K141" s="71"/>
      <c r="L141" s="71"/>
      <c r="M141" s="71"/>
      <c r="P141" s="25" t="s">
        <v>75</v>
      </c>
      <c r="S141" s="47">
        <f t="shared" ref="S141:AB141" si="77">IFERROR(VLOOKUP(S$134&amp;"AllSex"&amp;"Maori"&amp;9,UnkDep,6,FALSE),0)</f>
        <v>4</v>
      </c>
      <c r="T141" s="47">
        <f t="shared" si="77"/>
        <v>2</v>
      </c>
      <c r="U141" s="47">
        <f t="shared" si="77"/>
        <v>2</v>
      </c>
      <c r="V141" s="47">
        <f t="shared" si="77"/>
        <v>0</v>
      </c>
      <c r="W141" s="47">
        <f t="shared" si="77"/>
        <v>4</v>
      </c>
      <c r="X141" s="47">
        <f t="shared" si="77"/>
        <v>2</v>
      </c>
      <c r="Y141" s="47">
        <f t="shared" si="77"/>
        <v>6</v>
      </c>
      <c r="Z141" s="47">
        <f t="shared" si="77"/>
        <v>2</v>
      </c>
      <c r="AA141" s="47">
        <f t="shared" si="77"/>
        <v>6</v>
      </c>
      <c r="AB141" s="47">
        <f t="shared" si="77"/>
        <v>0</v>
      </c>
    </row>
    <row r="142" spans="2:38" x14ac:dyDescent="0.2">
      <c r="B142" s="71"/>
      <c r="C142" s="71"/>
      <c r="D142" s="71"/>
      <c r="E142" s="71"/>
      <c r="F142" s="71"/>
      <c r="G142" s="71"/>
      <c r="H142" s="71"/>
      <c r="I142" s="71"/>
      <c r="J142" s="71"/>
      <c r="K142" s="71"/>
      <c r="L142" s="71"/>
      <c r="M142" s="71"/>
      <c r="O142" s="26"/>
      <c r="P142" s="28"/>
      <c r="Q142" s="28"/>
      <c r="R142" s="28"/>
      <c r="S142" s="128"/>
      <c r="T142" s="128"/>
      <c r="U142" s="128"/>
      <c r="V142" s="128"/>
      <c r="W142" s="128"/>
      <c r="X142" s="128"/>
      <c r="Y142" s="128"/>
      <c r="Z142" s="128"/>
      <c r="AA142" s="128"/>
      <c r="AB142" s="128"/>
    </row>
    <row r="143" spans="2:38" x14ac:dyDescent="0.2">
      <c r="B143" s="71"/>
      <c r="C143" s="79" t="s">
        <v>101</v>
      </c>
      <c r="D143" s="84" t="s">
        <v>108</v>
      </c>
      <c r="E143" s="71"/>
      <c r="F143" s="71"/>
      <c r="G143" s="71"/>
      <c r="H143" s="71"/>
      <c r="I143" s="71"/>
      <c r="J143" s="71"/>
      <c r="K143" s="71"/>
      <c r="L143" s="71"/>
      <c r="M143" s="71"/>
      <c r="O143" s="24" t="s">
        <v>0</v>
      </c>
      <c r="P143" s="25">
        <v>1</v>
      </c>
      <c r="Q143" s="25" t="s">
        <v>22</v>
      </c>
      <c r="S143" s="36">
        <f t="shared" ref="S143:AB143" si="78">IF(S136&lt;5, "-",VLOOKUP(S$134&amp;"AllSex"&amp;"Maori"&amp;19&amp;1,deptable,8,FALSE))</f>
        <v>17.005569407786499</v>
      </c>
      <c r="T143" s="36">
        <f t="shared" si="78"/>
        <v>19.531752536884898</v>
      </c>
      <c r="U143" s="36" t="str">
        <f t="shared" si="78"/>
        <v>-</v>
      </c>
      <c r="V143" s="36" t="str">
        <f t="shared" si="78"/>
        <v>-</v>
      </c>
      <c r="W143" s="36" t="str">
        <f t="shared" si="78"/>
        <v>-</v>
      </c>
      <c r="X143" s="36">
        <f t="shared" si="78"/>
        <v>10.4968045124853</v>
      </c>
      <c r="Y143" s="36" t="str">
        <f t="shared" si="78"/>
        <v>-</v>
      </c>
      <c r="Z143" s="36" t="str">
        <f t="shared" si="78"/>
        <v>-</v>
      </c>
      <c r="AA143" s="36">
        <f t="shared" si="78"/>
        <v>15.7684387107871</v>
      </c>
      <c r="AB143" s="36" t="str">
        <f t="shared" si="78"/>
        <v>-</v>
      </c>
    </row>
    <row r="144" spans="2:38" x14ac:dyDescent="0.2">
      <c r="B144" s="71"/>
      <c r="C144" s="71"/>
      <c r="D144" s="84" t="s">
        <v>578</v>
      </c>
      <c r="E144" s="71"/>
      <c r="F144" s="71"/>
      <c r="G144" s="71"/>
      <c r="H144" s="71"/>
      <c r="I144" s="71"/>
      <c r="J144" s="71"/>
      <c r="K144" s="71"/>
      <c r="L144" s="71"/>
      <c r="M144" s="71"/>
      <c r="P144" s="25">
        <v>2</v>
      </c>
      <c r="S144" s="36">
        <f t="shared" ref="S144:Z144" si="79">IF(S137&lt;5, "-",VLOOKUP(S$134&amp;"AllSex"&amp;"Maori"&amp;19&amp;2,deptable,8,FALSE))</f>
        <v>10.3413491121837</v>
      </c>
      <c r="T144" s="36">
        <f t="shared" si="79"/>
        <v>8.1565810584055303</v>
      </c>
      <c r="U144" s="36">
        <f t="shared" si="79"/>
        <v>9.4013724061805295</v>
      </c>
      <c r="V144" s="36">
        <f t="shared" si="79"/>
        <v>11.764406152372301</v>
      </c>
      <c r="W144" s="36">
        <f t="shared" si="79"/>
        <v>13.234319650344901</v>
      </c>
      <c r="X144" s="36">
        <f t="shared" si="79"/>
        <v>21.6531984067813</v>
      </c>
      <c r="Y144" s="36">
        <f t="shared" si="79"/>
        <v>16.637221219970201</v>
      </c>
      <c r="Z144" s="36">
        <f t="shared" si="79"/>
        <v>12.8935925880459</v>
      </c>
      <c r="AA144" s="36">
        <f>(VLOOKUP(AA$134&amp;"AllSex"&amp;"Maori"&amp;19&amp;2,deptable,8,FALSE))</f>
        <v>5.1621445438996396</v>
      </c>
      <c r="AB144" s="36">
        <f>IF(AB137&lt;5, "-",VLOOKUP(AB$134&amp;"AllSex"&amp;"Maori"&amp;19&amp;2,deptable,8,FALSE))</f>
        <v>16.101954318973899</v>
      </c>
      <c r="AH144" s="42"/>
    </row>
    <row r="145" spans="2:35" ht="11.25" customHeight="1" x14ac:dyDescent="0.2">
      <c r="B145" s="71"/>
      <c r="C145" s="71"/>
      <c r="D145" s="84" t="s">
        <v>579</v>
      </c>
      <c r="E145" s="71"/>
      <c r="F145" s="71"/>
      <c r="G145" s="71"/>
      <c r="H145" s="71"/>
      <c r="I145" s="71"/>
      <c r="J145" s="71"/>
      <c r="K145" s="71"/>
      <c r="L145" s="71"/>
      <c r="M145" s="71"/>
      <c r="P145" s="25">
        <v>3</v>
      </c>
      <c r="S145" s="36">
        <f t="shared" ref="S145:AB145" si="80">IF(S138&lt;5, "-",VLOOKUP(S$134&amp;"AllSex"&amp;"Maori"&amp;19&amp;3,deptable,8,FALSE))</f>
        <v>14.744848230571399</v>
      </c>
      <c r="T145" s="36">
        <f t="shared" si="80"/>
        <v>18.388081375555899</v>
      </c>
      <c r="U145" s="36">
        <f t="shared" si="80"/>
        <v>15.677335095772801</v>
      </c>
      <c r="V145" s="36">
        <f t="shared" si="80"/>
        <v>13.2947520863601</v>
      </c>
      <c r="W145" s="36">
        <f t="shared" si="80"/>
        <v>11.7392941235848</v>
      </c>
      <c r="X145" s="36">
        <f t="shared" si="80"/>
        <v>12.3556696064809</v>
      </c>
      <c r="Y145" s="36">
        <f t="shared" si="80"/>
        <v>15.938378032392</v>
      </c>
      <c r="Z145" s="36">
        <f t="shared" si="80"/>
        <v>9.6904713196985099</v>
      </c>
      <c r="AA145" s="36">
        <f t="shared" si="80"/>
        <v>17.5302711263314</v>
      </c>
      <c r="AB145" s="36">
        <f t="shared" si="80"/>
        <v>15.772700744577</v>
      </c>
    </row>
    <row r="146" spans="2:35" x14ac:dyDescent="0.2">
      <c r="B146" s="71"/>
      <c r="C146" s="71"/>
      <c r="D146" s="84" t="s">
        <v>449</v>
      </c>
      <c r="E146" s="71"/>
      <c r="F146" s="71"/>
      <c r="G146" s="71"/>
      <c r="H146" s="71"/>
      <c r="I146" s="71"/>
      <c r="J146" s="71"/>
      <c r="K146" s="71"/>
      <c r="L146" s="71"/>
      <c r="M146" s="71"/>
      <c r="P146" s="25">
        <v>4</v>
      </c>
      <c r="S146" s="36">
        <f t="shared" ref="S146:AB146" si="81">IF(S139&lt;5, "-",VLOOKUP(S$134&amp;"AllSex"&amp;"Maori"&amp;19&amp;4,deptable,8,FALSE))</f>
        <v>16.629745393731099</v>
      </c>
      <c r="T146" s="36">
        <f t="shared" si="81"/>
        <v>11.358463125385599</v>
      </c>
      <c r="U146" s="36">
        <f t="shared" si="81"/>
        <v>13.3027935406478</v>
      </c>
      <c r="V146" s="36">
        <f t="shared" si="81"/>
        <v>12.5866132128183</v>
      </c>
      <c r="W146" s="36">
        <f t="shared" si="81"/>
        <v>12.8928666096258</v>
      </c>
      <c r="X146" s="36">
        <f t="shared" si="81"/>
        <v>12.891795717896899</v>
      </c>
      <c r="Y146" s="36">
        <f t="shared" si="81"/>
        <v>21.7493772047203</v>
      </c>
      <c r="Z146" s="36">
        <f t="shared" si="81"/>
        <v>17.802485127361699</v>
      </c>
      <c r="AA146" s="36">
        <f t="shared" si="81"/>
        <v>12.808492818776701</v>
      </c>
      <c r="AB146" s="36">
        <f t="shared" si="81"/>
        <v>17.885642735328801</v>
      </c>
    </row>
    <row r="147" spans="2:35" x14ac:dyDescent="0.2">
      <c r="B147" s="71"/>
      <c r="C147" s="79" t="s">
        <v>150</v>
      </c>
      <c r="D147" s="79" t="s">
        <v>151</v>
      </c>
      <c r="E147" s="71"/>
      <c r="F147" s="71"/>
      <c r="G147" s="71"/>
      <c r="H147" s="71"/>
      <c r="I147" s="71"/>
      <c r="J147" s="71"/>
      <c r="K147" s="71"/>
      <c r="L147" s="71"/>
      <c r="M147" s="71"/>
      <c r="P147" s="25">
        <v>5</v>
      </c>
      <c r="S147" s="36">
        <f t="shared" ref="S147:AB147" si="82">IF(S140&lt;5, "-",VLOOKUP(S$134&amp;"AllSex"&amp;"Maori"&amp;19&amp;5,deptable,8,FALSE))</f>
        <v>21.657972259840701</v>
      </c>
      <c r="T147" s="36">
        <f t="shared" si="82"/>
        <v>19.169053604398101</v>
      </c>
      <c r="U147" s="36">
        <f t="shared" si="82"/>
        <v>16.099910181965601</v>
      </c>
      <c r="V147" s="36">
        <f t="shared" si="82"/>
        <v>14.498638527004401</v>
      </c>
      <c r="W147" s="36">
        <f t="shared" si="82"/>
        <v>21.5974219861146</v>
      </c>
      <c r="X147" s="36">
        <f t="shared" si="82"/>
        <v>21.835288706363301</v>
      </c>
      <c r="Y147" s="36">
        <f t="shared" si="82"/>
        <v>18.144466542874301</v>
      </c>
      <c r="Z147" s="36">
        <f t="shared" si="82"/>
        <v>20.706632827755101</v>
      </c>
      <c r="AA147" s="36">
        <f t="shared" si="82"/>
        <v>15.406326348591801</v>
      </c>
      <c r="AB147" s="36">
        <f t="shared" si="82"/>
        <v>21.651215428792302</v>
      </c>
      <c r="AC147" s="338"/>
      <c r="AD147" s="338"/>
      <c r="AE147" s="338"/>
      <c r="AF147" s="338"/>
      <c r="AG147" s="338"/>
      <c r="AH147" s="124"/>
      <c r="AI147" s="124"/>
    </row>
    <row r="148" spans="2:35" x14ac:dyDescent="0.2">
      <c r="B148" s="71"/>
      <c r="C148" s="71"/>
      <c r="D148" s="71"/>
      <c r="E148" s="71"/>
      <c r="F148" s="71"/>
      <c r="G148" s="71"/>
      <c r="H148" s="71"/>
      <c r="I148" s="71"/>
      <c r="J148" s="71"/>
      <c r="K148" s="71"/>
      <c r="L148" s="71"/>
      <c r="M148" s="71"/>
      <c r="O148" s="26"/>
      <c r="P148" s="28"/>
      <c r="Q148" s="28"/>
      <c r="R148" s="28"/>
      <c r="S148" s="38"/>
      <c r="T148" s="38"/>
      <c r="U148" s="38"/>
      <c r="V148" s="38"/>
      <c r="W148" s="38"/>
      <c r="X148" s="38"/>
      <c r="Y148" s="38"/>
      <c r="Z148" s="38"/>
      <c r="AA148" s="38"/>
      <c r="AB148" s="38"/>
      <c r="AC148" s="37"/>
      <c r="AD148" s="37"/>
      <c r="AE148" s="37"/>
      <c r="AF148" s="42"/>
      <c r="AG148" s="42"/>
    </row>
    <row r="149" spans="2:35" x14ac:dyDescent="0.2">
      <c r="P149" s="25"/>
      <c r="S149" s="47"/>
      <c r="T149" s="47"/>
      <c r="U149" s="47"/>
      <c r="V149" s="47"/>
      <c r="W149" s="47"/>
      <c r="X149" s="47"/>
      <c r="Y149" s="47"/>
      <c r="Z149" s="47"/>
      <c r="AA149" s="47"/>
      <c r="AB149" s="47"/>
      <c r="AC149" s="37"/>
      <c r="AD149" s="37"/>
      <c r="AE149" s="37"/>
      <c r="AF149" s="42"/>
      <c r="AG149" s="42"/>
    </row>
    <row r="150" spans="2:35" x14ac:dyDescent="0.2">
      <c r="O150" s="22" t="s">
        <v>4</v>
      </c>
      <c r="P150" s="25"/>
      <c r="S150" s="47"/>
      <c r="T150" s="47"/>
      <c r="U150" s="47"/>
      <c r="V150" s="47"/>
      <c r="W150" s="47"/>
      <c r="X150" s="47"/>
      <c r="Y150" s="47"/>
      <c r="Z150" s="47"/>
      <c r="AA150" s="47"/>
      <c r="AB150" s="47"/>
      <c r="AF150" s="37"/>
      <c r="AG150" s="37"/>
    </row>
    <row r="151" spans="2:35" ht="12.75" customHeight="1" x14ac:dyDescent="0.2">
      <c r="B151" s="71"/>
      <c r="C151" s="71"/>
      <c r="D151" s="71"/>
      <c r="E151" s="71"/>
      <c r="F151" s="71"/>
      <c r="G151" s="71"/>
      <c r="H151" s="71"/>
      <c r="I151" s="71"/>
      <c r="J151" s="71"/>
      <c r="K151" s="71"/>
      <c r="L151" s="71"/>
      <c r="M151" s="71"/>
      <c r="O151" s="22"/>
      <c r="P151" s="125" t="s">
        <v>38</v>
      </c>
      <c r="Q151" s="125"/>
      <c r="S151" s="49">
        <v>2006</v>
      </c>
      <c r="T151" s="49">
        <v>2007</v>
      </c>
      <c r="U151" s="49">
        <v>2008</v>
      </c>
      <c r="V151" s="49">
        <v>2009</v>
      </c>
      <c r="W151" s="49">
        <v>2010</v>
      </c>
      <c r="X151" s="49">
        <v>2011</v>
      </c>
      <c r="Y151" s="49">
        <v>2012</v>
      </c>
      <c r="Z151" s="49">
        <v>2013</v>
      </c>
      <c r="AA151" s="49">
        <v>2014</v>
      </c>
      <c r="AB151" s="49">
        <v>2015</v>
      </c>
      <c r="AF151" s="37"/>
      <c r="AG151" s="37"/>
    </row>
    <row r="152" spans="2:35" ht="27.75" customHeight="1" x14ac:dyDescent="0.25">
      <c r="B152" s="367"/>
      <c r="C152" s="555" t="s">
        <v>549</v>
      </c>
      <c r="D152" s="555"/>
      <c r="E152" s="555"/>
      <c r="F152" s="555"/>
      <c r="G152" s="555"/>
      <c r="H152" s="555"/>
      <c r="I152" s="555"/>
      <c r="J152" s="555"/>
      <c r="K152" s="555"/>
      <c r="L152" s="555"/>
      <c r="M152" s="71"/>
      <c r="P152" s="25"/>
      <c r="S152" s="47"/>
      <c r="T152" s="47"/>
      <c r="U152" s="47"/>
      <c r="V152" s="47"/>
      <c r="W152" s="47"/>
      <c r="X152" s="47"/>
      <c r="Y152" s="47"/>
      <c r="Z152" s="47"/>
      <c r="AA152" s="47"/>
      <c r="AB152" s="47"/>
    </row>
    <row r="153" spans="2:35" ht="12.75" customHeight="1" x14ac:dyDescent="0.2">
      <c r="B153" s="71"/>
      <c r="C153" s="555"/>
      <c r="D153" s="555"/>
      <c r="E153" s="555"/>
      <c r="F153" s="555"/>
      <c r="G153" s="555"/>
      <c r="H153" s="555"/>
      <c r="I153" s="555"/>
      <c r="J153" s="555"/>
      <c r="K153" s="555"/>
      <c r="L153" s="555"/>
      <c r="M153" s="71"/>
      <c r="O153" s="24" t="s">
        <v>0</v>
      </c>
      <c r="P153" s="204">
        <v>1</v>
      </c>
      <c r="Q153" s="25" t="s">
        <v>21</v>
      </c>
      <c r="S153" s="47">
        <f t="shared" ref="S153:AB153" si="83">VLOOKUP(S$134&amp;"AllSex"&amp;"Non-Maori"&amp;19&amp;1,deptable,7,FALSE)</f>
        <v>59</v>
      </c>
      <c r="T153" s="47">
        <f t="shared" si="83"/>
        <v>60</v>
      </c>
      <c r="U153" s="47">
        <f t="shared" si="83"/>
        <v>80</v>
      </c>
      <c r="V153" s="47">
        <f t="shared" si="83"/>
        <v>70</v>
      </c>
      <c r="W153" s="47">
        <f t="shared" si="83"/>
        <v>88</v>
      </c>
      <c r="X153" s="47">
        <f t="shared" si="83"/>
        <v>69</v>
      </c>
      <c r="Y153" s="47">
        <f t="shared" si="83"/>
        <v>50</v>
      </c>
      <c r="Z153" s="47">
        <f t="shared" si="83"/>
        <v>70</v>
      </c>
      <c r="AA153" s="47">
        <f t="shared" si="83"/>
        <v>55</v>
      </c>
      <c r="AB153" s="47">
        <f t="shared" si="83"/>
        <v>78</v>
      </c>
    </row>
    <row r="154" spans="2:35" x14ac:dyDescent="0.2">
      <c r="B154" s="71"/>
      <c r="C154" s="71"/>
      <c r="D154" s="71"/>
      <c r="E154" s="77" t="s">
        <v>31</v>
      </c>
      <c r="F154" s="71"/>
      <c r="G154" s="71"/>
      <c r="H154" s="71"/>
      <c r="I154" s="71"/>
      <c r="J154" s="77" t="s">
        <v>32</v>
      </c>
      <c r="K154" s="71"/>
      <c r="L154" s="71"/>
      <c r="M154" s="71"/>
      <c r="P154" s="204">
        <v>2</v>
      </c>
      <c r="S154" s="47">
        <f t="shared" ref="S154:AB154" si="84">VLOOKUP(S$134&amp;"AllSex"&amp;"Non-Maori"&amp;19&amp;2,deptable,7,FALSE)</f>
        <v>82</v>
      </c>
      <c r="T154" s="47">
        <f t="shared" si="84"/>
        <v>68</v>
      </c>
      <c r="U154" s="47">
        <f t="shared" si="84"/>
        <v>78</v>
      </c>
      <c r="V154" s="47">
        <f t="shared" si="84"/>
        <v>81</v>
      </c>
      <c r="W154" s="47">
        <f t="shared" si="84"/>
        <v>78</v>
      </c>
      <c r="X154" s="47">
        <f t="shared" si="84"/>
        <v>59</v>
      </c>
      <c r="Y154" s="47">
        <f t="shared" si="84"/>
        <v>75</v>
      </c>
      <c r="Z154" s="47">
        <f t="shared" si="84"/>
        <v>74</v>
      </c>
      <c r="AA154" s="47">
        <f t="shared" si="84"/>
        <v>68</v>
      </c>
      <c r="AB154" s="47">
        <f t="shared" si="84"/>
        <v>79</v>
      </c>
    </row>
    <row r="155" spans="2:35" x14ac:dyDescent="0.2">
      <c r="B155" s="71"/>
      <c r="C155" s="71"/>
      <c r="D155" s="71"/>
      <c r="E155" s="71"/>
      <c r="F155" s="71"/>
      <c r="G155" s="71"/>
      <c r="H155" s="71"/>
      <c r="I155" s="71"/>
      <c r="J155" s="71"/>
      <c r="K155" s="71"/>
      <c r="L155" s="71"/>
      <c r="M155" s="71"/>
      <c r="P155" s="204">
        <v>3</v>
      </c>
      <c r="S155" s="47">
        <f t="shared" ref="S155:AB155" si="85">VLOOKUP(S$134&amp;"AllSex"&amp;"Non-Maori"&amp;19&amp;3,deptable,7,FALSE)</f>
        <v>83</v>
      </c>
      <c r="T155" s="47">
        <f t="shared" si="85"/>
        <v>88</v>
      </c>
      <c r="U155" s="47">
        <f t="shared" si="85"/>
        <v>90</v>
      </c>
      <c r="V155" s="47">
        <f t="shared" si="85"/>
        <v>73</v>
      </c>
      <c r="W155" s="47">
        <f t="shared" si="85"/>
        <v>86</v>
      </c>
      <c r="X155" s="47">
        <f t="shared" si="85"/>
        <v>90</v>
      </c>
      <c r="Y155" s="47">
        <f t="shared" si="85"/>
        <v>100</v>
      </c>
      <c r="Z155" s="47">
        <f t="shared" si="85"/>
        <v>87</v>
      </c>
      <c r="AA155" s="47">
        <f t="shared" si="85"/>
        <v>76</v>
      </c>
      <c r="AB155" s="47">
        <f t="shared" si="85"/>
        <v>72</v>
      </c>
    </row>
    <row r="156" spans="2:35" x14ac:dyDescent="0.2">
      <c r="B156" s="71"/>
      <c r="C156" s="71"/>
      <c r="D156" s="71"/>
      <c r="E156" s="71"/>
      <c r="F156" s="71"/>
      <c r="G156" s="71"/>
      <c r="H156" s="71"/>
      <c r="I156" s="71"/>
      <c r="J156" s="71"/>
      <c r="K156" s="71"/>
      <c r="L156" s="71"/>
      <c r="M156" s="71"/>
      <c r="P156" s="204">
        <v>4</v>
      </c>
      <c r="S156" s="47">
        <f t="shared" ref="S156:AB156" si="86">VLOOKUP(S$134&amp;"AllSex"&amp;"Non-Maori"&amp;19&amp;4,deptable,7,FALSE)</f>
        <v>76</v>
      </c>
      <c r="T156" s="47">
        <f t="shared" si="86"/>
        <v>93</v>
      </c>
      <c r="U156" s="47">
        <f t="shared" si="86"/>
        <v>81</v>
      </c>
      <c r="V156" s="47">
        <f t="shared" si="86"/>
        <v>110</v>
      </c>
      <c r="W156" s="47">
        <f t="shared" si="86"/>
        <v>95</v>
      </c>
      <c r="X156" s="47">
        <f t="shared" si="86"/>
        <v>69</v>
      </c>
      <c r="Y156" s="47">
        <f t="shared" si="86"/>
        <v>102</v>
      </c>
      <c r="Z156" s="47">
        <f t="shared" si="86"/>
        <v>71</v>
      </c>
      <c r="AA156" s="47">
        <f t="shared" si="86"/>
        <v>101</v>
      </c>
      <c r="AB156" s="47">
        <f t="shared" si="86"/>
        <v>89</v>
      </c>
    </row>
    <row r="157" spans="2:35" x14ac:dyDescent="0.2">
      <c r="B157" s="71"/>
      <c r="C157" s="71"/>
      <c r="D157" s="71"/>
      <c r="E157" s="71"/>
      <c r="F157" s="71"/>
      <c r="G157" s="71"/>
      <c r="H157" s="71"/>
      <c r="I157" s="71"/>
      <c r="J157" s="71"/>
      <c r="K157" s="71"/>
      <c r="L157" s="71"/>
      <c r="M157" s="71"/>
      <c r="P157" s="204">
        <v>5</v>
      </c>
      <c r="S157" s="47">
        <f t="shared" ref="S157:AB157" si="87">VLOOKUP(S$134&amp;"AllSex"&amp;"Non-Maori"&amp;19&amp;5,deptable,7,FALSE)</f>
        <v>94</v>
      </c>
      <c r="T157" s="47">
        <f t="shared" si="87"/>
        <v>74</v>
      </c>
      <c r="U157" s="47">
        <f t="shared" si="87"/>
        <v>78</v>
      </c>
      <c r="V157" s="47">
        <f t="shared" si="87"/>
        <v>90</v>
      </c>
      <c r="W157" s="47">
        <f t="shared" si="87"/>
        <v>69</v>
      </c>
      <c r="X157" s="47">
        <f t="shared" si="87"/>
        <v>81</v>
      </c>
      <c r="Y157" s="47">
        <f t="shared" si="87"/>
        <v>86</v>
      </c>
      <c r="Z157" s="47">
        <f t="shared" si="87"/>
        <v>80</v>
      </c>
      <c r="AA157" s="47">
        <f t="shared" si="87"/>
        <v>101</v>
      </c>
      <c r="AB157" s="47">
        <f t="shared" si="87"/>
        <v>82</v>
      </c>
    </row>
    <row r="158" spans="2:35" x14ac:dyDescent="0.2">
      <c r="B158" s="71"/>
      <c r="C158" s="71"/>
      <c r="D158" s="71"/>
      <c r="E158" s="71"/>
      <c r="F158" s="71"/>
      <c r="G158" s="71"/>
      <c r="H158" s="71"/>
      <c r="I158" s="71"/>
      <c r="J158" s="71"/>
      <c r="K158" s="71"/>
      <c r="L158" s="71"/>
      <c r="M158" s="71"/>
      <c r="P158" s="204" t="s">
        <v>75</v>
      </c>
      <c r="S158" s="47">
        <f t="shared" ref="S158:AB158" si="88">IFERROR(VLOOKUP(S$134&amp;"AllSex"&amp;"Non-maori"&amp;9,UnkDep,6,FALSE),0)</f>
        <v>44</v>
      </c>
      <c r="T158" s="47">
        <f t="shared" si="88"/>
        <v>42</v>
      </c>
      <c r="U158" s="47">
        <f t="shared" si="88"/>
        <v>48</v>
      </c>
      <c r="V158" s="47">
        <f t="shared" si="88"/>
        <v>10</v>
      </c>
      <c r="W158" s="47">
        <f t="shared" si="88"/>
        <v>32</v>
      </c>
      <c r="X158" s="47">
        <f t="shared" si="88"/>
        <v>26</v>
      </c>
      <c r="Y158" s="47">
        <f t="shared" si="88"/>
        <v>36</v>
      </c>
      <c r="Z158" s="47">
        <f t="shared" si="88"/>
        <v>54</v>
      </c>
      <c r="AA158" s="47">
        <f t="shared" si="88"/>
        <v>32</v>
      </c>
      <c r="AB158" s="47">
        <f t="shared" si="88"/>
        <v>14</v>
      </c>
    </row>
    <row r="159" spans="2:35" x14ac:dyDescent="0.2">
      <c r="B159" s="71"/>
      <c r="C159" s="71"/>
      <c r="D159" s="71"/>
      <c r="E159" s="71"/>
      <c r="F159" s="71"/>
      <c r="G159" s="71"/>
      <c r="H159" s="71"/>
      <c r="I159" s="71"/>
      <c r="J159" s="71"/>
      <c r="K159" s="71"/>
      <c r="L159" s="71"/>
      <c r="M159" s="71"/>
      <c r="O159" s="26"/>
      <c r="P159" s="28"/>
      <c r="Q159" s="28"/>
      <c r="R159" s="28"/>
      <c r="S159" s="128"/>
      <c r="T159" s="128"/>
      <c r="U159" s="128"/>
      <c r="V159" s="128"/>
      <c r="W159" s="128"/>
      <c r="X159" s="128"/>
      <c r="Y159" s="128"/>
      <c r="Z159" s="128"/>
      <c r="AA159" s="128"/>
      <c r="AB159" s="128"/>
    </row>
    <row r="160" spans="2:35" x14ac:dyDescent="0.2">
      <c r="B160" s="71"/>
      <c r="C160" s="71"/>
      <c r="D160" s="71"/>
      <c r="E160" s="71"/>
      <c r="F160" s="71"/>
      <c r="G160" s="71"/>
      <c r="H160" s="71"/>
      <c r="I160" s="71"/>
      <c r="J160" s="71"/>
      <c r="K160" s="71"/>
      <c r="L160" s="71"/>
      <c r="M160" s="71"/>
      <c r="O160" s="24" t="s">
        <v>0</v>
      </c>
      <c r="P160" s="25">
        <v>1</v>
      </c>
      <c r="Q160" s="25" t="s">
        <v>22</v>
      </c>
      <c r="S160" s="36">
        <f t="shared" ref="S160:AB160" si="89">VLOOKUP(S$134&amp;"AllSex"&amp;"Non-Maori"&amp;19&amp;1,deptable,8,FALSE)</f>
        <v>7.00546775914676</v>
      </c>
      <c r="T160" s="36">
        <f t="shared" si="89"/>
        <v>6.9943488715776398</v>
      </c>
      <c r="U160" s="36">
        <f t="shared" si="89"/>
        <v>9.9285873968282505</v>
      </c>
      <c r="V160" s="36">
        <f t="shared" si="89"/>
        <v>7.9174449503132198</v>
      </c>
      <c r="W160" s="36">
        <f t="shared" si="89"/>
        <v>10.4556809118773</v>
      </c>
      <c r="X160" s="36">
        <f t="shared" si="89"/>
        <v>7.7593299698986202</v>
      </c>
      <c r="Y160" s="36">
        <f t="shared" si="89"/>
        <v>5.8373105320872503</v>
      </c>
      <c r="Z160" s="36">
        <f t="shared" si="89"/>
        <v>6.8863390180409496</v>
      </c>
      <c r="AA160" s="36">
        <f t="shared" si="89"/>
        <v>5.7366011944690198</v>
      </c>
      <c r="AB160" s="36">
        <f t="shared" si="89"/>
        <v>8.2219364177060807</v>
      </c>
    </row>
    <row r="161" spans="1:38" x14ac:dyDescent="0.2">
      <c r="B161" s="71"/>
      <c r="C161" s="71"/>
      <c r="D161" s="71"/>
      <c r="E161" s="71"/>
      <c r="F161" s="71"/>
      <c r="G161" s="71"/>
      <c r="H161" s="71"/>
      <c r="I161" s="71"/>
      <c r="J161" s="71"/>
      <c r="K161" s="71"/>
      <c r="L161" s="71"/>
      <c r="M161" s="71"/>
      <c r="P161" s="25">
        <v>2</v>
      </c>
      <c r="S161" s="36">
        <f t="shared" ref="S161:AB161" si="90">VLOOKUP(S$134&amp;"AllSex"&amp;"Non-Maori"&amp;19&amp;2,deptable,8,FALSE)</f>
        <v>9.6645431208614596</v>
      </c>
      <c r="T161" s="36">
        <f t="shared" si="90"/>
        <v>7.70857713977278</v>
      </c>
      <c r="U161" s="36">
        <f t="shared" si="90"/>
        <v>9.0240190540465299</v>
      </c>
      <c r="V161" s="36">
        <f t="shared" si="90"/>
        <v>9.2339983930278997</v>
      </c>
      <c r="W161" s="36">
        <f t="shared" si="90"/>
        <v>8.9807969074907099</v>
      </c>
      <c r="X161" s="36">
        <f t="shared" si="90"/>
        <v>7.1735157232694</v>
      </c>
      <c r="Y161" s="36">
        <f t="shared" si="90"/>
        <v>8.4212610687443306</v>
      </c>
      <c r="Z161" s="36">
        <f t="shared" si="90"/>
        <v>7.75061254391865</v>
      </c>
      <c r="AA161" s="36">
        <f t="shared" si="90"/>
        <v>7.61139158241141</v>
      </c>
      <c r="AB161" s="36">
        <f t="shared" si="90"/>
        <v>8.1080777953149603</v>
      </c>
    </row>
    <row r="162" spans="1:38" x14ac:dyDescent="0.2">
      <c r="B162" s="71"/>
      <c r="C162" s="71"/>
      <c r="D162" s="71"/>
      <c r="E162" s="71"/>
      <c r="F162" s="71"/>
      <c r="G162" s="71"/>
      <c r="H162" s="71"/>
      <c r="I162" s="71"/>
      <c r="J162" s="71"/>
      <c r="K162" s="71"/>
      <c r="L162" s="71"/>
      <c r="M162" s="71"/>
      <c r="P162" s="25">
        <v>3</v>
      </c>
      <c r="S162" s="36">
        <f t="shared" ref="S162:AB162" si="91">VLOOKUP(S$134&amp;"AllSex"&amp;"Non-Maori"&amp;19&amp;3,deptable,8,FALSE)</f>
        <v>10.465207830197601</v>
      </c>
      <c r="T162" s="36">
        <f t="shared" si="91"/>
        <v>11.080984410546</v>
      </c>
      <c r="U162" s="36">
        <f t="shared" si="91"/>
        <v>11.173808666885</v>
      </c>
      <c r="V162" s="36">
        <f t="shared" si="91"/>
        <v>9.1279852968133408</v>
      </c>
      <c r="W162" s="36">
        <f t="shared" si="91"/>
        <v>10.527981699193599</v>
      </c>
      <c r="X162" s="36">
        <f t="shared" si="91"/>
        <v>10.666353724075799</v>
      </c>
      <c r="Y162" s="36">
        <f t="shared" si="91"/>
        <v>12.2450346228781</v>
      </c>
      <c r="Z162" s="36">
        <f t="shared" si="91"/>
        <v>9.7238612561748106</v>
      </c>
      <c r="AA162" s="36">
        <f t="shared" si="91"/>
        <v>9.0486738474224495</v>
      </c>
      <c r="AB162" s="36">
        <f t="shared" si="91"/>
        <v>8.1892500380217292</v>
      </c>
    </row>
    <row r="163" spans="1:38" x14ac:dyDescent="0.2">
      <c r="B163" s="71"/>
      <c r="C163" s="71"/>
      <c r="D163" s="71"/>
      <c r="E163" s="71"/>
      <c r="F163" s="71"/>
      <c r="G163" s="71"/>
      <c r="H163" s="71"/>
      <c r="I163" s="71"/>
      <c r="J163" s="71"/>
      <c r="K163" s="71"/>
      <c r="L163" s="71"/>
      <c r="M163" s="71"/>
      <c r="P163" s="25">
        <v>4</v>
      </c>
      <c r="S163" s="36">
        <f t="shared" ref="S163:AB163" si="92">VLOOKUP(S$134&amp;"AllSex"&amp;"Non-Maori"&amp;19&amp;4,deptable,8,FALSE)</f>
        <v>10.464113939899301</v>
      </c>
      <c r="T163" s="36">
        <f t="shared" si="92"/>
        <v>12.2661593803128</v>
      </c>
      <c r="U163" s="36">
        <f t="shared" si="92"/>
        <v>11.021127423476001</v>
      </c>
      <c r="V163" s="36">
        <f t="shared" si="92"/>
        <v>14.5141755107568</v>
      </c>
      <c r="W163" s="36">
        <f t="shared" si="92"/>
        <v>11.896161889371299</v>
      </c>
      <c r="X163" s="36">
        <f t="shared" si="92"/>
        <v>9.1452574133930806</v>
      </c>
      <c r="Y163" s="36">
        <f t="shared" si="92"/>
        <v>13.592609385810301</v>
      </c>
      <c r="Z163" s="36">
        <f t="shared" si="92"/>
        <v>9.19443356923286</v>
      </c>
      <c r="AA163" s="36">
        <f t="shared" si="92"/>
        <v>12.3602665214657</v>
      </c>
      <c r="AB163" s="36">
        <f t="shared" si="92"/>
        <v>10.9885179324571</v>
      </c>
      <c r="AC163" s="12"/>
      <c r="AD163" s="12"/>
      <c r="AE163" s="12"/>
      <c r="AF163" s="12"/>
    </row>
    <row r="164" spans="1:38" x14ac:dyDescent="0.2">
      <c r="B164" s="71"/>
      <c r="C164" s="71"/>
      <c r="D164" s="71"/>
      <c r="E164" s="71"/>
      <c r="F164" s="71"/>
      <c r="G164" s="71"/>
      <c r="H164" s="71"/>
      <c r="I164" s="71"/>
      <c r="J164" s="71"/>
      <c r="K164" s="71"/>
      <c r="L164" s="71"/>
      <c r="M164" s="71"/>
      <c r="P164" s="25">
        <v>5</v>
      </c>
      <c r="S164" s="36">
        <f t="shared" ref="S164:AB164" si="93">VLOOKUP(S$134&amp;"AllSex"&amp;"Non-Maori"&amp;19&amp;5,deptable,8,FALSE)</f>
        <v>16.452598673553201</v>
      </c>
      <c r="T164" s="36">
        <f t="shared" si="93"/>
        <v>12.587052355612199</v>
      </c>
      <c r="U164" s="36">
        <f t="shared" si="93"/>
        <v>12.896367785498301</v>
      </c>
      <c r="V164" s="36">
        <f t="shared" si="93"/>
        <v>15.407246316021901</v>
      </c>
      <c r="W164" s="36">
        <f t="shared" si="93"/>
        <v>11.9050077950544</v>
      </c>
      <c r="X164" s="36">
        <f t="shared" si="93"/>
        <v>13.213031406173</v>
      </c>
      <c r="Y164" s="36">
        <f t="shared" si="93"/>
        <v>13.792419367632601</v>
      </c>
      <c r="Z164" s="36">
        <f t="shared" si="93"/>
        <v>13.1094925994683</v>
      </c>
      <c r="AA164" s="36">
        <f t="shared" si="93"/>
        <v>15.6158667997486</v>
      </c>
      <c r="AB164" s="36">
        <f t="shared" si="93"/>
        <v>12.6037126874363</v>
      </c>
    </row>
    <row r="165" spans="1:38" ht="25.5" customHeight="1" x14ac:dyDescent="0.2">
      <c r="B165" s="71"/>
      <c r="C165" s="265"/>
      <c r="D165" s="368"/>
      <c r="E165" s="371"/>
      <c r="F165" s="371"/>
      <c r="G165" s="365"/>
      <c r="H165" s="365"/>
      <c r="I165" s="365"/>
      <c r="J165" s="365"/>
      <c r="K165" s="365"/>
      <c r="L165" s="71"/>
      <c r="M165" s="71"/>
      <c r="O165" s="12"/>
      <c r="P165" s="12"/>
      <c r="Q165" s="45"/>
      <c r="R165" s="12"/>
      <c r="S165" s="12"/>
      <c r="T165" s="12"/>
      <c r="U165" s="12"/>
      <c r="V165" s="12"/>
      <c r="W165" s="12"/>
      <c r="X165" s="12"/>
      <c r="Y165" s="12"/>
      <c r="Z165" s="12"/>
      <c r="AA165" s="12"/>
      <c r="AB165" s="12"/>
    </row>
    <row r="166" spans="1:38" x14ac:dyDescent="0.2">
      <c r="B166" s="71"/>
      <c r="C166" s="365"/>
      <c r="D166" s="559"/>
      <c r="E166" s="525"/>
      <c r="F166" s="525"/>
      <c r="G166" s="525"/>
      <c r="H166" s="525"/>
      <c r="I166" s="525"/>
      <c r="J166" s="525"/>
      <c r="K166" s="525"/>
      <c r="L166" s="71"/>
      <c r="M166" s="71"/>
      <c r="O166" s="51" t="s">
        <v>101</v>
      </c>
      <c r="P166" s="51" t="s">
        <v>108</v>
      </c>
      <c r="Q166" s="199"/>
      <c r="R166" s="199"/>
      <c r="S166" s="173"/>
      <c r="T166" s="173"/>
      <c r="AC166" s="12"/>
    </row>
    <row r="167" spans="1:38" x14ac:dyDescent="0.2">
      <c r="B167" s="71"/>
      <c r="C167" s="461"/>
      <c r="D167" s="462"/>
      <c r="E167" s="460"/>
      <c r="F167" s="460"/>
      <c r="G167" s="460"/>
      <c r="H167" s="460"/>
      <c r="I167" s="460"/>
      <c r="J167" s="460"/>
      <c r="K167" s="460"/>
      <c r="L167" s="71"/>
      <c r="M167" s="71"/>
      <c r="O167" s="51"/>
      <c r="P167" s="51" t="s">
        <v>559</v>
      </c>
      <c r="Q167" s="199"/>
      <c r="R167" s="199"/>
      <c r="S167" s="173"/>
      <c r="T167" s="173"/>
      <c r="AC167" s="12"/>
    </row>
    <row r="168" spans="1:38" ht="13.5" customHeight="1" x14ac:dyDescent="0.2">
      <c r="B168" s="71"/>
      <c r="C168" s="365"/>
      <c r="D168" s="368"/>
      <c r="E168" s="421" t="s">
        <v>33</v>
      </c>
      <c r="F168" s="365"/>
      <c r="G168" s="365"/>
      <c r="H168" s="365"/>
      <c r="I168" s="365"/>
      <c r="J168" s="421" t="s">
        <v>34</v>
      </c>
      <c r="K168" s="365"/>
      <c r="L168" s="71"/>
      <c r="M168" s="71"/>
      <c r="O168" s="51"/>
      <c r="P168" s="51" t="s">
        <v>560</v>
      </c>
      <c r="Q168" s="199"/>
      <c r="R168" s="199"/>
      <c r="S168" s="173"/>
      <c r="T168" s="173"/>
      <c r="AD168" s="12"/>
      <c r="AE168" s="12"/>
      <c r="AF168" s="12"/>
    </row>
    <row r="169" spans="1:38" x14ac:dyDescent="0.2">
      <c r="A169" s="407"/>
      <c r="B169" s="71"/>
      <c r="C169" s="265"/>
      <c r="D169" s="265"/>
      <c r="E169" s="372"/>
      <c r="F169" s="372"/>
      <c r="G169" s="412"/>
      <c r="H169" s="412"/>
      <c r="I169" s="412"/>
      <c r="J169" s="412"/>
      <c r="K169" s="412"/>
      <c r="L169" s="71"/>
      <c r="M169" s="71"/>
      <c r="O169" s="12"/>
      <c r="P169" s="51" t="s">
        <v>449</v>
      </c>
      <c r="Q169" s="45"/>
      <c r="R169" s="12"/>
      <c r="S169" s="12"/>
      <c r="T169" s="12"/>
      <c r="U169" s="12"/>
      <c r="V169" s="12"/>
      <c r="W169" s="12"/>
      <c r="X169" s="12"/>
      <c r="Y169" s="12"/>
      <c r="Z169" s="12"/>
      <c r="AA169" s="12"/>
      <c r="AB169" s="12"/>
      <c r="AD169" s="12"/>
      <c r="AE169" s="12"/>
      <c r="AF169" s="12"/>
    </row>
    <row r="170" spans="1:38" x14ac:dyDescent="0.2">
      <c r="A170" s="407"/>
      <c r="B170" s="71"/>
      <c r="C170" s="71"/>
      <c r="D170" s="71"/>
      <c r="E170" s="71"/>
      <c r="F170" s="71"/>
      <c r="G170" s="71"/>
      <c r="H170" s="71"/>
      <c r="I170" s="71"/>
      <c r="J170" s="71"/>
      <c r="K170" s="71"/>
      <c r="L170" s="71"/>
      <c r="M170" s="71"/>
      <c r="O170" s="51" t="s">
        <v>150</v>
      </c>
      <c r="P170" s="51" t="s">
        <v>151</v>
      </c>
      <c r="Q170" s="199"/>
      <c r="R170" s="199"/>
      <c r="S170" s="173"/>
      <c r="T170" s="173"/>
      <c r="AC170" s="124"/>
      <c r="AD170" s="124"/>
      <c r="AE170" s="124"/>
      <c r="AF170" s="124"/>
      <c r="AG170" s="124"/>
      <c r="AH170" s="124"/>
      <c r="AI170" s="124"/>
      <c r="AJ170" s="124"/>
    </row>
    <row r="171" spans="1:38" x14ac:dyDescent="0.2">
      <c r="A171" s="407"/>
      <c r="B171" s="71"/>
      <c r="C171" s="71"/>
      <c r="D171" s="71"/>
      <c r="E171" s="71"/>
      <c r="F171" s="71"/>
      <c r="G171" s="71"/>
      <c r="H171" s="71"/>
      <c r="I171" s="71"/>
      <c r="J171" s="71"/>
      <c r="K171" s="71"/>
      <c r="L171" s="71"/>
      <c r="M171" s="71"/>
      <c r="O171" s="20"/>
      <c r="P171" s="20"/>
      <c r="Q171" s="44"/>
      <c r="R171" s="20"/>
      <c r="S171" s="20"/>
      <c r="T171" s="20"/>
      <c r="U171" s="20"/>
      <c r="V171" s="20"/>
      <c r="W171" s="20"/>
      <c r="X171" s="20"/>
      <c r="Y171" s="20"/>
      <c r="Z171" s="20"/>
      <c r="AA171" s="20"/>
      <c r="AB171" s="20"/>
      <c r="AC171" s="33"/>
      <c r="AD171" s="124"/>
      <c r="AE171" s="124"/>
      <c r="AF171" s="124"/>
    </row>
    <row r="172" spans="1:38" x14ac:dyDescent="0.2">
      <c r="A172" s="407"/>
      <c r="B172" s="71"/>
      <c r="C172" s="71"/>
      <c r="D172" s="71"/>
      <c r="E172" s="71"/>
      <c r="F172" s="71"/>
      <c r="G172" s="71"/>
      <c r="H172" s="71"/>
      <c r="I172" s="71"/>
      <c r="J172" s="71"/>
      <c r="K172" s="71"/>
      <c r="L172" s="71"/>
      <c r="M172" s="71"/>
      <c r="O172" s="138"/>
      <c r="P172" s="138"/>
      <c r="Q172" s="216"/>
      <c r="R172" s="216"/>
      <c r="S172" s="173"/>
      <c r="T172" s="173"/>
    </row>
    <row r="173" spans="1:38" ht="15" x14ac:dyDescent="0.25">
      <c r="A173" s="407"/>
      <c r="B173" s="71"/>
      <c r="C173" s="554"/>
      <c r="D173" s="558"/>
      <c r="E173" s="558"/>
      <c r="F173" s="558"/>
      <c r="G173" s="558"/>
      <c r="H173" s="558"/>
      <c r="I173" s="558"/>
      <c r="J173" s="558"/>
      <c r="K173" s="558"/>
      <c r="L173" s="558"/>
      <c r="M173" s="71"/>
      <c r="O173" s="138"/>
      <c r="P173" s="138"/>
      <c r="Q173" s="216"/>
      <c r="R173" s="216"/>
      <c r="S173" s="173"/>
      <c r="T173" s="173"/>
    </row>
    <row r="174" spans="1:38" x14ac:dyDescent="0.2">
      <c r="B174" s="71"/>
      <c r="C174" s="71"/>
      <c r="D174" s="71"/>
      <c r="E174" s="71"/>
      <c r="F174" s="71"/>
      <c r="G174" s="71"/>
      <c r="H174" s="71"/>
      <c r="I174" s="71"/>
      <c r="J174" s="71"/>
      <c r="K174" s="71"/>
      <c r="L174" s="71"/>
      <c r="M174" s="71"/>
    </row>
    <row r="175" spans="1:38" x14ac:dyDescent="0.2">
      <c r="B175" s="71"/>
      <c r="C175" s="71"/>
      <c r="D175" s="71"/>
      <c r="E175" s="71"/>
      <c r="F175" s="71"/>
      <c r="G175" s="71"/>
      <c r="H175" s="71"/>
      <c r="I175" s="71"/>
      <c r="J175" s="71"/>
      <c r="K175" s="71"/>
      <c r="L175" s="71"/>
      <c r="M175" s="71"/>
      <c r="O175" s="12"/>
    </row>
    <row r="176" spans="1:38" x14ac:dyDescent="0.2">
      <c r="B176" s="71"/>
      <c r="C176" s="71"/>
      <c r="D176" s="71"/>
      <c r="E176" s="71"/>
      <c r="F176" s="71"/>
      <c r="G176" s="71"/>
      <c r="H176" s="71"/>
      <c r="I176" s="71"/>
      <c r="J176" s="71"/>
      <c r="K176" s="71"/>
      <c r="L176" s="71"/>
      <c r="M176" s="71"/>
      <c r="O176" s="12"/>
      <c r="P176" s="12"/>
      <c r="Q176" s="45"/>
      <c r="R176" s="45"/>
      <c r="S176" s="12"/>
      <c r="T176" s="12"/>
      <c r="U176" s="12"/>
      <c r="V176" s="12"/>
      <c r="W176" s="12"/>
      <c r="X176" s="12"/>
      <c r="Y176" s="12"/>
      <c r="Z176" s="12"/>
      <c r="AA176" s="12"/>
      <c r="AB176" s="12"/>
      <c r="AL176" s="47"/>
    </row>
    <row r="177" spans="2:28" x14ac:dyDescent="0.2">
      <c r="B177" s="71"/>
      <c r="C177" s="71"/>
      <c r="D177" s="71"/>
      <c r="E177" s="71"/>
      <c r="F177" s="71"/>
      <c r="G177" s="71"/>
      <c r="H177" s="71"/>
      <c r="I177" s="71"/>
      <c r="J177" s="71"/>
      <c r="K177" s="71"/>
      <c r="L177" s="71"/>
      <c r="M177" s="71"/>
    </row>
    <row r="178" spans="2:28" x14ac:dyDescent="0.2">
      <c r="B178" s="71"/>
      <c r="C178" s="71"/>
      <c r="D178" s="71"/>
      <c r="E178" s="71"/>
      <c r="F178" s="71"/>
      <c r="G178" s="71"/>
      <c r="H178" s="71"/>
      <c r="I178" s="71"/>
      <c r="J178" s="71"/>
      <c r="K178" s="71"/>
      <c r="L178" s="71"/>
      <c r="M178" s="71"/>
    </row>
    <row r="179" spans="2:28" ht="18" customHeight="1" x14ac:dyDescent="0.2">
      <c r="B179" s="71"/>
      <c r="C179" s="71"/>
      <c r="D179" s="71"/>
      <c r="E179" s="80"/>
      <c r="F179" s="80"/>
      <c r="G179" s="71"/>
      <c r="H179" s="71"/>
      <c r="I179" s="71"/>
      <c r="J179" s="71"/>
      <c r="K179" s="71"/>
      <c r="L179" s="71"/>
      <c r="M179" s="71"/>
    </row>
    <row r="180" spans="2:28" x14ac:dyDescent="0.2">
      <c r="B180" s="71"/>
      <c r="C180" s="79" t="s">
        <v>101</v>
      </c>
      <c r="D180" s="84" t="s">
        <v>108</v>
      </c>
      <c r="E180" s="71"/>
      <c r="F180" s="71"/>
      <c r="G180" s="71"/>
      <c r="H180" s="71"/>
      <c r="I180" s="71"/>
      <c r="J180" s="71"/>
      <c r="K180" s="71"/>
      <c r="L180" s="71"/>
      <c r="M180" s="71"/>
    </row>
    <row r="181" spans="2:28" x14ac:dyDescent="0.2">
      <c r="B181" s="71"/>
      <c r="C181" s="71"/>
      <c r="D181" s="84" t="s">
        <v>581</v>
      </c>
      <c r="E181" s="71"/>
      <c r="F181" s="71"/>
      <c r="G181" s="71"/>
      <c r="H181" s="71"/>
      <c r="I181" s="71"/>
      <c r="J181" s="71"/>
      <c r="K181" s="71"/>
      <c r="L181" s="71"/>
      <c r="M181" s="71"/>
    </row>
    <row r="182" spans="2:28" ht="12" customHeight="1" x14ac:dyDescent="0.2">
      <c r="B182" s="71"/>
      <c r="C182" s="71"/>
      <c r="D182" s="84" t="s">
        <v>580</v>
      </c>
      <c r="E182" s="71"/>
      <c r="F182" s="71"/>
      <c r="G182" s="71"/>
      <c r="H182" s="71"/>
      <c r="I182" s="71"/>
      <c r="J182" s="71"/>
      <c r="K182" s="71"/>
      <c r="L182" s="71"/>
      <c r="M182" s="71"/>
    </row>
    <row r="183" spans="2:28" x14ac:dyDescent="0.2">
      <c r="B183" s="71"/>
      <c r="C183" s="71"/>
      <c r="D183" s="84" t="s">
        <v>449</v>
      </c>
      <c r="E183" s="78"/>
      <c r="F183" s="78"/>
      <c r="G183" s="71"/>
      <c r="H183" s="71"/>
      <c r="I183" s="71"/>
      <c r="J183" s="71"/>
      <c r="K183" s="71"/>
      <c r="L183" s="71"/>
      <c r="M183" s="71"/>
    </row>
    <row r="184" spans="2:28" x14ac:dyDescent="0.2">
      <c r="B184" s="71"/>
      <c r="C184" s="79" t="s">
        <v>150</v>
      </c>
      <c r="D184" s="79" t="s">
        <v>151</v>
      </c>
      <c r="E184" s="71"/>
      <c r="F184" s="71"/>
      <c r="G184" s="71"/>
      <c r="H184" s="71"/>
      <c r="I184" s="71"/>
      <c r="J184" s="71"/>
      <c r="K184" s="71"/>
      <c r="L184" s="71"/>
      <c r="M184" s="71"/>
    </row>
    <row r="185" spans="2:28" x14ac:dyDescent="0.2">
      <c r="B185" s="71"/>
      <c r="C185" s="71"/>
      <c r="D185" s="71"/>
      <c r="E185" s="71"/>
      <c r="F185" s="71"/>
      <c r="G185" s="71"/>
      <c r="H185" s="71"/>
      <c r="I185" s="71"/>
      <c r="J185" s="71"/>
      <c r="K185" s="71"/>
      <c r="L185" s="71"/>
      <c r="M185" s="71"/>
    </row>
    <row r="186" spans="2:28" x14ac:dyDescent="0.2">
      <c r="B186" s="407"/>
      <c r="C186" s="407"/>
      <c r="D186" s="407"/>
      <c r="E186" s="407"/>
      <c r="F186" s="407"/>
      <c r="G186" s="407"/>
      <c r="H186" s="407"/>
      <c r="I186" s="407"/>
      <c r="J186" s="407"/>
      <c r="K186" s="407"/>
      <c r="L186" s="407"/>
      <c r="M186" s="407"/>
    </row>
    <row r="187" spans="2:28" x14ac:dyDescent="0.2">
      <c r="B187" s="407"/>
      <c r="C187" s="407"/>
      <c r="D187" s="407"/>
      <c r="E187" s="407"/>
      <c r="F187" s="407"/>
      <c r="G187" s="407"/>
      <c r="H187" s="407"/>
      <c r="I187" s="407"/>
      <c r="J187" s="407"/>
      <c r="K187" s="407"/>
      <c r="L187" s="407"/>
      <c r="M187" s="407"/>
      <c r="N187" s="476" t="s">
        <v>192</v>
      </c>
    </row>
    <row r="188" spans="2:28" x14ac:dyDescent="0.2">
      <c r="B188" s="407"/>
      <c r="C188" s="407"/>
      <c r="D188" s="407"/>
      <c r="E188" s="407"/>
      <c r="F188" s="407"/>
      <c r="G188" s="407"/>
      <c r="H188" s="407"/>
      <c r="I188" s="407"/>
      <c r="J188" s="407"/>
      <c r="K188" s="407"/>
      <c r="L188" s="407"/>
      <c r="M188" s="407"/>
    </row>
    <row r="189" spans="2:28" x14ac:dyDescent="0.2">
      <c r="B189" s="180"/>
    </row>
    <row r="191" spans="2:28" ht="15.75" x14ac:dyDescent="0.25">
      <c r="C191" s="39" t="s">
        <v>561</v>
      </c>
      <c r="D191" s="407"/>
      <c r="E191" s="407"/>
      <c r="F191" s="407"/>
      <c r="G191" s="407"/>
      <c r="H191" s="407"/>
      <c r="I191" s="407"/>
      <c r="J191" s="407"/>
      <c r="K191" s="407"/>
      <c r="L191" s="407"/>
      <c r="M191" s="407"/>
      <c r="O191" s="546" t="s">
        <v>443</v>
      </c>
      <c r="P191" s="551"/>
      <c r="Q191" s="551"/>
      <c r="R191" s="551"/>
      <c r="S191" s="551"/>
      <c r="T191" s="551"/>
      <c r="U191" s="551"/>
      <c r="V191" s="551"/>
      <c r="W191" s="551"/>
      <c r="X191" s="551"/>
      <c r="Y191" s="552"/>
      <c r="Z191" s="552"/>
      <c r="AA191" s="552"/>
      <c r="AB191" s="552"/>
    </row>
    <row r="192" spans="2:28" ht="13.5" customHeight="1" x14ac:dyDescent="0.2">
      <c r="C192" s="180"/>
      <c r="D192" s="180"/>
      <c r="E192" s="180"/>
      <c r="F192" s="180"/>
      <c r="G192" s="180"/>
      <c r="H192" s="180"/>
      <c r="I192" s="180"/>
      <c r="J192" s="180"/>
      <c r="K192" s="180"/>
      <c r="L192" s="180"/>
      <c r="M192" s="180"/>
    </row>
    <row r="193" spans="2:39" ht="33.75" customHeight="1" x14ac:dyDescent="0.2">
      <c r="C193" s="549" t="s">
        <v>357</v>
      </c>
      <c r="D193" s="523"/>
      <c r="E193" s="523"/>
      <c r="F193" s="523"/>
      <c r="G193" s="523"/>
      <c r="H193" s="523"/>
      <c r="I193" s="523"/>
      <c r="J193" s="523"/>
      <c r="K193" s="523"/>
      <c r="L193" s="523"/>
      <c r="M193" s="180"/>
      <c r="N193" s="180"/>
      <c r="O193" s="22" t="s">
        <v>3</v>
      </c>
      <c r="R193" s="25"/>
      <c r="S193" s="47"/>
      <c r="T193" s="47"/>
      <c r="U193" s="47"/>
      <c r="V193" s="47"/>
      <c r="W193" s="47"/>
      <c r="X193" s="47"/>
      <c r="Y193" s="47"/>
      <c r="Z193" s="47"/>
      <c r="AA193" s="47"/>
      <c r="AB193" s="47"/>
    </row>
    <row r="194" spans="2:39" x14ac:dyDescent="0.2">
      <c r="O194" s="22" t="s">
        <v>1</v>
      </c>
      <c r="P194" s="22" t="s">
        <v>37</v>
      </c>
      <c r="Q194" s="125"/>
      <c r="R194" s="125" t="s">
        <v>50</v>
      </c>
      <c r="T194" s="49">
        <v>1996</v>
      </c>
      <c r="U194" s="49">
        <v>1997</v>
      </c>
      <c r="V194" s="49">
        <v>1998</v>
      </c>
      <c r="W194" s="49">
        <v>1999</v>
      </c>
      <c r="X194" s="49">
        <v>2000</v>
      </c>
      <c r="Y194" s="49">
        <v>2001</v>
      </c>
      <c r="Z194" s="49">
        <v>2002</v>
      </c>
      <c r="AA194" s="49">
        <v>2003</v>
      </c>
      <c r="AB194" s="49">
        <v>2004</v>
      </c>
      <c r="AC194" s="49">
        <v>2005</v>
      </c>
      <c r="AD194" s="49">
        <v>2006</v>
      </c>
      <c r="AE194" s="49">
        <v>2007</v>
      </c>
      <c r="AF194" s="49">
        <v>2008</v>
      </c>
      <c r="AG194" s="49">
        <v>2009</v>
      </c>
      <c r="AH194" s="49">
        <v>2010</v>
      </c>
      <c r="AI194" s="49">
        <v>2011</v>
      </c>
      <c r="AJ194" s="49">
        <v>2012</v>
      </c>
      <c r="AK194" s="49">
        <v>2013</v>
      </c>
      <c r="AL194" s="49">
        <v>2014</v>
      </c>
      <c r="AM194" s="49">
        <v>2015</v>
      </c>
    </row>
    <row r="195" spans="2:39" ht="28.5" customHeight="1" x14ac:dyDescent="0.2">
      <c r="B195" s="71"/>
      <c r="C195" s="71"/>
      <c r="D195" s="71"/>
      <c r="E195" s="71"/>
      <c r="F195" s="71"/>
      <c r="G195" s="71"/>
      <c r="H195" s="71"/>
      <c r="I195" s="71"/>
      <c r="J195" s="71"/>
      <c r="K195" s="71"/>
      <c r="L195" s="71"/>
      <c r="M195" s="71"/>
      <c r="R195" s="25"/>
      <c r="T195" s="47"/>
      <c r="U195" s="47"/>
      <c r="V195" s="47"/>
      <c r="W195" s="47"/>
      <c r="X195" s="47"/>
      <c r="Y195" s="47"/>
      <c r="Z195" s="47"/>
      <c r="AA195" s="47"/>
      <c r="AB195" s="47"/>
      <c r="AL195" s="47"/>
      <c r="AM195" s="47"/>
    </row>
    <row r="196" spans="2:39" ht="15" x14ac:dyDescent="0.25">
      <c r="B196" s="71"/>
      <c r="C196" s="92" t="s">
        <v>444</v>
      </c>
      <c r="D196" s="71"/>
      <c r="E196" s="71"/>
      <c r="F196" s="71"/>
      <c r="G196" s="71"/>
      <c r="H196" s="71"/>
      <c r="I196" s="71"/>
      <c r="J196" s="71"/>
      <c r="K196" s="71"/>
      <c r="L196" s="71"/>
      <c r="M196" s="71"/>
      <c r="O196" s="24" t="s">
        <v>0</v>
      </c>
      <c r="P196" s="24" t="s">
        <v>9</v>
      </c>
      <c r="Q196" s="25" t="s">
        <v>51</v>
      </c>
      <c r="R196" s="25" t="s">
        <v>43</v>
      </c>
      <c r="T196" s="36">
        <f t="shared" ref="T196:AC203" si="94">IFERROR(VLOOKUP(T$194&amp;"AllSex"&amp;"Maori"&amp;19&amp;$R196,Methodstable,9,FALSE),"0.0")</f>
        <v>68</v>
      </c>
      <c r="U196" s="36">
        <f t="shared" si="94"/>
        <v>66</v>
      </c>
      <c r="V196" s="36">
        <f t="shared" si="94"/>
        <v>65.5</v>
      </c>
      <c r="W196" s="36">
        <f t="shared" si="94"/>
        <v>74.7</v>
      </c>
      <c r="X196" s="36">
        <f t="shared" si="94"/>
        <v>73.8</v>
      </c>
      <c r="Y196" s="36">
        <f t="shared" si="94"/>
        <v>70.900000000000006</v>
      </c>
      <c r="Z196" s="36">
        <f t="shared" si="94"/>
        <v>76.2</v>
      </c>
      <c r="AA196" s="36">
        <f t="shared" si="94"/>
        <v>78.2</v>
      </c>
      <c r="AB196" s="36">
        <f t="shared" si="94"/>
        <v>82.9</v>
      </c>
      <c r="AC196" s="36">
        <f t="shared" si="94"/>
        <v>75.2</v>
      </c>
      <c r="AD196" s="36">
        <f t="shared" ref="AD196:AM203" si="95">IFERROR(VLOOKUP(AD$194&amp;"AllSex"&amp;"Maori"&amp;19&amp;$R196,Methodstable,9,FALSE),"0.0")</f>
        <v>75</v>
      </c>
      <c r="AE196" s="36">
        <f t="shared" si="95"/>
        <v>73.2</v>
      </c>
      <c r="AF196" s="36">
        <f t="shared" si="95"/>
        <v>87.4</v>
      </c>
      <c r="AG196" s="36">
        <f t="shared" si="95"/>
        <v>84.3</v>
      </c>
      <c r="AH196" s="36">
        <f t="shared" si="95"/>
        <v>76.5</v>
      </c>
      <c r="AI196" s="36">
        <f t="shared" si="95"/>
        <v>85</v>
      </c>
      <c r="AJ196" s="36">
        <f t="shared" si="95"/>
        <v>89.1</v>
      </c>
      <c r="AK196" s="36">
        <f t="shared" si="95"/>
        <v>81</v>
      </c>
      <c r="AL196" s="36">
        <f t="shared" si="95"/>
        <v>83.7</v>
      </c>
      <c r="AM196" s="36">
        <f t="shared" si="95"/>
        <v>89.8</v>
      </c>
    </row>
    <row r="197" spans="2:39" ht="15" x14ac:dyDescent="0.25">
      <c r="B197" s="71"/>
      <c r="C197" s="92"/>
      <c r="D197" s="71"/>
      <c r="E197" s="71"/>
      <c r="F197" s="71"/>
      <c r="G197" s="71"/>
      <c r="H197" s="71"/>
      <c r="I197" s="71"/>
      <c r="J197" s="71"/>
      <c r="K197" s="71"/>
      <c r="L197" s="71"/>
      <c r="M197" s="71"/>
      <c r="R197" s="25" t="s">
        <v>46</v>
      </c>
      <c r="T197" s="36">
        <f t="shared" si="94"/>
        <v>10.3</v>
      </c>
      <c r="U197" s="36">
        <f t="shared" si="94"/>
        <v>7.5</v>
      </c>
      <c r="V197" s="36">
        <f t="shared" si="94"/>
        <v>8</v>
      </c>
      <c r="W197" s="36">
        <f t="shared" si="94"/>
        <v>6.3</v>
      </c>
      <c r="X197" s="36">
        <f t="shared" si="94"/>
        <v>8.8000000000000007</v>
      </c>
      <c r="Y197" s="36">
        <f t="shared" si="94"/>
        <v>13.9</v>
      </c>
      <c r="Z197" s="36">
        <f t="shared" si="94"/>
        <v>10</v>
      </c>
      <c r="AA197" s="36">
        <f t="shared" si="94"/>
        <v>8</v>
      </c>
      <c r="AB197" s="36">
        <f t="shared" si="94"/>
        <v>2.7</v>
      </c>
      <c r="AC197" s="36">
        <f t="shared" si="94"/>
        <v>10.5</v>
      </c>
      <c r="AD197" s="36">
        <f t="shared" si="95"/>
        <v>6.5</v>
      </c>
      <c r="AE197" s="36">
        <f t="shared" si="95"/>
        <v>6.2</v>
      </c>
      <c r="AF197" s="36">
        <f t="shared" si="95"/>
        <v>2.2999999999999998</v>
      </c>
      <c r="AG197" s="36">
        <f t="shared" si="95"/>
        <v>3.6</v>
      </c>
      <c r="AH197" s="36">
        <f t="shared" si="95"/>
        <v>3.9</v>
      </c>
      <c r="AI197" s="36">
        <f t="shared" si="95"/>
        <v>4.4000000000000004</v>
      </c>
      <c r="AJ197" s="36">
        <f t="shared" si="95"/>
        <v>1.7</v>
      </c>
      <c r="AK197" s="36">
        <f t="shared" si="95"/>
        <v>4.8</v>
      </c>
      <c r="AL197" s="36">
        <f t="shared" si="95"/>
        <v>2.2000000000000002</v>
      </c>
      <c r="AM197" s="36">
        <f t="shared" si="95"/>
        <v>3.4</v>
      </c>
    </row>
    <row r="198" spans="2:39" ht="15" x14ac:dyDescent="0.25">
      <c r="B198" s="71"/>
      <c r="C198" s="92"/>
      <c r="D198" s="71"/>
      <c r="E198" s="71"/>
      <c r="F198" s="71"/>
      <c r="G198" s="71"/>
      <c r="H198" s="71"/>
      <c r="I198" s="71"/>
      <c r="J198" s="71"/>
      <c r="K198" s="71"/>
      <c r="L198" s="71"/>
      <c r="M198" s="71"/>
      <c r="R198" s="25" t="s">
        <v>47</v>
      </c>
      <c r="T198" s="36">
        <f t="shared" si="94"/>
        <v>11.3</v>
      </c>
      <c r="U198" s="36">
        <f t="shared" si="94"/>
        <v>10.4</v>
      </c>
      <c r="V198" s="36">
        <f t="shared" si="94"/>
        <v>8.8000000000000007</v>
      </c>
      <c r="W198" s="36">
        <f t="shared" si="94"/>
        <v>6.3</v>
      </c>
      <c r="X198" s="36">
        <f t="shared" si="94"/>
        <v>5</v>
      </c>
      <c r="Y198" s="36">
        <f t="shared" si="94"/>
        <v>5.0999999999999996</v>
      </c>
      <c r="Z198" s="36">
        <f t="shared" si="94"/>
        <v>6.2</v>
      </c>
      <c r="AA198" s="36">
        <f t="shared" si="94"/>
        <v>1.1000000000000001</v>
      </c>
      <c r="AB198" s="36">
        <f t="shared" si="94"/>
        <v>5.4</v>
      </c>
      <c r="AC198" s="36">
        <f t="shared" si="94"/>
        <v>2.9</v>
      </c>
      <c r="AD198" s="36">
        <f t="shared" si="95"/>
        <v>4.5999999999999996</v>
      </c>
      <c r="AE198" s="36">
        <f t="shared" si="95"/>
        <v>9.3000000000000007</v>
      </c>
      <c r="AF198" s="36">
        <f t="shared" si="95"/>
        <v>3.4</v>
      </c>
      <c r="AG198" s="36">
        <f t="shared" si="95"/>
        <v>4.8</v>
      </c>
      <c r="AH198" s="36">
        <f t="shared" si="95"/>
        <v>10.8</v>
      </c>
      <c r="AI198" s="36">
        <f t="shared" si="95"/>
        <v>2.7</v>
      </c>
      <c r="AJ198" s="36">
        <f t="shared" si="95"/>
        <v>1.7</v>
      </c>
      <c r="AK198" s="36">
        <f t="shared" si="95"/>
        <v>5.7</v>
      </c>
      <c r="AL198" s="36">
        <f t="shared" si="95"/>
        <v>6.5</v>
      </c>
      <c r="AM198" s="36">
        <f t="shared" si="95"/>
        <v>1.7</v>
      </c>
    </row>
    <row r="199" spans="2:39" ht="15" x14ac:dyDescent="0.25">
      <c r="B199" s="71"/>
      <c r="C199" s="92"/>
      <c r="D199" s="71"/>
      <c r="E199" s="71"/>
      <c r="F199" s="71"/>
      <c r="G199" s="71"/>
      <c r="H199" s="71"/>
      <c r="I199" s="71"/>
      <c r="J199" s="71"/>
      <c r="K199" s="71"/>
      <c r="L199" s="71"/>
      <c r="M199" s="71"/>
      <c r="R199" s="25" t="s">
        <v>42</v>
      </c>
      <c r="T199" s="36">
        <f t="shared" si="94"/>
        <v>4.0999999999999996</v>
      </c>
      <c r="U199" s="36">
        <f t="shared" si="94"/>
        <v>7.5</v>
      </c>
      <c r="V199" s="36">
        <f t="shared" si="94"/>
        <v>8.8000000000000007</v>
      </c>
      <c r="W199" s="36">
        <f t="shared" si="94"/>
        <v>2.5</v>
      </c>
      <c r="X199" s="36">
        <f t="shared" si="94"/>
        <v>5</v>
      </c>
      <c r="Y199" s="36">
        <f t="shared" si="94"/>
        <v>5.0999999999999996</v>
      </c>
      <c r="Z199" s="36">
        <f t="shared" si="94"/>
        <v>5</v>
      </c>
      <c r="AA199" s="36">
        <f t="shared" si="94"/>
        <v>4.5999999999999996</v>
      </c>
      <c r="AB199" s="36">
        <f t="shared" si="94"/>
        <v>3.6</v>
      </c>
      <c r="AC199" s="36">
        <f t="shared" si="94"/>
        <v>6.7</v>
      </c>
      <c r="AD199" s="36">
        <f t="shared" si="95"/>
        <v>5.6</v>
      </c>
      <c r="AE199" s="36">
        <f t="shared" si="95"/>
        <v>6.2</v>
      </c>
      <c r="AF199" s="36">
        <f t="shared" si="95"/>
        <v>3.4</v>
      </c>
      <c r="AG199" s="36">
        <f t="shared" si="95"/>
        <v>3.6</v>
      </c>
      <c r="AH199" s="36">
        <f t="shared" si="95"/>
        <v>3.9</v>
      </c>
      <c r="AI199" s="36">
        <f t="shared" si="95"/>
        <v>1.8</v>
      </c>
      <c r="AJ199" s="36">
        <f t="shared" si="95"/>
        <v>4.2</v>
      </c>
      <c r="AK199" s="36">
        <f t="shared" si="95"/>
        <v>1.9</v>
      </c>
      <c r="AL199" s="36">
        <f t="shared" si="95"/>
        <v>1.1000000000000001</v>
      </c>
      <c r="AM199" s="36">
        <f t="shared" si="95"/>
        <v>0.8</v>
      </c>
    </row>
    <row r="200" spans="2:39" x14ac:dyDescent="0.2">
      <c r="B200" s="71"/>
      <c r="C200" s="71"/>
      <c r="D200" s="71"/>
      <c r="E200" s="71"/>
      <c r="F200" s="71"/>
      <c r="G200" s="71"/>
      <c r="H200" s="71"/>
      <c r="I200" s="71"/>
      <c r="J200" s="71"/>
      <c r="K200" s="71"/>
      <c r="L200" s="71"/>
      <c r="M200" s="71"/>
      <c r="R200" s="25" t="s">
        <v>44</v>
      </c>
      <c r="T200" s="36">
        <f t="shared" si="94"/>
        <v>1</v>
      </c>
      <c r="U200" s="36">
        <f t="shared" si="94"/>
        <v>0.9</v>
      </c>
      <c r="V200" s="36">
        <f t="shared" si="94"/>
        <v>1.8</v>
      </c>
      <c r="W200" s="36">
        <f t="shared" si="94"/>
        <v>2.5</v>
      </c>
      <c r="X200" s="36">
        <f t="shared" si="94"/>
        <v>2.5</v>
      </c>
      <c r="Y200" s="36">
        <f t="shared" si="94"/>
        <v>1.3</v>
      </c>
      <c r="Z200" s="36">
        <f t="shared" si="94"/>
        <v>1.2</v>
      </c>
      <c r="AA200" s="36">
        <f t="shared" si="94"/>
        <v>4.5999999999999996</v>
      </c>
      <c r="AB200" s="36" t="str">
        <f t="shared" si="94"/>
        <v>0.0</v>
      </c>
      <c r="AC200" s="36">
        <f t="shared" si="94"/>
        <v>1.9</v>
      </c>
      <c r="AD200" s="36">
        <f t="shared" si="95"/>
        <v>0.9</v>
      </c>
      <c r="AE200" s="36">
        <f t="shared" si="95"/>
        <v>1</v>
      </c>
      <c r="AF200" s="36" t="str">
        <f t="shared" si="95"/>
        <v>0.0</v>
      </c>
      <c r="AG200" s="36">
        <f t="shared" si="95"/>
        <v>3.6</v>
      </c>
      <c r="AH200" s="36">
        <f t="shared" si="95"/>
        <v>1</v>
      </c>
      <c r="AI200" s="36">
        <f t="shared" si="95"/>
        <v>1.8</v>
      </c>
      <c r="AJ200" s="36">
        <f t="shared" si="95"/>
        <v>0.8</v>
      </c>
      <c r="AK200" s="36">
        <f t="shared" si="95"/>
        <v>1.9</v>
      </c>
      <c r="AL200" s="36">
        <f t="shared" si="95"/>
        <v>1.1000000000000001</v>
      </c>
      <c r="AM200" s="36" t="str">
        <f t="shared" si="95"/>
        <v>0.0</v>
      </c>
    </row>
    <row r="201" spans="2:39" x14ac:dyDescent="0.2">
      <c r="B201" s="71"/>
      <c r="C201" s="71"/>
      <c r="D201" s="77" t="s">
        <v>88</v>
      </c>
      <c r="E201" s="71"/>
      <c r="F201" s="71"/>
      <c r="G201" s="71"/>
      <c r="H201" s="71"/>
      <c r="I201" s="77" t="s">
        <v>91</v>
      </c>
      <c r="J201" s="71"/>
      <c r="K201" s="71"/>
      <c r="L201" s="71"/>
      <c r="M201" s="71"/>
      <c r="R201" s="25" t="s">
        <v>49</v>
      </c>
      <c r="T201" s="36" t="str">
        <f t="shared" si="94"/>
        <v>0.0</v>
      </c>
      <c r="U201" s="36">
        <f t="shared" si="94"/>
        <v>1.9</v>
      </c>
      <c r="V201" s="36" t="str">
        <f t="shared" si="94"/>
        <v>0.0</v>
      </c>
      <c r="W201" s="36" t="str">
        <f t="shared" si="94"/>
        <v>0.0</v>
      </c>
      <c r="X201" s="36">
        <f t="shared" si="94"/>
        <v>1.2</v>
      </c>
      <c r="Y201" s="36" t="str">
        <f t="shared" si="94"/>
        <v>0.0</v>
      </c>
      <c r="Z201" s="36" t="str">
        <f t="shared" si="94"/>
        <v>0.0</v>
      </c>
      <c r="AA201" s="36" t="str">
        <f t="shared" si="94"/>
        <v>0.0</v>
      </c>
      <c r="AB201" s="36">
        <f t="shared" si="94"/>
        <v>1.8</v>
      </c>
      <c r="AC201" s="36" t="str">
        <f t="shared" si="94"/>
        <v>0.0</v>
      </c>
      <c r="AD201" s="36">
        <f t="shared" si="95"/>
        <v>0.9</v>
      </c>
      <c r="AE201" s="36">
        <f t="shared" si="95"/>
        <v>2.1</v>
      </c>
      <c r="AF201" s="36" t="str">
        <f t="shared" si="95"/>
        <v>0.0</v>
      </c>
      <c r="AG201" s="36" t="str">
        <f t="shared" si="95"/>
        <v>0.0</v>
      </c>
      <c r="AH201" s="36" t="str">
        <f t="shared" si="95"/>
        <v>0.0</v>
      </c>
      <c r="AI201" s="36">
        <f t="shared" si="95"/>
        <v>0.9</v>
      </c>
      <c r="AJ201" s="36" t="str">
        <f t="shared" si="95"/>
        <v>0.0</v>
      </c>
      <c r="AK201" s="36" t="str">
        <f t="shared" si="95"/>
        <v>0.0</v>
      </c>
      <c r="AL201" s="36">
        <f t="shared" si="95"/>
        <v>1.1000000000000001</v>
      </c>
      <c r="AM201" s="36">
        <f t="shared" si="95"/>
        <v>0.8</v>
      </c>
    </row>
    <row r="202" spans="2:39" x14ac:dyDescent="0.2">
      <c r="B202" s="71"/>
      <c r="C202" s="71"/>
      <c r="D202" s="71"/>
      <c r="E202" s="71"/>
      <c r="F202" s="71"/>
      <c r="G202" s="71"/>
      <c r="H202" s="71"/>
      <c r="I202" s="71"/>
      <c r="J202" s="71"/>
      <c r="K202" s="71"/>
      <c r="L202" s="71"/>
      <c r="M202" s="71"/>
      <c r="R202" s="25" t="s">
        <v>48</v>
      </c>
      <c r="T202" s="36">
        <f t="shared" si="94"/>
        <v>3.1</v>
      </c>
      <c r="U202" s="36">
        <f t="shared" si="94"/>
        <v>0.9</v>
      </c>
      <c r="V202" s="36">
        <f t="shared" si="94"/>
        <v>0.9</v>
      </c>
      <c r="W202" s="36" t="str">
        <f t="shared" si="94"/>
        <v>0.0</v>
      </c>
      <c r="X202" s="36" t="str">
        <f t="shared" si="94"/>
        <v>0.0</v>
      </c>
      <c r="Y202" s="36">
        <f t="shared" si="94"/>
        <v>1.3</v>
      </c>
      <c r="Z202" s="36">
        <f t="shared" si="94"/>
        <v>1.2</v>
      </c>
      <c r="AA202" s="36">
        <f t="shared" si="94"/>
        <v>1.1000000000000001</v>
      </c>
      <c r="AB202" s="36">
        <f t="shared" si="94"/>
        <v>2.7</v>
      </c>
      <c r="AC202" s="36">
        <f t="shared" si="94"/>
        <v>1.9</v>
      </c>
      <c r="AD202" s="36">
        <f t="shared" si="95"/>
        <v>2.8</v>
      </c>
      <c r="AE202" s="36" t="str">
        <f t="shared" si="95"/>
        <v>0.0</v>
      </c>
      <c r="AF202" s="36">
        <f t="shared" si="95"/>
        <v>1.1000000000000001</v>
      </c>
      <c r="AG202" s="36" t="str">
        <f t="shared" si="95"/>
        <v>0.0</v>
      </c>
      <c r="AH202" s="36">
        <f t="shared" si="95"/>
        <v>1</v>
      </c>
      <c r="AI202" s="36">
        <f t="shared" si="95"/>
        <v>0.9</v>
      </c>
      <c r="AJ202" s="36">
        <f t="shared" si="95"/>
        <v>0.8</v>
      </c>
      <c r="AK202" s="36">
        <f t="shared" si="95"/>
        <v>1.9</v>
      </c>
      <c r="AL202" s="36" t="str">
        <f t="shared" si="95"/>
        <v>0.0</v>
      </c>
      <c r="AM202" s="36" t="str">
        <f t="shared" si="95"/>
        <v>0.0</v>
      </c>
    </row>
    <row r="203" spans="2:39" x14ac:dyDescent="0.2">
      <c r="B203" s="71"/>
      <c r="C203" s="71"/>
      <c r="D203" s="71"/>
      <c r="E203" s="71"/>
      <c r="F203" s="71"/>
      <c r="G203" s="71"/>
      <c r="H203" s="71"/>
      <c r="I203" s="71"/>
      <c r="J203" s="71"/>
      <c r="K203" s="71"/>
      <c r="L203" s="71"/>
      <c r="M203" s="71"/>
      <c r="R203" s="25" t="s">
        <v>45</v>
      </c>
      <c r="T203" s="36">
        <f t="shared" si="94"/>
        <v>2.1</v>
      </c>
      <c r="U203" s="36">
        <f t="shared" si="94"/>
        <v>4.7</v>
      </c>
      <c r="V203" s="36">
        <f t="shared" si="94"/>
        <v>6.2</v>
      </c>
      <c r="W203" s="36">
        <f t="shared" si="94"/>
        <v>7.6</v>
      </c>
      <c r="X203" s="36">
        <f t="shared" si="94"/>
        <v>3.8</v>
      </c>
      <c r="Y203" s="36">
        <f t="shared" si="94"/>
        <v>2.5</v>
      </c>
      <c r="Z203" s="36" t="str">
        <f t="shared" si="94"/>
        <v>0.0</v>
      </c>
      <c r="AA203" s="36">
        <f t="shared" si="94"/>
        <v>2.2999999999999998</v>
      </c>
      <c r="AB203" s="36">
        <f t="shared" si="94"/>
        <v>0.9</v>
      </c>
      <c r="AC203" s="36">
        <f t="shared" si="94"/>
        <v>1</v>
      </c>
      <c r="AD203" s="36">
        <f t="shared" si="95"/>
        <v>3.7</v>
      </c>
      <c r="AE203" s="36">
        <f t="shared" si="95"/>
        <v>2.1</v>
      </c>
      <c r="AF203" s="36">
        <f t="shared" si="95"/>
        <v>2.2999999999999998</v>
      </c>
      <c r="AG203" s="36" t="str">
        <f t="shared" si="95"/>
        <v>0.0</v>
      </c>
      <c r="AH203" s="36">
        <f t="shared" si="95"/>
        <v>2.9</v>
      </c>
      <c r="AI203" s="36">
        <f t="shared" si="95"/>
        <v>2.7</v>
      </c>
      <c r="AJ203" s="36">
        <f t="shared" si="95"/>
        <v>1.7</v>
      </c>
      <c r="AK203" s="36">
        <f t="shared" si="95"/>
        <v>2.9</v>
      </c>
      <c r="AL203" s="36">
        <f t="shared" si="95"/>
        <v>4.3</v>
      </c>
      <c r="AM203" s="36">
        <f t="shared" si="95"/>
        <v>3.4</v>
      </c>
    </row>
    <row r="204" spans="2:39" x14ac:dyDescent="0.2">
      <c r="B204" s="71"/>
      <c r="C204" s="71"/>
      <c r="D204" s="71"/>
      <c r="E204" s="71"/>
      <c r="F204" s="71"/>
      <c r="G204" s="71"/>
      <c r="H204" s="71"/>
      <c r="I204" s="71"/>
      <c r="J204" s="71"/>
      <c r="K204" s="71"/>
      <c r="L204" s="71"/>
      <c r="M204" s="71"/>
      <c r="O204" s="26"/>
      <c r="P204" s="26"/>
      <c r="Q204" s="28"/>
      <c r="R204" s="28"/>
      <c r="S204" s="128"/>
      <c r="T204" s="38"/>
      <c r="U204" s="38"/>
      <c r="V204" s="38"/>
      <c r="W204" s="38"/>
      <c r="X204" s="38"/>
      <c r="Y204" s="38"/>
      <c r="Z204" s="38"/>
      <c r="AA204" s="38"/>
      <c r="AB204" s="38"/>
      <c r="AC204" s="38"/>
      <c r="AD204" s="38"/>
      <c r="AE204" s="38"/>
      <c r="AF204" s="38"/>
      <c r="AG204" s="38"/>
      <c r="AH204" s="38"/>
      <c r="AI204" s="38"/>
      <c r="AJ204" s="38"/>
      <c r="AK204" s="38"/>
      <c r="AL204" s="38"/>
      <c r="AM204" s="38"/>
    </row>
    <row r="205" spans="2:39" x14ac:dyDescent="0.2">
      <c r="B205" s="71"/>
      <c r="C205" s="71"/>
      <c r="D205" s="71"/>
      <c r="E205" s="71"/>
      <c r="F205" s="71"/>
      <c r="G205" s="71"/>
      <c r="H205" s="71"/>
      <c r="I205" s="71"/>
      <c r="J205" s="71"/>
      <c r="K205" s="71"/>
      <c r="L205" s="71"/>
      <c r="M205" s="71"/>
      <c r="O205" s="24" t="s">
        <v>20</v>
      </c>
      <c r="P205" s="24" t="s">
        <v>9</v>
      </c>
      <c r="Q205" s="25" t="s">
        <v>51</v>
      </c>
      <c r="R205" s="25" t="s">
        <v>43</v>
      </c>
      <c r="T205" s="36">
        <f t="shared" ref="T205:AC212" si="96">IFERROR(VLOOKUP(T$194&amp;"Male"&amp;"Maori"&amp;19&amp;$R205,Methodstable,9,FALSE),"0.0")</f>
        <v>71.2</v>
      </c>
      <c r="U205" s="36">
        <f t="shared" si="96"/>
        <v>70</v>
      </c>
      <c r="V205" s="36">
        <f t="shared" si="96"/>
        <v>64.8</v>
      </c>
      <c r="W205" s="36">
        <f t="shared" si="96"/>
        <v>72.900000000000006</v>
      </c>
      <c r="X205" s="36">
        <f t="shared" si="96"/>
        <v>75.400000000000006</v>
      </c>
      <c r="Y205" s="36">
        <f t="shared" si="96"/>
        <v>70.7</v>
      </c>
      <c r="Z205" s="36">
        <f t="shared" si="96"/>
        <v>81.7</v>
      </c>
      <c r="AA205" s="36">
        <f t="shared" si="96"/>
        <v>79.099999999999994</v>
      </c>
      <c r="AB205" s="36">
        <f t="shared" si="96"/>
        <v>84.3</v>
      </c>
      <c r="AC205" s="36">
        <f t="shared" si="96"/>
        <v>71.8</v>
      </c>
      <c r="AD205" s="36">
        <f t="shared" ref="AD205:AM212" si="97">IFERROR(VLOOKUP(AD$194&amp;"Male"&amp;"Maori"&amp;19&amp;$R205,Methodstable,9,FALSE),"0.0")</f>
        <v>76</v>
      </c>
      <c r="AE205" s="36">
        <f t="shared" si="97"/>
        <v>74.3</v>
      </c>
      <c r="AF205" s="36">
        <f t="shared" si="97"/>
        <v>85.7</v>
      </c>
      <c r="AG205" s="36">
        <f t="shared" si="97"/>
        <v>82.8</v>
      </c>
      <c r="AH205" s="36">
        <f t="shared" si="97"/>
        <v>79.2</v>
      </c>
      <c r="AI205" s="36">
        <f t="shared" si="97"/>
        <v>81.5</v>
      </c>
      <c r="AJ205" s="36">
        <f t="shared" si="97"/>
        <v>86.6</v>
      </c>
      <c r="AK205" s="36">
        <f t="shared" si="97"/>
        <v>80.3</v>
      </c>
      <c r="AL205" s="36">
        <f t="shared" si="97"/>
        <v>85.1</v>
      </c>
      <c r="AM205" s="36">
        <f t="shared" si="97"/>
        <v>89.6</v>
      </c>
    </row>
    <row r="206" spans="2:39" x14ac:dyDescent="0.2">
      <c r="B206" s="71"/>
      <c r="C206" s="71"/>
      <c r="D206" s="71"/>
      <c r="E206" s="71"/>
      <c r="F206" s="71"/>
      <c r="G206" s="71"/>
      <c r="H206" s="71"/>
      <c r="I206" s="71"/>
      <c r="J206" s="71"/>
      <c r="K206" s="71"/>
      <c r="L206" s="71"/>
      <c r="M206" s="71"/>
      <c r="R206" s="25" t="s">
        <v>46</v>
      </c>
      <c r="T206" s="36">
        <f t="shared" si="96"/>
        <v>12.3</v>
      </c>
      <c r="U206" s="36">
        <f t="shared" si="96"/>
        <v>6.2</v>
      </c>
      <c r="V206" s="36">
        <f t="shared" si="96"/>
        <v>10.199999999999999</v>
      </c>
      <c r="W206" s="36">
        <f t="shared" si="96"/>
        <v>6.8</v>
      </c>
      <c r="X206" s="36">
        <f t="shared" si="96"/>
        <v>7.2</v>
      </c>
      <c r="Y206" s="36">
        <f t="shared" si="96"/>
        <v>13.8</v>
      </c>
      <c r="Z206" s="36">
        <f t="shared" si="96"/>
        <v>10</v>
      </c>
      <c r="AA206" s="36">
        <f t="shared" si="96"/>
        <v>6</v>
      </c>
      <c r="AB206" s="36">
        <f t="shared" si="96"/>
        <v>2.4</v>
      </c>
      <c r="AC206" s="36">
        <f t="shared" si="96"/>
        <v>12.8</v>
      </c>
      <c r="AD206" s="36">
        <f t="shared" si="97"/>
        <v>4</v>
      </c>
      <c r="AE206" s="36">
        <f t="shared" si="97"/>
        <v>8.1</v>
      </c>
      <c r="AF206" s="36">
        <f t="shared" si="97"/>
        <v>3.6</v>
      </c>
      <c r="AG206" s="36">
        <f t="shared" si="97"/>
        <v>3.4</v>
      </c>
      <c r="AH206" s="36">
        <f t="shared" si="97"/>
        <v>5.6</v>
      </c>
      <c r="AI206" s="36">
        <f t="shared" si="97"/>
        <v>6.2</v>
      </c>
      <c r="AJ206" s="36">
        <f t="shared" si="97"/>
        <v>2.4</v>
      </c>
      <c r="AK206" s="36">
        <f t="shared" si="97"/>
        <v>6.1</v>
      </c>
      <c r="AL206" s="36">
        <f t="shared" si="97"/>
        <v>3</v>
      </c>
      <c r="AM206" s="36">
        <f t="shared" si="97"/>
        <v>5.2</v>
      </c>
    </row>
    <row r="207" spans="2:39" x14ac:dyDescent="0.2">
      <c r="B207" s="71"/>
      <c r="C207" s="71"/>
      <c r="D207" s="71"/>
      <c r="E207" s="71"/>
      <c r="F207" s="71"/>
      <c r="G207" s="71"/>
      <c r="H207" s="71"/>
      <c r="I207" s="71"/>
      <c r="J207" s="71"/>
      <c r="K207" s="71"/>
      <c r="L207" s="71"/>
      <c r="M207" s="71"/>
      <c r="R207" s="25" t="s">
        <v>47</v>
      </c>
      <c r="T207" s="36">
        <f t="shared" si="96"/>
        <v>5.5</v>
      </c>
      <c r="U207" s="36">
        <f t="shared" si="96"/>
        <v>7.5</v>
      </c>
      <c r="V207" s="36">
        <f t="shared" si="96"/>
        <v>3.4</v>
      </c>
      <c r="W207" s="36">
        <f t="shared" si="96"/>
        <v>6.8</v>
      </c>
      <c r="X207" s="36">
        <f t="shared" si="96"/>
        <v>4.3</v>
      </c>
      <c r="Y207" s="36">
        <f t="shared" si="96"/>
        <v>5.2</v>
      </c>
      <c r="Z207" s="36" t="str">
        <f t="shared" si="96"/>
        <v>0.0</v>
      </c>
      <c r="AA207" s="36">
        <f t="shared" si="96"/>
        <v>1.5</v>
      </c>
      <c r="AB207" s="36">
        <f t="shared" si="96"/>
        <v>3.6</v>
      </c>
      <c r="AC207" s="36">
        <f t="shared" si="96"/>
        <v>1.3</v>
      </c>
      <c r="AD207" s="36">
        <f t="shared" si="97"/>
        <v>4</v>
      </c>
      <c r="AE207" s="36">
        <f t="shared" si="97"/>
        <v>5.4</v>
      </c>
      <c r="AF207" s="36">
        <f t="shared" si="97"/>
        <v>1.8</v>
      </c>
      <c r="AG207" s="36">
        <f t="shared" si="97"/>
        <v>3.4</v>
      </c>
      <c r="AH207" s="36">
        <f t="shared" si="97"/>
        <v>5.6</v>
      </c>
      <c r="AI207" s="36">
        <f t="shared" si="97"/>
        <v>2.5</v>
      </c>
      <c r="AJ207" s="36">
        <f t="shared" si="97"/>
        <v>1.2</v>
      </c>
      <c r="AK207" s="36">
        <f t="shared" si="97"/>
        <v>1.5</v>
      </c>
      <c r="AL207" s="36">
        <f t="shared" si="97"/>
        <v>3</v>
      </c>
      <c r="AM207" s="36" t="str">
        <f t="shared" si="97"/>
        <v>0.0</v>
      </c>
    </row>
    <row r="208" spans="2:39" x14ac:dyDescent="0.2">
      <c r="B208" s="71"/>
      <c r="C208" s="71"/>
      <c r="D208" s="71"/>
      <c r="E208" s="71"/>
      <c r="F208" s="71"/>
      <c r="G208" s="71"/>
      <c r="H208" s="71"/>
      <c r="I208" s="71"/>
      <c r="J208" s="71"/>
      <c r="K208" s="71"/>
      <c r="L208" s="71"/>
      <c r="M208" s="71"/>
      <c r="R208" s="25" t="s">
        <v>42</v>
      </c>
      <c r="T208" s="36">
        <f t="shared" si="96"/>
        <v>4.0999999999999996</v>
      </c>
      <c r="U208" s="36">
        <f t="shared" si="96"/>
        <v>8.8000000000000007</v>
      </c>
      <c r="V208" s="36">
        <f t="shared" si="96"/>
        <v>11.4</v>
      </c>
      <c r="W208" s="36">
        <f t="shared" si="96"/>
        <v>3.4</v>
      </c>
      <c r="X208" s="36">
        <f t="shared" si="96"/>
        <v>5.8</v>
      </c>
      <c r="Y208" s="36">
        <f t="shared" si="96"/>
        <v>6.9</v>
      </c>
      <c r="Z208" s="36">
        <f t="shared" si="96"/>
        <v>6.7</v>
      </c>
      <c r="AA208" s="36">
        <f t="shared" si="96"/>
        <v>6</v>
      </c>
      <c r="AB208" s="36">
        <f t="shared" si="96"/>
        <v>4.8</v>
      </c>
      <c r="AC208" s="36">
        <f t="shared" si="96"/>
        <v>9</v>
      </c>
      <c r="AD208" s="36">
        <f t="shared" si="97"/>
        <v>8</v>
      </c>
      <c r="AE208" s="36">
        <f t="shared" si="97"/>
        <v>8.1</v>
      </c>
      <c r="AF208" s="36">
        <f t="shared" si="97"/>
        <v>3.6</v>
      </c>
      <c r="AG208" s="36">
        <f t="shared" si="97"/>
        <v>5.2</v>
      </c>
      <c r="AH208" s="36">
        <f t="shared" si="97"/>
        <v>4.2</v>
      </c>
      <c r="AI208" s="36">
        <f t="shared" si="97"/>
        <v>2.5</v>
      </c>
      <c r="AJ208" s="36">
        <f t="shared" si="97"/>
        <v>6.1</v>
      </c>
      <c r="AK208" s="36">
        <f t="shared" si="97"/>
        <v>1.5</v>
      </c>
      <c r="AL208" s="36">
        <f t="shared" si="97"/>
        <v>1.5</v>
      </c>
      <c r="AM208" s="36">
        <f t="shared" si="97"/>
        <v>1.3</v>
      </c>
    </row>
    <row r="209" spans="2:39" x14ac:dyDescent="0.2">
      <c r="B209" s="71"/>
      <c r="C209" s="71"/>
      <c r="D209" s="71"/>
      <c r="E209" s="71"/>
      <c r="F209" s="71"/>
      <c r="G209" s="71"/>
      <c r="H209" s="71"/>
      <c r="I209" s="71"/>
      <c r="J209" s="71"/>
      <c r="K209" s="71"/>
      <c r="L209" s="71"/>
      <c r="M209" s="71"/>
      <c r="R209" s="25" t="s">
        <v>44</v>
      </c>
      <c r="T209" s="36">
        <f t="shared" si="96"/>
        <v>1.4</v>
      </c>
      <c r="U209" s="36" t="str">
        <f t="shared" si="96"/>
        <v>0.0</v>
      </c>
      <c r="V209" s="36">
        <f t="shared" si="96"/>
        <v>2.2999999999999998</v>
      </c>
      <c r="W209" s="36">
        <f t="shared" si="96"/>
        <v>3.4</v>
      </c>
      <c r="X209" s="36">
        <f t="shared" si="96"/>
        <v>1.4</v>
      </c>
      <c r="Y209" s="36" t="str">
        <f t="shared" si="96"/>
        <v>0.0</v>
      </c>
      <c r="Z209" s="36" t="str">
        <f t="shared" si="96"/>
        <v>0.0</v>
      </c>
      <c r="AA209" s="36">
        <f t="shared" si="96"/>
        <v>3</v>
      </c>
      <c r="AB209" s="36" t="str">
        <f t="shared" si="96"/>
        <v>0.0</v>
      </c>
      <c r="AC209" s="36">
        <f t="shared" si="96"/>
        <v>1.3</v>
      </c>
      <c r="AD209" s="36" t="str">
        <f t="shared" si="97"/>
        <v>0.0</v>
      </c>
      <c r="AE209" s="36">
        <f t="shared" si="97"/>
        <v>1.4</v>
      </c>
      <c r="AF209" s="36" t="str">
        <f t="shared" si="97"/>
        <v>0.0</v>
      </c>
      <c r="AG209" s="36">
        <f t="shared" si="97"/>
        <v>5.2</v>
      </c>
      <c r="AH209" s="36" t="str">
        <f t="shared" si="97"/>
        <v>0.0</v>
      </c>
      <c r="AI209" s="36">
        <f t="shared" si="97"/>
        <v>1.2</v>
      </c>
      <c r="AJ209" s="36" t="str">
        <f t="shared" si="97"/>
        <v>0.0</v>
      </c>
      <c r="AK209" s="36">
        <f t="shared" si="97"/>
        <v>3</v>
      </c>
      <c r="AL209" s="36" t="str">
        <f t="shared" si="97"/>
        <v>0.0</v>
      </c>
      <c r="AM209" s="36" t="str">
        <f t="shared" si="97"/>
        <v>0.0</v>
      </c>
    </row>
    <row r="210" spans="2:39" x14ac:dyDescent="0.2">
      <c r="B210" s="71"/>
      <c r="C210" s="71"/>
      <c r="D210" s="71"/>
      <c r="E210" s="71"/>
      <c r="F210" s="71"/>
      <c r="G210" s="71"/>
      <c r="H210" s="71"/>
      <c r="I210" s="71"/>
      <c r="J210" s="71"/>
      <c r="K210" s="71"/>
      <c r="L210" s="71"/>
      <c r="M210" s="71"/>
      <c r="R210" s="25" t="s">
        <v>49</v>
      </c>
      <c r="T210" s="36" t="str">
        <f t="shared" si="96"/>
        <v>0.0</v>
      </c>
      <c r="U210" s="36">
        <f t="shared" si="96"/>
        <v>1.2</v>
      </c>
      <c r="V210" s="36" t="str">
        <f t="shared" si="96"/>
        <v>0.0</v>
      </c>
      <c r="W210" s="36" t="str">
        <f t="shared" si="96"/>
        <v>0.0</v>
      </c>
      <c r="X210" s="36">
        <f t="shared" si="96"/>
        <v>1.4</v>
      </c>
      <c r="Y210" s="36" t="str">
        <f t="shared" si="96"/>
        <v>0.0</v>
      </c>
      <c r="Z210" s="36" t="str">
        <f t="shared" si="96"/>
        <v>0.0</v>
      </c>
      <c r="AA210" s="36" t="str">
        <f t="shared" si="96"/>
        <v>0.0</v>
      </c>
      <c r="AB210" s="36">
        <f t="shared" si="96"/>
        <v>2.4</v>
      </c>
      <c r="AC210" s="36" t="str">
        <f t="shared" si="96"/>
        <v>0.0</v>
      </c>
      <c r="AD210" s="36">
        <f t="shared" si="97"/>
        <v>1.3</v>
      </c>
      <c r="AE210" s="36" t="str">
        <f t="shared" si="97"/>
        <v>0.0</v>
      </c>
      <c r="AF210" s="36" t="str">
        <f t="shared" si="97"/>
        <v>0.0</v>
      </c>
      <c r="AG210" s="36" t="str">
        <f t="shared" si="97"/>
        <v>0.0</v>
      </c>
      <c r="AH210" s="36" t="str">
        <f t="shared" si="97"/>
        <v>0.0</v>
      </c>
      <c r="AI210" s="36">
        <f t="shared" si="97"/>
        <v>1.2</v>
      </c>
      <c r="AJ210" s="36" t="str">
        <f t="shared" si="97"/>
        <v>0.0</v>
      </c>
      <c r="AK210" s="36" t="str">
        <f t="shared" si="97"/>
        <v>0.0</v>
      </c>
      <c r="AL210" s="36">
        <f t="shared" si="97"/>
        <v>1.5</v>
      </c>
      <c r="AM210" s="36">
        <f t="shared" si="97"/>
        <v>1.3</v>
      </c>
    </row>
    <row r="211" spans="2:39" x14ac:dyDescent="0.2">
      <c r="B211" s="71"/>
      <c r="C211" s="71"/>
      <c r="D211" s="71"/>
      <c r="E211" s="71"/>
      <c r="F211" s="71"/>
      <c r="G211" s="71"/>
      <c r="H211" s="71"/>
      <c r="I211" s="71"/>
      <c r="J211" s="71"/>
      <c r="K211" s="71"/>
      <c r="L211" s="71"/>
      <c r="M211" s="71"/>
      <c r="R211" s="25" t="s">
        <v>48</v>
      </c>
      <c r="T211" s="36">
        <f t="shared" si="96"/>
        <v>2.7</v>
      </c>
      <c r="U211" s="36">
        <f t="shared" si="96"/>
        <v>1.2</v>
      </c>
      <c r="V211" s="36">
        <f t="shared" si="96"/>
        <v>1.1000000000000001</v>
      </c>
      <c r="W211" s="36" t="str">
        <f t="shared" si="96"/>
        <v>0.0</v>
      </c>
      <c r="X211" s="36" t="str">
        <f t="shared" si="96"/>
        <v>0.0</v>
      </c>
      <c r="Y211" s="36">
        <f t="shared" si="96"/>
        <v>1.7</v>
      </c>
      <c r="Z211" s="36">
        <f t="shared" si="96"/>
        <v>1.7</v>
      </c>
      <c r="AA211" s="36">
        <f t="shared" si="96"/>
        <v>1.5</v>
      </c>
      <c r="AB211" s="36">
        <f t="shared" si="96"/>
        <v>2.4</v>
      </c>
      <c r="AC211" s="36">
        <f t="shared" si="96"/>
        <v>2.6</v>
      </c>
      <c r="AD211" s="36">
        <f t="shared" si="97"/>
        <v>4</v>
      </c>
      <c r="AE211" s="36" t="str">
        <f t="shared" si="97"/>
        <v>0.0</v>
      </c>
      <c r="AF211" s="36">
        <f t="shared" si="97"/>
        <v>1.8</v>
      </c>
      <c r="AG211" s="36" t="str">
        <f t="shared" si="97"/>
        <v>0.0</v>
      </c>
      <c r="AH211" s="36">
        <f t="shared" si="97"/>
        <v>1.4</v>
      </c>
      <c r="AI211" s="36">
        <f t="shared" si="97"/>
        <v>1.2</v>
      </c>
      <c r="AJ211" s="36">
        <f t="shared" si="97"/>
        <v>1.2</v>
      </c>
      <c r="AK211" s="36">
        <f t="shared" si="97"/>
        <v>3</v>
      </c>
      <c r="AL211" s="36" t="str">
        <f t="shared" si="97"/>
        <v>0.0</v>
      </c>
      <c r="AM211" s="36" t="str">
        <f t="shared" si="97"/>
        <v>0.0</v>
      </c>
    </row>
    <row r="212" spans="2:39" x14ac:dyDescent="0.2">
      <c r="B212" s="71"/>
      <c r="C212" s="71"/>
      <c r="D212" s="71"/>
      <c r="E212" s="71"/>
      <c r="F212" s="71"/>
      <c r="G212" s="71"/>
      <c r="H212" s="71"/>
      <c r="I212" s="71"/>
      <c r="J212" s="71"/>
      <c r="K212" s="71"/>
      <c r="L212" s="71"/>
      <c r="M212" s="71"/>
      <c r="R212" s="25" t="s">
        <v>45</v>
      </c>
      <c r="T212" s="36">
        <f t="shared" si="96"/>
        <v>2.7</v>
      </c>
      <c r="U212" s="36">
        <f t="shared" si="96"/>
        <v>5</v>
      </c>
      <c r="V212" s="36">
        <f t="shared" si="96"/>
        <v>6.8</v>
      </c>
      <c r="W212" s="36">
        <f t="shared" si="96"/>
        <v>6.8</v>
      </c>
      <c r="X212" s="36">
        <f t="shared" si="96"/>
        <v>4.3</v>
      </c>
      <c r="Y212" s="36">
        <f t="shared" si="96"/>
        <v>1.7</v>
      </c>
      <c r="Z212" s="36" t="str">
        <f t="shared" si="96"/>
        <v>0.0</v>
      </c>
      <c r="AA212" s="36">
        <f t="shared" si="96"/>
        <v>3</v>
      </c>
      <c r="AB212" s="36" t="str">
        <f t="shared" si="96"/>
        <v>0.0</v>
      </c>
      <c r="AC212" s="36">
        <f t="shared" si="96"/>
        <v>1.3</v>
      </c>
      <c r="AD212" s="36">
        <f t="shared" si="97"/>
        <v>2.7</v>
      </c>
      <c r="AE212" s="36">
        <f t="shared" si="97"/>
        <v>2.7</v>
      </c>
      <c r="AF212" s="36">
        <f t="shared" si="97"/>
        <v>3.6</v>
      </c>
      <c r="AG212" s="36" t="str">
        <f t="shared" si="97"/>
        <v>0.0</v>
      </c>
      <c r="AH212" s="36">
        <f t="shared" si="97"/>
        <v>4.2</v>
      </c>
      <c r="AI212" s="36">
        <f t="shared" si="97"/>
        <v>3.7</v>
      </c>
      <c r="AJ212" s="36">
        <f t="shared" si="97"/>
        <v>2.4</v>
      </c>
      <c r="AK212" s="36">
        <f t="shared" si="97"/>
        <v>4.5</v>
      </c>
      <c r="AL212" s="36">
        <f t="shared" si="97"/>
        <v>6</v>
      </c>
      <c r="AM212" s="36">
        <f t="shared" si="97"/>
        <v>2.6</v>
      </c>
    </row>
    <row r="213" spans="2:39" x14ac:dyDescent="0.2">
      <c r="B213" s="71"/>
      <c r="C213" s="71"/>
      <c r="D213" s="71"/>
      <c r="E213" s="71"/>
      <c r="F213" s="71"/>
      <c r="G213" s="71"/>
      <c r="H213" s="71"/>
      <c r="I213" s="71"/>
      <c r="J213" s="71"/>
      <c r="K213" s="71"/>
      <c r="L213" s="71"/>
      <c r="M213" s="71"/>
      <c r="O213" s="26"/>
      <c r="P213" s="26"/>
      <c r="Q213" s="28"/>
      <c r="R213" s="28"/>
      <c r="S213" s="128"/>
      <c r="T213" s="38"/>
      <c r="U213" s="38"/>
      <c r="V213" s="38"/>
      <c r="W213" s="38"/>
      <c r="X213" s="38"/>
      <c r="Y213" s="38"/>
      <c r="Z213" s="38"/>
      <c r="AA213" s="38"/>
      <c r="AB213" s="38"/>
      <c r="AC213" s="38"/>
      <c r="AD213" s="38"/>
      <c r="AE213" s="38"/>
      <c r="AF213" s="38"/>
      <c r="AG213" s="38"/>
      <c r="AH213" s="38"/>
      <c r="AI213" s="38"/>
      <c r="AJ213" s="38"/>
      <c r="AK213" s="38"/>
      <c r="AL213" s="38"/>
      <c r="AM213" s="38"/>
    </row>
    <row r="214" spans="2:39" x14ac:dyDescent="0.2">
      <c r="B214" s="71"/>
      <c r="C214" s="71"/>
      <c r="D214" s="75" t="s">
        <v>89</v>
      </c>
      <c r="E214" s="71"/>
      <c r="F214" s="71"/>
      <c r="G214" s="71"/>
      <c r="H214" s="71"/>
      <c r="I214" s="77" t="s">
        <v>92</v>
      </c>
      <c r="J214" s="71"/>
      <c r="K214" s="71"/>
      <c r="L214" s="71"/>
      <c r="M214" s="71"/>
      <c r="O214" s="24" t="s">
        <v>8</v>
      </c>
      <c r="P214" s="24" t="s">
        <v>9</v>
      </c>
      <c r="Q214" s="25" t="s">
        <v>51</v>
      </c>
      <c r="R214" s="25" t="s">
        <v>43</v>
      </c>
      <c r="T214" s="36">
        <f t="shared" ref="T214:AC221" si="98">IFERROR(VLOOKUP(T$194&amp;"Female"&amp;"Maori"&amp;19&amp;$R214,Methodstable,9,FALSE),"0.0")</f>
        <v>58.3</v>
      </c>
      <c r="U214" s="36">
        <f t="shared" si="98"/>
        <v>53.8</v>
      </c>
      <c r="V214" s="36">
        <f t="shared" si="98"/>
        <v>68</v>
      </c>
      <c r="W214" s="36">
        <f t="shared" si="98"/>
        <v>80</v>
      </c>
      <c r="X214" s="36">
        <f t="shared" si="98"/>
        <v>63.6</v>
      </c>
      <c r="Y214" s="36">
        <f t="shared" si="98"/>
        <v>71.400000000000006</v>
      </c>
      <c r="Z214" s="36">
        <f t="shared" si="98"/>
        <v>60</v>
      </c>
      <c r="AA214" s="36">
        <f t="shared" si="98"/>
        <v>75</v>
      </c>
      <c r="AB214" s="36">
        <f t="shared" si="98"/>
        <v>78.599999999999994</v>
      </c>
      <c r="AC214" s="36">
        <f t="shared" si="98"/>
        <v>85.2</v>
      </c>
      <c r="AD214" s="36">
        <f t="shared" ref="AD214:AM221" si="99">IFERROR(VLOOKUP(AD$194&amp;"Female"&amp;"Maori"&amp;19&amp;$R214,Methodstable,9,FALSE),"0.0")</f>
        <v>72.7</v>
      </c>
      <c r="AE214" s="36">
        <f t="shared" si="99"/>
        <v>69.599999999999994</v>
      </c>
      <c r="AF214" s="36">
        <f t="shared" si="99"/>
        <v>90.3</v>
      </c>
      <c r="AG214" s="36">
        <f t="shared" si="99"/>
        <v>88</v>
      </c>
      <c r="AH214" s="36">
        <f t="shared" si="99"/>
        <v>70</v>
      </c>
      <c r="AI214" s="36">
        <f t="shared" si="99"/>
        <v>93.8</v>
      </c>
      <c r="AJ214" s="36">
        <f t="shared" si="99"/>
        <v>94.6</v>
      </c>
      <c r="AK214" s="36">
        <f t="shared" si="99"/>
        <v>82.1</v>
      </c>
      <c r="AL214" s="36">
        <f t="shared" si="99"/>
        <v>80</v>
      </c>
      <c r="AM214" s="36">
        <f t="shared" si="99"/>
        <v>90.2</v>
      </c>
    </row>
    <row r="215" spans="2:39" x14ac:dyDescent="0.2">
      <c r="B215" s="71"/>
      <c r="C215" s="71"/>
      <c r="D215" s="71"/>
      <c r="E215" s="71"/>
      <c r="F215" s="71"/>
      <c r="G215" s="71"/>
      <c r="H215" s="71"/>
      <c r="I215" s="71"/>
      <c r="J215" s="71"/>
      <c r="K215" s="71"/>
      <c r="L215" s="71"/>
      <c r="M215" s="71"/>
      <c r="R215" s="25" t="s">
        <v>46</v>
      </c>
      <c r="T215" s="36">
        <f t="shared" si="98"/>
        <v>4.2</v>
      </c>
      <c r="U215" s="36">
        <f t="shared" si="98"/>
        <v>11.5</v>
      </c>
      <c r="V215" s="36" t="str">
        <f t="shared" si="98"/>
        <v>0.0</v>
      </c>
      <c r="W215" s="36">
        <f t="shared" si="98"/>
        <v>5</v>
      </c>
      <c r="X215" s="36">
        <f t="shared" si="98"/>
        <v>18.2</v>
      </c>
      <c r="Y215" s="36">
        <f t="shared" si="98"/>
        <v>14.3</v>
      </c>
      <c r="Z215" s="36">
        <f t="shared" si="98"/>
        <v>10</v>
      </c>
      <c r="AA215" s="36">
        <f t="shared" si="98"/>
        <v>15</v>
      </c>
      <c r="AB215" s="36">
        <f t="shared" si="98"/>
        <v>3.6</v>
      </c>
      <c r="AC215" s="36">
        <f t="shared" si="98"/>
        <v>3.7</v>
      </c>
      <c r="AD215" s="36">
        <f t="shared" si="99"/>
        <v>12.1</v>
      </c>
      <c r="AE215" s="36" t="str">
        <f t="shared" si="99"/>
        <v>0.0</v>
      </c>
      <c r="AF215" s="36" t="str">
        <f t="shared" si="99"/>
        <v>0.0</v>
      </c>
      <c r="AG215" s="36">
        <f t="shared" si="99"/>
        <v>4</v>
      </c>
      <c r="AH215" s="36" t="str">
        <f t="shared" si="99"/>
        <v>0.0</v>
      </c>
      <c r="AI215" s="36" t="str">
        <f t="shared" si="99"/>
        <v>0.0</v>
      </c>
      <c r="AJ215" s="36" t="str">
        <f t="shared" si="99"/>
        <v>0.0</v>
      </c>
      <c r="AK215" s="36">
        <f t="shared" si="99"/>
        <v>2.6</v>
      </c>
      <c r="AL215" s="36" t="str">
        <f t="shared" si="99"/>
        <v>0.0</v>
      </c>
      <c r="AM215" s="36" t="str">
        <f t="shared" si="99"/>
        <v>0.0</v>
      </c>
    </row>
    <row r="216" spans="2:39" x14ac:dyDescent="0.2">
      <c r="B216" s="71"/>
      <c r="C216" s="71"/>
      <c r="D216" s="71"/>
      <c r="E216" s="71"/>
      <c r="F216" s="71"/>
      <c r="G216" s="71"/>
      <c r="H216" s="71"/>
      <c r="I216" s="71"/>
      <c r="J216" s="71"/>
      <c r="K216" s="71"/>
      <c r="L216" s="71"/>
      <c r="M216" s="71"/>
      <c r="R216" s="25" t="s">
        <v>47</v>
      </c>
      <c r="T216" s="36">
        <f t="shared" si="98"/>
        <v>29.2</v>
      </c>
      <c r="U216" s="36">
        <f t="shared" si="98"/>
        <v>19.2</v>
      </c>
      <c r="V216" s="36">
        <f t="shared" si="98"/>
        <v>28</v>
      </c>
      <c r="W216" s="36">
        <f t="shared" si="98"/>
        <v>5</v>
      </c>
      <c r="X216" s="36">
        <f t="shared" si="98"/>
        <v>9.1</v>
      </c>
      <c r="Y216" s="36">
        <f t="shared" si="98"/>
        <v>4.8</v>
      </c>
      <c r="Z216" s="36">
        <f t="shared" si="98"/>
        <v>25</v>
      </c>
      <c r="AA216" s="36" t="str">
        <f t="shared" si="98"/>
        <v>0.0</v>
      </c>
      <c r="AB216" s="36">
        <f t="shared" si="98"/>
        <v>10.7</v>
      </c>
      <c r="AC216" s="36">
        <f t="shared" si="98"/>
        <v>7.4</v>
      </c>
      <c r="AD216" s="36">
        <f t="shared" si="99"/>
        <v>6.1</v>
      </c>
      <c r="AE216" s="36">
        <f t="shared" si="99"/>
        <v>21.7</v>
      </c>
      <c r="AF216" s="36">
        <f t="shared" si="99"/>
        <v>6.5</v>
      </c>
      <c r="AG216" s="36">
        <f t="shared" si="99"/>
        <v>8</v>
      </c>
      <c r="AH216" s="36">
        <f t="shared" si="99"/>
        <v>23.3</v>
      </c>
      <c r="AI216" s="36">
        <f t="shared" si="99"/>
        <v>3.1</v>
      </c>
      <c r="AJ216" s="36">
        <f t="shared" si="99"/>
        <v>2.7</v>
      </c>
      <c r="AK216" s="36">
        <f t="shared" si="99"/>
        <v>12.8</v>
      </c>
      <c r="AL216" s="36">
        <f t="shared" si="99"/>
        <v>16</v>
      </c>
      <c r="AM216" s="36">
        <f t="shared" si="99"/>
        <v>4.9000000000000004</v>
      </c>
    </row>
    <row r="217" spans="2:39" x14ac:dyDescent="0.2">
      <c r="B217" s="71"/>
      <c r="C217" s="71"/>
      <c r="D217" s="71"/>
      <c r="E217" s="71"/>
      <c r="F217" s="71"/>
      <c r="G217" s="71"/>
      <c r="H217" s="71"/>
      <c r="I217" s="71"/>
      <c r="J217" s="71"/>
      <c r="K217" s="71"/>
      <c r="L217" s="71"/>
      <c r="M217" s="71"/>
      <c r="R217" s="25" t="s">
        <v>42</v>
      </c>
      <c r="T217" s="36">
        <f t="shared" si="98"/>
        <v>4.2</v>
      </c>
      <c r="U217" s="36">
        <f t="shared" si="98"/>
        <v>3.8</v>
      </c>
      <c r="V217" s="36" t="str">
        <f t="shared" si="98"/>
        <v>0.0</v>
      </c>
      <c r="W217" s="36" t="str">
        <f t="shared" si="98"/>
        <v>0.0</v>
      </c>
      <c r="X217" s="36" t="str">
        <f t="shared" si="98"/>
        <v>0.0</v>
      </c>
      <c r="Y217" s="36" t="str">
        <f t="shared" si="98"/>
        <v>0.0</v>
      </c>
      <c r="Z217" s="36" t="str">
        <f t="shared" si="98"/>
        <v>0.0</v>
      </c>
      <c r="AA217" s="36" t="str">
        <f t="shared" si="98"/>
        <v>0.0</v>
      </c>
      <c r="AB217" s="36" t="str">
        <f t="shared" si="98"/>
        <v>0.0</v>
      </c>
      <c r="AC217" s="36" t="str">
        <f t="shared" si="98"/>
        <v>0.0</v>
      </c>
      <c r="AD217" s="36" t="str">
        <f t="shared" si="99"/>
        <v>0.0</v>
      </c>
      <c r="AE217" s="36" t="str">
        <f t="shared" si="99"/>
        <v>0.0</v>
      </c>
      <c r="AF217" s="36">
        <f t="shared" si="99"/>
        <v>3.2</v>
      </c>
      <c r="AG217" s="36" t="str">
        <f t="shared" si="99"/>
        <v>0.0</v>
      </c>
      <c r="AH217" s="36">
        <f t="shared" si="99"/>
        <v>3.3</v>
      </c>
      <c r="AI217" s="36" t="str">
        <f t="shared" si="99"/>
        <v>0.0</v>
      </c>
      <c r="AJ217" s="36" t="str">
        <f t="shared" si="99"/>
        <v>0.0</v>
      </c>
      <c r="AK217" s="36">
        <f t="shared" si="99"/>
        <v>2.6</v>
      </c>
      <c r="AL217" s="36" t="str">
        <f t="shared" si="99"/>
        <v>0.0</v>
      </c>
      <c r="AM217" s="36" t="str">
        <f t="shared" si="99"/>
        <v>0.0</v>
      </c>
    </row>
    <row r="218" spans="2:39" x14ac:dyDescent="0.2">
      <c r="B218" s="71"/>
      <c r="C218" s="71"/>
      <c r="D218" s="71"/>
      <c r="E218" s="71"/>
      <c r="F218" s="71"/>
      <c r="G218" s="71"/>
      <c r="H218" s="71"/>
      <c r="I218" s="71"/>
      <c r="J218" s="71"/>
      <c r="K218" s="71"/>
      <c r="L218" s="71"/>
      <c r="M218" s="71"/>
      <c r="R218" s="25" t="s">
        <v>44</v>
      </c>
      <c r="T218" s="36" t="str">
        <f t="shared" si="98"/>
        <v>0.0</v>
      </c>
      <c r="U218" s="36">
        <f t="shared" si="98"/>
        <v>3.8</v>
      </c>
      <c r="V218" s="36" t="str">
        <f t="shared" si="98"/>
        <v>0.0</v>
      </c>
      <c r="W218" s="36" t="str">
        <f t="shared" si="98"/>
        <v>0.0</v>
      </c>
      <c r="X218" s="36">
        <f t="shared" si="98"/>
        <v>9.1</v>
      </c>
      <c r="Y218" s="36">
        <f t="shared" si="98"/>
        <v>4.8</v>
      </c>
      <c r="Z218" s="36">
        <f t="shared" si="98"/>
        <v>5</v>
      </c>
      <c r="AA218" s="36">
        <f t="shared" si="98"/>
        <v>10</v>
      </c>
      <c r="AB218" s="36" t="str">
        <f t="shared" si="98"/>
        <v>0.0</v>
      </c>
      <c r="AC218" s="36">
        <f t="shared" si="98"/>
        <v>3.7</v>
      </c>
      <c r="AD218" s="36">
        <f t="shared" si="99"/>
        <v>3</v>
      </c>
      <c r="AE218" s="36" t="str">
        <f t="shared" si="99"/>
        <v>0.0</v>
      </c>
      <c r="AF218" s="36" t="str">
        <f t="shared" si="99"/>
        <v>0.0</v>
      </c>
      <c r="AG218" s="36" t="str">
        <f t="shared" si="99"/>
        <v>0.0</v>
      </c>
      <c r="AH218" s="36">
        <f t="shared" si="99"/>
        <v>3.3</v>
      </c>
      <c r="AI218" s="36">
        <f t="shared" si="99"/>
        <v>3.1</v>
      </c>
      <c r="AJ218" s="36">
        <f t="shared" si="99"/>
        <v>2.7</v>
      </c>
      <c r="AK218" s="36" t="str">
        <f t="shared" si="99"/>
        <v>0.0</v>
      </c>
      <c r="AL218" s="36">
        <f t="shared" si="99"/>
        <v>4</v>
      </c>
      <c r="AM218" s="36" t="str">
        <f t="shared" si="99"/>
        <v>0.0</v>
      </c>
    </row>
    <row r="219" spans="2:39" x14ac:dyDescent="0.2">
      <c r="B219" s="71"/>
      <c r="C219" s="71"/>
      <c r="D219" s="71"/>
      <c r="E219" s="71"/>
      <c r="F219" s="71"/>
      <c r="G219" s="71"/>
      <c r="H219" s="71"/>
      <c r="I219" s="71"/>
      <c r="J219" s="71"/>
      <c r="K219" s="71"/>
      <c r="L219" s="71"/>
      <c r="M219" s="71"/>
      <c r="R219" s="25" t="s">
        <v>49</v>
      </c>
      <c r="T219" s="36" t="str">
        <f t="shared" si="98"/>
        <v>0.0</v>
      </c>
      <c r="U219" s="36">
        <f t="shared" si="98"/>
        <v>3.8</v>
      </c>
      <c r="V219" s="36" t="str">
        <f t="shared" si="98"/>
        <v>0.0</v>
      </c>
      <c r="W219" s="36" t="str">
        <f t="shared" si="98"/>
        <v>0.0</v>
      </c>
      <c r="X219" s="36" t="str">
        <f t="shared" si="98"/>
        <v>0.0</v>
      </c>
      <c r="Y219" s="36" t="str">
        <f t="shared" si="98"/>
        <v>0.0</v>
      </c>
      <c r="Z219" s="36" t="str">
        <f t="shared" si="98"/>
        <v>0.0</v>
      </c>
      <c r="AA219" s="36" t="str">
        <f t="shared" si="98"/>
        <v>0.0</v>
      </c>
      <c r="AB219" s="36" t="str">
        <f t="shared" si="98"/>
        <v>0.0</v>
      </c>
      <c r="AC219" s="36" t="str">
        <f t="shared" si="98"/>
        <v>0.0</v>
      </c>
      <c r="AD219" s="36" t="str">
        <f t="shared" si="99"/>
        <v>0.0</v>
      </c>
      <c r="AE219" s="36">
        <f t="shared" si="99"/>
        <v>8.6999999999999993</v>
      </c>
      <c r="AF219" s="36" t="str">
        <f t="shared" si="99"/>
        <v>0.0</v>
      </c>
      <c r="AG219" s="36" t="str">
        <f t="shared" si="99"/>
        <v>0.0</v>
      </c>
      <c r="AH219" s="36" t="str">
        <f t="shared" si="99"/>
        <v>0.0</v>
      </c>
      <c r="AI219" s="36" t="str">
        <f t="shared" si="99"/>
        <v>0.0</v>
      </c>
      <c r="AJ219" s="36" t="str">
        <f t="shared" si="99"/>
        <v>0.0</v>
      </c>
      <c r="AK219" s="36" t="str">
        <f t="shared" si="99"/>
        <v>0.0</v>
      </c>
      <c r="AL219" s="36" t="str">
        <f t="shared" si="99"/>
        <v>0.0</v>
      </c>
      <c r="AM219" s="36" t="str">
        <f t="shared" si="99"/>
        <v>0.0</v>
      </c>
    </row>
    <row r="220" spans="2:39" x14ac:dyDescent="0.2">
      <c r="B220" s="71"/>
      <c r="C220" s="71"/>
      <c r="D220" s="71"/>
      <c r="E220" s="71"/>
      <c r="F220" s="71"/>
      <c r="G220" s="71"/>
      <c r="H220" s="71"/>
      <c r="I220" s="71"/>
      <c r="J220" s="71"/>
      <c r="K220" s="71"/>
      <c r="L220" s="71"/>
      <c r="M220" s="71"/>
      <c r="R220" s="25" t="s">
        <v>48</v>
      </c>
      <c r="T220" s="36">
        <f t="shared" si="98"/>
        <v>4.2</v>
      </c>
      <c r="U220" s="36" t="str">
        <f t="shared" si="98"/>
        <v>0.0</v>
      </c>
      <c r="V220" s="36" t="str">
        <f t="shared" si="98"/>
        <v>0.0</v>
      </c>
      <c r="W220" s="36" t="str">
        <f t="shared" si="98"/>
        <v>0.0</v>
      </c>
      <c r="X220" s="36" t="str">
        <f t="shared" si="98"/>
        <v>0.0</v>
      </c>
      <c r="Y220" s="36" t="str">
        <f t="shared" si="98"/>
        <v>0.0</v>
      </c>
      <c r="Z220" s="36" t="str">
        <f t="shared" si="98"/>
        <v>0.0</v>
      </c>
      <c r="AA220" s="36" t="str">
        <f t="shared" si="98"/>
        <v>0.0</v>
      </c>
      <c r="AB220" s="36">
        <f t="shared" si="98"/>
        <v>3.6</v>
      </c>
      <c r="AC220" s="36" t="str">
        <f t="shared" si="98"/>
        <v>0.0</v>
      </c>
      <c r="AD220" s="36" t="str">
        <f t="shared" si="99"/>
        <v>0.0</v>
      </c>
      <c r="AE220" s="36" t="str">
        <f t="shared" si="99"/>
        <v>0.0</v>
      </c>
      <c r="AF220" s="36" t="str">
        <f t="shared" si="99"/>
        <v>0.0</v>
      </c>
      <c r="AG220" s="36" t="str">
        <f t="shared" si="99"/>
        <v>0.0</v>
      </c>
      <c r="AH220" s="36" t="str">
        <f t="shared" si="99"/>
        <v>0.0</v>
      </c>
      <c r="AI220" s="36" t="str">
        <f t="shared" si="99"/>
        <v>0.0</v>
      </c>
      <c r="AJ220" s="36" t="str">
        <f t="shared" si="99"/>
        <v>0.0</v>
      </c>
      <c r="AK220" s="36" t="str">
        <f t="shared" si="99"/>
        <v>0.0</v>
      </c>
      <c r="AL220" s="36" t="str">
        <f t="shared" si="99"/>
        <v>0.0</v>
      </c>
      <c r="AM220" s="36" t="str">
        <f t="shared" si="99"/>
        <v>0.0</v>
      </c>
    </row>
    <row r="221" spans="2:39" x14ac:dyDescent="0.2">
      <c r="B221" s="71"/>
      <c r="C221" s="71"/>
      <c r="D221" s="71"/>
      <c r="E221" s="71"/>
      <c r="F221" s="71"/>
      <c r="G221" s="71"/>
      <c r="H221" s="71"/>
      <c r="I221" s="71"/>
      <c r="J221" s="71"/>
      <c r="K221" s="71"/>
      <c r="L221" s="71"/>
      <c r="M221" s="71"/>
      <c r="R221" s="25" t="s">
        <v>45</v>
      </c>
      <c r="T221" s="36" t="str">
        <f t="shared" si="98"/>
        <v>0.0</v>
      </c>
      <c r="U221" s="36">
        <f t="shared" si="98"/>
        <v>3.8</v>
      </c>
      <c r="V221" s="36">
        <f t="shared" si="98"/>
        <v>4</v>
      </c>
      <c r="W221" s="36">
        <f t="shared" si="98"/>
        <v>10</v>
      </c>
      <c r="X221" s="36" t="str">
        <f t="shared" si="98"/>
        <v>0.0</v>
      </c>
      <c r="Y221" s="36">
        <f t="shared" si="98"/>
        <v>4.8</v>
      </c>
      <c r="Z221" s="36" t="str">
        <f t="shared" si="98"/>
        <v>0.0</v>
      </c>
      <c r="AA221" s="36" t="str">
        <f t="shared" si="98"/>
        <v>0.0</v>
      </c>
      <c r="AB221" s="36">
        <f t="shared" si="98"/>
        <v>3.6</v>
      </c>
      <c r="AC221" s="36" t="str">
        <f t="shared" si="98"/>
        <v>0.0</v>
      </c>
      <c r="AD221" s="36">
        <f t="shared" si="99"/>
        <v>6.1</v>
      </c>
      <c r="AE221" s="36" t="str">
        <f t="shared" si="99"/>
        <v>0.0</v>
      </c>
      <c r="AF221" s="36" t="str">
        <f t="shared" si="99"/>
        <v>0.0</v>
      </c>
      <c r="AG221" s="36" t="str">
        <f t="shared" si="99"/>
        <v>0.0</v>
      </c>
      <c r="AH221" s="36" t="str">
        <f t="shared" si="99"/>
        <v>0.0</v>
      </c>
      <c r="AI221" s="36" t="str">
        <f t="shared" si="99"/>
        <v>0.0</v>
      </c>
      <c r="AJ221" s="36" t="str">
        <f t="shared" si="99"/>
        <v>0.0</v>
      </c>
      <c r="AK221" s="36" t="str">
        <f t="shared" si="99"/>
        <v>0.0</v>
      </c>
      <c r="AL221" s="36" t="str">
        <f t="shared" si="99"/>
        <v>0.0</v>
      </c>
      <c r="AM221" s="36">
        <f t="shared" si="99"/>
        <v>4.9000000000000004</v>
      </c>
    </row>
    <row r="222" spans="2:39" x14ac:dyDescent="0.2">
      <c r="B222" s="71"/>
      <c r="C222" s="71"/>
      <c r="D222" s="71"/>
      <c r="E222" s="71"/>
      <c r="F222" s="71"/>
      <c r="G222" s="71"/>
      <c r="H222" s="71"/>
      <c r="I222" s="71"/>
      <c r="J222" s="71"/>
      <c r="K222" s="71"/>
      <c r="L222" s="71"/>
      <c r="M222" s="71"/>
      <c r="O222" s="26"/>
      <c r="P222" s="26"/>
      <c r="Q222" s="28"/>
      <c r="R222" s="28"/>
      <c r="S222" s="38"/>
      <c r="T222" s="38"/>
      <c r="U222" s="38"/>
      <c r="V222" s="38"/>
      <c r="W222" s="38"/>
      <c r="X222" s="38"/>
      <c r="Y222" s="38"/>
      <c r="Z222" s="38"/>
      <c r="AA222" s="38"/>
      <c r="AB222" s="38"/>
      <c r="AC222" s="38"/>
      <c r="AD222" s="38"/>
      <c r="AE222" s="38"/>
      <c r="AF222" s="38"/>
      <c r="AG222" s="38"/>
      <c r="AH222" s="38"/>
      <c r="AI222" s="38"/>
      <c r="AJ222" s="38"/>
      <c r="AK222" s="38"/>
      <c r="AL222" s="38"/>
      <c r="AM222" s="20"/>
    </row>
    <row r="223" spans="2:39" x14ac:dyDescent="0.2">
      <c r="B223" s="71"/>
      <c r="C223" s="71"/>
      <c r="D223" s="71"/>
      <c r="E223" s="71"/>
      <c r="F223" s="71"/>
      <c r="G223" s="71"/>
      <c r="H223" s="71"/>
      <c r="I223" s="71"/>
      <c r="J223" s="71"/>
      <c r="K223" s="71"/>
      <c r="L223" s="71"/>
      <c r="M223" s="71"/>
      <c r="O223" s="22" t="s">
        <v>4</v>
      </c>
      <c r="P223" s="22"/>
      <c r="Q223" s="125"/>
      <c r="R223" s="125"/>
      <c r="S223" s="50"/>
      <c r="T223" s="50"/>
      <c r="U223" s="50"/>
      <c r="V223" s="50"/>
      <c r="W223" s="50"/>
      <c r="X223" s="50"/>
      <c r="Y223" s="50"/>
      <c r="Z223" s="50"/>
      <c r="AA223" s="50"/>
      <c r="AB223" s="50"/>
      <c r="AC223" s="50"/>
      <c r="AD223" s="50"/>
      <c r="AE223" s="50"/>
      <c r="AF223" s="50"/>
      <c r="AG223" s="50"/>
      <c r="AH223" s="50"/>
      <c r="AI223" s="50"/>
      <c r="AJ223" s="50"/>
      <c r="AK223" s="50"/>
      <c r="AL223" s="50"/>
    </row>
    <row r="224" spans="2:39" x14ac:dyDescent="0.2">
      <c r="B224" s="71"/>
      <c r="C224" s="71"/>
      <c r="D224" s="71"/>
      <c r="E224" s="71"/>
      <c r="F224" s="71"/>
      <c r="G224" s="71"/>
      <c r="H224" s="71"/>
      <c r="I224" s="71"/>
      <c r="J224" s="71"/>
      <c r="K224" s="71"/>
      <c r="L224" s="71"/>
      <c r="M224" s="71"/>
      <c r="O224" s="22"/>
      <c r="P224" s="22"/>
      <c r="Q224" s="125"/>
      <c r="R224" s="125"/>
      <c r="S224" s="50"/>
      <c r="T224" s="50"/>
      <c r="U224" s="50"/>
      <c r="V224" s="50"/>
      <c r="W224" s="50"/>
      <c r="X224" s="50"/>
      <c r="Y224" s="50"/>
      <c r="Z224" s="50"/>
      <c r="AA224" s="50"/>
      <c r="AB224" s="50"/>
      <c r="AC224" s="50"/>
      <c r="AD224" s="50"/>
      <c r="AE224" s="50"/>
      <c r="AF224" s="50"/>
      <c r="AG224" s="50"/>
      <c r="AH224" s="50"/>
      <c r="AI224" s="50"/>
      <c r="AJ224" s="50"/>
      <c r="AK224" s="50"/>
      <c r="AL224" s="50"/>
    </row>
    <row r="225" spans="2:39" x14ac:dyDescent="0.2">
      <c r="B225" s="71"/>
      <c r="C225" s="71"/>
      <c r="D225" s="71"/>
      <c r="E225" s="71"/>
      <c r="F225" s="71"/>
      <c r="G225" s="71"/>
      <c r="H225" s="71"/>
      <c r="I225" s="71"/>
      <c r="J225" s="71"/>
      <c r="K225" s="71"/>
      <c r="L225" s="71"/>
      <c r="M225" s="71"/>
      <c r="O225" s="22" t="s">
        <v>1</v>
      </c>
      <c r="P225" s="22" t="s">
        <v>37</v>
      </c>
      <c r="Q225" s="125"/>
      <c r="R225" s="125" t="s">
        <v>50</v>
      </c>
      <c r="S225" s="12"/>
      <c r="T225" s="118">
        <v>1996</v>
      </c>
      <c r="U225" s="118">
        <v>1997</v>
      </c>
      <c r="V225" s="118">
        <v>1998</v>
      </c>
      <c r="W225" s="118">
        <v>1999</v>
      </c>
      <c r="X225" s="118">
        <v>2000</v>
      </c>
      <c r="Y225" s="118">
        <v>2001</v>
      </c>
      <c r="Z225" s="118">
        <v>2002</v>
      </c>
      <c r="AA225" s="118">
        <v>2003</v>
      </c>
      <c r="AB225" s="118">
        <v>2004</v>
      </c>
      <c r="AC225" s="118">
        <v>2005</v>
      </c>
      <c r="AD225" s="118">
        <v>2006</v>
      </c>
      <c r="AE225" s="118">
        <v>2007</v>
      </c>
      <c r="AF225" s="118">
        <v>2008</v>
      </c>
      <c r="AG225" s="118">
        <v>2009</v>
      </c>
      <c r="AH225" s="118">
        <v>2010</v>
      </c>
      <c r="AI225" s="118">
        <v>2011</v>
      </c>
      <c r="AJ225" s="118">
        <v>2012</v>
      </c>
      <c r="AK225" s="118">
        <v>2013</v>
      </c>
      <c r="AL225" s="118">
        <v>2014</v>
      </c>
      <c r="AM225" s="118">
        <v>2015</v>
      </c>
    </row>
    <row r="226" spans="2:39" x14ac:dyDescent="0.2">
      <c r="B226" s="71"/>
      <c r="C226" s="71"/>
      <c r="D226" s="71"/>
      <c r="E226" s="71"/>
      <c r="F226" s="71"/>
      <c r="G226" s="71"/>
      <c r="H226" s="71"/>
      <c r="I226" s="71"/>
      <c r="J226" s="71"/>
      <c r="K226" s="71"/>
      <c r="L226" s="71"/>
      <c r="M226" s="71"/>
      <c r="R226" s="25"/>
      <c r="S226" s="12"/>
      <c r="T226" s="36"/>
      <c r="U226" s="36"/>
      <c r="V226" s="36"/>
      <c r="W226" s="36"/>
      <c r="X226" s="36"/>
      <c r="Y226" s="36"/>
      <c r="Z226" s="36"/>
      <c r="AA226" s="36"/>
      <c r="AB226" s="36"/>
      <c r="AC226" s="36"/>
      <c r="AD226" s="36"/>
      <c r="AE226" s="36"/>
      <c r="AF226" s="36"/>
      <c r="AG226" s="36"/>
      <c r="AH226" s="36"/>
      <c r="AI226" s="36"/>
      <c r="AJ226" s="36"/>
      <c r="AK226" s="36"/>
      <c r="AL226" s="36"/>
      <c r="AM226" s="36"/>
    </row>
    <row r="227" spans="2:39" x14ac:dyDescent="0.2">
      <c r="B227" s="71"/>
      <c r="C227" s="71"/>
      <c r="D227" s="77" t="s">
        <v>90</v>
      </c>
      <c r="E227" s="71"/>
      <c r="F227" s="71"/>
      <c r="G227" s="71"/>
      <c r="H227" s="71"/>
      <c r="I227" s="77" t="s">
        <v>93</v>
      </c>
      <c r="J227" s="71"/>
      <c r="K227" s="71"/>
      <c r="L227" s="71"/>
      <c r="M227" s="71"/>
      <c r="O227" s="24" t="s">
        <v>0</v>
      </c>
      <c r="P227" s="24" t="s">
        <v>9</v>
      </c>
      <c r="Q227" s="25" t="s">
        <v>51</v>
      </c>
      <c r="R227" s="25" t="s">
        <v>43</v>
      </c>
      <c r="S227" s="12"/>
      <c r="T227" s="36">
        <f t="shared" ref="T227:AC234" si="100">IFERROR(VLOOKUP(T$194&amp;"AllSex"&amp;"Non-Maori"&amp;19&amp;$R227,Methodstable,9,FALSE),"0.0")</f>
        <v>37</v>
      </c>
      <c r="U227" s="36">
        <f t="shared" si="100"/>
        <v>35.5</v>
      </c>
      <c r="V227" s="36">
        <f t="shared" si="100"/>
        <v>37.799999999999997</v>
      </c>
      <c r="W227" s="36">
        <f t="shared" si="100"/>
        <v>41.8</v>
      </c>
      <c r="X227" s="36">
        <f t="shared" si="100"/>
        <v>41.2</v>
      </c>
      <c r="Y227" s="36">
        <f t="shared" si="100"/>
        <v>41.7</v>
      </c>
      <c r="Z227" s="36">
        <f t="shared" si="100"/>
        <v>41.3</v>
      </c>
      <c r="AA227" s="36">
        <f t="shared" si="100"/>
        <v>41.8</v>
      </c>
      <c r="AB227" s="36">
        <f t="shared" si="100"/>
        <v>46.5</v>
      </c>
      <c r="AC227" s="36">
        <f t="shared" si="100"/>
        <v>43.2</v>
      </c>
      <c r="AD227" s="36">
        <f t="shared" ref="AD227:AM234" si="101">IFERROR(VLOOKUP(AD$194&amp;"AllSex"&amp;"Non-Maori"&amp;19&amp;$R227,Methodstable,9,FALSE),"0.0")</f>
        <v>49.3</v>
      </c>
      <c r="AE227" s="36">
        <f t="shared" si="101"/>
        <v>52.7</v>
      </c>
      <c r="AF227" s="36">
        <f t="shared" si="101"/>
        <v>49.7</v>
      </c>
      <c r="AG227" s="36">
        <f t="shared" si="101"/>
        <v>54.1</v>
      </c>
      <c r="AH227" s="36">
        <f t="shared" si="101"/>
        <v>54.4</v>
      </c>
      <c r="AI227" s="36">
        <f t="shared" si="101"/>
        <v>54.1</v>
      </c>
      <c r="AJ227" s="36">
        <f t="shared" si="101"/>
        <v>55</v>
      </c>
      <c r="AK227" s="36">
        <f t="shared" si="101"/>
        <v>51.1</v>
      </c>
      <c r="AL227" s="36">
        <f t="shared" si="101"/>
        <v>55.9</v>
      </c>
      <c r="AM227" s="36">
        <f t="shared" si="101"/>
        <v>54.5</v>
      </c>
    </row>
    <row r="228" spans="2:39" x14ac:dyDescent="0.2">
      <c r="B228" s="71"/>
      <c r="C228" s="71"/>
      <c r="D228" s="71"/>
      <c r="E228" s="71"/>
      <c r="F228" s="71"/>
      <c r="G228" s="71"/>
      <c r="H228" s="71"/>
      <c r="I228" s="71"/>
      <c r="J228" s="71"/>
      <c r="K228" s="71"/>
      <c r="L228" s="71"/>
      <c r="M228" s="71"/>
      <c r="R228" s="25" t="s">
        <v>46</v>
      </c>
      <c r="S228" s="12"/>
      <c r="T228" s="36">
        <f t="shared" si="100"/>
        <v>33.200000000000003</v>
      </c>
      <c r="U228" s="36">
        <f t="shared" si="100"/>
        <v>32.700000000000003</v>
      </c>
      <c r="V228" s="36">
        <f t="shared" si="100"/>
        <v>26.8</v>
      </c>
      <c r="W228" s="36">
        <f t="shared" si="100"/>
        <v>25.6</v>
      </c>
      <c r="X228" s="36">
        <f t="shared" si="100"/>
        <v>28</v>
      </c>
      <c r="Y228" s="36">
        <f t="shared" si="100"/>
        <v>23.3</v>
      </c>
      <c r="Z228" s="36">
        <f t="shared" si="100"/>
        <v>23.3</v>
      </c>
      <c r="AA228" s="36">
        <f t="shared" si="100"/>
        <v>22.3</v>
      </c>
      <c r="AB228" s="36">
        <f t="shared" si="100"/>
        <v>24</v>
      </c>
      <c r="AC228" s="36">
        <f t="shared" si="100"/>
        <v>24.1</v>
      </c>
      <c r="AD228" s="36">
        <f t="shared" si="101"/>
        <v>19.2</v>
      </c>
      <c r="AE228" s="36">
        <f t="shared" si="101"/>
        <v>16.3</v>
      </c>
      <c r="AF228" s="36">
        <f t="shared" si="101"/>
        <v>16.899999999999999</v>
      </c>
      <c r="AG228" s="36">
        <f t="shared" si="101"/>
        <v>11</v>
      </c>
      <c r="AH228" s="36">
        <f t="shared" si="101"/>
        <v>13.2</v>
      </c>
      <c r="AI228" s="36">
        <f t="shared" si="101"/>
        <v>11.3</v>
      </c>
      <c r="AJ228" s="36">
        <f t="shared" si="101"/>
        <v>9.5</v>
      </c>
      <c r="AK228" s="36">
        <f t="shared" si="101"/>
        <v>9.8000000000000007</v>
      </c>
      <c r="AL228" s="36">
        <f t="shared" si="101"/>
        <v>9.4</v>
      </c>
      <c r="AM228" s="36">
        <f t="shared" si="101"/>
        <v>10.3</v>
      </c>
    </row>
    <row r="229" spans="2:39" x14ac:dyDescent="0.2">
      <c r="B229" s="71"/>
      <c r="C229" s="71"/>
      <c r="D229" s="71"/>
      <c r="E229" s="71"/>
      <c r="F229" s="71"/>
      <c r="G229" s="71"/>
      <c r="H229" s="71"/>
      <c r="I229" s="71"/>
      <c r="J229" s="71"/>
      <c r="K229" s="71"/>
      <c r="L229" s="71"/>
      <c r="M229" s="71"/>
      <c r="R229" s="25" t="s">
        <v>47</v>
      </c>
      <c r="S229" s="12"/>
      <c r="T229" s="36">
        <f t="shared" si="100"/>
        <v>10.8</v>
      </c>
      <c r="U229" s="36">
        <f t="shared" si="100"/>
        <v>10.5</v>
      </c>
      <c r="V229" s="36">
        <f t="shared" si="100"/>
        <v>11.6</v>
      </c>
      <c r="W229" s="36">
        <f t="shared" si="100"/>
        <v>10.7</v>
      </c>
      <c r="X229" s="36">
        <f t="shared" si="100"/>
        <v>8.4</v>
      </c>
      <c r="Y229" s="36">
        <f t="shared" si="100"/>
        <v>11.7</v>
      </c>
      <c r="Z229" s="36">
        <f t="shared" si="100"/>
        <v>10.8</v>
      </c>
      <c r="AA229" s="36">
        <f t="shared" si="100"/>
        <v>13.1</v>
      </c>
      <c r="AB229" s="36">
        <f t="shared" si="100"/>
        <v>10.4</v>
      </c>
      <c r="AC229" s="36">
        <f t="shared" si="100"/>
        <v>11.7</v>
      </c>
      <c r="AD229" s="36">
        <f t="shared" si="101"/>
        <v>10.6</v>
      </c>
      <c r="AE229" s="36">
        <f t="shared" si="101"/>
        <v>9.6999999999999993</v>
      </c>
      <c r="AF229" s="36">
        <f t="shared" si="101"/>
        <v>12.1</v>
      </c>
      <c r="AG229" s="36">
        <f t="shared" si="101"/>
        <v>12.8</v>
      </c>
      <c r="AH229" s="36">
        <f t="shared" si="101"/>
        <v>13</v>
      </c>
      <c r="AI229" s="36">
        <f t="shared" si="101"/>
        <v>13.9</v>
      </c>
      <c r="AJ229" s="36">
        <f t="shared" si="101"/>
        <v>14.4</v>
      </c>
      <c r="AK229" s="36">
        <f t="shared" si="101"/>
        <v>15.4</v>
      </c>
      <c r="AL229" s="36">
        <f t="shared" si="101"/>
        <v>13.9</v>
      </c>
      <c r="AM229" s="36">
        <f t="shared" si="101"/>
        <v>11.5</v>
      </c>
    </row>
    <row r="230" spans="2:39" x14ac:dyDescent="0.2">
      <c r="B230" s="71"/>
      <c r="C230" s="71"/>
      <c r="D230" s="71"/>
      <c r="E230" s="71"/>
      <c r="F230" s="71"/>
      <c r="G230" s="71"/>
      <c r="H230" s="71"/>
      <c r="I230" s="71"/>
      <c r="J230" s="71"/>
      <c r="K230" s="71"/>
      <c r="L230" s="71"/>
      <c r="M230" s="71"/>
      <c r="R230" s="25" t="s">
        <v>42</v>
      </c>
      <c r="S230" s="12"/>
      <c r="T230" s="36">
        <f t="shared" si="100"/>
        <v>9.6999999999999993</v>
      </c>
      <c r="U230" s="36">
        <f t="shared" si="100"/>
        <v>10.5</v>
      </c>
      <c r="V230" s="36">
        <f t="shared" si="100"/>
        <v>13.3</v>
      </c>
      <c r="W230" s="36">
        <f t="shared" si="100"/>
        <v>10.3</v>
      </c>
      <c r="X230" s="36">
        <f t="shared" si="100"/>
        <v>8.6999999999999993</v>
      </c>
      <c r="Y230" s="36">
        <f t="shared" si="100"/>
        <v>11</v>
      </c>
      <c r="Z230" s="36">
        <f t="shared" si="100"/>
        <v>11.5</v>
      </c>
      <c r="AA230" s="36">
        <f t="shared" si="100"/>
        <v>8.6999999999999993</v>
      </c>
      <c r="AB230" s="36">
        <f t="shared" si="100"/>
        <v>9.1</v>
      </c>
      <c r="AC230" s="36">
        <f t="shared" si="100"/>
        <v>9</v>
      </c>
      <c r="AD230" s="36">
        <f t="shared" si="101"/>
        <v>10.1</v>
      </c>
      <c r="AE230" s="36">
        <f t="shared" si="101"/>
        <v>10.4</v>
      </c>
      <c r="AF230" s="36">
        <f t="shared" si="101"/>
        <v>9</v>
      </c>
      <c r="AG230" s="36">
        <f t="shared" si="101"/>
        <v>11.7</v>
      </c>
      <c r="AH230" s="36">
        <f t="shared" si="101"/>
        <v>8.8000000000000007</v>
      </c>
      <c r="AI230" s="36">
        <f t="shared" si="101"/>
        <v>8.9</v>
      </c>
      <c r="AJ230" s="36">
        <f t="shared" si="101"/>
        <v>9.6999999999999993</v>
      </c>
      <c r="AK230" s="36">
        <f t="shared" si="101"/>
        <v>11.2</v>
      </c>
      <c r="AL230" s="36">
        <f t="shared" si="101"/>
        <v>9.6</v>
      </c>
      <c r="AM230" s="36">
        <f t="shared" si="101"/>
        <v>9.8000000000000007</v>
      </c>
    </row>
    <row r="231" spans="2:39" x14ac:dyDescent="0.2">
      <c r="B231" s="71"/>
      <c r="C231" s="71"/>
      <c r="D231" s="71"/>
      <c r="E231" s="71"/>
      <c r="F231" s="71"/>
      <c r="G231" s="71"/>
      <c r="H231" s="71"/>
      <c r="I231" s="71"/>
      <c r="J231" s="71"/>
      <c r="K231" s="71"/>
      <c r="L231" s="71"/>
      <c r="M231" s="71"/>
      <c r="R231" s="25" t="s">
        <v>44</v>
      </c>
      <c r="S231" s="12"/>
      <c r="T231" s="36">
        <f t="shared" si="100"/>
        <v>2.5</v>
      </c>
      <c r="U231" s="36">
        <f t="shared" si="100"/>
        <v>2.2000000000000002</v>
      </c>
      <c r="V231" s="36">
        <f t="shared" si="100"/>
        <v>3</v>
      </c>
      <c r="W231" s="36">
        <f t="shared" si="100"/>
        <v>3.4</v>
      </c>
      <c r="X231" s="36">
        <f t="shared" si="100"/>
        <v>3.7</v>
      </c>
      <c r="Y231" s="36">
        <f t="shared" si="100"/>
        <v>4.2</v>
      </c>
      <c r="Z231" s="36">
        <f t="shared" si="100"/>
        <v>4.5999999999999996</v>
      </c>
      <c r="AA231" s="36">
        <f t="shared" si="100"/>
        <v>2.5</v>
      </c>
      <c r="AB231" s="36">
        <f t="shared" si="100"/>
        <v>2.6</v>
      </c>
      <c r="AC231" s="36">
        <f t="shared" si="100"/>
        <v>3.2</v>
      </c>
      <c r="AD231" s="36">
        <f t="shared" si="101"/>
        <v>2.2000000000000002</v>
      </c>
      <c r="AE231" s="36">
        <f t="shared" si="101"/>
        <v>3</v>
      </c>
      <c r="AF231" s="36">
        <f t="shared" si="101"/>
        <v>3.2</v>
      </c>
      <c r="AG231" s="36">
        <f t="shared" si="101"/>
        <v>3.3</v>
      </c>
      <c r="AH231" s="36">
        <f t="shared" si="101"/>
        <v>2.8</v>
      </c>
      <c r="AI231" s="36">
        <f t="shared" si="101"/>
        <v>2.6</v>
      </c>
      <c r="AJ231" s="36">
        <f t="shared" si="101"/>
        <v>3.5</v>
      </c>
      <c r="AK231" s="36">
        <f t="shared" si="101"/>
        <v>2.9</v>
      </c>
      <c r="AL231" s="36">
        <f t="shared" si="101"/>
        <v>3.8</v>
      </c>
      <c r="AM231" s="36">
        <f t="shared" si="101"/>
        <v>4.7</v>
      </c>
    </row>
    <row r="232" spans="2:39" x14ac:dyDescent="0.2">
      <c r="B232" s="71"/>
      <c r="C232" s="71"/>
      <c r="D232" s="71"/>
      <c r="E232" s="71"/>
      <c r="F232" s="71"/>
      <c r="G232" s="71"/>
      <c r="H232" s="71"/>
      <c r="I232" s="71"/>
      <c r="J232" s="71"/>
      <c r="K232" s="71"/>
      <c r="L232" s="71"/>
      <c r="M232" s="71"/>
      <c r="R232" s="25" t="s">
        <v>49</v>
      </c>
      <c r="S232" s="12"/>
      <c r="T232" s="36">
        <f t="shared" si="100"/>
        <v>2.5</v>
      </c>
      <c r="U232" s="36">
        <f t="shared" si="100"/>
        <v>3.3</v>
      </c>
      <c r="V232" s="36">
        <f t="shared" si="100"/>
        <v>2.1</v>
      </c>
      <c r="W232" s="36">
        <f t="shared" si="100"/>
        <v>3.7</v>
      </c>
      <c r="X232" s="36">
        <f t="shared" si="100"/>
        <v>3.7</v>
      </c>
      <c r="Y232" s="36">
        <f t="shared" si="100"/>
        <v>1.6</v>
      </c>
      <c r="Z232" s="36">
        <f t="shared" si="100"/>
        <v>3.3</v>
      </c>
      <c r="AA232" s="36">
        <f t="shared" si="100"/>
        <v>3</v>
      </c>
      <c r="AB232" s="36">
        <f t="shared" si="100"/>
        <v>2.6</v>
      </c>
      <c r="AC232" s="36">
        <f t="shared" si="100"/>
        <v>3.2</v>
      </c>
      <c r="AD232" s="36">
        <f t="shared" si="101"/>
        <v>1.9</v>
      </c>
      <c r="AE232" s="36">
        <f t="shared" si="101"/>
        <v>2.2000000000000002</v>
      </c>
      <c r="AF232" s="36">
        <f t="shared" si="101"/>
        <v>1.9</v>
      </c>
      <c r="AG232" s="36">
        <f t="shared" si="101"/>
        <v>1.4</v>
      </c>
      <c r="AH232" s="36">
        <f t="shared" si="101"/>
        <v>2.1</v>
      </c>
      <c r="AI232" s="36">
        <f t="shared" si="101"/>
        <v>3.7</v>
      </c>
      <c r="AJ232" s="36">
        <f t="shared" si="101"/>
        <v>1.2</v>
      </c>
      <c r="AK232" s="36">
        <f t="shared" si="101"/>
        <v>3.7</v>
      </c>
      <c r="AL232" s="36">
        <f t="shared" si="101"/>
        <v>2.2000000000000002</v>
      </c>
      <c r="AM232" s="36">
        <f t="shared" si="101"/>
        <v>2.2000000000000002</v>
      </c>
    </row>
    <row r="233" spans="2:39" x14ac:dyDescent="0.2">
      <c r="B233" s="71"/>
      <c r="C233" s="71"/>
      <c r="D233" s="71"/>
      <c r="E233" s="71"/>
      <c r="F233" s="71"/>
      <c r="G233" s="71"/>
      <c r="H233" s="71"/>
      <c r="I233" s="71"/>
      <c r="J233" s="71"/>
      <c r="K233" s="71"/>
      <c r="L233" s="71"/>
      <c r="M233" s="71"/>
      <c r="R233" s="25" t="s">
        <v>48</v>
      </c>
      <c r="S233" s="12"/>
      <c r="T233" s="36">
        <f t="shared" si="100"/>
        <v>0.9</v>
      </c>
      <c r="U233" s="36">
        <f t="shared" si="100"/>
        <v>2.9</v>
      </c>
      <c r="V233" s="36">
        <f t="shared" si="100"/>
        <v>1.5</v>
      </c>
      <c r="W233" s="36">
        <f t="shared" si="100"/>
        <v>1.8</v>
      </c>
      <c r="X233" s="36">
        <f t="shared" si="100"/>
        <v>2.9</v>
      </c>
      <c r="Y233" s="36">
        <f t="shared" si="100"/>
        <v>1.9</v>
      </c>
      <c r="Z233" s="36">
        <f t="shared" si="100"/>
        <v>1</v>
      </c>
      <c r="AA233" s="36">
        <f t="shared" si="100"/>
        <v>3.9</v>
      </c>
      <c r="AB233" s="36">
        <f t="shared" si="100"/>
        <v>0.8</v>
      </c>
      <c r="AC233" s="36">
        <f t="shared" si="100"/>
        <v>2.7</v>
      </c>
      <c r="AD233" s="36">
        <f t="shared" si="101"/>
        <v>2.4</v>
      </c>
      <c r="AE233" s="36">
        <f t="shared" si="101"/>
        <v>1.5</v>
      </c>
      <c r="AF233" s="36">
        <f t="shared" si="101"/>
        <v>3</v>
      </c>
      <c r="AG233" s="36">
        <f t="shared" si="101"/>
        <v>2.2999999999999998</v>
      </c>
      <c r="AH233" s="36">
        <f t="shared" si="101"/>
        <v>1.9</v>
      </c>
      <c r="AI233" s="36">
        <f t="shared" si="101"/>
        <v>1.6</v>
      </c>
      <c r="AJ233" s="36">
        <f t="shared" si="101"/>
        <v>2.8</v>
      </c>
      <c r="AK233" s="36">
        <f t="shared" si="101"/>
        <v>2</v>
      </c>
      <c r="AL233" s="36">
        <f t="shared" si="101"/>
        <v>2.4</v>
      </c>
      <c r="AM233" s="36">
        <f t="shared" si="101"/>
        <v>2</v>
      </c>
    </row>
    <row r="234" spans="2:39" x14ac:dyDescent="0.2">
      <c r="B234" s="71"/>
      <c r="C234" s="71"/>
      <c r="D234" s="71"/>
      <c r="E234" s="71"/>
      <c r="F234" s="71"/>
      <c r="G234" s="71"/>
      <c r="H234" s="71"/>
      <c r="I234" s="71"/>
      <c r="J234" s="71"/>
      <c r="K234" s="71"/>
      <c r="L234" s="71"/>
      <c r="M234" s="71"/>
      <c r="R234" s="25" t="s">
        <v>45</v>
      </c>
      <c r="S234" s="12"/>
      <c r="T234" s="36">
        <f t="shared" si="100"/>
        <v>3.4</v>
      </c>
      <c r="U234" s="36">
        <f t="shared" si="100"/>
        <v>2.4</v>
      </c>
      <c r="V234" s="36">
        <f t="shared" si="100"/>
        <v>3.9</v>
      </c>
      <c r="W234" s="36">
        <f t="shared" si="100"/>
        <v>2.7</v>
      </c>
      <c r="X234" s="36">
        <f t="shared" si="100"/>
        <v>3.4</v>
      </c>
      <c r="Y234" s="36">
        <f t="shared" si="100"/>
        <v>4.7</v>
      </c>
      <c r="Z234" s="36">
        <f t="shared" si="100"/>
        <v>4.0999999999999996</v>
      </c>
      <c r="AA234" s="36">
        <f t="shared" si="100"/>
        <v>4.5999999999999996</v>
      </c>
      <c r="AB234" s="36">
        <f t="shared" si="100"/>
        <v>3.9</v>
      </c>
      <c r="AC234" s="36">
        <f t="shared" si="100"/>
        <v>2.9</v>
      </c>
      <c r="AD234" s="36">
        <f t="shared" si="101"/>
        <v>4.3</v>
      </c>
      <c r="AE234" s="36">
        <f t="shared" si="101"/>
        <v>4.2</v>
      </c>
      <c r="AF234" s="36">
        <f t="shared" si="101"/>
        <v>4.2</v>
      </c>
      <c r="AG234" s="36">
        <f t="shared" si="101"/>
        <v>3.5</v>
      </c>
      <c r="AH234" s="36">
        <f t="shared" si="101"/>
        <v>3.9</v>
      </c>
      <c r="AI234" s="36">
        <f t="shared" si="101"/>
        <v>3.9</v>
      </c>
      <c r="AJ234" s="36">
        <f t="shared" si="101"/>
        <v>3.9</v>
      </c>
      <c r="AK234" s="36">
        <f t="shared" si="101"/>
        <v>3.9</v>
      </c>
      <c r="AL234" s="36">
        <f t="shared" si="101"/>
        <v>2.9</v>
      </c>
      <c r="AM234" s="36">
        <f t="shared" si="101"/>
        <v>4.9000000000000004</v>
      </c>
    </row>
    <row r="235" spans="2:39" x14ac:dyDescent="0.2">
      <c r="B235" s="71"/>
      <c r="C235" s="71"/>
      <c r="D235" s="71"/>
      <c r="E235" s="71"/>
      <c r="F235" s="71"/>
      <c r="G235" s="71"/>
      <c r="H235" s="71"/>
      <c r="I235" s="71"/>
      <c r="J235" s="71"/>
      <c r="K235" s="71"/>
      <c r="L235" s="71"/>
      <c r="M235" s="71"/>
      <c r="O235" s="26"/>
      <c r="P235" s="26"/>
      <c r="Q235" s="28"/>
      <c r="R235" s="28"/>
      <c r="S235" s="20"/>
      <c r="T235" s="38"/>
      <c r="U235" s="38"/>
      <c r="V235" s="38"/>
      <c r="W235" s="38"/>
      <c r="X235" s="38"/>
      <c r="Y235" s="38"/>
      <c r="Z235" s="38"/>
      <c r="AA235" s="38"/>
      <c r="AB235" s="38"/>
      <c r="AC235" s="38"/>
      <c r="AD235" s="38"/>
      <c r="AE235" s="38"/>
      <c r="AF235" s="38"/>
      <c r="AG235" s="38"/>
      <c r="AH235" s="38"/>
      <c r="AI235" s="38"/>
      <c r="AJ235" s="38"/>
      <c r="AK235" s="38"/>
      <c r="AL235" s="38"/>
      <c r="AM235" s="38"/>
    </row>
    <row r="236" spans="2:39" x14ac:dyDescent="0.2">
      <c r="B236" s="71"/>
      <c r="C236" s="71"/>
      <c r="D236" s="71"/>
      <c r="E236" s="71"/>
      <c r="F236" s="71"/>
      <c r="G236" s="71"/>
      <c r="H236" s="71"/>
      <c r="I236" s="71"/>
      <c r="J236" s="71"/>
      <c r="K236" s="71"/>
      <c r="L236" s="71"/>
      <c r="M236" s="71"/>
      <c r="O236" s="24" t="s">
        <v>20</v>
      </c>
      <c r="P236" s="24" t="s">
        <v>9</v>
      </c>
      <c r="Q236" s="25" t="s">
        <v>51</v>
      </c>
      <c r="R236" s="25" t="s">
        <v>43</v>
      </c>
      <c r="S236" s="12"/>
      <c r="T236" s="36">
        <f t="shared" ref="T236:AC243" si="102">IFERROR(VLOOKUP(T$194&amp;"Male"&amp;"Non-Maori"&amp;19&amp;$R236,Methodstable,9,FALSE),"0.0")</f>
        <v>38.799999999999997</v>
      </c>
      <c r="U236" s="36">
        <f t="shared" si="102"/>
        <v>35.700000000000003</v>
      </c>
      <c r="V236" s="36">
        <f t="shared" si="102"/>
        <v>36.9</v>
      </c>
      <c r="W236" s="36">
        <f t="shared" si="102"/>
        <v>42.3</v>
      </c>
      <c r="X236" s="36">
        <f t="shared" si="102"/>
        <v>43.6</v>
      </c>
      <c r="Y236" s="36">
        <f t="shared" si="102"/>
        <v>43.1</v>
      </c>
      <c r="Z236" s="36">
        <f t="shared" si="102"/>
        <v>41.2</v>
      </c>
      <c r="AA236" s="36">
        <f t="shared" si="102"/>
        <v>43.1</v>
      </c>
      <c r="AB236" s="36">
        <f t="shared" si="102"/>
        <v>47.2</v>
      </c>
      <c r="AC236" s="36">
        <f t="shared" si="102"/>
        <v>44.9</v>
      </c>
      <c r="AD236" s="36">
        <f t="shared" ref="AD236:AM243" si="103">IFERROR(VLOOKUP(AD$194&amp;"Male"&amp;"Non-Maori"&amp;19&amp;$R236,Methodstable,9,FALSE),"0.0")</f>
        <v>49.7</v>
      </c>
      <c r="AE236" s="36">
        <f t="shared" si="103"/>
        <v>57</v>
      </c>
      <c r="AF236" s="36">
        <f t="shared" si="103"/>
        <v>50.2</v>
      </c>
      <c r="AG236" s="36">
        <f t="shared" si="103"/>
        <v>56.5</v>
      </c>
      <c r="AH236" s="36">
        <f t="shared" si="103"/>
        <v>55.9</v>
      </c>
      <c r="AI236" s="36">
        <f t="shared" si="103"/>
        <v>56.4</v>
      </c>
      <c r="AJ236" s="36">
        <f t="shared" si="103"/>
        <v>57</v>
      </c>
      <c r="AK236" s="36">
        <f t="shared" si="103"/>
        <v>53</v>
      </c>
      <c r="AL236" s="36">
        <f t="shared" si="103"/>
        <v>59</v>
      </c>
      <c r="AM236" s="36">
        <f t="shared" si="103"/>
        <v>57.2</v>
      </c>
    </row>
    <row r="237" spans="2:39" x14ac:dyDescent="0.2">
      <c r="B237" s="71"/>
      <c r="C237" s="71"/>
      <c r="D237" s="71"/>
      <c r="E237" s="71"/>
      <c r="F237" s="71"/>
      <c r="G237" s="71"/>
      <c r="H237" s="71"/>
      <c r="I237" s="71"/>
      <c r="J237" s="71"/>
      <c r="K237" s="71"/>
      <c r="L237" s="71"/>
      <c r="M237" s="71"/>
      <c r="R237" s="25" t="s">
        <v>46</v>
      </c>
      <c r="S237" s="12"/>
      <c r="T237" s="36">
        <f t="shared" si="102"/>
        <v>32.9</v>
      </c>
      <c r="U237" s="36">
        <f t="shared" si="102"/>
        <v>35.700000000000003</v>
      </c>
      <c r="V237" s="36">
        <f t="shared" si="102"/>
        <v>28.5</v>
      </c>
      <c r="W237" s="36">
        <f t="shared" si="102"/>
        <v>27.9</v>
      </c>
      <c r="X237" s="36">
        <f t="shared" si="102"/>
        <v>27.4</v>
      </c>
      <c r="Y237" s="36">
        <f t="shared" si="102"/>
        <v>24.7</v>
      </c>
      <c r="Z237" s="36">
        <f t="shared" si="102"/>
        <v>24.3</v>
      </c>
      <c r="AA237" s="36">
        <f t="shared" si="102"/>
        <v>22.7</v>
      </c>
      <c r="AB237" s="36">
        <f t="shared" si="102"/>
        <v>26.4</v>
      </c>
      <c r="AC237" s="36">
        <f t="shared" si="102"/>
        <v>25.6</v>
      </c>
      <c r="AD237" s="36">
        <f t="shared" si="103"/>
        <v>20.5</v>
      </c>
      <c r="AE237" s="36">
        <f t="shared" si="103"/>
        <v>15</v>
      </c>
      <c r="AF237" s="36">
        <f t="shared" si="103"/>
        <v>19.5</v>
      </c>
      <c r="AG237" s="36">
        <f t="shared" si="103"/>
        <v>11</v>
      </c>
      <c r="AH237" s="36">
        <f t="shared" si="103"/>
        <v>14.9</v>
      </c>
      <c r="AI237" s="36">
        <f t="shared" si="103"/>
        <v>12.8</v>
      </c>
      <c r="AJ237" s="36">
        <f t="shared" si="103"/>
        <v>10.8</v>
      </c>
      <c r="AK237" s="36">
        <f t="shared" si="103"/>
        <v>11.7</v>
      </c>
      <c r="AL237" s="36">
        <f t="shared" si="103"/>
        <v>9.6</v>
      </c>
      <c r="AM237" s="36">
        <f t="shared" si="103"/>
        <v>11.1</v>
      </c>
    </row>
    <row r="238" spans="2:39" x14ac:dyDescent="0.2">
      <c r="B238" s="71"/>
      <c r="C238" s="71"/>
      <c r="D238" s="71"/>
      <c r="E238" s="71"/>
      <c r="F238" s="71"/>
      <c r="G238" s="71"/>
      <c r="H238" s="71"/>
      <c r="I238" s="71"/>
      <c r="J238" s="71"/>
      <c r="K238" s="71"/>
      <c r="L238" s="71"/>
      <c r="M238" s="71"/>
      <c r="R238" s="25" t="s">
        <v>47</v>
      </c>
      <c r="S238" s="12"/>
      <c r="T238" s="36">
        <f t="shared" si="102"/>
        <v>7.3</v>
      </c>
      <c r="U238" s="36">
        <f t="shared" si="102"/>
        <v>5.5</v>
      </c>
      <c r="V238" s="36">
        <f t="shared" si="102"/>
        <v>7.8</v>
      </c>
      <c r="W238" s="36">
        <f t="shared" si="102"/>
        <v>5.5</v>
      </c>
      <c r="X238" s="36">
        <f t="shared" si="102"/>
        <v>5.5</v>
      </c>
      <c r="Y238" s="36">
        <f t="shared" si="102"/>
        <v>7.8</v>
      </c>
      <c r="Z238" s="36">
        <f t="shared" si="102"/>
        <v>8.1</v>
      </c>
      <c r="AA238" s="36">
        <f t="shared" si="102"/>
        <v>9.9</v>
      </c>
      <c r="AB238" s="36">
        <f t="shared" si="102"/>
        <v>6.4</v>
      </c>
      <c r="AC238" s="36">
        <f t="shared" si="102"/>
        <v>8.5</v>
      </c>
      <c r="AD238" s="36">
        <f t="shared" si="103"/>
        <v>6.7</v>
      </c>
      <c r="AE238" s="36">
        <f t="shared" si="103"/>
        <v>5.2</v>
      </c>
      <c r="AF238" s="36">
        <f t="shared" si="103"/>
        <v>6.2</v>
      </c>
      <c r="AG238" s="36">
        <f t="shared" si="103"/>
        <v>8.9</v>
      </c>
      <c r="AH238" s="36">
        <f t="shared" si="103"/>
        <v>7.6</v>
      </c>
      <c r="AI238" s="36">
        <f t="shared" si="103"/>
        <v>9.8000000000000007</v>
      </c>
      <c r="AJ238" s="36">
        <f t="shared" si="103"/>
        <v>8.6999999999999993</v>
      </c>
      <c r="AK238" s="36">
        <f t="shared" si="103"/>
        <v>10</v>
      </c>
      <c r="AL238" s="36">
        <f t="shared" si="103"/>
        <v>9</v>
      </c>
      <c r="AM238" s="36">
        <f t="shared" si="103"/>
        <v>5.2</v>
      </c>
    </row>
    <row r="239" spans="2:39" x14ac:dyDescent="0.2">
      <c r="B239" s="71"/>
      <c r="C239" s="61" t="s">
        <v>102</v>
      </c>
      <c r="D239" s="71"/>
      <c r="E239" s="71"/>
      <c r="F239" s="71"/>
      <c r="G239" s="71"/>
      <c r="H239" s="71"/>
      <c r="I239" s="71"/>
      <c r="J239" s="71"/>
      <c r="K239" s="71"/>
      <c r="L239" s="71"/>
      <c r="M239" s="71"/>
      <c r="R239" s="25" t="s">
        <v>42</v>
      </c>
      <c r="S239" s="12"/>
      <c r="T239" s="36">
        <f t="shared" si="102"/>
        <v>12.1</v>
      </c>
      <c r="U239" s="36">
        <f t="shared" si="102"/>
        <v>12.5</v>
      </c>
      <c r="V239" s="36">
        <f t="shared" si="102"/>
        <v>17</v>
      </c>
      <c r="W239" s="36">
        <f t="shared" si="102"/>
        <v>12.6</v>
      </c>
      <c r="X239" s="36">
        <f t="shared" si="102"/>
        <v>10.1</v>
      </c>
      <c r="Y239" s="36">
        <f t="shared" si="102"/>
        <v>13.9</v>
      </c>
      <c r="Z239" s="36">
        <f t="shared" si="102"/>
        <v>14.2</v>
      </c>
      <c r="AA239" s="36">
        <f t="shared" si="102"/>
        <v>10.9</v>
      </c>
      <c r="AB239" s="36">
        <f t="shared" si="102"/>
        <v>11</v>
      </c>
      <c r="AC239" s="36">
        <f t="shared" si="102"/>
        <v>11.5</v>
      </c>
      <c r="AD239" s="36">
        <f t="shared" si="103"/>
        <v>11.5</v>
      </c>
      <c r="AE239" s="36">
        <f t="shared" si="103"/>
        <v>12.4</v>
      </c>
      <c r="AF239" s="36">
        <f t="shared" si="103"/>
        <v>11.8</v>
      </c>
      <c r="AG239" s="36">
        <f t="shared" si="103"/>
        <v>14.9</v>
      </c>
      <c r="AH239" s="36">
        <f t="shared" si="103"/>
        <v>11.7</v>
      </c>
      <c r="AI239" s="36">
        <f t="shared" si="103"/>
        <v>10.8</v>
      </c>
      <c r="AJ239" s="36">
        <f t="shared" si="103"/>
        <v>12.4</v>
      </c>
      <c r="AK239" s="36">
        <f t="shared" si="103"/>
        <v>15</v>
      </c>
      <c r="AL239" s="36">
        <f t="shared" si="103"/>
        <v>11.9</v>
      </c>
      <c r="AM239" s="36">
        <f t="shared" si="103"/>
        <v>12.1</v>
      </c>
    </row>
    <row r="240" spans="2:39" x14ac:dyDescent="0.2">
      <c r="B240" s="71"/>
      <c r="C240" s="71"/>
      <c r="D240" s="71"/>
      <c r="E240" s="71"/>
      <c r="F240" s="71"/>
      <c r="G240" s="71"/>
      <c r="H240" s="71"/>
      <c r="I240" s="71"/>
      <c r="J240" s="71"/>
      <c r="K240" s="71"/>
      <c r="L240" s="71"/>
      <c r="M240" s="71"/>
      <c r="R240" s="25" t="s">
        <v>44</v>
      </c>
      <c r="S240" s="12"/>
      <c r="T240" s="36">
        <f t="shared" si="102"/>
        <v>2.8</v>
      </c>
      <c r="U240" s="36">
        <f t="shared" si="102"/>
        <v>2.5</v>
      </c>
      <c r="V240" s="36">
        <f t="shared" si="102"/>
        <v>2.5</v>
      </c>
      <c r="W240" s="36">
        <f t="shared" si="102"/>
        <v>3.4</v>
      </c>
      <c r="X240" s="36">
        <f t="shared" si="102"/>
        <v>3.3</v>
      </c>
      <c r="Y240" s="36">
        <f t="shared" si="102"/>
        <v>3</v>
      </c>
      <c r="Z240" s="36">
        <f t="shared" si="102"/>
        <v>4.0999999999999996</v>
      </c>
      <c r="AA240" s="36">
        <f t="shared" si="102"/>
        <v>1.6</v>
      </c>
      <c r="AB240" s="36">
        <f t="shared" si="102"/>
        <v>2.2999999999999998</v>
      </c>
      <c r="AC240" s="36">
        <f t="shared" si="102"/>
        <v>3.3</v>
      </c>
      <c r="AD240" s="36">
        <f t="shared" si="103"/>
        <v>1.9</v>
      </c>
      <c r="AE240" s="36">
        <f t="shared" si="103"/>
        <v>2.9</v>
      </c>
      <c r="AF240" s="36">
        <f t="shared" si="103"/>
        <v>3.7</v>
      </c>
      <c r="AG240" s="36">
        <f t="shared" si="103"/>
        <v>2.7</v>
      </c>
      <c r="AH240" s="36">
        <f t="shared" si="103"/>
        <v>3.2</v>
      </c>
      <c r="AI240" s="36">
        <f t="shared" si="103"/>
        <v>2.7</v>
      </c>
      <c r="AJ240" s="36">
        <f t="shared" si="103"/>
        <v>2.8</v>
      </c>
      <c r="AK240" s="36">
        <f t="shared" si="103"/>
        <v>2.2999999999999998</v>
      </c>
      <c r="AL240" s="36">
        <f t="shared" si="103"/>
        <v>3.8</v>
      </c>
      <c r="AM240" s="36">
        <f t="shared" si="103"/>
        <v>5.2</v>
      </c>
    </row>
    <row r="241" spans="15:39" x14ac:dyDescent="0.2">
      <c r="R241" s="25" t="s">
        <v>49</v>
      </c>
      <c r="S241" s="12"/>
      <c r="T241" s="36">
        <f t="shared" si="102"/>
        <v>2.2000000000000002</v>
      </c>
      <c r="U241" s="36">
        <f t="shared" si="102"/>
        <v>2.8</v>
      </c>
      <c r="V241" s="36">
        <f t="shared" si="102"/>
        <v>2</v>
      </c>
      <c r="W241" s="36">
        <f t="shared" si="102"/>
        <v>3.4</v>
      </c>
      <c r="X241" s="36">
        <f t="shared" si="102"/>
        <v>3.6</v>
      </c>
      <c r="Y241" s="36">
        <f t="shared" si="102"/>
        <v>0.6</v>
      </c>
      <c r="Z241" s="36">
        <f t="shared" si="102"/>
        <v>2.7</v>
      </c>
      <c r="AA241" s="36">
        <f t="shared" si="102"/>
        <v>1.9</v>
      </c>
      <c r="AB241" s="36">
        <f t="shared" si="102"/>
        <v>2.7</v>
      </c>
      <c r="AC241" s="36">
        <f t="shared" si="102"/>
        <v>1.3</v>
      </c>
      <c r="AD241" s="36">
        <f t="shared" si="103"/>
        <v>1.9</v>
      </c>
      <c r="AE241" s="36">
        <f t="shared" si="103"/>
        <v>1.6</v>
      </c>
      <c r="AF241" s="36">
        <f t="shared" si="103"/>
        <v>1.5</v>
      </c>
      <c r="AG241" s="36">
        <f t="shared" si="103"/>
        <v>0.9</v>
      </c>
      <c r="AH241" s="36">
        <f t="shared" si="103"/>
        <v>1.3</v>
      </c>
      <c r="AI241" s="36">
        <f t="shared" si="103"/>
        <v>2.4</v>
      </c>
      <c r="AJ241" s="36">
        <f t="shared" si="103"/>
        <v>0.9</v>
      </c>
      <c r="AK241" s="36">
        <f t="shared" si="103"/>
        <v>2.2999999999999998</v>
      </c>
      <c r="AL241" s="36">
        <f t="shared" si="103"/>
        <v>2.2000000000000002</v>
      </c>
      <c r="AM241" s="36">
        <f t="shared" si="103"/>
        <v>2</v>
      </c>
    </row>
    <row r="242" spans="15:39" x14ac:dyDescent="0.2">
      <c r="R242" s="25" t="s">
        <v>48</v>
      </c>
      <c r="S242" s="12"/>
      <c r="T242" s="36">
        <f t="shared" si="102"/>
        <v>0.8</v>
      </c>
      <c r="U242" s="36">
        <f t="shared" si="102"/>
        <v>2.8</v>
      </c>
      <c r="V242" s="36">
        <f t="shared" si="102"/>
        <v>1.7</v>
      </c>
      <c r="W242" s="36">
        <f t="shared" si="102"/>
        <v>1.8</v>
      </c>
      <c r="X242" s="36">
        <f t="shared" si="102"/>
        <v>2.9</v>
      </c>
      <c r="Y242" s="36">
        <f t="shared" si="102"/>
        <v>2.1</v>
      </c>
      <c r="Z242" s="36">
        <f t="shared" si="102"/>
        <v>1.4</v>
      </c>
      <c r="AA242" s="36">
        <f t="shared" si="102"/>
        <v>4.2</v>
      </c>
      <c r="AB242" s="36">
        <f t="shared" si="102"/>
        <v>0.7</v>
      </c>
      <c r="AC242" s="36">
        <f t="shared" si="102"/>
        <v>2.6</v>
      </c>
      <c r="AD242" s="36">
        <f t="shared" si="103"/>
        <v>2.9</v>
      </c>
      <c r="AE242" s="36">
        <f t="shared" si="103"/>
        <v>2</v>
      </c>
      <c r="AF242" s="36">
        <f t="shared" si="103"/>
        <v>3.4</v>
      </c>
      <c r="AG242" s="36">
        <f t="shared" si="103"/>
        <v>2.4</v>
      </c>
      <c r="AH242" s="36">
        <f t="shared" si="103"/>
        <v>1.9</v>
      </c>
      <c r="AI242" s="36">
        <f t="shared" si="103"/>
        <v>1.7</v>
      </c>
      <c r="AJ242" s="36">
        <f t="shared" si="103"/>
        <v>3.7</v>
      </c>
      <c r="AK242" s="36">
        <f t="shared" si="103"/>
        <v>2.2999999999999998</v>
      </c>
      <c r="AL242" s="36">
        <f t="shared" si="103"/>
        <v>1.3</v>
      </c>
      <c r="AM242" s="36">
        <f t="shared" si="103"/>
        <v>2.6</v>
      </c>
    </row>
    <row r="243" spans="15:39" x14ac:dyDescent="0.2">
      <c r="R243" s="25" t="s">
        <v>45</v>
      </c>
      <c r="S243" s="12"/>
      <c r="T243" s="36">
        <f t="shared" si="102"/>
        <v>3.1</v>
      </c>
      <c r="U243" s="36">
        <f t="shared" si="102"/>
        <v>2.5</v>
      </c>
      <c r="V243" s="36">
        <f t="shared" si="102"/>
        <v>3.6</v>
      </c>
      <c r="W243" s="36">
        <f t="shared" si="102"/>
        <v>3.1</v>
      </c>
      <c r="X243" s="36">
        <f t="shared" si="102"/>
        <v>3.6</v>
      </c>
      <c r="Y243" s="36">
        <f t="shared" si="102"/>
        <v>4.8</v>
      </c>
      <c r="Z243" s="36">
        <f t="shared" si="102"/>
        <v>4.0999999999999996</v>
      </c>
      <c r="AA243" s="36">
        <f t="shared" si="102"/>
        <v>5.8</v>
      </c>
      <c r="AB243" s="36">
        <f t="shared" si="102"/>
        <v>3.3</v>
      </c>
      <c r="AC243" s="36">
        <f t="shared" si="102"/>
        <v>2.2999999999999998</v>
      </c>
      <c r="AD243" s="36">
        <f t="shared" si="103"/>
        <v>4.8</v>
      </c>
      <c r="AE243" s="36">
        <f t="shared" si="103"/>
        <v>3.9</v>
      </c>
      <c r="AF243" s="36">
        <f t="shared" si="103"/>
        <v>3.7</v>
      </c>
      <c r="AG243" s="36">
        <f t="shared" si="103"/>
        <v>2.7</v>
      </c>
      <c r="AH243" s="36">
        <f t="shared" si="103"/>
        <v>3.5</v>
      </c>
      <c r="AI243" s="36">
        <f t="shared" si="103"/>
        <v>3.4</v>
      </c>
      <c r="AJ243" s="36">
        <f t="shared" si="103"/>
        <v>3.7</v>
      </c>
      <c r="AK243" s="36">
        <f t="shared" si="103"/>
        <v>3.3</v>
      </c>
      <c r="AL243" s="36">
        <f t="shared" si="103"/>
        <v>3.2</v>
      </c>
      <c r="AM243" s="36">
        <f t="shared" si="103"/>
        <v>4.5999999999999996</v>
      </c>
    </row>
    <row r="244" spans="15:39" x14ac:dyDescent="0.2">
      <c r="O244" s="26"/>
      <c r="P244" s="26"/>
      <c r="Q244" s="28"/>
      <c r="R244" s="28"/>
      <c r="S244" s="20"/>
      <c r="T244" s="38"/>
      <c r="U244" s="38"/>
      <c r="V244" s="38"/>
      <c r="W244" s="38"/>
      <c r="X244" s="38"/>
      <c r="Y244" s="38"/>
      <c r="Z244" s="38"/>
      <c r="AA244" s="38"/>
      <c r="AB244" s="38"/>
      <c r="AC244" s="38"/>
      <c r="AD244" s="38"/>
      <c r="AE244" s="38"/>
      <c r="AF244" s="38"/>
      <c r="AG244" s="38"/>
      <c r="AH244" s="38"/>
      <c r="AI244" s="38"/>
      <c r="AJ244" s="38"/>
      <c r="AK244" s="38"/>
      <c r="AL244" s="38"/>
      <c r="AM244" s="38"/>
    </row>
    <row r="245" spans="15:39" x14ac:dyDescent="0.2">
      <c r="O245" s="24" t="s">
        <v>8</v>
      </c>
      <c r="P245" s="24" t="s">
        <v>9</v>
      </c>
      <c r="Q245" s="25" t="s">
        <v>51</v>
      </c>
      <c r="R245" s="25" t="s">
        <v>43</v>
      </c>
      <c r="S245" s="12"/>
      <c r="T245" s="36">
        <f t="shared" ref="T245:AC252" si="104">IFERROR(VLOOKUP(T$194&amp;"Female"&amp;"Non-Maori"&amp;19&amp;$R245,Methodstable,9,FALSE),"0.0")</f>
        <v>29.9</v>
      </c>
      <c r="U245" s="36">
        <f t="shared" si="104"/>
        <v>34.700000000000003</v>
      </c>
      <c r="V245" s="36">
        <f t="shared" si="104"/>
        <v>40.700000000000003</v>
      </c>
      <c r="W245" s="36">
        <f t="shared" si="104"/>
        <v>40.200000000000003</v>
      </c>
      <c r="X245" s="36">
        <f t="shared" si="104"/>
        <v>30.6</v>
      </c>
      <c r="Y245" s="36">
        <f t="shared" si="104"/>
        <v>37.1</v>
      </c>
      <c r="Z245" s="36">
        <f t="shared" si="104"/>
        <v>41.5</v>
      </c>
      <c r="AA245" s="36">
        <f t="shared" si="104"/>
        <v>38.5</v>
      </c>
      <c r="AB245" s="36">
        <f t="shared" si="104"/>
        <v>44</v>
      </c>
      <c r="AC245" s="36">
        <f t="shared" si="104"/>
        <v>38.1</v>
      </c>
      <c r="AD245" s="36">
        <f t="shared" ref="AD245:AM252" si="105">IFERROR(VLOOKUP(AD$194&amp;"Female"&amp;"Non-Maori"&amp;19&amp;$R245,Methodstable,9,FALSE),"0.0")</f>
        <v>48.1</v>
      </c>
      <c r="AE245" s="36">
        <f t="shared" si="105"/>
        <v>39.200000000000003</v>
      </c>
      <c r="AF245" s="36">
        <f t="shared" si="105"/>
        <v>48.1</v>
      </c>
      <c r="AG245" s="36">
        <f t="shared" si="105"/>
        <v>45.2</v>
      </c>
      <c r="AH245" s="36">
        <f t="shared" si="105"/>
        <v>50.4</v>
      </c>
      <c r="AI245" s="36">
        <f t="shared" si="105"/>
        <v>45.9</v>
      </c>
      <c r="AJ245" s="36">
        <f t="shared" si="105"/>
        <v>49.1</v>
      </c>
      <c r="AK245" s="36">
        <f t="shared" si="105"/>
        <v>45.9</v>
      </c>
      <c r="AL245" s="36">
        <f t="shared" si="105"/>
        <v>46.7</v>
      </c>
      <c r="AM245" s="36">
        <f t="shared" si="105"/>
        <v>46.5</v>
      </c>
    </row>
    <row r="246" spans="15:39" x14ac:dyDescent="0.2">
      <c r="R246" s="25" t="s">
        <v>46</v>
      </c>
      <c r="S246" s="12"/>
      <c r="T246" s="36">
        <f t="shared" si="104"/>
        <v>34.5</v>
      </c>
      <c r="U246" s="36">
        <f t="shared" si="104"/>
        <v>21.1</v>
      </c>
      <c r="V246" s="36">
        <f t="shared" si="104"/>
        <v>21.3</v>
      </c>
      <c r="W246" s="36">
        <f t="shared" si="104"/>
        <v>18.8</v>
      </c>
      <c r="X246" s="36">
        <f t="shared" si="104"/>
        <v>30.6</v>
      </c>
      <c r="Y246" s="36">
        <f t="shared" si="104"/>
        <v>18.600000000000001</v>
      </c>
      <c r="Z246" s="36">
        <f t="shared" si="104"/>
        <v>20.2</v>
      </c>
      <c r="AA246" s="36">
        <f t="shared" si="104"/>
        <v>21.3</v>
      </c>
      <c r="AB246" s="36">
        <f t="shared" si="104"/>
        <v>15.5</v>
      </c>
      <c r="AC246" s="36">
        <f t="shared" si="104"/>
        <v>20</v>
      </c>
      <c r="AD246" s="36">
        <f t="shared" si="105"/>
        <v>15.4</v>
      </c>
      <c r="AE246" s="36">
        <f t="shared" si="105"/>
        <v>20.6</v>
      </c>
      <c r="AF246" s="36">
        <f t="shared" si="105"/>
        <v>9.3000000000000007</v>
      </c>
      <c r="AG246" s="36">
        <f t="shared" si="105"/>
        <v>10.8</v>
      </c>
      <c r="AH246" s="36">
        <f t="shared" si="105"/>
        <v>8.5</v>
      </c>
      <c r="AI246" s="36">
        <f t="shared" si="105"/>
        <v>5.9</v>
      </c>
      <c r="AJ246" s="36">
        <f t="shared" si="105"/>
        <v>5.6</v>
      </c>
      <c r="AK246" s="36">
        <f t="shared" si="105"/>
        <v>4.5999999999999996</v>
      </c>
      <c r="AL246" s="36">
        <f t="shared" si="105"/>
        <v>8.6</v>
      </c>
      <c r="AM246" s="36">
        <f t="shared" si="105"/>
        <v>7.9</v>
      </c>
    </row>
    <row r="247" spans="15:39" x14ac:dyDescent="0.2">
      <c r="R247" s="25" t="s">
        <v>47</v>
      </c>
      <c r="S247" s="12"/>
      <c r="T247" s="36">
        <f t="shared" si="104"/>
        <v>25.3</v>
      </c>
      <c r="U247" s="36">
        <f t="shared" si="104"/>
        <v>29.5</v>
      </c>
      <c r="V247" s="36">
        <f t="shared" si="104"/>
        <v>24.1</v>
      </c>
      <c r="W247" s="36">
        <f t="shared" si="104"/>
        <v>25.9</v>
      </c>
      <c r="X247" s="36">
        <f t="shared" si="104"/>
        <v>20.8</v>
      </c>
      <c r="Y247" s="36">
        <f t="shared" si="104"/>
        <v>24.7</v>
      </c>
      <c r="Z247" s="36">
        <f t="shared" si="104"/>
        <v>19.100000000000001</v>
      </c>
      <c r="AA247" s="36">
        <f t="shared" si="104"/>
        <v>21.3</v>
      </c>
      <c r="AB247" s="36">
        <f t="shared" si="104"/>
        <v>25</v>
      </c>
      <c r="AC247" s="36">
        <f t="shared" si="104"/>
        <v>21</v>
      </c>
      <c r="AD247" s="36">
        <f t="shared" si="105"/>
        <v>22.1</v>
      </c>
      <c r="AE247" s="36">
        <f t="shared" si="105"/>
        <v>23.7</v>
      </c>
      <c r="AF247" s="36">
        <f t="shared" si="105"/>
        <v>29.6</v>
      </c>
      <c r="AG247" s="36">
        <f t="shared" si="105"/>
        <v>26.9</v>
      </c>
      <c r="AH247" s="36">
        <f t="shared" si="105"/>
        <v>27.4</v>
      </c>
      <c r="AI247" s="36">
        <f t="shared" si="105"/>
        <v>28.2</v>
      </c>
      <c r="AJ247" s="36">
        <f t="shared" si="105"/>
        <v>31.5</v>
      </c>
      <c r="AK247" s="36">
        <f t="shared" si="105"/>
        <v>30.3</v>
      </c>
      <c r="AL247" s="36">
        <f t="shared" si="105"/>
        <v>28.6</v>
      </c>
      <c r="AM247" s="36">
        <f t="shared" si="105"/>
        <v>30.7</v>
      </c>
    </row>
    <row r="248" spans="15:39" x14ac:dyDescent="0.2">
      <c r="R248" s="25" t="s">
        <v>42</v>
      </c>
      <c r="S248" s="12"/>
      <c r="T248" s="36" t="str">
        <f t="shared" si="104"/>
        <v>0.0</v>
      </c>
      <c r="U248" s="36">
        <f t="shared" si="104"/>
        <v>3.2</v>
      </c>
      <c r="V248" s="36">
        <f t="shared" si="104"/>
        <v>0.9</v>
      </c>
      <c r="W248" s="36">
        <f t="shared" si="104"/>
        <v>3.6</v>
      </c>
      <c r="X248" s="36">
        <f t="shared" si="104"/>
        <v>2.8</v>
      </c>
      <c r="Y248" s="36">
        <f t="shared" si="104"/>
        <v>1</v>
      </c>
      <c r="Z248" s="36">
        <f t="shared" si="104"/>
        <v>3.2</v>
      </c>
      <c r="AA248" s="36">
        <f t="shared" si="104"/>
        <v>3.3</v>
      </c>
      <c r="AB248" s="36">
        <f t="shared" si="104"/>
        <v>2.4</v>
      </c>
      <c r="AC248" s="36">
        <f t="shared" si="104"/>
        <v>1.9</v>
      </c>
      <c r="AD248" s="36">
        <f t="shared" si="105"/>
        <v>5.8</v>
      </c>
      <c r="AE248" s="36">
        <f t="shared" si="105"/>
        <v>4.0999999999999996</v>
      </c>
      <c r="AF248" s="36">
        <f t="shared" si="105"/>
        <v>0.9</v>
      </c>
      <c r="AG248" s="36" t="str">
        <f t="shared" si="105"/>
        <v>0.0</v>
      </c>
      <c r="AH248" s="36">
        <f t="shared" si="105"/>
        <v>0.9</v>
      </c>
      <c r="AI248" s="36">
        <f t="shared" si="105"/>
        <v>2.4</v>
      </c>
      <c r="AJ248" s="36">
        <f t="shared" si="105"/>
        <v>1.9</v>
      </c>
      <c r="AK248" s="36">
        <f t="shared" si="105"/>
        <v>0.9</v>
      </c>
      <c r="AL248" s="36">
        <f t="shared" si="105"/>
        <v>2.9</v>
      </c>
      <c r="AM248" s="36">
        <f t="shared" si="105"/>
        <v>3</v>
      </c>
    </row>
    <row r="249" spans="15:39" x14ac:dyDescent="0.2">
      <c r="R249" s="25" t="s">
        <v>44</v>
      </c>
      <c r="S249" s="12"/>
      <c r="T249" s="36">
        <f t="shared" si="104"/>
        <v>1.1000000000000001</v>
      </c>
      <c r="U249" s="36">
        <f t="shared" si="104"/>
        <v>1.1000000000000001</v>
      </c>
      <c r="V249" s="36">
        <f t="shared" si="104"/>
        <v>4.5999999999999996</v>
      </c>
      <c r="W249" s="36">
        <f t="shared" si="104"/>
        <v>3.6</v>
      </c>
      <c r="X249" s="36">
        <f t="shared" si="104"/>
        <v>5.6</v>
      </c>
      <c r="Y249" s="36">
        <f t="shared" si="104"/>
        <v>8.1999999999999993</v>
      </c>
      <c r="Z249" s="36">
        <f t="shared" si="104"/>
        <v>6.4</v>
      </c>
      <c r="AA249" s="36">
        <f t="shared" si="104"/>
        <v>4.9000000000000004</v>
      </c>
      <c r="AB249" s="36">
        <f t="shared" si="104"/>
        <v>3.6</v>
      </c>
      <c r="AC249" s="36">
        <f t="shared" si="104"/>
        <v>2.9</v>
      </c>
      <c r="AD249" s="36">
        <f t="shared" si="105"/>
        <v>2.9</v>
      </c>
      <c r="AE249" s="36">
        <f t="shared" si="105"/>
        <v>3.1</v>
      </c>
      <c r="AF249" s="36">
        <f t="shared" si="105"/>
        <v>1.9</v>
      </c>
      <c r="AG249" s="36">
        <f t="shared" si="105"/>
        <v>5.4</v>
      </c>
      <c r="AH249" s="36">
        <f t="shared" si="105"/>
        <v>1.7</v>
      </c>
      <c r="AI249" s="36">
        <f t="shared" si="105"/>
        <v>2.4</v>
      </c>
      <c r="AJ249" s="36">
        <f t="shared" si="105"/>
        <v>5.6</v>
      </c>
      <c r="AK249" s="36">
        <f t="shared" si="105"/>
        <v>4.5999999999999996</v>
      </c>
      <c r="AL249" s="36">
        <f t="shared" si="105"/>
        <v>3.8</v>
      </c>
      <c r="AM249" s="36">
        <f t="shared" si="105"/>
        <v>3</v>
      </c>
    </row>
    <row r="250" spans="15:39" x14ac:dyDescent="0.2">
      <c r="R250" s="25" t="s">
        <v>49</v>
      </c>
      <c r="S250" s="12"/>
      <c r="T250" s="36">
        <f t="shared" si="104"/>
        <v>3.4</v>
      </c>
      <c r="U250" s="36">
        <f t="shared" si="104"/>
        <v>5.3</v>
      </c>
      <c r="V250" s="36">
        <f t="shared" si="104"/>
        <v>2.8</v>
      </c>
      <c r="W250" s="36">
        <f t="shared" si="104"/>
        <v>4.5</v>
      </c>
      <c r="X250" s="36">
        <f t="shared" si="104"/>
        <v>4.2</v>
      </c>
      <c r="Y250" s="36">
        <f t="shared" si="104"/>
        <v>5.2</v>
      </c>
      <c r="Z250" s="36">
        <f t="shared" si="104"/>
        <v>5.3</v>
      </c>
      <c r="AA250" s="36">
        <f t="shared" si="104"/>
        <v>5.7</v>
      </c>
      <c r="AB250" s="36">
        <f t="shared" si="104"/>
        <v>2.4</v>
      </c>
      <c r="AC250" s="36">
        <f t="shared" si="104"/>
        <v>8.6</v>
      </c>
      <c r="AD250" s="36">
        <f t="shared" si="105"/>
        <v>1.9</v>
      </c>
      <c r="AE250" s="36">
        <f t="shared" si="105"/>
        <v>4.0999999999999996</v>
      </c>
      <c r="AF250" s="36">
        <f t="shared" si="105"/>
        <v>2.8</v>
      </c>
      <c r="AG250" s="36">
        <f t="shared" si="105"/>
        <v>3.2</v>
      </c>
      <c r="AH250" s="36">
        <f t="shared" si="105"/>
        <v>4.3</v>
      </c>
      <c r="AI250" s="36">
        <f t="shared" si="105"/>
        <v>8.1999999999999993</v>
      </c>
      <c r="AJ250" s="36">
        <f t="shared" si="105"/>
        <v>1.9</v>
      </c>
      <c r="AK250" s="36">
        <f t="shared" si="105"/>
        <v>7.3</v>
      </c>
      <c r="AL250" s="36">
        <f t="shared" si="105"/>
        <v>1.9</v>
      </c>
      <c r="AM250" s="36">
        <f t="shared" si="105"/>
        <v>3</v>
      </c>
    </row>
    <row r="251" spans="15:39" x14ac:dyDescent="0.2">
      <c r="R251" s="25" t="s">
        <v>48</v>
      </c>
      <c r="S251" s="12"/>
      <c r="T251" s="36">
        <f t="shared" si="104"/>
        <v>1.1000000000000001</v>
      </c>
      <c r="U251" s="36">
        <f t="shared" si="104"/>
        <v>3.2</v>
      </c>
      <c r="V251" s="36">
        <f t="shared" si="104"/>
        <v>0.9</v>
      </c>
      <c r="W251" s="36">
        <f t="shared" si="104"/>
        <v>1.8</v>
      </c>
      <c r="X251" s="36">
        <f t="shared" si="104"/>
        <v>2.8</v>
      </c>
      <c r="Y251" s="36">
        <f t="shared" si="104"/>
        <v>1</v>
      </c>
      <c r="Z251" s="36" t="str">
        <f t="shared" si="104"/>
        <v>0.0</v>
      </c>
      <c r="AA251" s="36">
        <f t="shared" si="104"/>
        <v>3.3</v>
      </c>
      <c r="AB251" s="36">
        <f t="shared" si="104"/>
        <v>1.2</v>
      </c>
      <c r="AC251" s="36">
        <f t="shared" si="104"/>
        <v>2.9</v>
      </c>
      <c r="AD251" s="36">
        <f t="shared" si="105"/>
        <v>1</v>
      </c>
      <c r="AE251" s="36" t="str">
        <f t="shared" si="105"/>
        <v>0.0</v>
      </c>
      <c r="AF251" s="36">
        <f t="shared" si="105"/>
        <v>1.9</v>
      </c>
      <c r="AG251" s="36">
        <f t="shared" si="105"/>
        <v>2.2000000000000002</v>
      </c>
      <c r="AH251" s="36">
        <f t="shared" si="105"/>
        <v>1.7</v>
      </c>
      <c r="AI251" s="36">
        <f t="shared" si="105"/>
        <v>1.2</v>
      </c>
      <c r="AJ251" s="36" t="str">
        <f t="shared" si="105"/>
        <v>0.0</v>
      </c>
      <c r="AK251" s="36">
        <f t="shared" si="105"/>
        <v>0.9</v>
      </c>
      <c r="AL251" s="36">
        <f t="shared" si="105"/>
        <v>5.7</v>
      </c>
      <c r="AM251" s="36" t="str">
        <f t="shared" si="105"/>
        <v>0.0</v>
      </c>
    </row>
    <row r="252" spans="15:39" x14ac:dyDescent="0.2">
      <c r="R252" s="25" t="s">
        <v>45</v>
      </c>
      <c r="S252" s="12"/>
      <c r="T252" s="36">
        <f t="shared" si="104"/>
        <v>4.5999999999999996</v>
      </c>
      <c r="U252" s="36">
        <f t="shared" si="104"/>
        <v>2.1</v>
      </c>
      <c r="V252" s="36">
        <f t="shared" si="104"/>
        <v>4.5999999999999996</v>
      </c>
      <c r="W252" s="36">
        <f t="shared" si="104"/>
        <v>1.8</v>
      </c>
      <c r="X252" s="36">
        <f t="shared" si="104"/>
        <v>2.8</v>
      </c>
      <c r="Y252" s="36">
        <f t="shared" si="104"/>
        <v>4.0999999999999996</v>
      </c>
      <c r="Z252" s="36">
        <f t="shared" si="104"/>
        <v>4.3</v>
      </c>
      <c r="AA252" s="36">
        <f t="shared" si="104"/>
        <v>1.6</v>
      </c>
      <c r="AB252" s="36">
        <f t="shared" si="104"/>
        <v>6</v>
      </c>
      <c r="AC252" s="36">
        <f t="shared" si="104"/>
        <v>4.8</v>
      </c>
      <c r="AD252" s="36">
        <f t="shared" si="105"/>
        <v>2.9</v>
      </c>
      <c r="AE252" s="36">
        <f t="shared" si="105"/>
        <v>5.2</v>
      </c>
      <c r="AF252" s="36">
        <f t="shared" si="105"/>
        <v>5.6</v>
      </c>
      <c r="AG252" s="36">
        <f t="shared" si="105"/>
        <v>6.5</v>
      </c>
      <c r="AH252" s="36">
        <f t="shared" si="105"/>
        <v>5.0999999999999996</v>
      </c>
      <c r="AI252" s="36">
        <f t="shared" si="105"/>
        <v>5.9</v>
      </c>
      <c r="AJ252" s="36">
        <f t="shared" si="105"/>
        <v>4.5999999999999996</v>
      </c>
      <c r="AK252" s="36">
        <f t="shared" si="105"/>
        <v>5.5</v>
      </c>
      <c r="AL252" s="36">
        <f t="shared" si="105"/>
        <v>1.9</v>
      </c>
      <c r="AM252" s="36">
        <f t="shared" si="105"/>
        <v>5.9</v>
      </c>
    </row>
    <row r="253" spans="15:39" x14ac:dyDescent="0.2">
      <c r="O253" s="51" t="s">
        <v>102</v>
      </c>
      <c r="P253" s="12"/>
      <c r="Q253" s="45"/>
      <c r="R253" s="45"/>
      <c r="S253" s="37"/>
      <c r="T253" s="37"/>
      <c r="U253" s="37"/>
      <c r="V253" s="37"/>
      <c r="W253" s="37"/>
      <c r="X253" s="37"/>
      <c r="Y253" s="37"/>
      <c r="Z253" s="37"/>
      <c r="AA253" s="37"/>
      <c r="AB253" s="37"/>
      <c r="AC253" s="37"/>
      <c r="AD253" s="37"/>
      <c r="AE253" s="37"/>
      <c r="AF253" s="37"/>
      <c r="AG253" s="37"/>
      <c r="AH253" s="37"/>
      <c r="AI253" s="37"/>
      <c r="AJ253" s="37"/>
      <c r="AK253" s="37"/>
    </row>
    <row r="254" spans="15:39" x14ac:dyDescent="0.2">
      <c r="O254" s="26"/>
      <c r="P254" s="26"/>
      <c r="Q254" s="28"/>
      <c r="R254" s="28"/>
      <c r="S254" s="128"/>
      <c r="T254" s="128"/>
      <c r="U254" s="128"/>
      <c r="V254" s="128"/>
      <c r="W254" s="128"/>
      <c r="X254" s="128"/>
      <c r="Y254" s="128"/>
      <c r="Z254" s="128"/>
      <c r="AA254" s="128"/>
      <c r="AB254" s="128"/>
      <c r="AC254" s="128"/>
      <c r="AD254" s="128"/>
      <c r="AE254" s="128"/>
      <c r="AF254" s="128"/>
      <c r="AG254" s="128"/>
      <c r="AH254" s="128"/>
      <c r="AI254" s="128"/>
      <c r="AJ254" s="128"/>
      <c r="AK254" s="128"/>
      <c r="AL254" s="43"/>
      <c r="AM254" s="20"/>
    </row>
    <row r="255" spans="15:39" x14ac:dyDescent="0.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row>
    <row r="256" spans="15:39" x14ac:dyDescent="0.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row>
  </sheetData>
  <mergeCells count="15">
    <mergeCell ref="O44:AD44"/>
    <mergeCell ref="O130:AF130"/>
    <mergeCell ref="C4:N4"/>
    <mergeCell ref="C125:L125"/>
    <mergeCell ref="C193:L193"/>
    <mergeCell ref="O191:AB191"/>
    <mergeCell ref="C80:L80"/>
    <mergeCell ref="C52:L52"/>
    <mergeCell ref="C152:L153"/>
    <mergeCell ref="D107:L107"/>
    <mergeCell ref="C173:L173"/>
    <mergeCell ref="D166:K166"/>
    <mergeCell ref="C129:L129"/>
    <mergeCell ref="C53:L53"/>
    <mergeCell ref="O37:P37"/>
  </mergeCells>
  <hyperlinks>
    <hyperlink ref="N187" location="'MĀORI NON-MĀORI'!A1" display="Back to top"/>
    <hyperlink ref="O1" location="'Key findings'!A1" display="Back to Key Findings"/>
    <hyperlink ref="O3" location="'Māori Non-Māori'!A208" display="See Māori/Non-Māori by methods used"/>
    <hyperlink ref="O2" location="'Māori Non-Māori'!A140" display="See Māori/Non-Māori by deprivation"/>
    <hyperlink ref="N126" location="'MĀORI NON-MĀORI'!A1" display="Back to top"/>
  </hyperlinks>
  <pageMargins left="0.7" right="0.7" top="0.75" bottom="0.75" header="0.3" footer="0.3"/>
  <pageSetup paperSize="9" scale="40" fitToHeight="0" orientation="landscape" r:id="rId1"/>
  <rowBreaks count="3" manualBreakCount="3">
    <brk id="77" max="40" man="1"/>
    <brk id="121" max="40" man="1"/>
    <brk id="188" max="4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CB84"/>
  <sheetViews>
    <sheetView showGridLines="0" zoomScaleNormal="100" workbookViewId="0">
      <pane xSplit="17" topLeftCell="R1" activePane="topRight" state="frozen"/>
      <selection activeCell="G24" sqref="G24"/>
      <selection pane="topRight" activeCell="AK15" sqref="AK15"/>
    </sheetView>
  </sheetViews>
  <sheetFormatPr defaultRowHeight="12.75" customHeight="1" x14ac:dyDescent="0.2"/>
  <cols>
    <col min="1" max="1" width="6.28515625" style="9" customWidth="1"/>
    <col min="2" max="2" width="2.140625" style="9" customWidth="1"/>
    <col min="3" max="3" width="6.42578125" style="9" customWidth="1"/>
    <col min="4" max="4" width="12.28515625" style="9" customWidth="1"/>
    <col min="5" max="10" width="9.140625" style="9"/>
    <col min="11" max="11" width="9.140625" style="9" customWidth="1"/>
    <col min="12" max="12" width="2.85546875" style="10" customWidth="1"/>
    <col min="13" max="13" width="6.7109375" style="11" customWidth="1"/>
    <col min="14" max="14" width="15" style="11" customWidth="1"/>
    <col min="15" max="15" width="14.5703125" style="11" customWidth="1"/>
    <col min="16" max="16" width="10.28515625" style="11" customWidth="1"/>
    <col min="17" max="17" width="8.5703125" style="11" customWidth="1"/>
    <col min="18" max="18" width="6.28515625" style="11" customWidth="1"/>
    <col min="19" max="19" width="6.5703125" style="11" customWidth="1"/>
    <col min="20" max="24" width="5.7109375" style="11" customWidth="1"/>
    <col min="25" max="35" width="5.7109375" style="10" customWidth="1"/>
    <col min="36" max="37" width="6.28515625" style="9" customWidth="1"/>
    <col min="38" max="16384" width="9.140625" style="9"/>
  </cols>
  <sheetData>
    <row r="1" spans="2:80" ht="12.75" customHeight="1" x14ac:dyDescent="0.2">
      <c r="I1" s="8"/>
      <c r="J1" s="8"/>
      <c r="K1" s="8"/>
      <c r="O1" s="131" t="s">
        <v>505</v>
      </c>
    </row>
    <row r="2" spans="2:80" ht="25.5" customHeight="1" x14ac:dyDescent="0.35">
      <c r="C2" s="119" t="s">
        <v>359</v>
      </c>
      <c r="I2" s="8"/>
      <c r="J2" s="8"/>
      <c r="K2" s="8"/>
      <c r="N2" s="12"/>
    </row>
    <row r="3" spans="2:80" ht="6.75" customHeight="1" x14ac:dyDescent="0.35">
      <c r="C3" s="119"/>
      <c r="I3" s="8"/>
      <c r="J3" s="8"/>
      <c r="K3" s="8"/>
      <c r="N3" s="12"/>
      <c r="O3" s="131"/>
    </row>
    <row r="4" spans="2:80" ht="28.5" customHeight="1" x14ac:dyDescent="0.2">
      <c r="C4" s="562" t="s">
        <v>451</v>
      </c>
      <c r="D4" s="525"/>
      <c r="E4" s="525"/>
      <c r="F4" s="525"/>
      <c r="G4" s="525"/>
      <c r="H4" s="525"/>
      <c r="I4" s="525"/>
      <c r="J4" s="525"/>
      <c r="K4" s="525"/>
      <c r="L4" s="525"/>
      <c r="M4" s="525"/>
      <c r="N4" s="12"/>
      <c r="O4" s="9"/>
    </row>
    <row r="5" spans="2:80" ht="15" customHeight="1" x14ac:dyDescent="0.2">
      <c r="B5" s="8"/>
      <c r="C5" s="202" t="s">
        <v>602</v>
      </c>
      <c r="D5" s="8"/>
      <c r="E5" s="8"/>
      <c r="F5" s="8"/>
      <c r="G5" s="8"/>
      <c r="H5" s="8"/>
      <c r="I5" s="8"/>
      <c r="J5" s="8"/>
      <c r="K5" s="8"/>
      <c r="L5" s="8"/>
      <c r="M5" s="8"/>
      <c r="N5" s="12"/>
      <c r="O5" s="9"/>
    </row>
    <row r="6" spans="2:80" ht="12.75" customHeight="1" x14ac:dyDescent="0.25">
      <c r="O6" s="132" t="s">
        <v>194</v>
      </c>
    </row>
    <row r="7" spans="2:80" ht="12.75" customHeight="1" x14ac:dyDescent="0.2">
      <c r="B7" s="78"/>
      <c r="C7" s="58"/>
      <c r="D7" s="58"/>
      <c r="E7" s="58"/>
      <c r="F7" s="58"/>
      <c r="G7" s="58"/>
      <c r="H7" s="58"/>
      <c r="I7" s="58"/>
      <c r="J7" s="58"/>
      <c r="K7" s="58"/>
      <c r="L7" s="58"/>
      <c r="M7" s="58"/>
      <c r="Y7" s="11"/>
      <c r="Z7" s="11"/>
      <c r="AJ7" s="10"/>
      <c r="AK7" s="10"/>
      <c r="AL7" s="10"/>
    </row>
    <row r="8" spans="2:80" ht="12.75" customHeight="1" x14ac:dyDescent="0.25">
      <c r="B8" s="78"/>
      <c r="C8" s="96" t="s">
        <v>100</v>
      </c>
      <c r="D8" s="58"/>
      <c r="E8" s="59"/>
      <c r="F8" s="59"/>
      <c r="G8" s="59"/>
      <c r="H8" s="59"/>
      <c r="I8" s="59"/>
      <c r="J8" s="59"/>
      <c r="K8" s="59"/>
      <c r="L8" s="63"/>
      <c r="M8" s="63"/>
      <c r="O8" s="13" t="s">
        <v>1</v>
      </c>
      <c r="P8" s="13" t="s">
        <v>37</v>
      </c>
      <c r="R8" s="13">
        <v>1996</v>
      </c>
      <c r="S8" s="13">
        <v>1997</v>
      </c>
      <c r="T8" s="13">
        <v>1998</v>
      </c>
      <c r="U8" s="13">
        <v>1999</v>
      </c>
      <c r="V8" s="13">
        <v>2000</v>
      </c>
      <c r="W8" s="13">
        <v>2001</v>
      </c>
      <c r="X8" s="13">
        <v>2002</v>
      </c>
      <c r="Y8" s="13">
        <v>2003</v>
      </c>
      <c r="Z8" s="13">
        <v>2004</v>
      </c>
      <c r="AA8" s="13">
        <v>2005</v>
      </c>
      <c r="AB8" s="13">
        <v>2006</v>
      </c>
      <c r="AC8" s="13">
        <v>2007</v>
      </c>
      <c r="AD8" s="13">
        <v>2008</v>
      </c>
      <c r="AE8" s="13">
        <v>2009</v>
      </c>
      <c r="AF8" s="13">
        <v>2010</v>
      </c>
      <c r="AG8" s="13">
        <v>2011</v>
      </c>
      <c r="AH8" s="13">
        <v>2012</v>
      </c>
      <c r="AI8" s="13">
        <v>2013</v>
      </c>
      <c r="AJ8" s="13">
        <v>2014</v>
      </c>
      <c r="AK8" s="13">
        <v>2015</v>
      </c>
      <c r="AL8" s="10"/>
      <c r="BF8" s="508" t="s">
        <v>1</v>
      </c>
      <c r="BG8" s="508"/>
      <c r="BH8" s="508"/>
      <c r="BI8" s="508">
        <v>1996</v>
      </c>
      <c r="BJ8" s="508">
        <v>1997</v>
      </c>
      <c r="BK8" s="508">
        <v>1998</v>
      </c>
      <c r="BL8" s="508">
        <v>1999</v>
      </c>
      <c r="BM8" s="508">
        <v>2000</v>
      </c>
      <c r="BN8" s="508">
        <v>2001</v>
      </c>
      <c r="BO8" s="508">
        <v>2002</v>
      </c>
      <c r="BP8" s="508">
        <v>2003</v>
      </c>
      <c r="BQ8" s="508">
        <v>2004</v>
      </c>
      <c r="BR8" s="508">
        <v>2005</v>
      </c>
      <c r="BS8" s="508">
        <v>2006</v>
      </c>
      <c r="BT8" s="508">
        <v>2007</v>
      </c>
      <c r="BU8" s="508">
        <v>2008</v>
      </c>
      <c r="BV8" s="508">
        <v>2009</v>
      </c>
      <c r="BW8" s="508">
        <v>2010</v>
      </c>
      <c r="BX8" s="508">
        <v>2011</v>
      </c>
      <c r="BY8" s="508">
        <v>2012</v>
      </c>
      <c r="BZ8" s="508">
        <v>2013</v>
      </c>
      <c r="CA8" s="508">
        <v>2014</v>
      </c>
      <c r="CB8" s="508">
        <v>2015</v>
      </c>
    </row>
    <row r="9" spans="2:80" ht="12.75" customHeight="1" x14ac:dyDescent="0.2">
      <c r="B9" s="78"/>
      <c r="C9" s="58"/>
      <c r="D9" s="58"/>
      <c r="E9" s="59"/>
      <c r="F9" s="59"/>
      <c r="G9" s="59"/>
      <c r="H9" s="59"/>
      <c r="I9" s="59"/>
      <c r="J9" s="59"/>
      <c r="K9" s="59"/>
      <c r="L9" s="63"/>
      <c r="M9" s="63"/>
      <c r="AL9" s="10"/>
      <c r="BF9" s="508" t="s">
        <v>20</v>
      </c>
      <c r="BG9" s="508" t="s">
        <v>15</v>
      </c>
      <c r="BH9" s="508"/>
      <c r="BI9" s="510">
        <f t="shared" ref="BI9:CB9" si="0">VLOOKUP(BI$8&amp;"Male"&amp;"AllEth"&amp;19,agesextable,7,FALSE)</f>
        <v>22.945293453419598</v>
      </c>
      <c r="BJ9" s="510">
        <f t="shared" si="0"/>
        <v>23.553351547621599</v>
      </c>
      <c r="BK9" s="510">
        <f t="shared" si="0"/>
        <v>23.645478379784802</v>
      </c>
      <c r="BL9" s="510">
        <f t="shared" si="0"/>
        <v>20.3315431402172</v>
      </c>
      <c r="BM9" s="510">
        <f t="shared" si="0"/>
        <v>19.947436156558702</v>
      </c>
      <c r="BN9" s="510">
        <f t="shared" si="0"/>
        <v>20.356398349177098</v>
      </c>
      <c r="BO9" s="510">
        <f t="shared" si="0"/>
        <v>18.167720892576899</v>
      </c>
      <c r="BP9" s="510">
        <f t="shared" si="0"/>
        <v>18.574084657112099</v>
      </c>
      <c r="BQ9" s="510">
        <f t="shared" si="0"/>
        <v>18.725315817265901</v>
      </c>
      <c r="BR9" s="510">
        <f t="shared" si="0"/>
        <v>18.722380905625801</v>
      </c>
      <c r="BS9" s="510">
        <f t="shared" si="0"/>
        <v>18.521171460464299</v>
      </c>
      <c r="BT9" s="510">
        <f t="shared" si="0"/>
        <v>17.981880281474702</v>
      </c>
      <c r="BU9" s="510">
        <f t="shared" si="0"/>
        <v>17.700121249097698</v>
      </c>
      <c r="BV9" s="510">
        <f t="shared" si="0"/>
        <v>18.249471294450601</v>
      </c>
      <c r="BW9" s="510">
        <f t="shared" si="0"/>
        <v>17.638688314312301</v>
      </c>
      <c r="BX9" s="510">
        <f t="shared" si="0"/>
        <v>17.402217133944198</v>
      </c>
      <c r="BY9" s="510">
        <f t="shared" si="0"/>
        <v>18.616289554563799</v>
      </c>
      <c r="BZ9" s="510">
        <f t="shared" si="0"/>
        <v>15.948704143969101</v>
      </c>
      <c r="CA9" s="510">
        <f t="shared" si="0"/>
        <v>16.462028222989101</v>
      </c>
      <c r="CB9" s="510">
        <f t="shared" si="0"/>
        <v>16.341274903858402</v>
      </c>
    </row>
    <row r="10" spans="2:80" ht="12.75" customHeight="1" x14ac:dyDescent="0.2">
      <c r="B10" s="78"/>
      <c r="C10" s="58"/>
      <c r="D10" s="58"/>
      <c r="E10" s="59"/>
      <c r="F10" s="59"/>
      <c r="G10" s="59"/>
      <c r="H10" s="59"/>
      <c r="I10" s="59"/>
      <c r="J10" s="59"/>
      <c r="K10" s="59"/>
      <c r="L10" s="63"/>
      <c r="M10" s="63"/>
      <c r="O10" s="11" t="s">
        <v>0</v>
      </c>
      <c r="P10" s="19" t="s">
        <v>9</v>
      </c>
      <c r="Q10" s="11" t="s">
        <v>21</v>
      </c>
      <c r="R10" s="11">
        <f t="shared" ref="R10:AK10" si="1">VLOOKUP(R$8&amp;"AllSex"&amp;"AllEth"&amp;19,agesextable,6,FALSE)</f>
        <v>540</v>
      </c>
      <c r="S10" s="11">
        <f t="shared" si="1"/>
        <v>562</v>
      </c>
      <c r="T10" s="11">
        <f t="shared" si="1"/>
        <v>579</v>
      </c>
      <c r="U10" s="11">
        <f t="shared" si="1"/>
        <v>517</v>
      </c>
      <c r="V10" s="11">
        <f t="shared" si="1"/>
        <v>459</v>
      </c>
      <c r="W10" s="11">
        <f t="shared" si="1"/>
        <v>508</v>
      </c>
      <c r="X10" s="11">
        <f t="shared" si="1"/>
        <v>470</v>
      </c>
      <c r="Y10" s="11">
        <f t="shared" si="1"/>
        <v>522</v>
      </c>
      <c r="Z10" s="11">
        <f t="shared" si="1"/>
        <v>494</v>
      </c>
      <c r="AA10" s="11">
        <f t="shared" si="1"/>
        <v>515</v>
      </c>
      <c r="AB10" s="11">
        <f t="shared" si="1"/>
        <v>524</v>
      </c>
      <c r="AC10" s="11">
        <f t="shared" si="1"/>
        <v>501</v>
      </c>
      <c r="AD10" s="11">
        <f t="shared" si="1"/>
        <v>518</v>
      </c>
      <c r="AE10" s="11">
        <f t="shared" si="1"/>
        <v>512</v>
      </c>
      <c r="AF10" s="11">
        <f t="shared" si="1"/>
        <v>534</v>
      </c>
      <c r="AG10" s="11">
        <f t="shared" si="1"/>
        <v>494</v>
      </c>
      <c r="AH10" s="11">
        <f t="shared" si="1"/>
        <v>550</v>
      </c>
      <c r="AI10" s="11">
        <f t="shared" si="1"/>
        <v>514</v>
      </c>
      <c r="AJ10" s="11">
        <f t="shared" si="1"/>
        <v>509</v>
      </c>
      <c r="AK10" s="11">
        <f t="shared" si="1"/>
        <v>525</v>
      </c>
      <c r="AL10" s="10"/>
      <c r="BF10" s="508"/>
      <c r="BG10" s="508" t="s">
        <v>16</v>
      </c>
      <c r="BH10" s="508"/>
      <c r="BI10" s="508">
        <f t="shared" ref="BI10:CB10" si="2">VLOOKUP(BI$8&amp;"Male"&amp;"AllEth"&amp;19,agesextable,8,FALSE)</f>
        <v>2.2000000000000002</v>
      </c>
      <c r="BJ10" s="508">
        <f t="shared" si="2"/>
        <v>2.2000000000000002</v>
      </c>
      <c r="BK10" s="508">
        <f t="shared" si="2"/>
        <v>2.2000000000000002</v>
      </c>
      <c r="BL10" s="508">
        <f t="shared" si="2"/>
        <v>2</v>
      </c>
      <c r="BM10" s="508">
        <f t="shared" si="2"/>
        <v>2</v>
      </c>
      <c r="BN10" s="508">
        <f t="shared" si="2"/>
        <v>2</v>
      </c>
      <c r="BO10" s="508">
        <f t="shared" si="2"/>
        <v>1.9</v>
      </c>
      <c r="BP10" s="508">
        <f t="shared" si="2"/>
        <v>1.9</v>
      </c>
      <c r="BQ10" s="508">
        <f t="shared" si="2"/>
        <v>1.9</v>
      </c>
      <c r="BR10" s="508">
        <f t="shared" si="2"/>
        <v>1.9</v>
      </c>
      <c r="BS10" s="508">
        <f t="shared" si="2"/>
        <v>1.8</v>
      </c>
      <c r="BT10" s="508">
        <f t="shared" si="2"/>
        <v>1.8</v>
      </c>
      <c r="BU10" s="508">
        <f t="shared" si="2"/>
        <v>1.8</v>
      </c>
      <c r="BV10" s="508">
        <f t="shared" si="2"/>
        <v>1.8</v>
      </c>
      <c r="BW10" s="508">
        <f t="shared" si="2"/>
        <v>1.8</v>
      </c>
      <c r="BX10" s="508">
        <f t="shared" si="2"/>
        <v>1.8</v>
      </c>
      <c r="BY10" s="508">
        <f t="shared" si="2"/>
        <v>1.8</v>
      </c>
      <c r="BZ10" s="508">
        <f t="shared" si="2"/>
        <v>1.6</v>
      </c>
      <c r="CA10" s="508">
        <f t="shared" si="2"/>
        <v>1.7</v>
      </c>
      <c r="CB10" s="508">
        <f t="shared" si="2"/>
        <v>1.6</v>
      </c>
    </row>
    <row r="11" spans="2:80" ht="12.75" customHeight="1" x14ac:dyDescent="0.2">
      <c r="B11" s="78"/>
      <c r="C11" s="58"/>
      <c r="D11" s="58"/>
      <c r="E11" s="59"/>
      <c r="F11" s="59"/>
      <c r="G11" s="59"/>
      <c r="H11" s="59"/>
      <c r="I11" s="59"/>
      <c r="J11" s="59"/>
      <c r="K11" s="59"/>
      <c r="L11" s="62"/>
      <c r="M11" s="63"/>
      <c r="O11" s="11" t="s">
        <v>20</v>
      </c>
      <c r="P11" s="19"/>
      <c r="R11" s="11">
        <f t="shared" ref="R11:AK11" si="3">VLOOKUP(R$8&amp;"Male"&amp;"AllEth"&amp;19,agesextable,6,FALSE)</f>
        <v>429</v>
      </c>
      <c r="S11" s="11">
        <f t="shared" si="3"/>
        <v>441</v>
      </c>
      <c r="T11" s="11">
        <f t="shared" si="3"/>
        <v>446</v>
      </c>
      <c r="U11" s="11">
        <f t="shared" si="3"/>
        <v>385</v>
      </c>
      <c r="V11" s="11">
        <f t="shared" si="3"/>
        <v>376</v>
      </c>
      <c r="W11" s="11">
        <f t="shared" si="3"/>
        <v>390</v>
      </c>
      <c r="X11" s="11">
        <f t="shared" si="3"/>
        <v>356</v>
      </c>
      <c r="Y11" s="11">
        <f t="shared" si="3"/>
        <v>380</v>
      </c>
      <c r="Z11" s="11">
        <f t="shared" si="3"/>
        <v>382</v>
      </c>
      <c r="AA11" s="11">
        <f t="shared" si="3"/>
        <v>383</v>
      </c>
      <c r="AB11" s="11">
        <f t="shared" si="3"/>
        <v>387</v>
      </c>
      <c r="AC11" s="11">
        <f t="shared" si="3"/>
        <v>381</v>
      </c>
      <c r="AD11" s="11">
        <f t="shared" si="3"/>
        <v>379</v>
      </c>
      <c r="AE11" s="11">
        <f t="shared" si="3"/>
        <v>394</v>
      </c>
      <c r="AF11" s="11">
        <f t="shared" si="3"/>
        <v>387</v>
      </c>
      <c r="AG11" s="11">
        <f t="shared" si="3"/>
        <v>377</v>
      </c>
      <c r="AH11" s="11">
        <f t="shared" si="3"/>
        <v>405</v>
      </c>
      <c r="AI11" s="11">
        <f t="shared" si="3"/>
        <v>366</v>
      </c>
      <c r="AJ11" s="11">
        <f t="shared" si="3"/>
        <v>379</v>
      </c>
      <c r="AK11" s="11">
        <f t="shared" si="3"/>
        <v>383</v>
      </c>
      <c r="AL11" s="10"/>
      <c r="BF11" s="508" t="s">
        <v>8</v>
      </c>
      <c r="BG11" s="508" t="s">
        <v>15</v>
      </c>
      <c r="BH11" s="508"/>
      <c r="BI11" s="510">
        <f t="shared" ref="BI11:CB11" si="4">VLOOKUP(BI$8&amp;"Female"&amp;"AllEth"&amp;19,agesextable,7,FALSE)</f>
        <v>5.8886653384406102</v>
      </c>
      <c r="BJ11" s="510">
        <f t="shared" si="4"/>
        <v>6.2967087648044799</v>
      </c>
      <c r="BK11" s="510">
        <f t="shared" si="4"/>
        <v>6.7999900162587199</v>
      </c>
      <c r="BL11" s="510">
        <f t="shared" si="4"/>
        <v>6.7167156494892</v>
      </c>
      <c r="BM11" s="510">
        <f t="shared" si="4"/>
        <v>4.1665204234231998</v>
      </c>
      <c r="BN11" s="510">
        <f t="shared" si="4"/>
        <v>5.8286706673737303</v>
      </c>
      <c r="BO11" s="510">
        <f t="shared" si="4"/>
        <v>5.6012768971608997</v>
      </c>
      <c r="BP11" s="510">
        <f t="shared" si="4"/>
        <v>6.6355676799870498</v>
      </c>
      <c r="BQ11" s="510">
        <f t="shared" si="4"/>
        <v>5.3216551470799702</v>
      </c>
      <c r="BR11" s="510">
        <f t="shared" si="4"/>
        <v>5.9861646575977696</v>
      </c>
      <c r="BS11" s="510">
        <f t="shared" si="4"/>
        <v>6.2050827070238999</v>
      </c>
      <c r="BT11" s="510">
        <f t="shared" si="4"/>
        <v>5.16144825407138</v>
      </c>
      <c r="BU11" s="510">
        <f t="shared" si="4"/>
        <v>6.26512973729122</v>
      </c>
      <c r="BV11" s="510">
        <f t="shared" si="4"/>
        <v>5.08858477285475</v>
      </c>
      <c r="BW11" s="510">
        <f t="shared" si="4"/>
        <v>6.5442717734968303</v>
      </c>
      <c r="BX11" s="510">
        <f t="shared" si="4"/>
        <v>5.1499552709199499</v>
      </c>
      <c r="BY11" s="510">
        <f t="shared" si="4"/>
        <v>6.37288192291782</v>
      </c>
      <c r="BZ11" s="510">
        <f t="shared" si="4"/>
        <v>6.4674511523826501</v>
      </c>
      <c r="CA11" s="510">
        <f t="shared" si="4"/>
        <v>5.4320300052619803</v>
      </c>
      <c r="CB11" s="510">
        <f t="shared" si="4"/>
        <v>5.9998856620394596</v>
      </c>
    </row>
    <row r="12" spans="2:80" ht="12.75" customHeight="1" x14ac:dyDescent="0.2">
      <c r="B12" s="78"/>
      <c r="C12" s="58"/>
      <c r="D12" s="58"/>
      <c r="E12" s="59"/>
      <c r="F12" s="59"/>
      <c r="G12" s="59"/>
      <c r="H12" s="59"/>
      <c r="I12" s="59"/>
      <c r="J12" s="59"/>
      <c r="K12" s="59"/>
      <c r="L12" s="62"/>
      <c r="M12" s="63"/>
      <c r="O12" s="11" t="s">
        <v>8</v>
      </c>
      <c r="P12" s="19"/>
      <c r="R12" s="11">
        <f t="shared" ref="R12:AK12" si="5">VLOOKUP(R$8&amp;"Female"&amp;"AllEth"&amp;19,agesextable,6,FALSE)</f>
        <v>111</v>
      </c>
      <c r="S12" s="11">
        <f t="shared" si="5"/>
        <v>121</v>
      </c>
      <c r="T12" s="11">
        <f t="shared" si="5"/>
        <v>133</v>
      </c>
      <c r="U12" s="11">
        <f t="shared" si="5"/>
        <v>132</v>
      </c>
      <c r="V12" s="11">
        <f t="shared" si="5"/>
        <v>83</v>
      </c>
      <c r="W12" s="11">
        <f t="shared" si="5"/>
        <v>118</v>
      </c>
      <c r="X12" s="11">
        <f t="shared" si="5"/>
        <v>114</v>
      </c>
      <c r="Y12" s="11">
        <f t="shared" si="5"/>
        <v>142</v>
      </c>
      <c r="Z12" s="11">
        <f t="shared" si="5"/>
        <v>112</v>
      </c>
      <c r="AA12" s="11">
        <f t="shared" si="5"/>
        <v>132</v>
      </c>
      <c r="AB12" s="11">
        <f t="shared" si="5"/>
        <v>137</v>
      </c>
      <c r="AC12" s="11">
        <f t="shared" si="5"/>
        <v>120</v>
      </c>
      <c r="AD12" s="11">
        <f t="shared" si="5"/>
        <v>139</v>
      </c>
      <c r="AE12" s="11">
        <f t="shared" si="5"/>
        <v>118</v>
      </c>
      <c r="AF12" s="11">
        <f t="shared" si="5"/>
        <v>147</v>
      </c>
      <c r="AG12" s="11">
        <f t="shared" si="5"/>
        <v>117</v>
      </c>
      <c r="AH12" s="11">
        <f t="shared" si="5"/>
        <v>145</v>
      </c>
      <c r="AI12" s="11">
        <f t="shared" si="5"/>
        <v>148</v>
      </c>
      <c r="AJ12" s="11">
        <f t="shared" si="5"/>
        <v>130</v>
      </c>
      <c r="AK12" s="11">
        <f t="shared" si="5"/>
        <v>142</v>
      </c>
      <c r="BF12" s="508"/>
      <c r="BG12" s="508" t="s">
        <v>16</v>
      </c>
      <c r="BH12" s="508"/>
      <c r="BI12" s="508">
        <f t="shared" ref="BI12:CB12" si="6">VLOOKUP(BI$8&amp;"Female"&amp;"AllEth"&amp;19,agesextable,8,FALSE)</f>
        <v>1.1000000000000001</v>
      </c>
      <c r="BJ12" s="508">
        <f t="shared" si="6"/>
        <v>1.1000000000000001</v>
      </c>
      <c r="BK12" s="508">
        <f t="shared" si="6"/>
        <v>1.2</v>
      </c>
      <c r="BL12" s="508">
        <f t="shared" si="6"/>
        <v>1.1000000000000001</v>
      </c>
      <c r="BM12" s="508">
        <f t="shared" si="6"/>
        <v>0.9</v>
      </c>
      <c r="BN12" s="508">
        <f t="shared" si="6"/>
        <v>1.1000000000000001</v>
      </c>
      <c r="BO12" s="508">
        <f t="shared" si="6"/>
        <v>1</v>
      </c>
      <c r="BP12" s="508">
        <f t="shared" si="6"/>
        <v>1.1000000000000001</v>
      </c>
      <c r="BQ12" s="508">
        <f t="shared" si="6"/>
        <v>1</v>
      </c>
      <c r="BR12" s="508">
        <f t="shared" si="6"/>
        <v>1</v>
      </c>
      <c r="BS12" s="508">
        <f t="shared" si="6"/>
        <v>1</v>
      </c>
      <c r="BT12" s="508">
        <f t="shared" si="6"/>
        <v>0.9</v>
      </c>
      <c r="BU12" s="508">
        <f t="shared" si="6"/>
        <v>1</v>
      </c>
      <c r="BV12" s="508">
        <f t="shared" si="6"/>
        <v>0.9</v>
      </c>
      <c r="BW12" s="508">
        <f t="shared" si="6"/>
        <v>1.1000000000000001</v>
      </c>
      <c r="BX12" s="508">
        <f t="shared" si="6"/>
        <v>0.9</v>
      </c>
      <c r="BY12" s="508">
        <f t="shared" si="6"/>
        <v>1</v>
      </c>
      <c r="BZ12" s="508">
        <f t="shared" si="6"/>
        <v>1</v>
      </c>
      <c r="CA12" s="508">
        <f t="shared" si="6"/>
        <v>0.9</v>
      </c>
      <c r="CB12" s="508">
        <f t="shared" si="6"/>
        <v>1</v>
      </c>
    </row>
    <row r="13" spans="2:80" ht="12.75" customHeight="1" x14ac:dyDescent="0.2">
      <c r="B13" s="78"/>
      <c r="C13" s="58"/>
      <c r="D13" s="58"/>
      <c r="E13" s="59"/>
      <c r="F13" s="59"/>
      <c r="G13" s="59"/>
      <c r="H13" s="59"/>
      <c r="I13" s="59"/>
      <c r="J13" s="59"/>
      <c r="K13" s="59"/>
      <c r="L13" s="62"/>
      <c r="M13" s="63"/>
      <c r="O13" s="16"/>
      <c r="P13" s="383"/>
      <c r="Q13" s="16"/>
      <c r="R13" s="16"/>
      <c r="S13" s="16"/>
      <c r="T13" s="16"/>
      <c r="U13" s="16"/>
      <c r="V13" s="16"/>
      <c r="W13" s="16"/>
      <c r="X13" s="16"/>
      <c r="Y13" s="16"/>
      <c r="Z13" s="16"/>
      <c r="AA13" s="16"/>
      <c r="AB13" s="16"/>
      <c r="AC13" s="16"/>
      <c r="AD13" s="16"/>
      <c r="AE13" s="16"/>
      <c r="AF13" s="16"/>
      <c r="AG13" s="16"/>
      <c r="AH13" s="16"/>
      <c r="AI13" s="16"/>
      <c r="AJ13" s="15"/>
      <c r="AK13" s="15"/>
      <c r="AL13" s="64"/>
      <c r="AM13" s="65"/>
      <c r="AN13" s="65"/>
    </row>
    <row r="14" spans="2:80" ht="12.75" customHeight="1" x14ac:dyDescent="0.2">
      <c r="B14" s="78"/>
      <c r="C14" s="58"/>
      <c r="D14" s="58"/>
      <c r="E14" s="59"/>
      <c r="F14" s="59"/>
      <c r="G14" s="59"/>
      <c r="H14" s="59"/>
      <c r="I14" s="59"/>
      <c r="J14" s="59"/>
      <c r="K14" s="59"/>
      <c r="L14" s="62"/>
      <c r="M14" s="63"/>
      <c r="O14" s="11" t="s">
        <v>0</v>
      </c>
      <c r="P14" s="19" t="s">
        <v>9</v>
      </c>
      <c r="Q14" s="11" t="s">
        <v>22</v>
      </c>
      <c r="R14" s="14">
        <f t="shared" ref="R14:AK14" si="7">VLOOKUP(R$8&amp;"AllSex"&amp;"AllEth"&amp;19,agesextable,7,FALSE)</f>
        <v>14.1955765609588</v>
      </c>
      <c r="S14" s="14">
        <f t="shared" si="7"/>
        <v>14.7420910684024</v>
      </c>
      <c r="T14" s="14">
        <f t="shared" si="7"/>
        <v>15.0505296495582</v>
      </c>
      <c r="U14" s="14">
        <f t="shared" si="7"/>
        <v>13.3447308402635</v>
      </c>
      <c r="V14" s="14">
        <f t="shared" si="7"/>
        <v>11.849825329552701</v>
      </c>
      <c r="W14" s="14">
        <f t="shared" si="7"/>
        <v>12.883752602379101</v>
      </c>
      <c r="X14" s="14">
        <f t="shared" si="7"/>
        <v>11.6928074680746</v>
      </c>
      <c r="Y14" s="14">
        <f t="shared" si="7"/>
        <v>12.438164727895</v>
      </c>
      <c r="Z14" s="14">
        <f t="shared" si="7"/>
        <v>11.7975245433749</v>
      </c>
      <c r="AA14" s="14">
        <f t="shared" si="7"/>
        <v>12.193157353861301</v>
      </c>
      <c r="AB14" s="14">
        <f t="shared" si="7"/>
        <v>12.199561585611701</v>
      </c>
      <c r="AC14" s="14">
        <f t="shared" si="7"/>
        <v>11.3776715520784</v>
      </c>
      <c r="AD14" s="14">
        <f t="shared" si="7"/>
        <v>11.809655272717</v>
      </c>
      <c r="AE14" s="14">
        <f t="shared" si="7"/>
        <v>11.484055558810701</v>
      </c>
      <c r="AF14" s="14">
        <f t="shared" si="7"/>
        <v>11.9073434349195</v>
      </c>
      <c r="AG14" s="14">
        <f t="shared" si="7"/>
        <v>11.118020247642701</v>
      </c>
      <c r="AH14" s="14">
        <f t="shared" si="7"/>
        <v>12.338278444361899</v>
      </c>
      <c r="AI14" s="14">
        <f t="shared" si="7"/>
        <v>11.034032541703001</v>
      </c>
      <c r="AJ14" s="14">
        <f t="shared" si="7"/>
        <v>10.7943716813274</v>
      </c>
      <c r="AK14" s="14">
        <f t="shared" si="7"/>
        <v>11.023796328985499</v>
      </c>
      <c r="AL14" s="64"/>
      <c r="AM14" s="64"/>
      <c r="AN14" s="64"/>
    </row>
    <row r="15" spans="2:80" ht="12.75" customHeight="1" x14ac:dyDescent="0.2">
      <c r="B15" s="78"/>
      <c r="C15" s="58"/>
      <c r="D15" s="58"/>
      <c r="E15" s="59"/>
      <c r="F15" s="59"/>
      <c r="G15" s="59"/>
      <c r="H15" s="59"/>
      <c r="I15" s="59"/>
      <c r="J15" s="59"/>
      <c r="K15" s="59"/>
      <c r="L15" s="62"/>
      <c r="M15" s="63"/>
      <c r="O15" s="11" t="s">
        <v>20</v>
      </c>
      <c r="P15" s="19"/>
      <c r="R15" s="14">
        <f t="shared" ref="R15:AK15" si="8">VLOOKUP(R$8&amp;"Male"&amp;"AllEth"&amp;19,agesextable,7,FALSE)</f>
        <v>22.945293453419598</v>
      </c>
      <c r="S15" s="14">
        <f t="shared" si="8"/>
        <v>23.553351547621599</v>
      </c>
      <c r="T15" s="14">
        <f t="shared" si="8"/>
        <v>23.645478379784802</v>
      </c>
      <c r="U15" s="14">
        <f t="shared" si="8"/>
        <v>20.3315431402172</v>
      </c>
      <c r="V15" s="14">
        <f t="shared" si="8"/>
        <v>19.947436156558702</v>
      </c>
      <c r="W15" s="14">
        <f t="shared" si="8"/>
        <v>20.356398349177098</v>
      </c>
      <c r="X15" s="14">
        <f t="shared" si="8"/>
        <v>18.167720892576899</v>
      </c>
      <c r="Y15" s="14">
        <f t="shared" si="8"/>
        <v>18.574084657112099</v>
      </c>
      <c r="Z15" s="14">
        <f t="shared" si="8"/>
        <v>18.725315817265901</v>
      </c>
      <c r="AA15" s="14">
        <f t="shared" si="8"/>
        <v>18.722380905625801</v>
      </c>
      <c r="AB15" s="14">
        <f t="shared" si="8"/>
        <v>18.521171460464299</v>
      </c>
      <c r="AC15" s="14">
        <f t="shared" si="8"/>
        <v>17.981880281474702</v>
      </c>
      <c r="AD15" s="14">
        <f t="shared" si="8"/>
        <v>17.700121249097698</v>
      </c>
      <c r="AE15" s="14">
        <f t="shared" si="8"/>
        <v>18.249471294450601</v>
      </c>
      <c r="AF15" s="14">
        <f t="shared" si="8"/>
        <v>17.638688314312301</v>
      </c>
      <c r="AG15" s="14">
        <f t="shared" si="8"/>
        <v>17.402217133944198</v>
      </c>
      <c r="AH15" s="14">
        <f t="shared" si="8"/>
        <v>18.616289554563799</v>
      </c>
      <c r="AI15" s="14">
        <f t="shared" si="8"/>
        <v>15.948704143969101</v>
      </c>
      <c r="AJ15" s="14">
        <f t="shared" si="8"/>
        <v>16.462028222989101</v>
      </c>
      <c r="AK15" s="14">
        <f t="shared" si="8"/>
        <v>16.341274903858402</v>
      </c>
      <c r="AL15" s="64"/>
      <c r="AM15" s="64"/>
      <c r="AN15" s="64"/>
    </row>
    <row r="16" spans="2:80" ht="12.75" customHeight="1" x14ac:dyDescent="0.2">
      <c r="B16" s="78"/>
      <c r="C16" s="58"/>
      <c r="D16" s="58"/>
      <c r="E16" s="59"/>
      <c r="F16" s="59"/>
      <c r="G16" s="59"/>
      <c r="H16" s="59"/>
      <c r="I16" s="59"/>
      <c r="J16" s="59"/>
      <c r="K16" s="59"/>
      <c r="L16" s="58"/>
      <c r="M16" s="63"/>
      <c r="O16" s="11" t="s">
        <v>8</v>
      </c>
      <c r="P16" s="19"/>
      <c r="R16" s="14">
        <f t="shared" ref="R16:AK16" si="9">VLOOKUP(R$8&amp;"Female"&amp;"AllEth"&amp;19,agesextable,7,FALSE)</f>
        <v>5.8886653384406102</v>
      </c>
      <c r="S16" s="14">
        <f t="shared" si="9"/>
        <v>6.2967087648044799</v>
      </c>
      <c r="T16" s="14">
        <f t="shared" si="9"/>
        <v>6.7999900162587199</v>
      </c>
      <c r="U16" s="14">
        <f t="shared" si="9"/>
        <v>6.7167156494892</v>
      </c>
      <c r="V16" s="14">
        <f t="shared" si="9"/>
        <v>4.1665204234231998</v>
      </c>
      <c r="W16" s="14">
        <f t="shared" si="9"/>
        <v>5.8286706673737303</v>
      </c>
      <c r="X16" s="14">
        <f t="shared" si="9"/>
        <v>5.6012768971608997</v>
      </c>
      <c r="Y16" s="14">
        <f t="shared" si="9"/>
        <v>6.6355676799870498</v>
      </c>
      <c r="Z16" s="14">
        <f t="shared" si="9"/>
        <v>5.3216551470799702</v>
      </c>
      <c r="AA16" s="14">
        <f t="shared" si="9"/>
        <v>5.9861646575977696</v>
      </c>
      <c r="AB16" s="14">
        <f t="shared" si="9"/>
        <v>6.2050827070238999</v>
      </c>
      <c r="AC16" s="14">
        <f t="shared" si="9"/>
        <v>5.16144825407138</v>
      </c>
      <c r="AD16" s="14">
        <f t="shared" si="9"/>
        <v>6.26512973729122</v>
      </c>
      <c r="AE16" s="14">
        <f t="shared" si="9"/>
        <v>5.08858477285475</v>
      </c>
      <c r="AF16" s="14">
        <f t="shared" si="9"/>
        <v>6.5442717734968303</v>
      </c>
      <c r="AG16" s="14">
        <f t="shared" si="9"/>
        <v>5.1499552709199499</v>
      </c>
      <c r="AH16" s="14">
        <f t="shared" si="9"/>
        <v>6.37288192291782</v>
      </c>
      <c r="AI16" s="14">
        <f t="shared" si="9"/>
        <v>6.4674511523826501</v>
      </c>
      <c r="AJ16" s="14">
        <f t="shared" si="9"/>
        <v>5.4320300052619803</v>
      </c>
      <c r="AK16" s="14">
        <f t="shared" si="9"/>
        <v>5.9998856620394596</v>
      </c>
      <c r="AL16" s="10"/>
    </row>
    <row r="17" spans="2:38" ht="12.75" customHeight="1" x14ac:dyDescent="0.2">
      <c r="B17" s="78"/>
      <c r="C17" s="58"/>
      <c r="D17" s="58"/>
      <c r="E17" s="59"/>
      <c r="F17" s="59"/>
      <c r="G17" s="59"/>
      <c r="H17" s="59"/>
      <c r="I17" s="59"/>
      <c r="J17" s="59"/>
      <c r="K17" s="59"/>
      <c r="L17" s="62"/>
      <c r="M17" s="63"/>
      <c r="O17" s="16"/>
      <c r="P17" s="383"/>
      <c r="Q17" s="16"/>
      <c r="R17" s="16"/>
      <c r="S17" s="16"/>
      <c r="T17" s="16"/>
      <c r="U17" s="16"/>
      <c r="V17" s="16"/>
      <c r="W17" s="16"/>
      <c r="X17" s="16"/>
      <c r="Y17" s="16"/>
      <c r="Z17" s="16"/>
      <c r="AA17" s="16"/>
      <c r="AB17" s="16"/>
      <c r="AC17" s="16"/>
      <c r="AD17" s="16"/>
      <c r="AE17" s="16"/>
      <c r="AF17" s="16"/>
      <c r="AG17" s="16"/>
      <c r="AH17" s="16"/>
      <c r="AI17" s="16"/>
      <c r="AJ17" s="16"/>
      <c r="AK17" s="16"/>
      <c r="AL17" s="10"/>
    </row>
    <row r="18" spans="2:38" ht="12.75" customHeight="1" x14ac:dyDescent="0.2">
      <c r="B18" s="78"/>
      <c r="C18" s="58"/>
      <c r="D18" s="58"/>
      <c r="E18" s="59"/>
      <c r="F18" s="59"/>
      <c r="G18" s="59"/>
      <c r="H18" s="59"/>
      <c r="I18" s="59"/>
      <c r="J18" s="59"/>
      <c r="K18" s="59"/>
      <c r="L18" s="62"/>
      <c r="M18" s="63"/>
      <c r="O18" s="11" t="s">
        <v>141</v>
      </c>
      <c r="P18" s="19" t="s">
        <v>142</v>
      </c>
      <c r="Q18" s="11" t="s">
        <v>113</v>
      </c>
      <c r="R18" s="14">
        <f>R15/R16</f>
        <v>3.8965185037151033</v>
      </c>
      <c r="S18" s="14">
        <f t="shared" ref="S18:AK18" si="10">S15/S16</f>
        <v>3.740581377889558</v>
      </c>
      <c r="T18" s="14">
        <f t="shared" si="10"/>
        <v>3.4772813376561817</v>
      </c>
      <c r="U18" s="14">
        <f t="shared" si="10"/>
        <v>3.0270066802311923</v>
      </c>
      <c r="V18" s="14">
        <f t="shared" si="10"/>
        <v>4.7875527129109692</v>
      </c>
      <c r="W18" s="14">
        <f t="shared" si="10"/>
        <v>3.4924598610662696</v>
      </c>
      <c r="X18" s="14">
        <f t="shared" si="10"/>
        <v>3.2434963002428088</v>
      </c>
      <c r="Y18" s="14">
        <f t="shared" si="10"/>
        <v>2.7991704030284787</v>
      </c>
      <c r="Z18" s="14">
        <f t="shared" si="10"/>
        <v>3.5187014753371635</v>
      </c>
      <c r="AA18" s="14">
        <f t="shared" si="10"/>
        <v>3.1276087405753117</v>
      </c>
      <c r="AB18" s="14">
        <f t="shared" si="10"/>
        <v>2.9848387741067639</v>
      </c>
      <c r="AC18" s="14">
        <f t="shared" si="10"/>
        <v>3.4838827004204664</v>
      </c>
      <c r="AD18" s="14">
        <f t="shared" si="10"/>
        <v>2.8251803220838791</v>
      </c>
      <c r="AE18" s="14">
        <f t="shared" si="10"/>
        <v>3.5863549707972053</v>
      </c>
      <c r="AF18" s="14">
        <f t="shared" si="10"/>
        <v>2.6952866452988613</v>
      </c>
      <c r="AG18" s="14">
        <f t="shared" si="10"/>
        <v>3.3791006365062266</v>
      </c>
      <c r="AH18" s="14">
        <f t="shared" si="10"/>
        <v>2.9211728351057134</v>
      </c>
      <c r="AI18" s="14">
        <f t="shared" si="10"/>
        <v>2.4659952998784531</v>
      </c>
      <c r="AJ18" s="14">
        <f t="shared" si="10"/>
        <v>3.0305481020985554</v>
      </c>
      <c r="AK18" s="14">
        <f t="shared" si="10"/>
        <v>2.7235977190778224</v>
      </c>
      <c r="AL18" s="10"/>
    </row>
    <row r="19" spans="2:38" ht="12.75" customHeight="1" x14ac:dyDescent="0.2">
      <c r="B19" s="78"/>
      <c r="C19" s="58"/>
      <c r="D19" s="58"/>
      <c r="E19" s="59"/>
      <c r="F19" s="59"/>
      <c r="G19" s="59"/>
      <c r="H19" s="59"/>
      <c r="I19" s="59"/>
      <c r="J19" s="59"/>
      <c r="K19" s="59"/>
      <c r="L19" s="62"/>
      <c r="M19" s="63"/>
      <c r="AL19" s="10"/>
    </row>
    <row r="20" spans="2:38" ht="12.75" customHeight="1" x14ac:dyDescent="0.2">
      <c r="B20" s="78"/>
      <c r="C20" s="58"/>
      <c r="D20" s="58"/>
      <c r="E20" s="59"/>
      <c r="F20" s="59"/>
      <c r="G20" s="59"/>
      <c r="H20" s="59"/>
      <c r="I20" s="59"/>
      <c r="J20" s="59"/>
      <c r="K20" s="59"/>
      <c r="L20" s="62"/>
      <c r="M20" s="63"/>
      <c r="O20" s="301" t="s">
        <v>390</v>
      </c>
      <c r="P20" s="301"/>
      <c r="Q20" s="302"/>
      <c r="R20" s="302"/>
      <c r="S20" s="339"/>
      <c r="T20" s="116"/>
      <c r="U20" s="116"/>
      <c r="V20" s="116"/>
      <c r="W20" s="116"/>
      <c r="X20" s="116"/>
      <c r="Y20" s="116"/>
      <c r="Z20" s="116"/>
      <c r="AA20" s="116"/>
      <c r="AB20" s="116"/>
      <c r="AC20" s="116"/>
      <c r="AD20" s="116"/>
      <c r="AE20" s="116"/>
      <c r="AF20" s="116"/>
      <c r="AG20" s="116"/>
      <c r="AH20" s="116"/>
      <c r="AI20" s="116"/>
      <c r="AJ20" s="116"/>
      <c r="AK20" s="116"/>
      <c r="AL20" s="10"/>
    </row>
    <row r="21" spans="2:38" ht="12.75" customHeight="1" x14ac:dyDescent="0.2">
      <c r="B21" s="78"/>
      <c r="C21" s="60" t="s">
        <v>101</v>
      </c>
      <c r="D21" s="60" t="s">
        <v>108</v>
      </c>
      <c r="E21" s="59"/>
      <c r="F21" s="59"/>
      <c r="G21" s="59"/>
      <c r="H21" s="59"/>
      <c r="I21" s="59"/>
      <c r="J21" s="59"/>
      <c r="K21" s="59"/>
      <c r="L21" s="62"/>
      <c r="M21" s="63"/>
      <c r="O21" s="301" t="s">
        <v>102</v>
      </c>
      <c r="P21" s="301"/>
      <c r="Q21" s="240"/>
      <c r="R21" s="240"/>
      <c r="S21" s="339"/>
      <c r="T21" s="116"/>
      <c r="U21" s="116"/>
      <c r="V21" s="116"/>
      <c r="W21" s="116"/>
      <c r="X21" s="116"/>
      <c r="Y21" s="116"/>
      <c r="Z21" s="116"/>
      <c r="AA21" s="116"/>
      <c r="AB21" s="116"/>
      <c r="AC21" s="116"/>
      <c r="AD21" s="116"/>
      <c r="AE21" s="116"/>
      <c r="AF21" s="116"/>
      <c r="AG21" s="116"/>
      <c r="AH21" s="116"/>
      <c r="AI21" s="116"/>
      <c r="AJ21" s="116"/>
      <c r="AK21" s="116"/>
      <c r="AL21" s="10"/>
    </row>
    <row r="22" spans="2:38" ht="12.75" customHeight="1" x14ac:dyDescent="0.2">
      <c r="B22" s="78"/>
      <c r="C22" s="58"/>
      <c r="D22" s="60" t="s">
        <v>291</v>
      </c>
      <c r="E22" s="58"/>
      <c r="F22" s="58"/>
      <c r="G22" s="59"/>
      <c r="H22" s="59"/>
      <c r="I22" s="59"/>
      <c r="J22" s="59"/>
      <c r="K22" s="59"/>
      <c r="L22" s="62"/>
      <c r="M22" s="63"/>
      <c r="O22" s="15"/>
      <c r="P22" s="15"/>
      <c r="Q22" s="15"/>
      <c r="R22" s="15"/>
      <c r="S22" s="15"/>
      <c r="T22" s="15"/>
      <c r="U22" s="15"/>
      <c r="V22" s="15"/>
      <c r="W22" s="15"/>
      <c r="X22" s="15"/>
      <c r="Y22" s="15"/>
      <c r="Z22" s="15"/>
      <c r="AA22" s="15"/>
      <c r="AB22" s="15"/>
      <c r="AC22" s="15"/>
      <c r="AD22" s="15"/>
      <c r="AE22" s="15"/>
      <c r="AF22" s="15"/>
      <c r="AG22" s="15"/>
      <c r="AH22" s="15"/>
      <c r="AI22" s="15"/>
      <c r="AJ22" s="15"/>
      <c r="AK22" s="15"/>
      <c r="AL22" s="10"/>
    </row>
    <row r="23" spans="2:38" ht="12.75" customHeight="1" x14ac:dyDescent="0.2">
      <c r="B23" s="78"/>
      <c r="C23" s="79" t="s">
        <v>150</v>
      </c>
      <c r="D23" s="79" t="s">
        <v>149</v>
      </c>
      <c r="E23" s="78"/>
      <c r="F23" s="78"/>
      <c r="G23" s="80"/>
      <c r="H23" s="80"/>
      <c r="I23" s="80"/>
      <c r="J23" s="80"/>
      <c r="K23" s="80"/>
      <c r="L23" s="85"/>
      <c r="M23" s="86"/>
      <c r="AL23" s="10"/>
    </row>
    <row r="24" spans="2:38" ht="12.75" customHeight="1" x14ac:dyDescent="0.2">
      <c r="B24" s="80"/>
      <c r="C24" s="80"/>
      <c r="D24" s="80"/>
      <c r="E24" s="80"/>
      <c r="F24" s="80"/>
      <c r="G24" s="80"/>
      <c r="H24" s="80"/>
      <c r="I24" s="80"/>
      <c r="J24" s="80"/>
      <c r="K24" s="80"/>
      <c r="L24" s="80"/>
      <c r="M24" s="80"/>
      <c r="Y24" s="11"/>
      <c r="Z24" s="11"/>
      <c r="AJ24" s="10"/>
      <c r="AK24" s="10"/>
      <c r="AL24" s="10"/>
    </row>
    <row r="25" spans="2:38" ht="12.75" customHeight="1" x14ac:dyDescent="0.25">
      <c r="C25" s="52"/>
      <c r="G25" s="8"/>
      <c r="H25" s="8"/>
      <c r="I25" s="8"/>
      <c r="J25" s="8"/>
      <c r="K25" s="8"/>
      <c r="O25" s="132" t="s">
        <v>295</v>
      </c>
      <c r="Y25" s="11"/>
      <c r="Z25" s="11"/>
      <c r="AJ25" s="10"/>
      <c r="AK25" s="10"/>
      <c r="AL25" s="10"/>
    </row>
    <row r="26" spans="2:38" ht="12.75" customHeight="1" x14ac:dyDescent="0.2">
      <c r="B26" s="78"/>
      <c r="C26" s="79"/>
      <c r="D26" s="78"/>
      <c r="E26" s="78"/>
      <c r="F26" s="78"/>
      <c r="G26" s="80"/>
      <c r="H26" s="80"/>
      <c r="I26" s="80"/>
      <c r="J26" s="80"/>
      <c r="K26" s="80"/>
      <c r="L26" s="85"/>
      <c r="M26" s="86"/>
      <c r="O26" s="9"/>
      <c r="P26" s="9"/>
      <c r="Q26" s="9"/>
      <c r="R26" s="9"/>
      <c r="S26" s="9"/>
      <c r="T26" s="9"/>
      <c r="U26" s="9"/>
      <c r="V26" s="9"/>
      <c r="W26" s="9"/>
      <c r="X26" s="9"/>
      <c r="Y26" s="9"/>
      <c r="Z26" s="9"/>
      <c r="AA26" s="9"/>
      <c r="AB26" s="9"/>
      <c r="AC26" s="9"/>
      <c r="AD26" s="9"/>
      <c r="AE26" s="9"/>
      <c r="AF26" s="9"/>
      <c r="AG26" s="9"/>
      <c r="AH26" s="9"/>
      <c r="AI26" s="9"/>
    </row>
    <row r="27" spans="2:38" ht="12.75" customHeight="1" x14ac:dyDescent="0.25">
      <c r="B27" s="78"/>
      <c r="C27" s="92" t="s">
        <v>293</v>
      </c>
      <c r="D27" s="78"/>
      <c r="E27" s="80"/>
      <c r="F27" s="80"/>
      <c r="G27" s="80"/>
      <c r="H27" s="80"/>
      <c r="I27" s="80"/>
      <c r="J27" s="80"/>
      <c r="K27" s="80"/>
      <c r="L27" s="85"/>
      <c r="M27" s="86"/>
      <c r="O27" s="13" t="s">
        <v>1</v>
      </c>
      <c r="P27" s="13" t="s">
        <v>37</v>
      </c>
      <c r="Q27" s="13"/>
      <c r="R27" s="13">
        <v>1996</v>
      </c>
      <c r="S27" s="13">
        <v>1997</v>
      </c>
      <c r="T27" s="13">
        <v>1998</v>
      </c>
      <c r="U27" s="13">
        <v>1999</v>
      </c>
      <c r="V27" s="13">
        <v>2000</v>
      </c>
      <c r="W27" s="13">
        <v>2001</v>
      </c>
      <c r="X27" s="13">
        <v>2002</v>
      </c>
      <c r="Y27" s="13">
        <v>2003</v>
      </c>
      <c r="Z27" s="13">
        <v>2004</v>
      </c>
      <c r="AA27" s="13">
        <v>2005</v>
      </c>
      <c r="AB27" s="13">
        <v>2006</v>
      </c>
      <c r="AC27" s="13">
        <v>2007</v>
      </c>
      <c r="AD27" s="13">
        <v>2008</v>
      </c>
      <c r="AE27" s="13">
        <v>2009</v>
      </c>
      <c r="AF27" s="13">
        <v>2010</v>
      </c>
      <c r="AG27" s="13">
        <v>2011</v>
      </c>
      <c r="AH27" s="13">
        <v>2012</v>
      </c>
      <c r="AI27" s="13">
        <v>2013</v>
      </c>
      <c r="AJ27" s="13">
        <v>2014</v>
      </c>
      <c r="AK27" s="13">
        <v>2015</v>
      </c>
      <c r="AL27" s="10"/>
    </row>
    <row r="28" spans="2:38" ht="12.75" customHeight="1" x14ac:dyDescent="0.2">
      <c r="B28" s="78"/>
      <c r="C28" s="78"/>
      <c r="D28" s="78"/>
      <c r="E28" s="80"/>
      <c r="F28" s="80"/>
      <c r="G28" s="80"/>
      <c r="H28" s="80"/>
      <c r="I28" s="80"/>
      <c r="J28" s="80"/>
      <c r="K28" s="80"/>
      <c r="L28" s="85"/>
      <c r="M28" s="86"/>
      <c r="O28" s="19"/>
      <c r="AL28" s="10"/>
    </row>
    <row r="29" spans="2:38" ht="12.75" customHeight="1" x14ac:dyDescent="0.2">
      <c r="B29" s="78"/>
      <c r="C29" s="78"/>
      <c r="D29" s="78"/>
      <c r="E29" s="80"/>
      <c r="F29" s="80"/>
      <c r="G29" s="80"/>
      <c r="H29" s="80"/>
      <c r="I29" s="80"/>
      <c r="J29" s="80"/>
      <c r="K29" s="80"/>
      <c r="L29" s="85"/>
      <c r="M29" s="86"/>
      <c r="O29" s="19" t="s">
        <v>0</v>
      </c>
      <c r="P29" s="376" t="s">
        <v>189</v>
      </c>
      <c r="Q29" s="19" t="s">
        <v>21</v>
      </c>
      <c r="R29" s="11">
        <f t="shared" ref="R29:AK29" si="11">VLOOKUP(R$8&amp;"AllSex"&amp;"AllEth"&amp;22,agesextable,6,FALSE)</f>
        <v>143</v>
      </c>
      <c r="S29" s="11">
        <f t="shared" si="11"/>
        <v>142</v>
      </c>
      <c r="T29" s="11">
        <f t="shared" si="11"/>
        <v>140</v>
      </c>
      <c r="U29" s="11">
        <f t="shared" si="11"/>
        <v>120</v>
      </c>
      <c r="V29" s="11">
        <f t="shared" si="11"/>
        <v>96</v>
      </c>
      <c r="W29" s="11">
        <f t="shared" si="11"/>
        <v>110</v>
      </c>
      <c r="X29" s="11">
        <f t="shared" si="11"/>
        <v>96</v>
      </c>
      <c r="Y29" s="11">
        <f t="shared" si="11"/>
        <v>98</v>
      </c>
      <c r="Z29" s="11">
        <f t="shared" si="11"/>
        <v>114</v>
      </c>
      <c r="AA29" s="11">
        <f t="shared" si="11"/>
        <v>109</v>
      </c>
      <c r="AB29" s="11">
        <f t="shared" si="11"/>
        <v>119</v>
      </c>
      <c r="AC29" s="11">
        <f t="shared" si="11"/>
        <v>94</v>
      </c>
      <c r="AD29" s="11">
        <f t="shared" si="11"/>
        <v>121</v>
      </c>
      <c r="AE29" s="11">
        <f t="shared" si="11"/>
        <v>116</v>
      </c>
      <c r="AF29" s="11">
        <f t="shared" si="11"/>
        <v>111</v>
      </c>
      <c r="AG29" s="11">
        <f t="shared" si="11"/>
        <v>130</v>
      </c>
      <c r="AH29" s="11">
        <f t="shared" si="11"/>
        <v>148</v>
      </c>
      <c r="AI29" s="11">
        <f t="shared" si="11"/>
        <v>112</v>
      </c>
      <c r="AJ29" s="11">
        <f t="shared" si="11"/>
        <v>90</v>
      </c>
      <c r="AK29" s="11">
        <f t="shared" si="11"/>
        <v>111</v>
      </c>
      <c r="AL29" s="10"/>
    </row>
    <row r="30" spans="2:38" ht="12.75" customHeight="1" x14ac:dyDescent="0.2">
      <c r="B30" s="78"/>
      <c r="C30" s="78"/>
      <c r="D30" s="78"/>
      <c r="E30" s="80"/>
      <c r="F30" s="80"/>
      <c r="G30" s="80"/>
      <c r="H30" s="80"/>
      <c r="I30" s="80"/>
      <c r="J30" s="80"/>
      <c r="K30" s="80"/>
      <c r="L30" s="85"/>
      <c r="M30" s="86"/>
      <c r="O30" s="19"/>
      <c r="P30" s="376" t="s">
        <v>35</v>
      </c>
      <c r="Q30" s="19"/>
      <c r="R30" s="11">
        <f t="shared" ref="R30:AK30" si="12">VLOOKUP(R$8&amp;"AllSex"&amp;"AllEth"&amp;23,agesextable,6,FALSE)</f>
        <v>222</v>
      </c>
      <c r="S30" s="11">
        <f t="shared" si="12"/>
        <v>256</v>
      </c>
      <c r="T30" s="11">
        <f t="shared" si="12"/>
        <v>249</v>
      </c>
      <c r="U30" s="11">
        <f t="shared" si="12"/>
        <v>235</v>
      </c>
      <c r="V30" s="11">
        <f t="shared" si="12"/>
        <v>209</v>
      </c>
      <c r="W30" s="11">
        <f t="shared" si="12"/>
        <v>239</v>
      </c>
      <c r="X30" s="11">
        <f t="shared" si="12"/>
        <v>213</v>
      </c>
      <c r="Y30" s="11">
        <f t="shared" si="12"/>
        <v>217</v>
      </c>
      <c r="Z30" s="11">
        <f t="shared" si="12"/>
        <v>201</v>
      </c>
      <c r="AA30" s="11">
        <f t="shared" si="12"/>
        <v>219</v>
      </c>
      <c r="AB30" s="11">
        <f t="shared" si="12"/>
        <v>207</v>
      </c>
      <c r="AC30" s="11">
        <f t="shared" si="12"/>
        <v>213</v>
      </c>
      <c r="AD30" s="11">
        <f t="shared" si="12"/>
        <v>182</v>
      </c>
      <c r="AE30" s="11">
        <f t="shared" si="12"/>
        <v>173</v>
      </c>
      <c r="AF30" s="11">
        <f t="shared" si="12"/>
        <v>199</v>
      </c>
      <c r="AG30" s="11">
        <f t="shared" si="12"/>
        <v>163</v>
      </c>
      <c r="AH30" s="11">
        <f t="shared" si="12"/>
        <v>186</v>
      </c>
      <c r="AI30" s="11">
        <f t="shared" si="12"/>
        <v>161</v>
      </c>
      <c r="AJ30" s="11">
        <f t="shared" si="12"/>
        <v>190</v>
      </c>
      <c r="AK30" s="11">
        <f t="shared" si="12"/>
        <v>171</v>
      </c>
      <c r="AL30" s="10"/>
    </row>
    <row r="31" spans="2:38" ht="12.75" customHeight="1" x14ac:dyDescent="0.2">
      <c r="B31" s="78"/>
      <c r="C31" s="78"/>
      <c r="D31" s="78"/>
      <c r="E31" s="80"/>
      <c r="F31" s="80"/>
      <c r="G31" s="80"/>
      <c r="H31" s="80"/>
      <c r="I31" s="80"/>
      <c r="J31" s="80"/>
      <c r="K31" s="80"/>
      <c r="L31" s="85"/>
      <c r="M31" s="86"/>
      <c r="O31" s="19"/>
      <c r="P31" s="376" t="s">
        <v>36</v>
      </c>
      <c r="Q31" s="19"/>
      <c r="R31" s="11">
        <f t="shared" ref="R31:AK31" si="13">VLOOKUP(R$8&amp;"AllSex"&amp;"AllEth"&amp;24,agesextable,6,FALSE)</f>
        <v>102</v>
      </c>
      <c r="S31" s="11">
        <f t="shared" si="13"/>
        <v>102</v>
      </c>
      <c r="T31" s="11">
        <f t="shared" si="13"/>
        <v>114</v>
      </c>
      <c r="U31" s="11">
        <f t="shared" si="13"/>
        <v>104</v>
      </c>
      <c r="V31" s="11">
        <f t="shared" si="13"/>
        <v>103</v>
      </c>
      <c r="W31" s="11">
        <f t="shared" si="13"/>
        <v>92</v>
      </c>
      <c r="X31" s="11">
        <f t="shared" si="13"/>
        <v>113</v>
      </c>
      <c r="Y31" s="11">
        <f t="shared" si="13"/>
        <v>135</v>
      </c>
      <c r="Z31" s="11">
        <f t="shared" si="13"/>
        <v>118</v>
      </c>
      <c r="AA31" s="11">
        <f t="shared" si="13"/>
        <v>136</v>
      </c>
      <c r="AB31" s="11">
        <f t="shared" si="13"/>
        <v>141</v>
      </c>
      <c r="AC31" s="11">
        <f t="shared" si="13"/>
        <v>142</v>
      </c>
      <c r="AD31" s="11">
        <f t="shared" si="13"/>
        <v>159</v>
      </c>
      <c r="AE31" s="11">
        <f t="shared" si="13"/>
        <v>159</v>
      </c>
      <c r="AF31" s="11">
        <f t="shared" si="13"/>
        <v>161</v>
      </c>
      <c r="AG31" s="11">
        <f t="shared" si="13"/>
        <v>150</v>
      </c>
      <c r="AH31" s="11">
        <f t="shared" si="13"/>
        <v>147</v>
      </c>
      <c r="AI31" s="11">
        <f t="shared" si="13"/>
        <v>183</v>
      </c>
      <c r="AJ31" s="11">
        <f t="shared" si="13"/>
        <v>164</v>
      </c>
      <c r="AK31" s="11">
        <f t="shared" si="13"/>
        <v>169</v>
      </c>
      <c r="AL31" s="10"/>
    </row>
    <row r="32" spans="2:38" ht="12.75" customHeight="1" x14ac:dyDescent="0.2">
      <c r="B32" s="78"/>
      <c r="C32" s="78"/>
      <c r="D32" s="78"/>
      <c r="E32" s="80"/>
      <c r="F32" s="80"/>
      <c r="G32" s="80"/>
      <c r="H32" s="80"/>
      <c r="I32" s="80"/>
      <c r="J32" s="80"/>
      <c r="K32" s="80"/>
      <c r="L32" s="85"/>
      <c r="M32" s="86"/>
      <c r="O32" s="19"/>
      <c r="P32" s="376" t="s">
        <v>26</v>
      </c>
      <c r="Q32" s="19"/>
      <c r="R32" s="11">
        <f t="shared" ref="R32:AK32" si="14">VLOOKUP(R$8&amp;"AllSex"&amp;"AllEth"&amp;25,agesextable,6,FALSE)</f>
        <v>66</v>
      </c>
      <c r="S32" s="11">
        <f t="shared" si="14"/>
        <v>54</v>
      </c>
      <c r="T32" s="11">
        <f t="shared" si="14"/>
        <v>64</v>
      </c>
      <c r="U32" s="11">
        <f t="shared" si="14"/>
        <v>52</v>
      </c>
      <c r="V32" s="11">
        <f t="shared" si="14"/>
        <v>47</v>
      </c>
      <c r="W32" s="11">
        <f t="shared" si="14"/>
        <v>64</v>
      </c>
      <c r="X32" s="11">
        <f t="shared" si="14"/>
        <v>48</v>
      </c>
      <c r="Y32" s="11">
        <f t="shared" si="14"/>
        <v>67</v>
      </c>
      <c r="Z32" s="11">
        <f t="shared" si="14"/>
        <v>55</v>
      </c>
      <c r="AA32" s="11">
        <f t="shared" si="14"/>
        <v>48</v>
      </c>
      <c r="AB32" s="11">
        <f t="shared" si="14"/>
        <v>51</v>
      </c>
      <c r="AC32" s="11">
        <f t="shared" si="14"/>
        <v>50</v>
      </c>
      <c r="AD32" s="11">
        <f t="shared" si="14"/>
        <v>51</v>
      </c>
      <c r="AE32" s="11">
        <f t="shared" si="14"/>
        <v>54</v>
      </c>
      <c r="AF32" s="11">
        <f t="shared" si="14"/>
        <v>57</v>
      </c>
      <c r="AG32" s="11">
        <f t="shared" si="14"/>
        <v>45</v>
      </c>
      <c r="AH32" s="11">
        <f t="shared" si="14"/>
        <v>57</v>
      </c>
      <c r="AI32" s="11">
        <f t="shared" si="14"/>
        <v>56</v>
      </c>
      <c r="AJ32" s="11">
        <f t="shared" si="14"/>
        <v>60</v>
      </c>
      <c r="AK32" s="11">
        <f t="shared" si="14"/>
        <v>64</v>
      </c>
      <c r="AL32" s="10"/>
    </row>
    <row r="33" spans="2:61" ht="12.75" customHeight="1" x14ac:dyDescent="0.2">
      <c r="B33" s="78"/>
      <c r="C33" s="78"/>
      <c r="D33" s="78"/>
      <c r="E33" s="80"/>
      <c r="F33" s="80"/>
      <c r="G33" s="80"/>
      <c r="H33" s="80"/>
      <c r="I33" s="80"/>
      <c r="J33" s="78"/>
      <c r="K33" s="78"/>
      <c r="L33" s="85"/>
      <c r="M33" s="86"/>
      <c r="O33" s="383"/>
      <c r="P33" s="377"/>
      <c r="Q33" s="382"/>
      <c r="R33" s="17"/>
      <c r="S33" s="17"/>
      <c r="T33" s="17"/>
      <c r="U33" s="17"/>
      <c r="V33" s="17"/>
      <c r="W33" s="17"/>
      <c r="X33" s="17"/>
      <c r="Y33" s="17"/>
      <c r="Z33" s="17"/>
      <c r="AA33" s="17"/>
      <c r="AB33" s="17"/>
      <c r="AC33" s="17"/>
      <c r="AD33" s="17"/>
      <c r="AE33" s="17"/>
      <c r="AF33" s="17"/>
      <c r="AG33" s="17"/>
      <c r="AH33" s="17"/>
      <c r="AI33" s="17"/>
      <c r="AJ33" s="17"/>
      <c r="AK33" s="17"/>
      <c r="AL33" s="10"/>
    </row>
    <row r="34" spans="2:61" ht="12.75" customHeight="1" x14ac:dyDescent="0.2">
      <c r="B34" s="78"/>
      <c r="C34" s="78"/>
      <c r="D34" s="78"/>
      <c r="E34" s="80"/>
      <c r="F34" s="80"/>
      <c r="G34" s="80"/>
      <c r="H34" s="80"/>
      <c r="I34" s="80"/>
      <c r="J34" s="80"/>
      <c r="K34" s="80"/>
      <c r="L34" s="86"/>
      <c r="M34" s="86"/>
      <c r="O34" s="19" t="s">
        <v>20</v>
      </c>
      <c r="P34" s="378" t="s">
        <v>189</v>
      </c>
      <c r="Q34" s="18" t="s">
        <v>21</v>
      </c>
      <c r="R34" s="11">
        <f t="shared" ref="R34:AK34" si="15">VLOOKUP(R$8&amp;"Male"&amp;"AllEth"&amp;22,agesextable,6,FALSE)</f>
        <v>105</v>
      </c>
      <c r="S34" s="11">
        <f t="shared" si="15"/>
        <v>113</v>
      </c>
      <c r="T34" s="11">
        <f t="shared" si="15"/>
        <v>105</v>
      </c>
      <c r="U34" s="11">
        <f t="shared" si="15"/>
        <v>83</v>
      </c>
      <c r="V34" s="11">
        <f t="shared" si="15"/>
        <v>81</v>
      </c>
      <c r="W34" s="11">
        <f t="shared" si="15"/>
        <v>87</v>
      </c>
      <c r="X34" s="11">
        <f t="shared" si="15"/>
        <v>66</v>
      </c>
      <c r="Y34" s="11">
        <f t="shared" si="15"/>
        <v>67</v>
      </c>
      <c r="Z34" s="11">
        <f t="shared" si="15"/>
        <v>83</v>
      </c>
      <c r="AA34" s="11">
        <f t="shared" si="15"/>
        <v>84</v>
      </c>
      <c r="AB34" s="11">
        <f t="shared" si="15"/>
        <v>95</v>
      </c>
      <c r="AC34" s="11">
        <f t="shared" si="15"/>
        <v>71</v>
      </c>
      <c r="AD34" s="11">
        <f t="shared" si="15"/>
        <v>83</v>
      </c>
      <c r="AE34" s="11">
        <f t="shared" si="15"/>
        <v>95</v>
      </c>
      <c r="AF34" s="11">
        <f t="shared" si="15"/>
        <v>77</v>
      </c>
      <c r="AG34" s="11">
        <f t="shared" si="15"/>
        <v>96</v>
      </c>
      <c r="AH34" s="11">
        <f t="shared" si="15"/>
        <v>107</v>
      </c>
      <c r="AI34" s="11">
        <f t="shared" si="15"/>
        <v>74</v>
      </c>
      <c r="AJ34" s="11">
        <f t="shared" si="15"/>
        <v>68</v>
      </c>
      <c r="AK34" s="11">
        <f t="shared" si="15"/>
        <v>69</v>
      </c>
      <c r="AL34" s="10"/>
    </row>
    <row r="35" spans="2:61" ht="12.75" customHeight="1" x14ac:dyDescent="0.2">
      <c r="B35" s="78"/>
      <c r="C35" s="78"/>
      <c r="D35" s="78"/>
      <c r="E35" s="80"/>
      <c r="F35" s="80"/>
      <c r="G35" s="80"/>
      <c r="H35" s="80"/>
      <c r="I35" s="80"/>
      <c r="J35" s="80"/>
      <c r="K35" s="80"/>
      <c r="L35" s="86"/>
      <c r="M35" s="86"/>
      <c r="O35" s="19"/>
      <c r="P35" s="376" t="s">
        <v>35</v>
      </c>
      <c r="Q35" s="19"/>
      <c r="R35" s="11">
        <f t="shared" ref="R35:AK35" si="16">VLOOKUP(R$8&amp;"Male"&amp;"AllEth"&amp;23,agesextable,6,FALSE)</f>
        <v>188</v>
      </c>
      <c r="S35" s="11">
        <f t="shared" si="16"/>
        <v>201</v>
      </c>
      <c r="T35" s="11">
        <f t="shared" si="16"/>
        <v>195</v>
      </c>
      <c r="U35" s="11">
        <f t="shared" si="16"/>
        <v>180</v>
      </c>
      <c r="V35" s="11">
        <f t="shared" si="16"/>
        <v>171</v>
      </c>
      <c r="W35" s="11">
        <f t="shared" si="16"/>
        <v>189</v>
      </c>
      <c r="X35" s="11">
        <f t="shared" si="16"/>
        <v>166</v>
      </c>
      <c r="Y35" s="11">
        <f t="shared" si="16"/>
        <v>163</v>
      </c>
      <c r="Z35" s="11">
        <f t="shared" si="16"/>
        <v>161</v>
      </c>
      <c r="AA35" s="11">
        <f t="shared" si="16"/>
        <v>161</v>
      </c>
      <c r="AB35" s="11">
        <f t="shared" si="16"/>
        <v>147</v>
      </c>
      <c r="AC35" s="11">
        <f t="shared" si="16"/>
        <v>165</v>
      </c>
      <c r="AD35" s="11">
        <f t="shared" si="16"/>
        <v>133</v>
      </c>
      <c r="AE35" s="11">
        <f t="shared" si="16"/>
        <v>132</v>
      </c>
      <c r="AF35" s="11">
        <f t="shared" si="16"/>
        <v>146</v>
      </c>
      <c r="AG35" s="11">
        <f t="shared" si="16"/>
        <v>130</v>
      </c>
      <c r="AH35" s="11">
        <f t="shared" si="16"/>
        <v>143</v>
      </c>
      <c r="AI35" s="11">
        <f t="shared" si="16"/>
        <v>114</v>
      </c>
      <c r="AJ35" s="11">
        <f t="shared" si="16"/>
        <v>141</v>
      </c>
      <c r="AK35" s="11">
        <f t="shared" si="16"/>
        <v>136</v>
      </c>
      <c r="AL35" s="10"/>
    </row>
    <row r="36" spans="2:61" ht="12.75" customHeight="1" x14ac:dyDescent="0.2">
      <c r="B36" s="78"/>
      <c r="C36" s="78"/>
      <c r="D36" s="78"/>
      <c r="E36" s="80"/>
      <c r="F36" s="80"/>
      <c r="G36" s="80"/>
      <c r="H36" s="80"/>
      <c r="I36" s="80"/>
      <c r="J36" s="80"/>
      <c r="K36" s="80"/>
      <c r="L36" s="86"/>
      <c r="M36" s="86"/>
      <c r="O36" s="19"/>
      <c r="P36" s="378" t="s">
        <v>36</v>
      </c>
      <c r="Q36" s="19"/>
      <c r="R36" s="11">
        <f t="shared" ref="R36:AK36" si="17">VLOOKUP(R$8&amp;"Male"&amp;"AllEth"&amp;24,agesextable,6,FALSE)</f>
        <v>80</v>
      </c>
      <c r="S36" s="11">
        <f t="shared" si="17"/>
        <v>76</v>
      </c>
      <c r="T36" s="11">
        <f t="shared" si="17"/>
        <v>90</v>
      </c>
      <c r="U36" s="11">
        <f t="shared" si="17"/>
        <v>83</v>
      </c>
      <c r="V36" s="11">
        <f t="shared" si="17"/>
        <v>80</v>
      </c>
      <c r="W36" s="11">
        <f t="shared" si="17"/>
        <v>65</v>
      </c>
      <c r="X36" s="11">
        <f t="shared" si="17"/>
        <v>88</v>
      </c>
      <c r="Y36" s="11">
        <f t="shared" si="17"/>
        <v>100</v>
      </c>
      <c r="Z36" s="11">
        <f t="shared" si="17"/>
        <v>88</v>
      </c>
      <c r="AA36" s="11">
        <f t="shared" si="17"/>
        <v>105</v>
      </c>
      <c r="AB36" s="11">
        <f t="shared" si="17"/>
        <v>110</v>
      </c>
      <c r="AC36" s="11">
        <f t="shared" si="17"/>
        <v>102</v>
      </c>
      <c r="AD36" s="11">
        <f t="shared" si="17"/>
        <v>125</v>
      </c>
      <c r="AE36" s="11">
        <f t="shared" si="17"/>
        <v>120</v>
      </c>
      <c r="AF36" s="11">
        <f t="shared" si="17"/>
        <v>118</v>
      </c>
      <c r="AG36" s="11">
        <f t="shared" si="17"/>
        <v>117</v>
      </c>
      <c r="AH36" s="11">
        <f t="shared" si="17"/>
        <v>105</v>
      </c>
      <c r="AI36" s="11">
        <f t="shared" si="17"/>
        <v>130</v>
      </c>
      <c r="AJ36" s="11">
        <f t="shared" si="17"/>
        <v>119</v>
      </c>
      <c r="AK36" s="11">
        <f t="shared" si="17"/>
        <v>124</v>
      </c>
      <c r="AL36" s="10"/>
    </row>
    <row r="37" spans="2:61" ht="12.75" customHeight="1" x14ac:dyDescent="0.2">
      <c r="B37" s="78"/>
      <c r="C37" s="78"/>
      <c r="D37" s="78"/>
      <c r="E37" s="80"/>
      <c r="F37" s="80"/>
      <c r="G37" s="80"/>
      <c r="H37" s="80"/>
      <c r="I37" s="80"/>
      <c r="J37" s="80"/>
      <c r="K37" s="80"/>
      <c r="L37" s="86"/>
      <c r="M37" s="86"/>
      <c r="O37" s="19"/>
      <c r="P37" s="376" t="s">
        <v>26</v>
      </c>
      <c r="Q37" s="19"/>
      <c r="R37" s="11">
        <f t="shared" ref="R37:AK37" si="18">VLOOKUP(R$8&amp;"Male"&amp;"AllEth"&amp;25,agesextable,6,FALSE)</f>
        <v>53</v>
      </c>
      <c r="S37" s="11">
        <f t="shared" si="18"/>
        <v>46</v>
      </c>
      <c r="T37" s="11">
        <f t="shared" si="18"/>
        <v>48</v>
      </c>
      <c r="U37" s="11">
        <f t="shared" si="18"/>
        <v>36</v>
      </c>
      <c r="V37" s="11">
        <f t="shared" si="18"/>
        <v>41</v>
      </c>
      <c r="W37" s="11">
        <f t="shared" si="18"/>
        <v>48</v>
      </c>
      <c r="X37" s="11">
        <f t="shared" si="18"/>
        <v>36</v>
      </c>
      <c r="Y37" s="11">
        <f t="shared" si="18"/>
        <v>46</v>
      </c>
      <c r="Z37" s="11">
        <f t="shared" si="18"/>
        <v>46</v>
      </c>
      <c r="AA37" s="11">
        <f t="shared" si="18"/>
        <v>32</v>
      </c>
      <c r="AB37" s="11">
        <f t="shared" si="18"/>
        <v>33</v>
      </c>
      <c r="AC37" s="11">
        <f t="shared" si="18"/>
        <v>42</v>
      </c>
      <c r="AD37" s="11">
        <f t="shared" si="18"/>
        <v>36</v>
      </c>
      <c r="AE37" s="11">
        <f t="shared" si="18"/>
        <v>41</v>
      </c>
      <c r="AF37" s="11">
        <f t="shared" si="18"/>
        <v>43</v>
      </c>
      <c r="AG37" s="11">
        <f t="shared" si="18"/>
        <v>31</v>
      </c>
      <c r="AH37" s="11">
        <f t="shared" si="18"/>
        <v>43</v>
      </c>
      <c r="AI37" s="11">
        <f t="shared" si="18"/>
        <v>48</v>
      </c>
      <c r="AJ37" s="11">
        <f t="shared" si="18"/>
        <v>49</v>
      </c>
      <c r="AK37" s="11">
        <f t="shared" si="18"/>
        <v>48</v>
      </c>
      <c r="AL37" s="10"/>
    </row>
    <row r="38" spans="2:61" ht="12.75" customHeight="1" x14ac:dyDescent="0.2">
      <c r="B38" s="78"/>
      <c r="C38" s="78"/>
      <c r="D38" s="78"/>
      <c r="E38" s="80"/>
      <c r="F38" s="80"/>
      <c r="G38" s="80"/>
      <c r="H38" s="80"/>
      <c r="I38" s="80"/>
      <c r="J38" s="80"/>
      <c r="K38" s="80"/>
      <c r="L38" s="86"/>
      <c r="M38" s="86"/>
      <c r="O38" s="383"/>
      <c r="P38" s="379"/>
      <c r="Q38" s="383"/>
      <c r="R38" s="16"/>
      <c r="S38" s="16"/>
      <c r="T38" s="16"/>
      <c r="U38" s="16"/>
      <c r="V38" s="16"/>
      <c r="W38" s="16"/>
      <c r="X38" s="16"/>
      <c r="Y38" s="16"/>
      <c r="Z38" s="16"/>
      <c r="AA38" s="16"/>
      <c r="AB38" s="16"/>
      <c r="AC38" s="16"/>
      <c r="AD38" s="16"/>
      <c r="AE38" s="16"/>
      <c r="AF38" s="16"/>
      <c r="AG38" s="16"/>
      <c r="AH38" s="16"/>
      <c r="AI38" s="16"/>
      <c r="AJ38" s="16"/>
      <c r="AK38" s="16"/>
      <c r="AL38" s="10"/>
    </row>
    <row r="39" spans="2:61" ht="12.75" customHeight="1" x14ac:dyDescent="0.2">
      <c r="B39" s="78"/>
      <c r="C39" s="78"/>
      <c r="D39" s="78"/>
      <c r="E39" s="80"/>
      <c r="F39" s="80"/>
      <c r="G39" s="80"/>
      <c r="H39" s="80"/>
      <c r="I39" s="80"/>
      <c r="J39" s="80"/>
      <c r="K39" s="80"/>
      <c r="L39" s="86"/>
      <c r="M39" s="86"/>
      <c r="O39" s="19" t="s">
        <v>8</v>
      </c>
      <c r="P39" s="378" t="s">
        <v>189</v>
      </c>
      <c r="Q39" s="19" t="s">
        <v>21</v>
      </c>
      <c r="R39" s="11">
        <f t="shared" ref="R39:AK39" si="19">VLOOKUP(R$8&amp;"Female"&amp;"AllEth"&amp;22,agesextable,6,FALSE)</f>
        <v>38</v>
      </c>
      <c r="S39" s="11">
        <f t="shared" si="19"/>
        <v>29</v>
      </c>
      <c r="T39" s="11">
        <f t="shared" si="19"/>
        <v>35</v>
      </c>
      <c r="U39" s="11">
        <f t="shared" si="19"/>
        <v>37</v>
      </c>
      <c r="V39" s="11">
        <f t="shared" si="19"/>
        <v>15</v>
      </c>
      <c r="W39" s="11">
        <f t="shared" si="19"/>
        <v>23</v>
      </c>
      <c r="X39" s="11">
        <f t="shared" si="19"/>
        <v>30</v>
      </c>
      <c r="Y39" s="11">
        <f t="shared" si="19"/>
        <v>31</v>
      </c>
      <c r="Z39" s="11">
        <f t="shared" si="19"/>
        <v>31</v>
      </c>
      <c r="AA39" s="11">
        <f t="shared" si="19"/>
        <v>25</v>
      </c>
      <c r="AB39" s="11">
        <f t="shared" si="19"/>
        <v>24</v>
      </c>
      <c r="AC39" s="11">
        <f t="shared" si="19"/>
        <v>23</v>
      </c>
      <c r="AD39" s="11">
        <f t="shared" si="19"/>
        <v>38</v>
      </c>
      <c r="AE39" s="11">
        <f t="shared" si="19"/>
        <v>21</v>
      </c>
      <c r="AF39" s="11">
        <f t="shared" si="19"/>
        <v>34</v>
      </c>
      <c r="AG39" s="11">
        <f t="shared" si="19"/>
        <v>34</v>
      </c>
      <c r="AH39" s="11">
        <f t="shared" si="19"/>
        <v>41</v>
      </c>
      <c r="AI39" s="11">
        <f t="shared" si="19"/>
        <v>38</v>
      </c>
      <c r="AJ39" s="11">
        <f t="shared" si="19"/>
        <v>22</v>
      </c>
      <c r="AK39" s="11">
        <f t="shared" si="19"/>
        <v>42</v>
      </c>
      <c r="AL39" s="10"/>
    </row>
    <row r="40" spans="2:61" ht="12.75" customHeight="1" x14ac:dyDescent="0.2">
      <c r="B40" s="78"/>
      <c r="C40" s="79" t="s">
        <v>101</v>
      </c>
      <c r="D40" s="79" t="s">
        <v>103</v>
      </c>
      <c r="E40" s="80"/>
      <c r="F40" s="80"/>
      <c r="G40" s="80"/>
      <c r="H40" s="80"/>
      <c r="I40" s="80"/>
      <c r="J40" s="80"/>
      <c r="K40" s="80"/>
      <c r="L40" s="86"/>
      <c r="M40" s="86"/>
      <c r="O40" s="19"/>
      <c r="P40" s="376" t="s">
        <v>35</v>
      </c>
      <c r="Q40" s="19"/>
      <c r="R40" s="11">
        <f t="shared" ref="R40:AK40" si="20">VLOOKUP(R$8&amp;"Female"&amp;"AllEth"&amp;23,agesextable,6,FALSE)</f>
        <v>34</v>
      </c>
      <c r="S40" s="11">
        <f t="shared" si="20"/>
        <v>55</v>
      </c>
      <c r="T40" s="11">
        <f t="shared" si="20"/>
        <v>54</v>
      </c>
      <c r="U40" s="11">
        <f t="shared" si="20"/>
        <v>55</v>
      </c>
      <c r="V40" s="11">
        <f t="shared" si="20"/>
        <v>38</v>
      </c>
      <c r="W40" s="11">
        <f t="shared" si="20"/>
        <v>50</v>
      </c>
      <c r="X40" s="11">
        <f t="shared" si="20"/>
        <v>47</v>
      </c>
      <c r="Y40" s="11">
        <f t="shared" si="20"/>
        <v>54</v>
      </c>
      <c r="Z40" s="11">
        <f t="shared" si="20"/>
        <v>40</v>
      </c>
      <c r="AA40" s="11">
        <f t="shared" si="20"/>
        <v>58</v>
      </c>
      <c r="AB40" s="11">
        <f t="shared" si="20"/>
        <v>60</v>
      </c>
      <c r="AC40" s="11">
        <f t="shared" si="20"/>
        <v>48</v>
      </c>
      <c r="AD40" s="11">
        <f t="shared" si="20"/>
        <v>49</v>
      </c>
      <c r="AE40" s="11">
        <f t="shared" si="20"/>
        <v>41</v>
      </c>
      <c r="AF40" s="11">
        <f t="shared" si="20"/>
        <v>53</v>
      </c>
      <c r="AG40" s="11">
        <f t="shared" si="20"/>
        <v>33</v>
      </c>
      <c r="AH40" s="11">
        <f t="shared" si="20"/>
        <v>43</v>
      </c>
      <c r="AI40" s="11">
        <f t="shared" si="20"/>
        <v>47</v>
      </c>
      <c r="AJ40" s="11">
        <f t="shared" si="20"/>
        <v>49</v>
      </c>
      <c r="AK40" s="11">
        <f t="shared" si="20"/>
        <v>35</v>
      </c>
      <c r="AL40" s="10"/>
    </row>
    <row r="41" spans="2:61" ht="12.75" customHeight="1" x14ac:dyDescent="0.2">
      <c r="B41" s="78"/>
      <c r="C41" s="79" t="s">
        <v>146</v>
      </c>
      <c r="D41" s="79" t="s">
        <v>149</v>
      </c>
      <c r="E41" s="78"/>
      <c r="F41" s="78"/>
      <c r="G41" s="80"/>
      <c r="H41" s="80"/>
      <c r="I41" s="80"/>
      <c r="J41" s="80"/>
      <c r="K41" s="80"/>
      <c r="L41" s="86"/>
      <c r="M41" s="86"/>
      <c r="O41" s="19"/>
      <c r="P41" s="378" t="s">
        <v>36</v>
      </c>
      <c r="Q41" s="18"/>
      <c r="R41" s="11">
        <f t="shared" ref="R41:AK41" si="21">VLOOKUP(R$8&amp;"Female"&amp;"AllEth"&amp;24,agesextable,6,FALSE)</f>
        <v>22</v>
      </c>
      <c r="S41" s="11">
        <f t="shared" si="21"/>
        <v>26</v>
      </c>
      <c r="T41" s="11">
        <f t="shared" si="21"/>
        <v>24</v>
      </c>
      <c r="U41" s="11">
        <f t="shared" si="21"/>
        <v>21</v>
      </c>
      <c r="V41" s="11">
        <f t="shared" si="21"/>
        <v>23</v>
      </c>
      <c r="W41" s="11">
        <f t="shared" si="21"/>
        <v>27</v>
      </c>
      <c r="X41" s="11">
        <f t="shared" si="21"/>
        <v>25</v>
      </c>
      <c r="Y41" s="11">
        <f t="shared" si="21"/>
        <v>35</v>
      </c>
      <c r="Z41" s="11">
        <f t="shared" si="21"/>
        <v>30</v>
      </c>
      <c r="AA41" s="11">
        <f t="shared" si="21"/>
        <v>31</v>
      </c>
      <c r="AB41" s="11">
        <f t="shared" si="21"/>
        <v>31</v>
      </c>
      <c r="AC41" s="11">
        <f t="shared" si="21"/>
        <v>40</v>
      </c>
      <c r="AD41" s="11">
        <f t="shared" si="21"/>
        <v>34</v>
      </c>
      <c r="AE41" s="11">
        <f t="shared" si="21"/>
        <v>39</v>
      </c>
      <c r="AF41" s="11">
        <f t="shared" si="21"/>
        <v>43</v>
      </c>
      <c r="AG41" s="11">
        <f t="shared" si="21"/>
        <v>33</v>
      </c>
      <c r="AH41" s="11">
        <f t="shared" si="21"/>
        <v>42</v>
      </c>
      <c r="AI41" s="11">
        <f t="shared" si="21"/>
        <v>53</v>
      </c>
      <c r="AJ41" s="11">
        <f t="shared" si="21"/>
        <v>45</v>
      </c>
      <c r="AK41" s="11">
        <f t="shared" si="21"/>
        <v>45</v>
      </c>
      <c r="AL41" s="10"/>
    </row>
    <row r="42" spans="2:61" ht="12.75" customHeight="1" x14ac:dyDescent="0.2">
      <c r="B42" s="78"/>
      <c r="C42" s="78"/>
      <c r="D42" s="78"/>
      <c r="E42" s="78"/>
      <c r="F42" s="78"/>
      <c r="G42" s="80"/>
      <c r="H42" s="78"/>
      <c r="I42" s="78"/>
      <c r="J42" s="78"/>
      <c r="K42" s="78"/>
      <c r="L42" s="85"/>
      <c r="M42" s="86"/>
      <c r="O42" s="19"/>
      <c r="P42" s="376" t="s">
        <v>26</v>
      </c>
      <c r="Q42" s="19"/>
      <c r="R42" s="11">
        <f t="shared" ref="R42:AK42" si="22">VLOOKUP(R$8&amp;"Female"&amp;"AllEth"&amp;25,agesextable,6,FALSE)</f>
        <v>13</v>
      </c>
      <c r="S42" s="11">
        <f t="shared" si="22"/>
        <v>8</v>
      </c>
      <c r="T42" s="11">
        <f t="shared" si="22"/>
        <v>16</v>
      </c>
      <c r="U42" s="11">
        <f t="shared" si="22"/>
        <v>16</v>
      </c>
      <c r="V42" s="11">
        <f t="shared" si="22"/>
        <v>6</v>
      </c>
      <c r="W42" s="11">
        <f t="shared" si="22"/>
        <v>16</v>
      </c>
      <c r="X42" s="11">
        <f t="shared" si="22"/>
        <v>12</v>
      </c>
      <c r="Y42" s="11">
        <f t="shared" si="22"/>
        <v>21</v>
      </c>
      <c r="Z42" s="11">
        <f t="shared" si="22"/>
        <v>9</v>
      </c>
      <c r="AA42" s="11">
        <f t="shared" si="22"/>
        <v>16</v>
      </c>
      <c r="AB42" s="11">
        <f t="shared" si="22"/>
        <v>18</v>
      </c>
      <c r="AC42" s="11">
        <f t="shared" si="22"/>
        <v>8</v>
      </c>
      <c r="AD42" s="11">
        <f t="shared" si="22"/>
        <v>15</v>
      </c>
      <c r="AE42" s="11">
        <f t="shared" si="22"/>
        <v>13</v>
      </c>
      <c r="AF42" s="11">
        <f t="shared" si="22"/>
        <v>14</v>
      </c>
      <c r="AG42" s="11">
        <f t="shared" si="22"/>
        <v>14</v>
      </c>
      <c r="AH42" s="11">
        <f t="shared" si="22"/>
        <v>14</v>
      </c>
      <c r="AI42" s="11">
        <f t="shared" si="22"/>
        <v>8</v>
      </c>
      <c r="AJ42" s="11">
        <f t="shared" si="22"/>
        <v>11</v>
      </c>
      <c r="AK42" s="11">
        <f t="shared" si="22"/>
        <v>16</v>
      </c>
      <c r="AL42" s="10"/>
    </row>
    <row r="43" spans="2:61" ht="12.75" customHeight="1" x14ac:dyDescent="0.2">
      <c r="O43" s="383"/>
      <c r="P43" s="379"/>
      <c r="Q43" s="383"/>
      <c r="R43" s="16"/>
      <c r="S43" s="16"/>
      <c r="T43" s="16"/>
      <c r="U43" s="16"/>
      <c r="V43" s="16"/>
      <c r="W43" s="16"/>
      <c r="X43" s="16"/>
      <c r="Y43" s="16"/>
      <c r="Z43" s="16"/>
      <c r="AA43" s="16"/>
      <c r="AB43" s="16"/>
      <c r="AC43" s="16"/>
      <c r="AD43" s="16"/>
      <c r="AE43" s="16"/>
      <c r="AF43" s="16"/>
      <c r="AG43" s="16"/>
      <c r="AH43" s="16"/>
      <c r="AI43" s="16"/>
      <c r="AJ43" s="16"/>
      <c r="AK43" s="16"/>
      <c r="AL43" s="64"/>
      <c r="AM43" s="65"/>
      <c r="AN43" s="67"/>
    </row>
    <row r="44" spans="2:61" ht="12.75" customHeight="1" x14ac:dyDescent="0.2">
      <c r="B44" s="78"/>
      <c r="C44" s="78"/>
      <c r="D44" s="78"/>
      <c r="E44" s="78"/>
      <c r="F44" s="78"/>
      <c r="G44" s="78"/>
      <c r="H44" s="78"/>
      <c r="I44" s="78"/>
      <c r="J44" s="80"/>
      <c r="K44" s="80"/>
      <c r="L44" s="86"/>
      <c r="M44" s="86"/>
      <c r="O44" s="19" t="s">
        <v>0</v>
      </c>
      <c r="P44" s="376" t="s">
        <v>189</v>
      </c>
      <c r="Q44" s="19" t="s">
        <v>22</v>
      </c>
      <c r="R44" s="14">
        <f t="shared" ref="R44:AK44" si="23">VLOOKUP(R$8&amp;"AllSex"&amp;"AllEth"&amp;22,agesextable,7,FALSE)</f>
        <v>25.939160877215301</v>
      </c>
      <c r="S44" s="14">
        <f t="shared" si="23"/>
        <v>26.072267920093999</v>
      </c>
      <c r="T44" s="14">
        <f t="shared" si="23"/>
        <v>26.071734515252</v>
      </c>
      <c r="U44" s="14">
        <f t="shared" si="23"/>
        <v>22.6184642062804</v>
      </c>
      <c r="V44" s="14">
        <f t="shared" si="23"/>
        <v>18.1519087866583</v>
      </c>
      <c r="W44" s="14">
        <f t="shared" si="23"/>
        <v>20.573822616242101</v>
      </c>
      <c r="X44" s="14">
        <f t="shared" si="23"/>
        <v>17.376823661441598</v>
      </c>
      <c r="Y44" s="14">
        <f t="shared" si="23"/>
        <v>17.088949727099902</v>
      </c>
      <c r="Z44" s="14">
        <f t="shared" si="23"/>
        <v>19.449941991401101</v>
      </c>
      <c r="AA44" s="14">
        <f t="shared" si="23"/>
        <v>18.311326143197899</v>
      </c>
      <c r="AB44" s="14">
        <f t="shared" si="23"/>
        <v>19.688621961913299</v>
      </c>
      <c r="AC44" s="14">
        <f t="shared" si="23"/>
        <v>15.499274502044599</v>
      </c>
      <c r="AD44" s="14">
        <f t="shared" si="23"/>
        <v>19.949549074242</v>
      </c>
      <c r="AE44" s="14">
        <f t="shared" si="23"/>
        <v>19.004554539794899</v>
      </c>
      <c r="AF44" s="14">
        <f t="shared" si="23"/>
        <v>17.966397979994198</v>
      </c>
      <c r="AG44" s="14">
        <f t="shared" si="23"/>
        <v>20.876156217882802</v>
      </c>
      <c r="AH44" s="14">
        <f t="shared" si="23"/>
        <v>23.7019954517793</v>
      </c>
      <c r="AI44" s="14">
        <f t="shared" si="23"/>
        <v>17.8187892769072</v>
      </c>
      <c r="AJ44" s="14">
        <f t="shared" si="23"/>
        <v>14.0515222482436</v>
      </c>
      <c r="AK44" s="14">
        <f t="shared" si="23"/>
        <v>16.906299500426499</v>
      </c>
      <c r="AL44" s="66"/>
      <c r="AM44" s="66"/>
      <c r="AN44" s="66"/>
    </row>
    <row r="45" spans="2:61" ht="12.75" customHeight="1" x14ac:dyDescent="0.25">
      <c r="B45" s="78"/>
      <c r="C45" s="92" t="s">
        <v>294</v>
      </c>
      <c r="D45" s="78"/>
      <c r="E45" s="78"/>
      <c r="F45" s="78"/>
      <c r="G45" s="78"/>
      <c r="H45" s="78"/>
      <c r="I45" s="78"/>
      <c r="J45" s="78"/>
      <c r="K45" s="78"/>
      <c r="L45" s="78"/>
      <c r="M45" s="86"/>
      <c r="O45" s="19"/>
      <c r="P45" s="376" t="s">
        <v>35</v>
      </c>
      <c r="Q45" s="19"/>
      <c r="R45" s="14">
        <f t="shared" ref="R45:AK45" si="24">VLOOKUP(R$8&amp;"AllSex"&amp;"AllEth"&amp;23,agesextable,7,FALSE)</f>
        <v>19.3440451709595</v>
      </c>
      <c r="S45" s="14">
        <f t="shared" si="24"/>
        <v>21.971419988842602</v>
      </c>
      <c r="T45" s="14">
        <f t="shared" si="24"/>
        <v>21.256978947907601</v>
      </c>
      <c r="U45" s="14">
        <f t="shared" si="24"/>
        <v>20.093713660305099</v>
      </c>
      <c r="V45" s="14">
        <f t="shared" si="24"/>
        <v>17.950391644908599</v>
      </c>
      <c r="W45" s="14">
        <f t="shared" si="24"/>
        <v>20.687267376438999</v>
      </c>
      <c r="X45" s="14">
        <f t="shared" si="24"/>
        <v>18.3301492229049</v>
      </c>
      <c r="Y45" s="14">
        <f t="shared" si="24"/>
        <v>18.4775204359673</v>
      </c>
      <c r="Z45" s="14">
        <f t="shared" si="24"/>
        <v>17.0137125444388</v>
      </c>
      <c r="AA45" s="14">
        <f t="shared" si="24"/>
        <v>18.5221208251224</v>
      </c>
      <c r="AB45" s="14">
        <f t="shared" si="24"/>
        <v>17.510023854235399</v>
      </c>
      <c r="AC45" s="14">
        <f t="shared" si="24"/>
        <v>18.0761233928799</v>
      </c>
      <c r="AD45" s="14">
        <f t="shared" si="24"/>
        <v>15.5447937752496</v>
      </c>
      <c r="AE45" s="14">
        <f t="shared" si="24"/>
        <v>14.832724591457</v>
      </c>
      <c r="AF45" s="14">
        <f t="shared" si="24"/>
        <v>17.109007591584799</v>
      </c>
      <c r="AG45" s="14">
        <f t="shared" si="24"/>
        <v>14.112065383017001</v>
      </c>
      <c r="AH45" s="14">
        <f t="shared" si="24"/>
        <v>16.230649749559301</v>
      </c>
      <c r="AI45" s="14">
        <f t="shared" si="24"/>
        <v>14.073795641494099</v>
      </c>
      <c r="AJ45" s="14">
        <f t="shared" si="24"/>
        <v>16.415679565934902</v>
      </c>
      <c r="AK45" s="14">
        <f t="shared" si="24"/>
        <v>14.440250297671801</v>
      </c>
      <c r="AL45" s="66"/>
      <c r="AM45" s="66"/>
      <c r="AN45" s="66"/>
      <c r="AP45" s="8"/>
      <c r="AQ45" s="8"/>
      <c r="AR45" s="8"/>
      <c r="AS45" s="8"/>
      <c r="AT45" s="8"/>
      <c r="AU45" s="8"/>
      <c r="AV45" s="8"/>
      <c r="AW45" s="8"/>
      <c r="AX45" s="8"/>
      <c r="AY45" s="8"/>
      <c r="AZ45" s="8"/>
      <c r="BA45" s="8"/>
      <c r="BB45" s="8"/>
      <c r="BC45" s="8"/>
      <c r="BD45" s="8"/>
      <c r="BE45" s="8"/>
      <c r="BF45" s="8"/>
      <c r="BG45" s="8"/>
      <c r="BH45" s="8"/>
      <c r="BI45" s="8"/>
    </row>
    <row r="46" spans="2:61" ht="12.75" customHeight="1" x14ac:dyDescent="0.2">
      <c r="B46" s="78"/>
      <c r="C46" s="78"/>
      <c r="D46" s="78"/>
      <c r="E46" s="78"/>
      <c r="F46" s="78"/>
      <c r="G46" s="78"/>
      <c r="H46" s="78"/>
      <c r="I46" s="78"/>
      <c r="J46" s="78"/>
      <c r="K46" s="78"/>
      <c r="L46" s="97"/>
      <c r="M46" s="86"/>
      <c r="O46" s="19"/>
      <c r="P46" s="376" t="s">
        <v>36</v>
      </c>
      <c r="Q46" s="19"/>
      <c r="R46" s="14">
        <f t="shared" ref="R46:AK46" si="25">VLOOKUP(R$8&amp;"AllSex"&amp;"AllEth"&amp;24,agesextable,7,FALSE)</f>
        <v>13.689805121597701</v>
      </c>
      <c r="S46" s="14">
        <f t="shared" si="25"/>
        <v>13.2947524829905</v>
      </c>
      <c r="T46" s="14">
        <f t="shared" si="25"/>
        <v>14.4382385348987</v>
      </c>
      <c r="U46" s="14">
        <f t="shared" si="25"/>
        <v>12.805358550039401</v>
      </c>
      <c r="V46" s="14">
        <f t="shared" si="25"/>
        <v>12.338580224729901</v>
      </c>
      <c r="W46" s="14">
        <f t="shared" si="25"/>
        <v>10.7217359889053</v>
      </c>
      <c r="X46" s="14">
        <f t="shared" si="25"/>
        <v>12.760575468076</v>
      </c>
      <c r="Y46" s="14">
        <f t="shared" si="25"/>
        <v>14.759744164434499</v>
      </c>
      <c r="Z46" s="14">
        <f t="shared" si="25"/>
        <v>12.500662111340599</v>
      </c>
      <c r="AA46" s="14">
        <f t="shared" si="25"/>
        <v>13.998970663921799</v>
      </c>
      <c r="AB46" s="14">
        <f t="shared" si="25"/>
        <v>14.119060731988201</v>
      </c>
      <c r="AC46" s="14">
        <f t="shared" si="25"/>
        <v>13.8509559110417</v>
      </c>
      <c r="AD46" s="14">
        <f t="shared" si="25"/>
        <v>15.090829710901501</v>
      </c>
      <c r="AE46" s="14">
        <f t="shared" si="25"/>
        <v>14.740238068750701</v>
      </c>
      <c r="AF46" s="14">
        <f t="shared" si="25"/>
        <v>14.628650347998301</v>
      </c>
      <c r="AG46" s="14">
        <f t="shared" si="25"/>
        <v>13.4247409025006</v>
      </c>
      <c r="AH46" s="14">
        <f t="shared" si="25"/>
        <v>13.0385034991086</v>
      </c>
      <c r="AI46" s="14">
        <f t="shared" si="25"/>
        <v>16.0695468914647</v>
      </c>
      <c r="AJ46" s="14">
        <f t="shared" si="25"/>
        <v>14.214394674802399</v>
      </c>
      <c r="AK46" s="14">
        <f t="shared" si="25"/>
        <v>14.4451852231738</v>
      </c>
      <c r="AL46" s="66"/>
      <c r="AM46" s="66"/>
      <c r="AN46" s="66"/>
      <c r="AO46" s="8"/>
      <c r="AP46" s="11"/>
      <c r="AQ46" s="11"/>
      <c r="AR46" s="11"/>
      <c r="AS46" s="11"/>
      <c r="AT46" s="11"/>
      <c r="AU46" s="11"/>
      <c r="AV46" s="11"/>
      <c r="AW46" s="11"/>
      <c r="AX46" s="11"/>
      <c r="AY46" s="11"/>
      <c r="AZ46" s="11"/>
      <c r="BA46" s="11"/>
      <c r="BB46" s="11"/>
      <c r="BC46" s="11"/>
      <c r="BD46" s="11"/>
      <c r="BE46" s="11"/>
      <c r="BF46" s="11"/>
      <c r="BG46" s="11"/>
      <c r="BH46" s="11"/>
      <c r="BI46" s="8"/>
    </row>
    <row r="47" spans="2:61" ht="12.75" customHeight="1" x14ac:dyDescent="0.2">
      <c r="B47" s="78"/>
      <c r="C47" s="78"/>
      <c r="D47" s="78"/>
      <c r="E47" s="78"/>
      <c r="F47" s="78"/>
      <c r="G47" s="78"/>
      <c r="H47" s="78"/>
      <c r="I47" s="78"/>
      <c r="J47" s="78"/>
      <c r="K47" s="78"/>
      <c r="L47" s="78"/>
      <c r="M47" s="86"/>
      <c r="O47" s="19"/>
      <c r="P47" s="376" t="s">
        <v>26</v>
      </c>
      <c r="Q47" s="19"/>
      <c r="R47" s="14">
        <f t="shared" ref="R47:AK47" si="26">VLOOKUP(R$8&amp;"AllSex"&amp;"AllEth"&amp;25,agesextable,7,FALSE)</f>
        <v>15.353121801433</v>
      </c>
      <c r="S47" s="14">
        <f t="shared" si="26"/>
        <v>12.387594053954899</v>
      </c>
      <c r="T47" s="14">
        <f t="shared" si="26"/>
        <v>14.481603837625</v>
      </c>
      <c r="U47" s="14">
        <f t="shared" si="26"/>
        <v>11.6169965595818</v>
      </c>
      <c r="V47" s="14">
        <f t="shared" si="26"/>
        <v>10.364979600838</v>
      </c>
      <c r="W47" s="14">
        <f t="shared" si="26"/>
        <v>13.900653765122399</v>
      </c>
      <c r="X47" s="14">
        <f t="shared" si="26"/>
        <v>10.268697586856099</v>
      </c>
      <c r="Y47" s="14">
        <f t="shared" si="26"/>
        <v>14.086283744008099</v>
      </c>
      <c r="Z47" s="14">
        <f t="shared" si="26"/>
        <v>11.345820612261701</v>
      </c>
      <c r="AA47" s="14">
        <f t="shared" si="26"/>
        <v>9.6622247272434496</v>
      </c>
      <c r="AB47" s="14">
        <f t="shared" si="26"/>
        <v>9.97125931139656</v>
      </c>
      <c r="AC47" s="14">
        <f t="shared" si="26"/>
        <v>9.5254424568021197</v>
      </c>
      <c r="AD47" s="14">
        <f t="shared" si="26"/>
        <v>9.5243431004538106</v>
      </c>
      <c r="AE47" s="14">
        <f t="shared" si="26"/>
        <v>9.8484433988072393</v>
      </c>
      <c r="AF47" s="14">
        <f t="shared" si="26"/>
        <v>10.1162481142959</v>
      </c>
      <c r="AG47" s="14">
        <f t="shared" si="26"/>
        <v>7.7496684864036398</v>
      </c>
      <c r="AH47" s="14">
        <f t="shared" si="26"/>
        <v>9.4530498523997508</v>
      </c>
      <c r="AI47" s="14">
        <f t="shared" si="26"/>
        <v>8.9415446518385995</v>
      </c>
      <c r="AJ47" s="14">
        <f t="shared" si="26"/>
        <v>9.2238158926347804</v>
      </c>
      <c r="AK47" s="14">
        <f t="shared" si="26"/>
        <v>9.49273212696529</v>
      </c>
      <c r="AL47" s="66"/>
      <c r="AM47" s="66"/>
      <c r="AN47" s="66"/>
      <c r="AO47" s="11"/>
    </row>
    <row r="48" spans="2:61" ht="12.75" customHeight="1" x14ac:dyDescent="0.2">
      <c r="B48" s="78"/>
      <c r="C48" s="78"/>
      <c r="D48" s="78"/>
      <c r="E48" s="78"/>
      <c r="F48" s="78"/>
      <c r="G48" s="78"/>
      <c r="H48" s="78"/>
      <c r="I48" s="78"/>
      <c r="J48" s="78"/>
      <c r="K48" s="78"/>
      <c r="L48" s="107"/>
      <c r="M48" s="86"/>
      <c r="O48" s="383"/>
      <c r="P48" s="379"/>
      <c r="Q48" s="383"/>
      <c r="R48" s="16"/>
      <c r="S48" s="16"/>
      <c r="T48" s="16"/>
      <c r="U48" s="16"/>
      <c r="V48" s="16"/>
      <c r="W48" s="16"/>
      <c r="X48" s="16"/>
      <c r="Y48" s="16"/>
      <c r="Z48" s="16"/>
      <c r="AA48" s="16"/>
      <c r="AB48" s="16"/>
      <c r="AC48" s="16"/>
      <c r="AD48" s="16"/>
      <c r="AE48" s="16"/>
      <c r="AF48" s="16"/>
      <c r="AG48" s="16"/>
      <c r="AH48" s="16"/>
      <c r="AI48" s="16"/>
      <c r="AJ48" s="16"/>
      <c r="AK48" s="16"/>
      <c r="AL48" s="66"/>
      <c r="AM48" s="66"/>
      <c r="AN48" s="66"/>
    </row>
    <row r="49" spans="2:40" ht="12.75" customHeight="1" x14ac:dyDescent="0.2">
      <c r="B49" s="78"/>
      <c r="C49" s="78"/>
      <c r="D49" s="78"/>
      <c r="E49" s="78"/>
      <c r="F49" s="78"/>
      <c r="G49" s="78"/>
      <c r="H49" s="78"/>
      <c r="I49" s="78"/>
      <c r="J49" s="78"/>
      <c r="K49" s="78"/>
      <c r="L49" s="97"/>
      <c r="M49" s="86"/>
      <c r="O49" s="19" t="s">
        <v>20</v>
      </c>
      <c r="P49" s="378" t="s">
        <v>189</v>
      </c>
      <c r="Q49" s="19" t="s">
        <v>22</v>
      </c>
      <c r="R49" s="14">
        <f t="shared" ref="R49:AK49" si="27">VLOOKUP(R$8&amp;"Male"&amp;"AllEth"&amp;22,agesextable,7,FALSE)</f>
        <v>37.722292078318702</v>
      </c>
      <c r="S49" s="14">
        <f t="shared" si="27"/>
        <v>41.037187681580498</v>
      </c>
      <c r="T49" s="14">
        <f t="shared" si="27"/>
        <v>38.696837915530303</v>
      </c>
      <c r="U49" s="14">
        <f t="shared" si="27"/>
        <v>30.986336145747799</v>
      </c>
      <c r="V49" s="14">
        <f t="shared" si="27"/>
        <v>30.326856115916001</v>
      </c>
      <c r="W49" s="14">
        <f t="shared" si="27"/>
        <v>32.200755052187397</v>
      </c>
      <c r="X49" s="14">
        <f t="shared" si="27"/>
        <v>23.606838829673102</v>
      </c>
      <c r="Y49" s="14">
        <f t="shared" si="27"/>
        <v>23.062889401397499</v>
      </c>
      <c r="Z49" s="14">
        <f t="shared" si="27"/>
        <v>27.974384900573</v>
      </c>
      <c r="AA49" s="14">
        <f t="shared" si="27"/>
        <v>27.9273887891482</v>
      </c>
      <c r="AB49" s="14">
        <f t="shared" si="27"/>
        <v>31.150604977538801</v>
      </c>
      <c r="AC49" s="14">
        <f t="shared" si="27"/>
        <v>23.2421107764829</v>
      </c>
      <c r="AD49" s="14">
        <f t="shared" si="27"/>
        <v>27.1899364476184</v>
      </c>
      <c r="AE49" s="14">
        <f t="shared" si="27"/>
        <v>30.900338277387501</v>
      </c>
      <c r="AF49" s="14">
        <f t="shared" si="27"/>
        <v>24.6945255123312</v>
      </c>
      <c r="AG49" s="14">
        <f t="shared" si="27"/>
        <v>30.454920373072799</v>
      </c>
      <c r="AH49" s="14">
        <f t="shared" si="27"/>
        <v>33.785917271866097</v>
      </c>
      <c r="AI49" s="14">
        <f t="shared" si="27"/>
        <v>23.131505735988199</v>
      </c>
      <c r="AJ49" s="14">
        <f t="shared" si="27"/>
        <v>20.7096086493071</v>
      </c>
      <c r="AK49" s="14">
        <f t="shared" si="27"/>
        <v>20.334787221501799</v>
      </c>
      <c r="AL49" s="66"/>
      <c r="AM49" s="66"/>
      <c r="AN49" s="66"/>
    </row>
    <row r="50" spans="2:40" ht="12.75" customHeight="1" x14ac:dyDescent="0.2">
      <c r="B50" s="78"/>
      <c r="C50" s="78"/>
      <c r="D50" s="78"/>
      <c r="E50" s="78"/>
      <c r="F50" s="78"/>
      <c r="G50" s="78"/>
      <c r="H50" s="78"/>
      <c r="I50" s="78"/>
      <c r="J50" s="78"/>
      <c r="K50" s="78"/>
      <c r="L50" s="97"/>
      <c r="M50" s="86"/>
      <c r="O50" s="19"/>
      <c r="P50" s="376" t="s">
        <v>35</v>
      </c>
      <c r="Q50" s="384"/>
      <c r="R50" s="14">
        <f t="shared" ref="R50:AK50" si="28">VLOOKUP(R$8&amp;"Male"&amp;"AllEth"&amp;23,agesextable,7,FALSE)</f>
        <v>33.369424377429503</v>
      </c>
      <c r="S50" s="14">
        <f t="shared" si="28"/>
        <v>35.230399803691299</v>
      </c>
      <c r="T50" s="14">
        <f t="shared" si="28"/>
        <v>34.094485435535198</v>
      </c>
      <c r="U50" s="14">
        <f t="shared" si="28"/>
        <v>31.6316668131096</v>
      </c>
      <c r="V50" s="14">
        <f t="shared" si="28"/>
        <v>30.2703085447239</v>
      </c>
      <c r="W50" s="14">
        <f t="shared" si="28"/>
        <v>33.795865817895702</v>
      </c>
      <c r="X50" s="14">
        <f t="shared" si="28"/>
        <v>29.545778157482602</v>
      </c>
      <c r="Y50" s="14">
        <f t="shared" si="28"/>
        <v>28.730567208375899</v>
      </c>
      <c r="Z50" s="14">
        <f t="shared" si="28"/>
        <v>28.260487976127799</v>
      </c>
      <c r="AA50" s="14">
        <f t="shared" si="28"/>
        <v>28.278854091651599</v>
      </c>
      <c r="AB50" s="14">
        <f t="shared" si="28"/>
        <v>25.852972212451601</v>
      </c>
      <c r="AC50" s="14">
        <f t="shared" si="28"/>
        <v>29.127756103588901</v>
      </c>
      <c r="AD50" s="14">
        <f t="shared" si="28"/>
        <v>23.638140940193701</v>
      </c>
      <c r="AE50" s="14">
        <f t="shared" si="28"/>
        <v>23.565116486655398</v>
      </c>
      <c r="AF50" s="14">
        <f t="shared" si="28"/>
        <v>26.170033519152501</v>
      </c>
      <c r="AG50" s="14">
        <f t="shared" si="28"/>
        <v>23.499213680157599</v>
      </c>
      <c r="AH50" s="14">
        <f t="shared" si="28"/>
        <v>26.0701524101218</v>
      </c>
      <c r="AI50" s="14">
        <f t="shared" si="28"/>
        <v>20.807476089654699</v>
      </c>
      <c r="AJ50" s="14">
        <f t="shared" si="28"/>
        <v>25.330099703583901</v>
      </c>
      <c r="AK50" s="14">
        <f t="shared" si="28"/>
        <v>23.744674907465601</v>
      </c>
      <c r="AL50" s="66"/>
      <c r="AM50" s="66"/>
      <c r="AN50" s="66"/>
    </row>
    <row r="51" spans="2:40" ht="12.75" customHeight="1" x14ac:dyDescent="0.2">
      <c r="B51" s="78"/>
      <c r="C51" s="78"/>
      <c r="D51" s="78"/>
      <c r="E51" s="78"/>
      <c r="F51" s="78"/>
      <c r="G51" s="78"/>
      <c r="H51" s="78"/>
      <c r="I51" s="78"/>
      <c r="J51" s="78"/>
      <c r="K51" s="78"/>
      <c r="L51" s="107"/>
      <c r="M51" s="86"/>
      <c r="O51" s="19"/>
      <c r="P51" s="378" t="s">
        <v>36</v>
      </c>
      <c r="Q51" s="384"/>
      <c r="R51" s="14">
        <f t="shared" ref="R51:AK51" si="29">VLOOKUP(R$8&amp;"Male"&amp;"AllEth"&amp;24,agesextable,7,FALSE)</f>
        <v>21.494975549465298</v>
      </c>
      <c r="S51" s="14">
        <f t="shared" si="29"/>
        <v>19.856303069889002</v>
      </c>
      <c r="T51" s="14">
        <f t="shared" si="29"/>
        <v>22.886786695148</v>
      </c>
      <c r="U51" s="14">
        <f t="shared" si="29"/>
        <v>20.56338726061</v>
      </c>
      <c r="V51" s="14">
        <f t="shared" si="29"/>
        <v>19.333011116481401</v>
      </c>
      <c r="W51" s="14">
        <f t="shared" si="29"/>
        <v>15.3052814994467</v>
      </c>
      <c r="X51" s="14">
        <f t="shared" si="29"/>
        <v>20.089030932541899</v>
      </c>
      <c r="Y51" s="14">
        <f t="shared" si="29"/>
        <v>22.124383282816002</v>
      </c>
      <c r="Z51" s="14">
        <f t="shared" si="29"/>
        <v>18.883714941739399</v>
      </c>
      <c r="AA51" s="14">
        <f t="shared" si="29"/>
        <v>21.927992648901501</v>
      </c>
      <c r="AB51" s="14">
        <f t="shared" si="29"/>
        <v>22.397328609533101</v>
      </c>
      <c r="AC51" s="14">
        <f t="shared" si="29"/>
        <v>20.267853594563402</v>
      </c>
      <c r="AD51" s="14">
        <f t="shared" si="29"/>
        <v>24.221050999845001</v>
      </c>
      <c r="AE51" s="14">
        <f t="shared" si="29"/>
        <v>22.752265746463902</v>
      </c>
      <c r="AF51" s="14">
        <f t="shared" si="29"/>
        <v>21.966566141703002</v>
      </c>
      <c r="AG51" s="14">
        <f t="shared" si="29"/>
        <v>21.4970786021387</v>
      </c>
      <c r="AH51" s="14">
        <f t="shared" si="29"/>
        <v>19.170029028901101</v>
      </c>
      <c r="AI51" s="14">
        <f t="shared" si="29"/>
        <v>23.546885471571699</v>
      </c>
      <c r="AJ51" s="14">
        <f t="shared" si="29"/>
        <v>21.310888252148999</v>
      </c>
      <c r="AK51" s="14">
        <f t="shared" si="29"/>
        <v>21.932539752728299</v>
      </c>
      <c r="AL51" s="66"/>
      <c r="AM51" s="66"/>
      <c r="AN51" s="66"/>
    </row>
    <row r="52" spans="2:40" ht="12.75" customHeight="1" x14ac:dyDescent="0.2">
      <c r="B52" s="78"/>
      <c r="C52" s="78"/>
      <c r="D52" s="78"/>
      <c r="E52" s="78"/>
      <c r="F52" s="78"/>
      <c r="G52" s="78"/>
      <c r="H52" s="78"/>
      <c r="I52" s="78"/>
      <c r="J52" s="78"/>
      <c r="K52" s="78"/>
      <c r="L52" s="78"/>
      <c r="M52" s="86"/>
      <c r="O52" s="19"/>
      <c r="P52" s="376" t="s">
        <v>26</v>
      </c>
      <c r="Q52" s="384"/>
      <c r="R52" s="14">
        <f t="shared" ref="R52:AK52" si="30">VLOOKUP(R$8&amp;"Male"&amp;"AllEth"&amp;25,agesextable,7,FALSE)</f>
        <v>28.5529576554251</v>
      </c>
      <c r="S52" s="14">
        <f t="shared" si="30"/>
        <v>24.361826077745999</v>
      </c>
      <c r="T52" s="14">
        <f t="shared" si="30"/>
        <v>25.019546520719299</v>
      </c>
      <c r="U52" s="14">
        <f t="shared" si="30"/>
        <v>18.4729064039409</v>
      </c>
      <c r="V52" s="14">
        <f t="shared" si="30"/>
        <v>20.708116571544</v>
      </c>
      <c r="W52" s="14">
        <f t="shared" si="30"/>
        <v>23.830801310694099</v>
      </c>
      <c r="X52" s="14">
        <f t="shared" si="30"/>
        <v>17.5378769425635</v>
      </c>
      <c r="Y52" s="14">
        <f t="shared" si="30"/>
        <v>21.930870083432701</v>
      </c>
      <c r="Z52" s="14">
        <f t="shared" si="30"/>
        <v>21.446221269056799</v>
      </c>
      <c r="AA52" s="14">
        <f t="shared" si="30"/>
        <v>14.4783277531445</v>
      </c>
      <c r="AB52" s="14">
        <f t="shared" si="30"/>
        <v>14.4167758846658</v>
      </c>
      <c r="AC52" s="14">
        <f t="shared" si="30"/>
        <v>17.793594306049801</v>
      </c>
      <c r="AD52" s="14">
        <f t="shared" si="30"/>
        <v>14.890800794176</v>
      </c>
      <c r="AE52" s="14">
        <f t="shared" si="30"/>
        <v>16.489703989704001</v>
      </c>
      <c r="AF52" s="14">
        <f t="shared" si="30"/>
        <v>16.766093500214399</v>
      </c>
      <c r="AG52" s="14">
        <f t="shared" si="30"/>
        <v>11.676082862523501</v>
      </c>
      <c r="AH52" s="14">
        <f t="shared" si="30"/>
        <v>15.527389593038</v>
      </c>
      <c r="AI52" s="14">
        <f t="shared" si="30"/>
        <v>16.625103906899401</v>
      </c>
      <c r="AJ52" s="14">
        <f t="shared" si="30"/>
        <v>16.2817743811264</v>
      </c>
      <c r="AK52" s="14">
        <f t="shared" si="30"/>
        <v>15.3516487031055</v>
      </c>
      <c r="AL52" s="66"/>
      <c r="AM52" s="66"/>
      <c r="AN52" s="66"/>
    </row>
    <row r="53" spans="2:40" ht="12.75" customHeight="1" x14ac:dyDescent="0.2">
      <c r="B53" s="78"/>
      <c r="C53" s="78"/>
      <c r="D53" s="78"/>
      <c r="E53" s="78"/>
      <c r="F53" s="78"/>
      <c r="G53" s="78"/>
      <c r="H53" s="78"/>
      <c r="I53" s="78"/>
      <c r="J53" s="78"/>
      <c r="K53" s="78"/>
      <c r="L53" s="107"/>
      <c r="M53" s="86"/>
      <c r="O53" s="383"/>
      <c r="P53" s="379"/>
      <c r="Q53" s="382"/>
      <c r="R53" s="16"/>
      <c r="S53" s="16"/>
      <c r="T53" s="16"/>
      <c r="U53" s="16"/>
      <c r="V53" s="16"/>
      <c r="W53" s="16"/>
      <c r="X53" s="16"/>
      <c r="Y53" s="16"/>
      <c r="Z53" s="16"/>
      <c r="AA53" s="16"/>
      <c r="AB53" s="16"/>
      <c r="AC53" s="16"/>
      <c r="AD53" s="16"/>
      <c r="AE53" s="16"/>
      <c r="AF53" s="16"/>
      <c r="AG53" s="16"/>
      <c r="AH53" s="16"/>
      <c r="AI53" s="16"/>
      <c r="AJ53" s="16"/>
      <c r="AK53" s="16"/>
      <c r="AL53" s="66"/>
      <c r="AM53" s="66"/>
      <c r="AN53" s="66"/>
    </row>
    <row r="54" spans="2:40" ht="12.75" customHeight="1" x14ac:dyDescent="0.2">
      <c r="B54" s="78"/>
      <c r="C54" s="78"/>
      <c r="D54" s="78"/>
      <c r="E54" s="78"/>
      <c r="F54" s="78"/>
      <c r="G54" s="78"/>
      <c r="H54" s="78"/>
      <c r="I54" s="78"/>
      <c r="J54" s="78"/>
      <c r="K54" s="78"/>
      <c r="L54" s="97"/>
      <c r="M54" s="86"/>
      <c r="O54" s="19" t="s">
        <v>8</v>
      </c>
      <c r="P54" s="378" t="s">
        <v>189</v>
      </c>
      <c r="Q54" s="19" t="s">
        <v>22</v>
      </c>
      <c r="R54" s="14">
        <f t="shared" ref="R54:AK54" si="31">VLOOKUP(R$8&amp;"Female"&amp;"AllEth"&amp;22,agesextable,7,FALSE)</f>
        <v>13.922473803766399</v>
      </c>
      <c r="S54" s="14">
        <f t="shared" si="31"/>
        <v>10.7694592988711</v>
      </c>
      <c r="T54" s="14">
        <f t="shared" si="31"/>
        <v>13.1757265472067</v>
      </c>
      <c r="U54" s="14">
        <f t="shared" si="31"/>
        <v>14.0861156584307</v>
      </c>
      <c r="V54" s="14">
        <f t="shared" si="31"/>
        <v>5.7297834141869401</v>
      </c>
      <c r="W54" s="14">
        <f t="shared" si="31"/>
        <v>8.6963097398669102</v>
      </c>
      <c r="X54" s="14">
        <f t="shared" si="31"/>
        <v>10.994246344413099</v>
      </c>
      <c r="Y54" s="14">
        <f t="shared" si="31"/>
        <v>10.955612100650299</v>
      </c>
      <c r="Z54" s="14">
        <f t="shared" si="31"/>
        <v>10.711447427525</v>
      </c>
      <c r="AA54" s="14">
        <f t="shared" si="31"/>
        <v>8.4895408856289105</v>
      </c>
      <c r="AB54" s="14">
        <f t="shared" si="31"/>
        <v>8.01496126102057</v>
      </c>
      <c r="AC54" s="14">
        <f t="shared" si="31"/>
        <v>7.64119601328904</v>
      </c>
      <c r="AD54" s="14">
        <f t="shared" si="31"/>
        <v>12.6132704882663</v>
      </c>
      <c r="AE54" s="14">
        <f t="shared" si="31"/>
        <v>6.9318369367882502</v>
      </c>
      <c r="AF54" s="14">
        <f t="shared" si="31"/>
        <v>11.1103849421606</v>
      </c>
      <c r="AG54" s="14">
        <f t="shared" si="31"/>
        <v>11.056551006471301</v>
      </c>
      <c r="AH54" s="14">
        <f t="shared" si="31"/>
        <v>13.3238008579228</v>
      </c>
      <c r="AI54" s="14">
        <f t="shared" si="31"/>
        <v>12.3120787973043</v>
      </c>
      <c r="AJ54" s="14">
        <f t="shared" si="31"/>
        <v>7.0478936408777804</v>
      </c>
      <c r="AK54" s="14">
        <f t="shared" si="31"/>
        <v>13.2391879964695</v>
      </c>
      <c r="AL54" s="66"/>
      <c r="AM54" s="66"/>
      <c r="AN54" s="66"/>
    </row>
    <row r="55" spans="2:40" ht="12.75" customHeight="1" x14ac:dyDescent="0.2">
      <c r="B55" s="78"/>
      <c r="C55" s="78"/>
      <c r="D55" s="78"/>
      <c r="E55" s="78"/>
      <c r="F55" s="78"/>
      <c r="G55" s="78"/>
      <c r="H55" s="78"/>
      <c r="I55" s="78"/>
      <c r="J55" s="78"/>
      <c r="K55" s="78"/>
      <c r="L55" s="107"/>
      <c r="M55" s="86"/>
      <c r="O55" s="384"/>
      <c r="P55" s="376" t="s">
        <v>35</v>
      </c>
      <c r="Q55" s="384"/>
      <c r="R55" s="14">
        <f t="shared" ref="R55:AK55" si="32">VLOOKUP(R$8&amp;"Female"&amp;"AllEth"&amp;23,agesextable,7,FALSE)</f>
        <v>5.8194266153187799</v>
      </c>
      <c r="S55" s="14">
        <f t="shared" si="32"/>
        <v>9.2497603471182792</v>
      </c>
      <c r="T55" s="14">
        <f t="shared" si="32"/>
        <v>9.0082575694386495</v>
      </c>
      <c r="U55" s="14">
        <f t="shared" si="32"/>
        <v>9.1593391953104195</v>
      </c>
      <c r="V55" s="14">
        <f t="shared" si="32"/>
        <v>6.3395672411204398</v>
      </c>
      <c r="W55" s="14">
        <f t="shared" si="32"/>
        <v>8.3884172734288498</v>
      </c>
      <c r="X55" s="14">
        <f t="shared" si="32"/>
        <v>7.8309840381219002</v>
      </c>
      <c r="Y55" s="14">
        <f t="shared" si="32"/>
        <v>8.8953315981945806</v>
      </c>
      <c r="Z55" s="14">
        <f t="shared" si="32"/>
        <v>6.5392600827216398</v>
      </c>
      <c r="AA55" s="14">
        <f t="shared" si="32"/>
        <v>9.4612009200202305</v>
      </c>
      <c r="AB55" s="14">
        <f t="shared" si="32"/>
        <v>9.7785165990319296</v>
      </c>
      <c r="AC55" s="14">
        <f t="shared" si="32"/>
        <v>7.8448036347590202</v>
      </c>
      <c r="AD55" s="14">
        <f t="shared" si="32"/>
        <v>8.05722272465675</v>
      </c>
      <c r="AE55" s="14">
        <f t="shared" si="32"/>
        <v>6.7636675574911704</v>
      </c>
      <c r="AF55" s="14">
        <f t="shared" si="32"/>
        <v>8.7568567840856506</v>
      </c>
      <c r="AG55" s="14">
        <f t="shared" si="32"/>
        <v>5.4831848996410999</v>
      </c>
      <c r="AH55" s="14">
        <f t="shared" si="32"/>
        <v>7.1972550004184503</v>
      </c>
      <c r="AI55" s="14">
        <f t="shared" si="32"/>
        <v>7.8847153953262099</v>
      </c>
      <c r="AJ55" s="14">
        <f t="shared" si="32"/>
        <v>8.1559280280963407</v>
      </c>
      <c r="AK55" s="14">
        <f t="shared" si="32"/>
        <v>5.7242856909212803</v>
      </c>
      <c r="AL55" s="66"/>
      <c r="AM55" s="66"/>
      <c r="AN55" s="66"/>
    </row>
    <row r="56" spans="2:40" ht="12.75" customHeight="1" x14ac:dyDescent="0.2">
      <c r="B56" s="78"/>
      <c r="C56" s="78"/>
      <c r="D56" s="78"/>
      <c r="E56" s="78"/>
      <c r="F56" s="78"/>
      <c r="G56" s="78"/>
      <c r="H56" s="78"/>
      <c r="I56" s="78"/>
      <c r="J56" s="78"/>
      <c r="K56" s="78"/>
      <c r="L56" s="97"/>
      <c r="M56" s="86"/>
      <c r="O56" s="19"/>
      <c r="P56" s="378" t="s">
        <v>36</v>
      </c>
      <c r="Q56" s="19"/>
      <c r="R56" s="14">
        <f t="shared" ref="R56:AK56" si="33">VLOOKUP(R$8&amp;"Female"&amp;"AllEth"&amp;24,agesextable,7,FALSE)</f>
        <v>5.8997050147492596</v>
      </c>
      <c r="S56" s="14">
        <f t="shared" si="33"/>
        <v>6.7625562462610898</v>
      </c>
      <c r="T56" s="14">
        <f t="shared" si="33"/>
        <v>6.05540697381036</v>
      </c>
      <c r="U56" s="14">
        <f t="shared" si="33"/>
        <v>5.1403813673414396</v>
      </c>
      <c r="V56" s="14">
        <f t="shared" si="33"/>
        <v>5.4634424438215596</v>
      </c>
      <c r="W56" s="14">
        <f t="shared" si="33"/>
        <v>6.2302420564413801</v>
      </c>
      <c r="X56" s="14">
        <f t="shared" si="33"/>
        <v>5.5867170216094202</v>
      </c>
      <c r="Y56" s="14">
        <f t="shared" si="33"/>
        <v>7.5651140170755404</v>
      </c>
      <c r="Z56" s="14">
        <f t="shared" si="33"/>
        <v>6.2768071974055903</v>
      </c>
      <c r="AA56" s="14">
        <f t="shared" si="33"/>
        <v>6.2923720212722802</v>
      </c>
      <c r="AB56" s="14">
        <f t="shared" si="33"/>
        <v>6.1083743842364502</v>
      </c>
      <c r="AC56" s="14">
        <f t="shared" si="33"/>
        <v>7.6637161359543198</v>
      </c>
      <c r="AD56" s="14">
        <f t="shared" si="33"/>
        <v>6.3251106894370697</v>
      </c>
      <c r="AE56" s="14">
        <f t="shared" si="33"/>
        <v>7.0749582758870897</v>
      </c>
      <c r="AF56" s="14">
        <f t="shared" si="33"/>
        <v>7.6322328718494896</v>
      </c>
      <c r="AG56" s="14">
        <f t="shared" si="33"/>
        <v>5.7582578652567697</v>
      </c>
      <c r="AH56" s="14">
        <f t="shared" si="33"/>
        <v>7.2452517724990901</v>
      </c>
      <c r="AI56" s="14">
        <f t="shared" si="33"/>
        <v>9.0334236675700108</v>
      </c>
      <c r="AJ56" s="14">
        <f t="shared" si="33"/>
        <v>7.5585789871504199</v>
      </c>
      <c r="AK56" s="14">
        <f t="shared" si="33"/>
        <v>7.4433068131068403</v>
      </c>
      <c r="AL56" s="66"/>
      <c r="AM56" s="66"/>
      <c r="AN56" s="66"/>
    </row>
    <row r="57" spans="2:40" ht="12.75" customHeight="1" x14ac:dyDescent="0.2">
      <c r="B57" s="78"/>
      <c r="C57" s="78"/>
      <c r="D57" s="78"/>
      <c r="E57" s="78"/>
      <c r="F57" s="78"/>
      <c r="G57" s="78"/>
      <c r="H57" s="78"/>
      <c r="I57" s="78"/>
      <c r="J57" s="78"/>
      <c r="K57" s="78"/>
      <c r="L57" s="107"/>
      <c r="M57" s="86"/>
      <c r="O57" s="19"/>
      <c r="P57" s="376" t="s">
        <v>26</v>
      </c>
      <c r="Q57" s="19"/>
      <c r="R57" s="14">
        <f t="shared" ref="R57:AK57" si="34">VLOOKUP(R$8&amp;"Female"&amp;"AllEth"&amp;25,agesextable,7,FALSE)</f>
        <v>5.3219797764768497</v>
      </c>
      <c r="S57" s="14">
        <f t="shared" si="34"/>
        <v>3.2375556454876602</v>
      </c>
      <c r="T57" s="14">
        <f t="shared" si="34"/>
        <v>6.3979526551503501</v>
      </c>
      <c r="U57" s="14">
        <f t="shared" si="34"/>
        <v>6.3303659742828904</v>
      </c>
      <c r="V57" s="14">
        <f t="shared" si="34"/>
        <v>2.3488881929220198</v>
      </c>
      <c r="W57" s="14">
        <f t="shared" si="34"/>
        <v>6.1773676692019599</v>
      </c>
      <c r="X57" s="14">
        <f t="shared" si="34"/>
        <v>4.5754375262134399</v>
      </c>
      <c r="Y57" s="14">
        <f t="shared" si="34"/>
        <v>7.8982999849556199</v>
      </c>
      <c r="Z57" s="14">
        <f t="shared" si="34"/>
        <v>3.33123588851464</v>
      </c>
      <c r="AA57" s="14">
        <f t="shared" si="34"/>
        <v>5.8025676361790097</v>
      </c>
      <c r="AB57" s="14">
        <f t="shared" si="34"/>
        <v>6.3701029833315603</v>
      </c>
      <c r="AC57" s="14">
        <f t="shared" si="34"/>
        <v>2.7696036004846798</v>
      </c>
      <c r="AD57" s="14">
        <f t="shared" si="34"/>
        <v>5.1070784106772003</v>
      </c>
      <c r="AE57" s="14">
        <f t="shared" si="34"/>
        <v>4.3381052491073504</v>
      </c>
      <c r="AF57" s="14">
        <f t="shared" si="34"/>
        <v>4.5607062579405104</v>
      </c>
      <c r="AG57" s="14">
        <f t="shared" si="34"/>
        <v>4.4406381831446096</v>
      </c>
      <c r="AH57" s="14">
        <f t="shared" si="34"/>
        <v>4.2935565982764397</v>
      </c>
      <c r="AI57" s="14">
        <f t="shared" si="34"/>
        <v>2.36987883994431</v>
      </c>
      <c r="AJ57" s="14">
        <f t="shared" si="34"/>
        <v>3.1469931910511</v>
      </c>
      <c r="AK57" s="14">
        <f t="shared" si="34"/>
        <v>4.42575791104227</v>
      </c>
      <c r="AL57" s="66"/>
      <c r="AM57" s="66"/>
      <c r="AN57" s="66"/>
    </row>
    <row r="58" spans="2:40" ht="12.75" customHeight="1" x14ac:dyDescent="0.2">
      <c r="B58" s="78"/>
      <c r="C58" s="78"/>
      <c r="D58" s="78"/>
      <c r="E58" s="78"/>
      <c r="F58" s="78"/>
      <c r="G58" s="78"/>
      <c r="H58" s="78"/>
      <c r="I58" s="78"/>
      <c r="J58" s="78"/>
      <c r="K58" s="78"/>
      <c r="L58" s="107"/>
      <c r="M58" s="86"/>
      <c r="O58" s="385"/>
      <c r="P58" s="380"/>
      <c r="Q58" s="385"/>
      <c r="R58" s="15"/>
      <c r="S58" s="15"/>
      <c r="T58" s="15"/>
      <c r="U58" s="15"/>
      <c r="V58" s="15"/>
      <c r="W58" s="15"/>
      <c r="X58" s="15"/>
      <c r="Y58" s="15"/>
      <c r="Z58" s="15"/>
      <c r="AA58" s="15"/>
      <c r="AB58" s="15"/>
      <c r="AC58" s="15"/>
      <c r="AD58" s="15"/>
      <c r="AE58" s="15"/>
      <c r="AF58" s="15"/>
      <c r="AG58" s="15"/>
      <c r="AH58" s="15"/>
      <c r="AI58" s="15"/>
      <c r="AJ58" s="15"/>
      <c r="AK58" s="15"/>
    </row>
    <row r="59" spans="2:40" ht="12.75" customHeight="1" x14ac:dyDescent="0.2">
      <c r="B59" s="78"/>
      <c r="C59" s="78"/>
      <c r="D59" s="78"/>
      <c r="E59" s="78"/>
      <c r="F59" s="78"/>
      <c r="G59" s="78"/>
      <c r="H59" s="78"/>
      <c r="I59" s="78"/>
      <c r="J59" s="78"/>
      <c r="K59" s="78"/>
      <c r="L59" s="97"/>
      <c r="M59" s="86"/>
      <c r="O59" s="18" t="s">
        <v>141</v>
      </c>
      <c r="P59" s="381" t="s">
        <v>189</v>
      </c>
      <c r="Q59" s="18" t="s">
        <v>113</v>
      </c>
      <c r="R59" s="14">
        <f t="shared" ref="R59:AJ59" si="35">R49/R54</f>
        <v>2.7094532631200798</v>
      </c>
      <c r="S59" s="14">
        <f t="shared" si="35"/>
        <v>3.8105151375503308</v>
      </c>
      <c r="T59" s="14">
        <f t="shared" si="35"/>
        <v>2.9369794353947158</v>
      </c>
      <c r="U59" s="14">
        <f t="shared" si="35"/>
        <v>2.1997786257847545</v>
      </c>
      <c r="V59" s="14">
        <f t="shared" si="35"/>
        <v>5.2928451083904369</v>
      </c>
      <c r="W59" s="14">
        <f t="shared" si="35"/>
        <v>3.7028068244358789</v>
      </c>
      <c r="X59" s="14">
        <f t="shared" si="35"/>
        <v>2.147199370484298</v>
      </c>
      <c r="Y59" s="14">
        <f t="shared" si="35"/>
        <v>2.1051210274256187</v>
      </c>
      <c r="Z59" s="14">
        <f t="shared" si="35"/>
        <v>2.6116344303467112</v>
      </c>
      <c r="AA59" s="14">
        <f t="shared" si="35"/>
        <v>3.2896229802513428</v>
      </c>
      <c r="AB59" s="14">
        <f t="shared" si="35"/>
        <v>3.8865571476975918</v>
      </c>
      <c r="AC59" s="14">
        <f t="shared" si="35"/>
        <v>3.0416849320527608</v>
      </c>
      <c r="AD59" s="14">
        <f t="shared" si="35"/>
        <v>2.1556610930457949</v>
      </c>
      <c r="AE59" s="14">
        <f t="shared" si="35"/>
        <v>4.4577416576831155</v>
      </c>
      <c r="AF59" s="14">
        <f t="shared" si="35"/>
        <v>2.222652558024595</v>
      </c>
      <c r="AG59" s="14">
        <f t="shared" si="35"/>
        <v>2.7544684011540133</v>
      </c>
      <c r="AH59" s="14">
        <f t="shared" si="35"/>
        <v>2.5357566982679574</v>
      </c>
      <c r="AI59" s="14">
        <f t="shared" si="35"/>
        <v>1.8787652448303682</v>
      </c>
      <c r="AJ59" s="14">
        <f t="shared" si="35"/>
        <v>2.9384110635823699</v>
      </c>
      <c r="AK59" s="14">
        <f>AK49/AK54</f>
        <v>1.5359542614641084</v>
      </c>
    </row>
    <row r="60" spans="2:40" ht="12.75" customHeight="1" x14ac:dyDescent="0.2">
      <c r="B60" s="78"/>
      <c r="C60" s="78"/>
      <c r="D60" s="78"/>
      <c r="E60" s="78"/>
      <c r="F60" s="78"/>
      <c r="G60" s="78"/>
      <c r="H60" s="78"/>
      <c r="I60" s="78"/>
      <c r="J60" s="78"/>
      <c r="K60" s="78"/>
      <c r="L60" s="107"/>
      <c r="M60" s="86"/>
      <c r="O60" s="10"/>
      <c r="P60" s="381" t="s">
        <v>35</v>
      </c>
      <c r="Q60" s="9"/>
      <c r="R60" s="14">
        <f t="shared" ref="R60:AK60" si="36">R50/R55</f>
        <v>5.734142997798001</v>
      </c>
      <c r="S60" s="14">
        <f t="shared" si="36"/>
        <v>3.8087905504132515</v>
      </c>
      <c r="T60" s="14">
        <f t="shared" si="36"/>
        <v>3.7848035730243668</v>
      </c>
      <c r="U60" s="14">
        <f t="shared" si="36"/>
        <v>3.4534878705338272</v>
      </c>
      <c r="V60" s="14">
        <f t="shared" si="36"/>
        <v>4.7748225381034048</v>
      </c>
      <c r="W60" s="14">
        <f t="shared" si="36"/>
        <v>4.0288727558829827</v>
      </c>
      <c r="X60" s="14">
        <f t="shared" si="36"/>
        <v>3.7729330073527447</v>
      </c>
      <c r="Y60" s="14">
        <f t="shared" si="36"/>
        <v>3.2298478017623458</v>
      </c>
      <c r="Z60" s="14">
        <f t="shared" si="36"/>
        <v>4.3216644725294033</v>
      </c>
      <c r="AA60" s="14">
        <f t="shared" si="36"/>
        <v>2.9889286075526162</v>
      </c>
      <c r="AB60" s="14">
        <f t="shared" si="36"/>
        <v>2.6438542033063621</v>
      </c>
      <c r="AC60" s="14">
        <f t="shared" si="36"/>
        <v>3.713000026479778</v>
      </c>
      <c r="AD60" s="14">
        <f t="shared" si="36"/>
        <v>2.9337827373017942</v>
      </c>
      <c r="AE60" s="14">
        <f t="shared" si="36"/>
        <v>3.4840737346050679</v>
      </c>
      <c r="AF60" s="14">
        <f t="shared" si="36"/>
        <v>2.9885190730437476</v>
      </c>
      <c r="AG60" s="14">
        <f t="shared" si="36"/>
        <v>4.2856868973533491</v>
      </c>
      <c r="AH60" s="14">
        <f t="shared" si="36"/>
        <v>3.6222354784714552</v>
      </c>
      <c r="AI60" s="14">
        <f t="shared" si="36"/>
        <v>2.6389634941026103</v>
      </c>
      <c r="AJ60" s="14">
        <f t="shared" si="36"/>
        <v>3.1057286940645246</v>
      </c>
      <c r="AK60" s="14">
        <f t="shared" si="36"/>
        <v>4.1480590224776286</v>
      </c>
    </row>
    <row r="61" spans="2:40" ht="12.75" customHeight="1" x14ac:dyDescent="0.2">
      <c r="B61" s="78"/>
      <c r="C61" s="78"/>
      <c r="D61" s="78"/>
      <c r="E61" s="78"/>
      <c r="F61" s="78"/>
      <c r="G61" s="78"/>
      <c r="H61" s="78"/>
      <c r="I61" s="78"/>
      <c r="J61" s="78"/>
      <c r="K61" s="78"/>
      <c r="L61" s="97"/>
      <c r="M61" s="86"/>
      <c r="O61" s="10"/>
      <c r="P61" s="381" t="s">
        <v>36</v>
      </c>
      <c r="Q61" s="9"/>
      <c r="R61" s="14">
        <f t="shared" ref="R61:AK61" si="37">R51/R56</f>
        <v>3.6433983556343699</v>
      </c>
      <c r="S61" s="14">
        <f t="shared" si="37"/>
        <v>2.9362126312616237</v>
      </c>
      <c r="T61" s="14">
        <f t="shared" si="37"/>
        <v>3.7795620994812356</v>
      </c>
      <c r="U61" s="14">
        <f t="shared" si="37"/>
        <v>4.0003621893223853</v>
      </c>
      <c r="V61" s="14">
        <f t="shared" si="37"/>
        <v>3.5386134868766694</v>
      </c>
      <c r="W61" s="14">
        <f t="shared" si="37"/>
        <v>2.4566110531167458</v>
      </c>
      <c r="X61" s="14">
        <f t="shared" si="37"/>
        <v>3.5958561808012703</v>
      </c>
      <c r="Y61" s="14">
        <f t="shared" si="37"/>
        <v>2.9245274073699505</v>
      </c>
      <c r="Z61" s="14">
        <f t="shared" si="37"/>
        <v>3.0084905188014468</v>
      </c>
      <c r="AA61" s="14">
        <f t="shared" si="37"/>
        <v>3.4848531801315508</v>
      </c>
      <c r="AB61" s="14">
        <f t="shared" si="37"/>
        <v>3.6666594417219529</v>
      </c>
      <c r="AC61" s="14">
        <f t="shared" si="37"/>
        <v>2.6446508762866072</v>
      </c>
      <c r="AD61" s="14">
        <f t="shared" si="37"/>
        <v>3.8293481630754922</v>
      </c>
      <c r="AE61" s="14">
        <f t="shared" si="37"/>
        <v>3.2158869154053238</v>
      </c>
      <c r="AF61" s="14">
        <f t="shared" si="37"/>
        <v>2.87813101493848</v>
      </c>
      <c r="AG61" s="14">
        <f t="shared" si="37"/>
        <v>3.7332608412423212</v>
      </c>
      <c r="AH61" s="14">
        <f t="shared" si="37"/>
        <v>2.6458747923246873</v>
      </c>
      <c r="AI61" s="14">
        <f t="shared" si="37"/>
        <v>2.6066402217029867</v>
      </c>
      <c r="AJ61" s="14">
        <f t="shared" si="37"/>
        <v>2.8194305157593109</v>
      </c>
      <c r="AK61" s="14">
        <f t="shared" si="37"/>
        <v>2.9466123462904315</v>
      </c>
    </row>
    <row r="62" spans="2:40" ht="12.75" customHeight="1" x14ac:dyDescent="0.2">
      <c r="B62" s="78"/>
      <c r="C62" s="78"/>
      <c r="D62" s="78"/>
      <c r="E62" s="78"/>
      <c r="F62" s="78"/>
      <c r="G62" s="78"/>
      <c r="H62" s="78"/>
      <c r="I62" s="78"/>
      <c r="J62" s="78"/>
      <c r="K62" s="78"/>
      <c r="L62" s="97"/>
      <c r="M62" s="86"/>
      <c r="O62" s="10"/>
      <c r="P62" s="381" t="s">
        <v>26</v>
      </c>
      <c r="Q62" s="9"/>
      <c r="R62" s="14">
        <f t="shared" ref="R62:AK62" si="38">R52/R57</f>
        <v>5.3651007434543763</v>
      </c>
      <c r="S62" s="14">
        <f t="shared" si="38"/>
        <v>7.5247590297637874</v>
      </c>
      <c r="T62" s="14">
        <f t="shared" si="38"/>
        <v>3.9105551211884277</v>
      </c>
      <c r="U62" s="14">
        <f t="shared" si="38"/>
        <v>2.9181419334975383</v>
      </c>
      <c r="V62" s="14">
        <f t="shared" si="38"/>
        <v>8.8161354950586546</v>
      </c>
      <c r="W62" s="14">
        <f t="shared" si="38"/>
        <v>3.8577599046767999</v>
      </c>
      <c r="X62" s="14">
        <f t="shared" si="38"/>
        <v>3.833049154771778</v>
      </c>
      <c r="Y62" s="14">
        <f t="shared" si="38"/>
        <v>2.7766570179919459</v>
      </c>
      <c r="Z62" s="14">
        <f t="shared" si="38"/>
        <v>6.4379173336234148</v>
      </c>
      <c r="AA62" s="14">
        <f t="shared" si="38"/>
        <v>2.4951588091575401</v>
      </c>
      <c r="AB62" s="14">
        <f t="shared" si="38"/>
        <v>2.2631935342944542</v>
      </c>
      <c r="AC62" s="14">
        <f t="shared" si="38"/>
        <v>6.4245996441281079</v>
      </c>
      <c r="AD62" s="14">
        <f t="shared" si="38"/>
        <v>2.9157180675049545</v>
      </c>
      <c r="AE62" s="14">
        <f t="shared" si="38"/>
        <v>3.8011304573804607</v>
      </c>
      <c r="AF62" s="14">
        <f t="shared" si="38"/>
        <v>3.6762055155434425</v>
      </c>
      <c r="AG62" s="14">
        <f t="shared" si="38"/>
        <v>2.6293704600484151</v>
      </c>
      <c r="AH62" s="14">
        <f t="shared" si="38"/>
        <v>3.6164399461442183</v>
      </c>
      <c r="AI62" s="14">
        <f t="shared" si="38"/>
        <v>7.0151704073150318</v>
      </c>
      <c r="AJ62" s="14">
        <f t="shared" si="38"/>
        <v>5.1737558337990128</v>
      </c>
      <c r="AK62" s="14">
        <f t="shared" si="38"/>
        <v>3.4687050244666846</v>
      </c>
    </row>
    <row r="63" spans="2:40" ht="12.75" customHeight="1" x14ac:dyDescent="0.2">
      <c r="B63" s="78"/>
      <c r="C63" s="78"/>
      <c r="D63" s="78"/>
      <c r="E63" s="78"/>
      <c r="F63" s="78"/>
      <c r="G63" s="78"/>
      <c r="H63" s="78"/>
      <c r="I63" s="78"/>
      <c r="J63" s="78"/>
      <c r="K63" s="78"/>
      <c r="L63" s="107"/>
      <c r="M63" s="86"/>
      <c r="O63" s="301" t="s">
        <v>144</v>
      </c>
      <c r="P63" s="301"/>
      <c r="Q63" s="302"/>
      <c r="Y63" s="11"/>
      <c r="Z63" s="11"/>
      <c r="AA63" s="11"/>
      <c r="AB63" s="11"/>
      <c r="AC63" s="11"/>
      <c r="AD63" s="11"/>
      <c r="AE63" s="11"/>
      <c r="AF63" s="11"/>
      <c r="AG63" s="11"/>
      <c r="AH63" s="11"/>
      <c r="AI63" s="11"/>
      <c r="AJ63" s="11"/>
      <c r="AK63" s="8"/>
    </row>
    <row r="64" spans="2:40" ht="12.75" customHeight="1" x14ac:dyDescent="0.2">
      <c r="B64" s="78"/>
      <c r="C64" s="78"/>
      <c r="D64" s="78"/>
      <c r="E64" s="78"/>
      <c r="F64" s="78"/>
      <c r="G64" s="78"/>
      <c r="H64" s="78"/>
      <c r="I64" s="78"/>
      <c r="J64" s="78"/>
      <c r="K64" s="78"/>
      <c r="L64" s="97"/>
      <c r="M64" s="86"/>
      <c r="O64" s="301" t="s">
        <v>102</v>
      </c>
      <c r="P64" s="301"/>
      <c r="Q64" s="240"/>
      <c r="R64" s="9"/>
      <c r="S64" s="9"/>
      <c r="T64" s="9"/>
      <c r="U64" s="9"/>
      <c r="V64" s="9"/>
      <c r="W64" s="9"/>
      <c r="X64" s="9"/>
      <c r="Y64" s="9"/>
      <c r="Z64" s="9"/>
      <c r="AA64" s="9"/>
      <c r="AB64" s="9"/>
      <c r="AC64" s="9"/>
      <c r="AD64" s="9"/>
      <c r="AE64" s="9"/>
      <c r="AF64" s="9"/>
      <c r="AG64" s="9"/>
      <c r="AH64" s="9"/>
      <c r="AI64" s="9"/>
    </row>
    <row r="65" spans="2:37" ht="12.75" customHeight="1" x14ac:dyDescent="0.2">
      <c r="B65" s="78"/>
      <c r="C65" s="78"/>
      <c r="D65" s="78"/>
      <c r="E65" s="78"/>
      <c r="F65" s="78"/>
      <c r="G65" s="78"/>
      <c r="H65" s="78"/>
      <c r="I65" s="78"/>
      <c r="J65" s="78"/>
      <c r="K65" s="78"/>
      <c r="L65" s="107"/>
      <c r="M65" s="86"/>
      <c r="O65" s="16"/>
      <c r="P65" s="16"/>
      <c r="Q65" s="16"/>
      <c r="R65" s="15"/>
      <c r="S65" s="15"/>
      <c r="T65" s="15"/>
      <c r="U65" s="15"/>
      <c r="V65" s="15"/>
      <c r="W65" s="15"/>
      <c r="X65" s="15"/>
      <c r="Y65" s="15"/>
      <c r="Z65" s="15"/>
      <c r="AA65" s="15"/>
      <c r="AB65" s="15"/>
      <c r="AC65" s="15"/>
      <c r="AD65" s="15"/>
      <c r="AE65" s="15"/>
      <c r="AF65" s="15"/>
      <c r="AG65" s="15"/>
      <c r="AH65" s="15"/>
      <c r="AI65" s="15"/>
      <c r="AJ65" s="15"/>
      <c r="AK65" s="15"/>
    </row>
    <row r="66" spans="2:37" ht="12.75" customHeight="1" x14ac:dyDescent="0.2">
      <c r="B66" s="78"/>
      <c r="C66" s="78"/>
      <c r="D66" s="78"/>
      <c r="E66" s="78"/>
      <c r="F66" s="78"/>
      <c r="G66" s="78"/>
      <c r="H66" s="78"/>
      <c r="I66" s="78"/>
      <c r="J66" s="78"/>
      <c r="K66" s="78"/>
      <c r="L66" s="97"/>
      <c r="M66" s="86"/>
      <c r="O66" s="9"/>
      <c r="P66" s="9"/>
      <c r="Q66" s="9"/>
      <c r="R66" s="9"/>
      <c r="S66" s="9"/>
      <c r="T66" s="9"/>
      <c r="U66" s="9"/>
      <c r="V66" s="9"/>
      <c r="W66" s="9"/>
      <c r="X66" s="9"/>
      <c r="Y66" s="9"/>
      <c r="Z66" s="9"/>
      <c r="AA66" s="9"/>
      <c r="AB66" s="9"/>
      <c r="AC66" s="9"/>
      <c r="AD66" s="9"/>
      <c r="AE66" s="9"/>
      <c r="AF66" s="9"/>
      <c r="AG66" s="9"/>
      <c r="AH66" s="9"/>
      <c r="AI66" s="9"/>
    </row>
    <row r="67" spans="2:37" ht="12.75" customHeight="1" x14ac:dyDescent="0.2">
      <c r="B67" s="78"/>
      <c r="C67" s="78"/>
      <c r="D67" s="78"/>
      <c r="E67" s="78"/>
      <c r="F67" s="78"/>
      <c r="G67" s="78"/>
      <c r="H67" s="78"/>
      <c r="I67" s="78"/>
      <c r="J67" s="78"/>
      <c r="K67" s="78"/>
      <c r="L67" s="97"/>
      <c r="M67" s="86"/>
      <c r="O67" s="9"/>
      <c r="P67" s="9"/>
      <c r="Q67" s="9"/>
      <c r="R67" s="9"/>
      <c r="S67" s="9"/>
      <c r="T67" s="9"/>
      <c r="U67" s="9"/>
      <c r="V67" s="9"/>
      <c r="W67" s="9"/>
      <c r="X67" s="9"/>
      <c r="Y67" s="9"/>
      <c r="Z67" s="9"/>
      <c r="AA67" s="9"/>
      <c r="AB67" s="9"/>
      <c r="AC67" s="9"/>
      <c r="AD67" s="9"/>
      <c r="AE67" s="9"/>
      <c r="AF67" s="9"/>
      <c r="AG67" s="9"/>
      <c r="AH67" s="9"/>
      <c r="AI67" s="9"/>
    </row>
    <row r="68" spans="2:37" ht="12.75" customHeight="1" x14ac:dyDescent="0.2">
      <c r="B68" s="78"/>
      <c r="C68" s="78"/>
      <c r="D68" s="78"/>
      <c r="E68" s="78"/>
      <c r="F68" s="78"/>
      <c r="G68" s="78"/>
      <c r="H68" s="78"/>
      <c r="I68" s="78"/>
      <c r="J68" s="78"/>
      <c r="K68" s="78"/>
      <c r="L68" s="107"/>
      <c r="M68" s="86"/>
      <c r="Y68" s="11"/>
      <c r="AJ68" s="10"/>
    </row>
    <row r="69" spans="2:37" ht="12.75" customHeight="1" x14ac:dyDescent="0.2">
      <c r="B69" s="78"/>
      <c r="C69" s="78"/>
      <c r="D69" s="78"/>
      <c r="E69" s="78"/>
      <c r="F69" s="78"/>
      <c r="G69" s="78"/>
      <c r="H69" s="78"/>
      <c r="I69" s="78"/>
      <c r="J69" s="78"/>
      <c r="K69" s="78"/>
      <c r="L69" s="97"/>
      <c r="M69" s="86"/>
      <c r="Y69" s="11"/>
      <c r="AJ69" s="10"/>
    </row>
    <row r="70" spans="2:37" ht="12.75" customHeight="1" x14ac:dyDescent="0.2">
      <c r="B70" s="78"/>
      <c r="C70" s="78"/>
      <c r="D70" s="78"/>
      <c r="E70" s="78"/>
      <c r="F70" s="78"/>
      <c r="G70" s="78"/>
      <c r="H70" s="78"/>
      <c r="I70" s="78"/>
      <c r="J70" s="78"/>
      <c r="K70" s="78"/>
      <c r="L70" s="107"/>
      <c r="M70" s="86"/>
      <c r="Y70" s="11"/>
      <c r="AJ70" s="10"/>
    </row>
    <row r="71" spans="2:37" ht="12.75" customHeight="1" x14ac:dyDescent="0.2">
      <c r="B71" s="78"/>
      <c r="C71" s="78"/>
      <c r="D71" s="78"/>
      <c r="E71" s="78"/>
      <c r="F71" s="78"/>
      <c r="G71" s="78"/>
      <c r="H71" s="78"/>
      <c r="I71" s="78"/>
      <c r="J71" s="78"/>
      <c r="K71" s="78"/>
      <c r="L71" s="97"/>
      <c r="M71" s="86"/>
      <c r="Y71" s="11"/>
      <c r="AJ71" s="10"/>
    </row>
    <row r="72" spans="2:37" ht="12.75" customHeight="1" x14ac:dyDescent="0.2">
      <c r="B72" s="78"/>
      <c r="C72" s="78"/>
      <c r="D72" s="78"/>
      <c r="E72" s="78"/>
      <c r="F72" s="78"/>
      <c r="G72" s="78"/>
      <c r="H72" s="78"/>
      <c r="I72" s="78"/>
      <c r="J72" s="78"/>
      <c r="K72" s="78"/>
      <c r="L72" s="107"/>
      <c r="M72" s="86"/>
      <c r="Y72" s="11"/>
      <c r="AJ72" s="10"/>
    </row>
    <row r="73" spans="2:37" ht="12.75" customHeight="1" x14ac:dyDescent="0.2">
      <c r="B73" s="78"/>
      <c r="C73" s="79" t="s">
        <v>101</v>
      </c>
      <c r="D73" s="79" t="s">
        <v>103</v>
      </c>
      <c r="E73" s="80"/>
      <c r="F73" s="80"/>
      <c r="G73" s="78"/>
      <c r="H73" s="78"/>
      <c r="I73" s="78"/>
      <c r="J73" s="78"/>
      <c r="K73" s="78"/>
      <c r="L73" s="107"/>
      <c r="M73" s="86"/>
      <c r="Y73" s="11"/>
      <c r="AJ73" s="10"/>
    </row>
    <row r="74" spans="2:37" ht="12.75" customHeight="1" x14ac:dyDescent="0.2">
      <c r="B74" s="78"/>
      <c r="C74" s="78"/>
      <c r="D74" s="79" t="s">
        <v>599</v>
      </c>
      <c r="E74" s="78"/>
      <c r="F74" s="78"/>
      <c r="G74" s="78"/>
      <c r="H74" s="78"/>
      <c r="I74" s="78"/>
      <c r="J74" s="78"/>
      <c r="K74" s="78"/>
      <c r="L74" s="107"/>
      <c r="M74" s="86"/>
    </row>
    <row r="75" spans="2:37" ht="12.75" customHeight="1" x14ac:dyDescent="0.2">
      <c r="B75" s="78"/>
      <c r="C75" s="79" t="s">
        <v>102</v>
      </c>
      <c r="D75" s="78"/>
      <c r="E75" s="78"/>
      <c r="F75" s="78"/>
      <c r="G75" s="78"/>
      <c r="H75" s="78"/>
      <c r="I75" s="78"/>
      <c r="J75" s="78"/>
      <c r="K75" s="78"/>
      <c r="L75" s="107"/>
      <c r="M75" s="86"/>
    </row>
    <row r="76" spans="2:37" ht="12.75" customHeight="1" x14ac:dyDescent="0.2">
      <c r="B76" s="78"/>
      <c r="C76" s="78"/>
      <c r="D76" s="78"/>
      <c r="E76" s="78"/>
      <c r="F76" s="78"/>
      <c r="G76" s="78"/>
      <c r="H76" s="78"/>
      <c r="I76" s="78"/>
      <c r="J76" s="78"/>
      <c r="K76" s="78"/>
      <c r="L76" s="107"/>
      <c r="M76" s="86"/>
    </row>
    <row r="77" spans="2:37" ht="12.75" customHeight="1" x14ac:dyDescent="0.2">
      <c r="C77" s="8"/>
      <c r="D77" s="8"/>
      <c r="E77" s="8"/>
      <c r="F77" s="8"/>
      <c r="G77" s="8"/>
      <c r="H77" s="8"/>
      <c r="I77" s="8"/>
      <c r="J77" s="8"/>
      <c r="K77" s="8"/>
    </row>
    <row r="78" spans="2:37" ht="12.75" customHeight="1" x14ac:dyDescent="0.2">
      <c r="C78" s="8"/>
      <c r="D78" s="8"/>
      <c r="E78" s="8"/>
      <c r="F78" s="8"/>
      <c r="G78" s="8"/>
      <c r="H78" s="8"/>
      <c r="I78" s="8"/>
      <c r="J78" s="8"/>
      <c r="K78" s="8"/>
    </row>
    <row r="79" spans="2:37" ht="12.75" customHeight="1" x14ac:dyDescent="0.2">
      <c r="C79" s="8"/>
      <c r="D79" s="8"/>
      <c r="E79" s="8"/>
      <c r="F79" s="8"/>
      <c r="G79" s="8"/>
      <c r="H79" s="8"/>
      <c r="I79" s="8"/>
      <c r="J79" s="8"/>
      <c r="K79" s="8"/>
    </row>
    <row r="80" spans="2:37" ht="12.75" customHeight="1" x14ac:dyDescent="0.2">
      <c r="C80" s="8"/>
      <c r="D80" s="8"/>
      <c r="E80" s="8"/>
      <c r="F80" s="8"/>
      <c r="G80" s="8"/>
      <c r="H80" s="8"/>
      <c r="I80" s="8"/>
      <c r="J80" s="8"/>
      <c r="K80" s="8"/>
    </row>
    <row r="81" spans="3:11" ht="12.75" customHeight="1" x14ac:dyDescent="0.2">
      <c r="C81" s="8"/>
      <c r="D81" s="8"/>
      <c r="E81" s="8"/>
      <c r="F81" s="8"/>
      <c r="G81" s="8"/>
      <c r="H81" s="8"/>
      <c r="I81" s="8"/>
      <c r="J81" s="8"/>
      <c r="K81" s="8"/>
    </row>
    <row r="82" spans="3:11" ht="12.75" customHeight="1" x14ac:dyDescent="0.2">
      <c r="C82" s="8"/>
      <c r="D82" s="8"/>
      <c r="E82" s="8"/>
      <c r="F82" s="8"/>
      <c r="G82" s="8"/>
      <c r="H82" s="8"/>
      <c r="I82" s="8"/>
      <c r="J82" s="8"/>
      <c r="K82" s="8"/>
    </row>
    <row r="83" spans="3:11" ht="12.75" customHeight="1" x14ac:dyDescent="0.2">
      <c r="C83" s="8"/>
      <c r="D83" s="8"/>
      <c r="E83" s="8"/>
      <c r="F83" s="8"/>
      <c r="G83" s="8"/>
      <c r="H83" s="8"/>
      <c r="I83" s="8"/>
      <c r="J83" s="8"/>
      <c r="K83" s="8"/>
    </row>
    <row r="84" spans="3:11" ht="12.75" customHeight="1" x14ac:dyDescent="0.2">
      <c r="C84" s="8"/>
      <c r="D84" s="8"/>
      <c r="E84" s="8"/>
      <c r="F84" s="8"/>
      <c r="G84" s="8"/>
      <c r="H84" s="8"/>
      <c r="I84" s="8"/>
      <c r="J84" s="8"/>
      <c r="K84" s="8"/>
    </row>
  </sheetData>
  <mergeCells count="1">
    <mergeCell ref="C4:M4"/>
  </mergeCells>
  <hyperlinks>
    <hyperlink ref="O1" location="'Key findings'!A1" display="Back to Key Findings"/>
  </hyperlinks>
  <pageMargins left="0.19685039370078741" right="0.19685039370078741" top="0.19685039370078741" bottom="0.19685039370078741" header="0.31496062992125984" footer="0.31496062992125984"/>
  <pageSetup paperSize="9" scale="53"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158"/>
  <sheetViews>
    <sheetView showGridLines="0" zoomScaleNormal="100" workbookViewId="0">
      <selection activeCell="L20" sqref="L20"/>
    </sheetView>
  </sheetViews>
  <sheetFormatPr defaultRowHeight="12.75" x14ac:dyDescent="0.2"/>
  <cols>
    <col min="1" max="1" width="5.140625" style="12" customWidth="1"/>
    <col min="2" max="2" width="2" style="12" customWidth="1"/>
    <col min="3" max="3" width="8" style="12" customWidth="1"/>
    <col min="4" max="8" width="9.140625" style="12"/>
    <col min="9" max="9" width="16" style="12" customWidth="1"/>
    <col min="10" max="10" width="15.5703125" style="12" customWidth="1"/>
    <col min="11" max="11" width="7.5703125" style="12" customWidth="1"/>
    <col min="12" max="12" width="22" style="12" customWidth="1"/>
    <col min="13" max="13" width="13.5703125" style="12" customWidth="1"/>
    <col min="14" max="14" width="9.140625" style="12" customWidth="1"/>
    <col min="15" max="15" width="9.5703125" style="12" customWidth="1"/>
    <col min="16" max="22" width="6.7109375" style="12" customWidth="1"/>
    <col min="23" max="23" width="6.85546875" style="12" customWidth="1"/>
    <col min="24" max="24" width="6.28515625" style="12" customWidth="1"/>
    <col min="25" max="25" width="6.5703125" style="12" customWidth="1"/>
    <col min="26" max="16384" width="9.140625" style="12"/>
  </cols>
  <sheetData>
    <row r="1" spans="2:26" x14ac:dyDescent="0.2">
      <c r="M1" s="131" t="s">
        <v>505</v>
      </c>
    </row>
    <row r="2" spans="2:26" ht="23.25" x14ac:dyDescent="0.35">
      <c r="C2" s="120" t="s">
        <v>191</v>
      </c>
      <c r="M2" s="131" t="s">
        <v>475</v>
      </c>
    </row>
    <row r="3" spans="2:26" ht="17.25" customHeight="1" x14ac:dyDescent="0.35">
      <c r="C3" s="120"/>
      <c r="M3" s="131" t="s">
        <v>476</v>
      </c>
    </row>
    <row r="4" spans="2:26" ht="66" customHeight="1" x14ac:dyDescent="0.2">
      <c r="C4" s="549" t="s">
        <v>564</v>
      </c>
      <c r="D4" s="523"/>
      <c r="E4" s="523"/>
      <c r="F4" s="523"/>
      <c r="G4" s="523"/>
      <c r="H4" s="523"/>
      <c r="I4" s="523"/>
      <c r="J4" s="523"/>
      <c r="K4" s="523"/>
    </row>
    <row r="6" spans="2:26" x14ac:dyDescent="0.2">
      <c r="B6" s="71"/>
      <c r="C6" s="71"/>
      <c r="D6" s="71"/>
      <c r="E6" s="71"/>
      <c r="F6" s="71"/>
      <c r="G6" s="71"/>
      <c r="H6" s="71"/>
      <c r="I6" s="71"/>
      <c r="J6" s="71"/>
      <c r="K6" s="71"/>
      <c r="M6" s="563" t="s">
        <v>519</v>
      </c>
      <c r="N6" s="523"/>
      <c r="O6" s="523"/>
      <c r="P6" s="523"/>
      <c r="Q6" s="523"/>
      <c r="R6" s="523"/>
      <c r="S6" s="523"/>
      <c r="T6" s="523"/>
      <c r="U6" s="523"/>
      <c r="V6" s="523"/>
      <c r="W6" s="523"/>
      <c r="X6" s="523"/>
      <c r="Y6" s="523"/>
      <c r="Z6" s="523"/>
    </row>
    <row r="7" spans="2:26" ht="15" x14ac:dyDescent="0.25">
      <c r="B7" s="71"/>
      <c r="C7" s="95" t="s">
        <v>369</v>
      </c>
      <c r="D7" s="71"/>
      <c r="E7" s="71"/>
      <c r="F7" s="71"/>
      <c r="G7" s="71"/>
      <c r="H7" s="71"/>
      <c r="I7" s="71"/>
      <c r="J7" s="71"/>
      <c r="K7" s="71"/>
      <c r="M7" s="523"/>
      <c r="N7" s="523"/>
      <c r="O7" s="523"/>
      <c r="P7" s="523"/>
      <c r="Q7" s="523"/>
      <c r="R7" s="523"/>
      <c r="S7" s="523"/>
      <c r="T7" s="523"/>
      <c r="U7" s="523"/>
      <c r="V7" s="523"/>
      <c r="W7" s="523"/>
      <c r="X7" s="523"/>
      <c r="Y7" s="523"/>
      <c r="Z7" s="523"/>
    </row>
    <row r="8" spans="2:26" x14ac:dyDescent="0.2">
      <c r="B8" s="71"/>
      <c r="C8" s="71"/>
      <c r="D8" s="71"/>
      <c r="E8" s="71"/>
      <c r="F8" s="71"/>
      <c r="G8" s="71"/>
      <c r="H8" s="71"/>
      <c r="I8" s="71"/>
      <c r="J8" s="71"/>
      <c r="K8" s="71"/>
      <c r="N8" s="11"/>
      <c r="O8" s="11"/>
      <c r="P8" s="11"/>
      <c r="Q8" s="11"/>
      <c r="R8" s="11"/>
      <c r="S8" s="11"/>
      <c r="T8" s="10"/>
      <c r="U8" s="10"/>
      <c r="V8" s="10"/>
      <c r="W8" s="10"/>
      <c r="X8" s="10"/>
      <c r="Y8" s="10"/>
    </row>
    <row r="9" spans="2:26" x14ac:dyDescent="0.2">
      <c r="B9" s="71"/>
      <c r="C9" s="71"/>
      <c r="D9" s="71"/>
      <c r="E9" s="71"/>
      <c r="F9" s="71"/>
      <c r="G9" s="71"/>
      <c r="H9" s="71"/>
      <c r="I9" s="71"/>
      <c r="J9" s="71"/>
      <c r="K9" s="71"/>
      <c r="M9" s="13" t="s">
        <v>1</v>
      </c>
      <c r="N9" s="13" t="s">
        <v>38</v>
      </c>
      <c r="O9" s="13"/>
      <c r="P9" s="13">
        <v>2006</v>
      </c>
      <c r="Q9" s="13">
        <v>2007</v>
      </c>
      <c r="R9" s="13">
        <v>2008</v>
      </c>
      <c r="S9" s="13">
        <v>2009</v>
      </c>
      <c r="T9" s="13">
        <v>2010</v>
      </c>
      <c r="U9" s="13">
        <v>2011</v>
      </c>
      <c r="V9" s="13">
        <v>2012</v>
      </c>
      <c r="W9" s="13">
        <v>2013</v>
      </c>
      <c r="X9" s="13">
        <v>2014</v>
      </c>
      <c r="Y9" s="13">
        <v>2015</v>
      </c>
    </row>
    <row r="10" spans="2:26" ht="12.75" customHeight="1" x14ac:dyDescent="0.2">
      <c r="B10" s="71"/>
      <c r="C10" s="71"/>
      <c r="D10" s="71"/>
      <c r="E10" s="71"/>
      <c r="F10" s="71"/>
      <c r="G10" s="71"/>
      <c r="H10" s="71"/>
      <c r="I10" s="71"/>
      <c r="J10" s="71"/>
      <c r="K10" s="71"/>
      <c r="M10" s="24"/>
      <c r="N10" s="11"/>
      <c r="O10" s="24"/>
      <c r="P10" s="24"/>
      <c r="Q10" s="24"/>
      <c r="R10" s="24"/>
      <c r="S10" s="24"/>
      <c r="T10" s="24"/>
      <c r="U10" s="24"/>
      <c r="V10" s="24"/>
      <c r="W10" s="24"/>
      <c r="X10" s="24"/>
      <c r="Y10" s="24"/>
    </row>
    <row r="11" spans="2:26" x14ac:dyDescent="0.2">
      <c r="B11" s="71"/>
      <c r="C11" s="71"/>
      <c r="D11" s="71"/>
      <c r="E11" s="71"/>
      <c r="F11" s="71"/>
      <c r="G11" s="71"/>
      <c r="H11" s="71"/>
      <c r="I11" s="71"/>
      <c r="J11" s="71"/>
      <c r="K11" s="71"/>
      <c r="M11" s="53" t="s">
        <v>0</v>
      </c>
      <c r="N11" s="18">
        <v>1</v>
      </c>
      <c r="O11" s="25" t="s">
        <v>21</v>
      </c>
      <c r="P11" s="11">
        <f t="shared" ref="P11:Y11" si="0">VLOOKUP(P$9&amp;"AllSex"&amp;"AllEth"&amp;19&amp;1,deptable,7,FALSE)</f>
        <v>67</v>
      </c>
      <c r="Q11" s="11">
        <f t="shared" si="0"/>
        <v>69</v>
      </c>
      <c r="R11" s="11">
        <f t="shared" si="0"/>
        <v>83</v>
      </c>
      <c r="S11" s="11">
        <f t="shared" si="0"/>
        <v>74</v>
      </c>
      <c r="T11" s="11">
        <f t="shared" si="0"/>
        <v>90</v>
      </c>
      <c r="U11" s="11">
        <f t="shared" si="0"/>
        <v>75</v>
      </c>
      <c r="V11" s="11">
        <f t="shared" si="0"/>
        <v>52</v>
      </c>
      <c r="W11" s="11">
        <f t="shared" si="0"/>
        <v>72</v>
      </c>
      <c r="X11" s="11">
        <f t="shared" si="0"/>
        <v>63</v>
      </c>
      <c r="Y11" s="11">
        <f t="shared" si="0"/>
        <v>81</v>
      </c>
    </row>
    <row r="12" spans="2:26" x14ac:dyDescent="0.2">
      <c r="B12" s="71"/>
      <c r="C12" s="71"/>
      <c r="D12" s="71"/>
      <c r="E12" s="71"/>
      <c r="F12" s="71"/>
      <c r="G12" s="71"/>
      <c r="H12" s="71"/>
      <c r="I12" s="71"/>
      <c r="J12" s="71"/>
      <c r="K12" s="71"/>
      <c r="M12" s="11"/>
      <c r="N12" s="19">
        <v>2</v>
      </c>
      <c r="O12" s="24"/>
      <c r="P12" s="11">
        <f t="shared" ref="P12:Y12" si="1">VLOOKUP(P$9&amp;"AllSex"&amp;"AllEth"&amp;19&amp;2,deptable,7,FALSE)</f>
        <v>89</v>
      </c>
      <c r="Q12" s="11">
        <f t="shared" si="1"/>
        <v>74</v>
      </c>
      <c r="R12" s="11">
        <f t="shared" si="1"/>
        <v>85</v>
      </c>
      <c r="S12" s="11">
        <f t="shared" si="1"/>
        <v>89</v>
      </c>
      <c r="T12" s="11">
        <f t="shared" si="1"/>
        <v>88</v>
      </c>
      <c r="U12" s="11">
        <f t="shared" si="1"/>
        <v>76</v>
      </c>
      <c r="V12" s="11">
        <f t="shared" si="1"/>
        <v>87</v>
      </c>
      <c r="W12" s="11">
        <f t="shared" si="1"/>
        <v>83</v>
      </c>
      <c r="X12" s="11">
        <f t="shared" si="1"/>
        <v>72</v>
      </c>
      <c r="Y12" s="11">
        <f t="shared" si="1"/>
        <v>92</v>
      </c>
    </row>
    <row r="13" spans="2:26" x14ac:dyDescent="0.2">
      <c r="B13" s="71"/>
      <c r="C13" s="71"/>
      <c r="D13" s="71"/>
      <c r="E13" s="71"/>
      <c r="F13" s="71"/>
      <c r="G13" s="71"/>
      <c r="H13" s="71"/>
      <c r="I13" s="71"/>
      <c r="J13" s="71"/>
      <c r="K13" s="71"/>
      <c r="M13" s="11"/>
      <c r="N13" s="18">
        <v>3</v>
      </c>
      <c r="O13" s="24"/>
      <c r="P13" s="11">
        <f t="shared" ref="P13:Y13" si="2">VLOOKUP(P$9&amp;"AllSex"&amp;"AllEth"&amp;19&amp;3,deptable,7,FALSE)</f>
        <v>96</v>
      </c>
      <c r="Q13" s="11">
        <f t="shared" si="2"/>
        <v>106</v>
      </c>
      <c r="R13" s="11">
        <f t="shared" si="2"/>
        <v>105</v>
      </c>
      <c r="S13" s="11">
        <f t="shared" si="2"/>
        <v>87</v>
      </c>
      <c r="T13" s="11">
        <f t="shared" si="2"/>
        <v>98</v>
      </c>
      <c r="U13" s="11">
        <f t="shared" si="2"/>
        <v>104</v>
      </c>
      <c r="V13" s="11">
        <f t="shared" si="2"/>
        <v>118</v>
      </c>
      <c r="W13" s="11">
        <f t="shared" si="2"/>
        <v>98</v>
      </c>
      <c r="X13" s="11">
        <f t="shared" si="2"/>
        <v>94</v>
      </c>
      <c r="Y13" s="11">
        <f t="shared" si="2"/>
        <v>89</v>
      </c>
    </row>
    <row r="14" spans="2:26" x14ac:dyDescent="0.2">
      <c r="B14" s="71"/>
      <c r="C14" s="71"/>
      <c r="D14" s="71"/>
      <c r="E14" s="71"/>
      <c r="F14" s="71"/>
      <c r="G14" s="71"/>
      <c r="H14" s="71"/>
      <c r="I14" s="71"/>
      <c r="J14" s="71"/>
      <c r="K14" s="71"/>
      <c r="M14" s="11"/>
      <c r="N14" s="19">
        <v>4</v>
      </c>
      <c r="O14" s="24"/>
      <c r="P14" s="11">
        <f t="shared" ref="P14:Y14" si="3">VLOOKUP(P$9&amp;"AllSex"&amp;"AllEth"&amp;19&amp;4,deptable,7,FALSE)</f>
        <v>100</v>
      </c>
      <c r="Q14" s="11">
        <f t="shared" si="3"/>
        <v>109</v>
      </c>
      <c r="R14" s="11">
        <f t="shared" si="3"/>
        <v>101</v>
      </c>
      <c r="S14" s="11">
        <f t="shared" si="3"/>
        <v>129</v>
      </c>
      <c r="T14" s="11">
        <f t="shared" si="3"/>
        <v>115</v>
      </c>
      <c r="U14" s="11">
        <f t="shared" si="3"/>
        <v>89</v>
      </c>
      <c r="V14" s="11">
        <f t="shared" si="3"/>
        <v>136</v>
      </c>
      <c r="W14" s="11">
        <f t="shared" si="3"/>
        <v>99</v>
      </c>
      <c r="X14" s="11">
        <f t="shared" si="3"/>
        <v>120</v>
      </c>
      <c r="Y14" s="11">
        <f t="shared" si="3"/>
        <v>118</v>
      </c>
    </row>
    <row r="15" spans="2:26" x14ac:dyDescent="0.2">
      <c r="B15" s="71"/>
      <c r="C15" s="71"/>
      <c r="D15" s="71"/>
      <c r="E15" s="71"/>
      <c r="F15" s="71"/>
      <c r="G15" s="71"/>
      <c r="H15" s="71"/>
      <c r="I15" s="71"/>
      <c r="J15" s="71"/>
      <c r="K15" s="71"/>
      <c r="M15" s="11"/>
      <c r="N15" s="19">
        <v>5</v>
      </c>
      <c r="O15" s="24"/>
      <c r="P15" s="11">
        <f t="shared" ref="P15:Y15" si="4">VLOOKUP(P$9&amp;"AllSex"&amp;"AllEth"&amp;19&amp;5,deptable,7,FALSE)</f>
        <v>148</v>
      </c>
      <c r="Q15" s="11">
        <f t="shared" si="4"/>
        <v>121</v>
      </c>
      <c r="R15" s="11">
        <f t="shared" si="4"/>
        <v>119</v>
      </c>
      <c r="S15" s="11">
        <f t="shared" si="4"/>
        <v>128</v>
      </c>
      <c r="T15" s="11">
        <f t="shared" si="4"/>
        <v>125</v>
      </c>
      <c r="U15" s="11">
        <f t="shared" si="4"/>
        <v>136</v>
      </c>
      <c r="V15" s="11">
        <f t="shared" si="4"/>
        <v>136</v>
      </c>
      <c r="W15" s="11">
        <f t="shared" si="4"/>
        <v>134</v>
      </c>
      <c r="X15" s="11">
        <f t="shared" si="4"/>
        <v>141</v>
      </c>
      <c r="Y15" s="11">
        <f t="shared" si="4"/>
        <v>138</v>
      </c>
    </row>
    <row r="16" spans="2:26" x14ac:dyDescent="0.2">
      <c r="B16" s="71"/>
      <c r="C16" s="71"/>
      <c r="D16" s="71"/>
      <c r="E16" s="71"/>
      <c r="F16" s="71"/>
      <c r="G16" s="71"/>
      <c r="H16" s="71"/>
      <c r="I16" s="71"/>
      <c r="J16" s="71"/>
      <c r="K16" s="71"/>
      <c r="M16" s="24"/>
      <c r="N16" s="24" t="s">
        <v>75</v>
      </c>
      <c r="O16" s="24"/>
      <c r="P16" s="11">
        <f t="shared" ref="P16:Y16" si="5">IFERROR(VLOOKUP(P$9&amp;"AllSex"&amp;"AllEth"&amp;9,UnkDep,6,FALSE),0)</f>
        <v>48</v>
      </c>
      <c r="Q16" s="11">
        <f t="shared" si="5"/>
        <v>44</v>
      </c>
      <c r="R16" s="11">
        <f t="shared" si="5"/>
        <v>50</v>
      </c>
      <c r="S16" s="11">
        <f t="shared" si="5"/>
        <v>10</v>
      </c>
      <c r="T16" s="11">
        <f t="shared" si="5"/>
        <v>36</v>
      </c>
      <c r="U16" s="11">
        <f t="shared" si="5"/>
        <v>28</v>
      </c>
      <c r="V16" s="11">
        <f t="shared" si="5"/>
        <v>42</v>
      </c>
      <c r="W16" s="11">
        <f t="shared" si="5"/>
        <v>56</v>
      </c>
      <c r="X16" s="11">
        <f t="shared" si="5"/>
        <v>38</v>
      </c>
      <c r="Y16" s="11">
        <f t="shared" si="5"/>
        <v>14</v>
      </c>
    </row>
    <row r="17" spans="2:63" x14ac:dyDescent="0.2">
      <c r="B17" s="71"/>
      <c r="C17" s="71"/>
      <c r="D17" s="71"/>
      <c r="E17" s="71"/>
      <c r="F17" s="71"/>
      <c r="G17" s="71"/>
      <c r="H17" s="71"/>
      <c r="I17" s="71"/>
      <c r="J17" s="71"/>
      <c r="K17" s="71"/>
      <c r="M17" s="16"/>
      <c r="N17" s="17"/>
      <c r="O17" s="26"/>
      <c r="P17" s="17"/>
      <c r="Q17" s="17"/>
      <c r="R17" s="17"/>
      <c r="S17" s="17"/>
      <c r="T17" s="17"/>
      <c r="U17" s="17"/>
      <c r="V17" s="17"/>
      <c r="W17" s="17"/>
      <c r="X17" s="17"/>
      <c r="Y17" s="17"/>
    </row>
    <row r="18" spans="2:63" x14ac:dyDescent="0.2">
      <c r="B18" s="71"/>
      <c r="C18" s="71"/>
      <c r="D18" s="71"/>
      <c r="E18" s="71"/>
      <c r="F18" s="71"/>
      <c r="G18" s="71"/>
      <c r="H18" s="71"/>
      <c r="I18" s="71"/>
      <c r="J18" s="71"/>
      <c r="K18" s="71"/>
      <c r="M18" s="11" t="s">
        <v>20</v>
      </c>
      <c r="N18" s="18">
        <v>1</v>
      </c>
      <c r="O18" s="24" t="s">
        <v>21</v>
      </c>
      <c r="P18" s="11">
        <f t="shared" ref="P18:Y18" si="6">VLOOKUP(P$9&amp;"Male"&amp;"AllEth"&amp;19&amp;1,deptable,7,FALSE)</f>
        <v>49</v>
      </c>
      <c r="Q18" s="11">
        <f t="shared" si="6"/>
        <v>52</v>
      </c>
      <c r="R18" s="11">
        <f t="shared" si="6"/>
        <v>62</v>
      </c>
      <c r="S18" s="11">
        <f t="shared" si="6"/>
        <v>62</v>
      </c>
      <c r="T18" s="11">
        <f t="shared" si="6"/>
        <v>60</v>
      </c>
      <c r="U18" s="11">
        <f t="shared" si="6"/>
        <v>57</v>
      </c>
      <c r="V18" s="11">
        <f t="shared" si="6"/>
        <v>44</v>
      </c>
      <c r="W18" s="11">
        <f t="shared" si="6"/>
        <v>53</v>
      </c>
      <c r="X18" s="11">
        <f t="shared" si="6"/>
        <v>49</v>
      </c>
      <c r="Y18" s="11">
        <f t="shared" si="6"/>
        <v>59</v>
      </c>
    </row>
    <row r="19" spans="2:63" x14ac:dyDescent="0.2">
      <c r="B19" s="71"/>
      <c r="C19" s="71"/>
      <c r="D19" s="71"/>
      <c r="E19" s="71"/>
      <c r="F19" s="71"/>
      <c r="G19" s="71"/>
      <c r="H19" s="71"/>
      <c r="I19" s="71"/>
      <c r="J19" s="71"/>
      <c r="K19" s="71"/>
      <c r="M19" s="11"/>
      <c r="N19" s="19">
        <v>2</v>
      </c>
      <c r="O19" s="24"/>
      <c r="P19" s="11">
        <f t="shared" ref="P19:Y19" si="7">VLOOKUP(P$9&amp;"Male"&amp;"AllEth"&amp;19&amp;2,deptable,7,FALSE)</f>
        <v>65</v>
      </c>
      <c r="Q19" s="11">
        <f t="shared" si="7"/>
        <v>53</v>
      </c>
      <c r="R19" s="11">
        <f t="shared" si="7"/>
        <v>61</v>
      </c>
      <c r="S19" s="11">
        <f t="shared" si="7"/>
        <v>71</v>
      </c>
      <c r="T19" s="11">
        <f t="shared" si="7"/>
        <v>61</v>
      </c>
      <c r="U19" s="11">
        <f t="shared" si="7"/>
        <v>62</v>
      </c>
      <c r="V19" s="11">
        <f t="shared" si="7"/>
        <v>63</v>
      </c>
      <c r="W19" s="11">
        <f t="shared" si="7"/>
        <v>55</v>
      </c>
      <c r="X19" s="11">
        <f t="shared" si="7"/>
        <v>49</v>
      </c>
      <c r="Y19" s="11">
        <f t="shared" si="7"/>
        <v>70</v>
      </c>
    </row>
    <row r="20" spans="2:63" x14ac:dyDescent="0.2">
      <c r="B20" s="71"/>
      <c r="C20" s="79" t="s">
        <v>145</v>
      </c>
      <c r="D20" s="84" t="s">
        <v>108</v>
      </c>
      <c r="E20" s="110"/>
      <c r="F20" s="110"/>
      <c r="G20" s="110"/>
      <c r="H20" s="71"/>
      <c r="I20" s="71"/>
      <c r="J20" s="71"/>
      <c r="K20" s="71"/>
      <c r="M20" s="11"/>
      <c r="N20" s="18">
        <v>3</v>
      </c>
      <c r="O20" s="24"/>
      <c r="P20" s="11">
        <f t="shared" ref="P20:Y20" si="8">VLOOKUP(P$9&amp;"Male"&amp;"AllEth"&amp;19&amp;3,deptable,7,FALSE)</f>
        <v>71</v>
      </c>
      <c r="Q20" s="11">
        <f t="shared" si="8"/>
        <v>81</v>
      </c>
      <c r="R20" s="11">
        <f t="shared" si="8"/>
        <v>72</v>
      </c>
      <c r="S20" s="11">
        <f t="shared" si="8"/>
        <v>63</v>
      </c>
      <c r="T20" s="11">
        <f t="shared" si="8"/>
        <v>74</v>
      </c>
      <c r="U20" s="11">
        <f t="shared" si="8"/>
        <v>87</v>
      </c>
      <c r="V20" s="11">
        <f t="shared" si="8"/>
        <v>97</v>
      </c>
      <c r="W20" s="11">
        <f t="shared" si="8"/>
        <v>73</v>
      </c>
      <c r="X20" s="11">
        <f t="shared" si="8"/>
        <v>71</v>
      </c>
      <c r="Y20" s="11">
        <f t="shared" si="8"/>
        <v>60</v>
      </c>
    </row>
    <row r="21" spans="2:63" x14ac:dyDescent="0.2">
      <c r="B21" s="71"/>
      <c r="C21" s="84"/>
      <c r="D21" s="84" t="s">
        <v>449</v>
      </c>
      <c r="E21" s="84"/>
      <c r="F21" s="84"/>
      <c r="G21" s="84"/>
      <c r="H21" s="84"/>
      <c r="I21" s="84"/>
      <c r="J21" s="84"/>
      <c r="K21" s="71"/>
      <c r="M21" s="11"/>
      <c r="N21" s="19">
        <v>4</v>
      </c>
      <c r="O21" s="24"/>
      <c r="P21" s="11">
        <f t="shared" ref="P21:Y21" si="9">VLOOKUP(P$9&amp;"Male"&amp;"AllEth"&amp;19&amp;4,deptable,7,FALSE)</f>
        <v>76</v>
      </c>
      <c r="Q21" s="11">
        <f t="shared" si="9"/>
        <v>87</v>
      </c>
      <c r="R21" s="11">
        <f t="shared" si="9"/>
        <v>79</v>
      </c>
      <c r="S21" s="11">
        <f t="shared" si="9"/>
        <v>95</v>
      </c>
      <c r="T21" s="11">
        <f t="shared" si="9"/>
        <v>88</v>
      </c>
      <c r="U21" s="11">
        <f t="shared" si="9"/>
        <v>66</v>
      </c>
      <c r="V21" s="11">
        <f t="shared" si="9"/>
        <v>95</v>
      </c>
      <c r="W21" s="11">
        <f t="shared" si="9"/>
        <v>76</v>
      </c>
      <c r="X21" s="11">
        <f t="shared" si="9"/>
        <v>92</v>
      </c>
      <c r="Y21" s="11">
        <f t="shared" si="9"/>
        <v>89</v>
      </c>
    </row>
    <row r="22" spans="2:63" x14ac:dyDescent="0.2">
      <c r="B22" s="71"/>
      <c r="C22" s="79" t="s">
        <v>150</v>
      </c>
      <c r="D22" s="79" t="s">
        <v>149</v>
      </c>
      <c r="E22" s="79"/>
      <c r="F22" s="79"/>
      <c r="G22" s="79"/>
      <c r="H22" s="71"/>
      <c r="I22" s="71"/>
      <c r="J22" s="71"/>
      <c r="K22" s="71"/>
      <c r="M22" s="11"/>
      <c r="N22" s="19">
        <v>5</v>
      </c>
      <c r="O22" s="24"/>
      <c r="P22" s="11">
        <f t="shared" ref="P22:Y22" si="10">VLOOKUP(P$9&amp;"Male"&amp;"AllEth"&amp;19&amp;5,deptable,7,FALSE)</f>
        <v>113</v>
      </c>
      <c r="Q22" s="11">
        <f t="shared" si="10"/>
        <v>91</v>
      </c>
      <c r="R22" s="11">
        <f t="shared" si="10"/>
        <v>89</v>
      </c>
      <c r="S22" s="11">
        <f t="shared" si="10"/>
        <v>100</v>
      </c>
      <c r="T22" s="11">
        <f t="shared" si="10"/>
        <v>88</v>
      </c>
      <c r="U22" s="11">
        <f t="shared" si="10"/>
        <v>92</v>
      </c>
      <c r="V22" s="11">
        <f t="shared" si="10"/>
        <v>93</v>
      </c>
      <c r="W22" s="11">
        <f t="shared" si="10"/>
        <v>89</v>
      </c>
      <c r="X22" s="11">
        <f t="shared" si="10"/>
        <v>103</v>
      </c>
      <c r="Y22" s="11">
        <f t="shared" si="10"/>
        <v>98</v>
      </c>
    </row>
    <row r="23" spans="2:63" x14ac:dyDescent="0.2">
      <c r="B23" s="71"/>
      <c r="C23" s="71"/>
      <c r="D23" s="71"/>
      <c r="E23" s="71"/>
      <c r="F23" s="71"/>
      <c r="G23" s="71"/>
      <c r="H23" s="71"/>
      <c r="I23" s="71"/>
      <c r="J23" s="71"/>
      <c r="K23" s="71"/>
      <c r="M23" s="11"/>
      <c r="N23" s="19" t="s">
        <v>75</v>
      </c>
      <c r="O23" s="24"/>
      <c r="P23" s="11">
        <f t="shared" ref="P23:Y23" si="11">IFERROR(VLOOKUP(P$9&amp;"Male"&amp;"AllEth"&amp;9,UnkDep,6,FALSE),0)</f>
        <v>26</v>
      </c>
      <c r="Q23" s="11">
        <f t="shared" si="11"/>
        <v>34</v>
      </c>
      <c r="R23" s="11">
        <f t="shared" si="11"/>
        <v>32</v>
      </c>
      <c r="S23" s="11">
        <f t="shared" si="11"/>
        <v>6</v>
      </c>
      <c r="T23" s="11">
        <f t="shared" si="11"/>
        <v>32</v>
      </c>
      <c r="U23" s="11">
        <f t="shared" si="11"/>
        <v>26</v>
      </c>
      <c r="V23" s="11">
        <f t="shared" si="11"/>
        <v>26</v>
      </c>
      <c r="W23" s="11">
        <f t="shared" si="11"/>
        <v>40</v>
      </c>
      <c r="X23" s="11">
        <f t="shared" si="11"/>
        <v>30</v>
      </c>
      <c r="Y23" s="11">
        <f t="shared" si="11"/>
        <v>14</v>
      </c>
    </row>
    <row r="24" spans="2:63" x14ac:dyDescent="0.2">
      <c r="M24" s="16"/>
      <c r="N24" s="16"/>
      <c r="O24" s="26"/>
      <c r="P24" s="16"/>
      <c r="Q24" s="16"/>
      <c r="R24" s="16"/>
      <c r="S24" s="16"/>
      <c r="T24" s="16"/>
      <c r="U24" s="16"/>
      <c r="V24" s="16"/>
      <c r="W24" s="16"/>
      <c r="X24" s="16"/>
      <c r="Y24" s="16"/>
    </row>
    <row r="25" spans="2:63" x14ac:dyDescent="0.2">
      <c r="B25" s="71"/>
      <c r="C25" s="71"/>
      <c r="D25" s="71"/>
      <c r="E25" s="71"/>
      <c r="F25" s="71"/>
      <c r="G25" s="71"/>
      <c r="H25" s="71"/>
      <c r="I25" s="71"/>
      <c r="J25" s="71"/>
      <c r="K25" s="71"/>
      <c r="M25" s="11" t="s">
        <v>8</v>
      </c>
      <c r="N25" s="18">
        <v>1</v>
      </c>
      <c r="O25" s="24" t="s">
        <v>21</v>
      </c>
      <c r="P25" s="11">
        <f t="shared" ref="P25:Y25" si="12">VLOOKUP(P$9&amp;"Female"&amp;"AllEth"&amp;19&amp;1,deptable,7,FALSE)</f>
        <v>18</v>
      </c>
      <c r="Q25" s="11">
        <f t="shared" si="12"/>
        <v>17</v>
      </c>
      <c r="R25" s="11">
        <f t="shared" si="12"/>
        <v>21</v>
      </c>
      <c r="S25" s="11">
        <f t="shared" si="12"/>
        <v>12</v>
      </c>
      <c r="T25" s="11">
        <f t="shared" si="12"/>
        <v>30</v>
      </c>
      <c r="U25" s="11">
        <f t="shared" si="12"/>
        <v>18</v>
      </c>
      <c r="V25" s="11">
        <f t="shared" si="12"/>
        <v>8</v>
      </c>
      <c r="W25" s="11">
        <f t="shared" si="12"/>
        <v>19</v>
      </c>
      <c r="X25" s="11">
        <f t="shared" si="12"/>
        <v>14</v>
      </c>
      <c r="Y25" s="11">
        <f t="shared" si="12"/>
        <v>22</v>
      </c>
    </row>
    <row r="26" spans="2:63" ht="15" x14ac:dyDescent="0.25">
      <c r="B26" s="71"/>
      <c r="C26" s="95" t="s">
        <v>370</v>
      </c>
      <c r="D26" s="71"/>
      <c r="E26" s="71"/>
      <c r="F26" s="71"/>
      <c r="G26" s="71"/>
      <c r="H26" s="71"/>
      <c r="I26" s="71"/>
      <c r="J26" s="71"/>
      <c r="K26" s="71"/>
      <c r="M26" s="11"/>
      <c r="N26" s="19">
        <v>2</v>
      </c>
      <c r="O26" s="24"/>
      <c r="P26" s="11">
        <f t="shared" ref="P26:Y26" si="13">VLOOKUP(P$9&amp;"Female"&amp;"AllEth"&amp;19&amp;2,deptable,7,FALSE)</f>
        <v>24</v>
      </c>
      <c r="Q26" s="11">
        <f t="shared" si="13"/>
        <v>21</v>
      </c>
      <c r="R26" s="11">
        <f t="shared" si="13"/>
        <v>24</v>
      </c>
      <c r="S26" s="11">
        <f t="shared" si="13"/>
        <v>18</v>
      </c>
      <c r="T26" s="11">
        <f t="shared" si="13"/>
        <v>27</v>
      </c>
      <c r="U26" s="11">
        <f t="shared" si="13"/>
        <v>14</v>
      </c>
      <c r="V26" s="11">
        <f t="shared" si="13"/>
        <v>24</v>
      </c>
      <c r="W26" s="11">
        <f t="shared" si="13"/>
        <v>28</v>
      </c>
      <c r="X26" s="11">
        <f t="shared" si="13"/>
        <v>23</v>
      </c>
      <c r="Y26" s="11">
        <f t="shared" si="13"/>
        <v>22</v>
      </c>
      <c r="AT26" s="477"/>
      <c r="AU26" s="477"/>
      <c r="AV26" s="477"/>
      <c r="AW26" s="477"/>
      <c r="AX26" s="477"/>
      <c r="AY26" s="477"/>
      <c r="AZ26" s="477"/>
      <c r="BA26" s="477"/>
      <c r="BB26" s="477"/>
      <c r="BC26" s="477"/>
      <c r="BD26" s="477"/>
      <c r="BE26" s="477"/>
      <c r="BF26" s="477"/>
      <c r="BG26" s="477"/>
      <c r="BH26" s="477"/>
      <c r="BI26" s="477"/>
      <c r="BJ26" s="477"/>
      <c r="BK26" s="477"/>
    </row>
    <row r="27" spans="2:63" x14ac:dyDescent="0.2">
      <c r="B27" s="71"/>
      <c r="C27" s="71"/>
      <c r="D27" s="71"/>
      <c r="E27" s="71"/>
      <c r="F27" s="71"/>
      <c r="G27" s="71"/>
      <c r="H27" s="71"/>
      <c r="I27" s="71"/>
      <c r="J27" s="71"/>
      <c r="K27" s="71"/>
      <c r="M27" s="11"/>
      <c r="N27" s="18">
        <v>3</v>
      </c>
      <c r="O27" s="24"/>
      <c r="P27" s="11">
        <f t="shared" ref="P27:Y27" si="14">VLOOKUP(P$9&amp;"Female"&amp;"AllEth"&amp;19&amp;3,deptable,7,FALSE)</f>
        <v>25</v>
      </c>
      <c r="Q27" s="11">
        <f t="shared" si="14"/>
        <v>25</v>
      </c>
      <c r="R27" s="11">
        <f t="shared" si="14"/>
        <v>33</v>
      </c>
      <c r="S27" s="11">
        <f t="shared" si="14"/>
        <v>24</v>
      </c>
      <c r="T27" s="11">
        <f t="shared" si="14"/>
        <v>24</v>
      </c>
      <c r="U27" s="11">
        <f t="shared" si="14"/>
        <v>17</v>
      </c>
      <c r="V27" s="11">
        <f t="shared" si="14"/>
        <v>21</v>
      </c>
      <c r="W27" s="11">
        <f t="shared" si="14"/>
        <v>25</v>
      </c>
      <c r="X27" s="11">
        <f t="shared" si="14"/>
        <v>23</v>
      </c>
      <c r="Y27" s="11">
        <f t="shared" si="14"/>
        <v>29</v>
      </c>
      <c r="AT27" s="477"/>
      <c r="AU27" s="477"/>
      <c r="AV27" s="477"/>
      <c r="AW27" s="477"/>
      <c r="AX27" s="477"/>
      <c r="AY27" s="477"/>
      <c r="AZ27" s="477"/>
      <c r="BA27" s="477"/>
      <c r="BB27" s="477"/>
      <c r="BC27" s="477"/>
      <c r="BD27" s="477"/>
      <c r="BE27" s="477"/>
      <c r="BF27" s="477"/>
      <c r="BG27" s="477"/>
      <c r="BH27" s="477"/>
      <c r="BI27" s="477"/>
      <c r="BJ27" s="477"/>
      <c r="BK27" s="477"/>
    </row>
    <row r="28" spans="2:63" x14ac:dyDescent="0.2">
      <c r="B28" s="71"/>
      <c r="C28" s="71"/>
      <c r="D28" s="71"/>
      <c r="E28" s="71"/>
      <c r="F28" s="71"/>
      <c r="G28" s="71"/>
      <c r="H28" s="71"/>
      <c r="I28" s="71"/>
      <c r="J28" s="71"/>
      <c r="K28" s="71"/>
      <c r="L28" s="65"/>
      <c r="M28" s="11"/>
      <c r="N28" s="19">
        <v>4</v>
      </c>
      <c r="O28" s="24"/>
      <c r="P28" s="11">
        <f t="shared" ref="P28:Y28" si="15">VLOOKUP(P$9&amp;"Female"&amp;"AllEth"&amp;19&amp;4,deptable,7,FALSE)</f>
        <v>24</v>
      </c>
      <c r="Q28" s="11">
        <f t="shared" si="15"/>
        <v>22</v>
      </c>
      <c r="R28" s="11">
        <f t="shared" si="15"/>
        <v>22</v>
      </c>
      <c r="S28" s="11">
        <f t="shared" si="15"/>
        <v>34</v>
      </c>
      <c r="T28" s="11">
        <f t="shared" si="15"/>
        <v>27</v>
      </c>
      <c r="U28" s="11">
        <f t="shared" si="15"/>
        <v>23</v>
      </c>
      <c r="V28" s="11">
        <f t="shared" si="15"/>
        <v>41</v>
      </c>
      <c r="W28" s="11">
        <f t="shared" si="15"/>
        <v>23</v>
      </c>
      <c r="X28" s="11">
        <f t="shared" si="15"/>
        <v>28</v>
      </c>
      <c r="Y28" s="11">
        <f t="shared" si="15"/>
        <v>29</v>
      </c>
      <c r="AT28" s="477" t="s">
        <v>1</v>
      </c>
      <c r="AU28" s="477" t="s">
        <v>38</v>
      </c>
      <c r="AV28" s="477"/>
      <c r="AW28" s="477">
        <v>2001</v>
      </c>
      <c r="AX28" s="477">
        <v>2002</v>
      </c>
      <c r="AY28" s="477">
        <v>2003</v>
      </c>
      <c r="AZ28" s="477">
        <v>2004</v>
      </c>
      <c r="BA28" s="477">
        <v>2005</v>
      </c>
      <c r="BB28" s="477">
        <v>2006</v>
      </c>
      <c r="BC28" s="477">
        <v>2007</v>
      </c>
      <c r="BD28" s="477">
        <v>2008</v>
      </c>
      <c r="BE28" s="477">
        <v>2009</v>
      </c>
      <c r="BF28" s="477">
        <v>2010</v>
      </c>
      <c r="BG28" s="477">
        <v>2011</v>
      </c>
      <c r="BH28" s="477">
        <v>2012</v>
      </c>
      <c r="BI28" s="477">
        <v>2013</v>
      </c>
      <c r="BJ28" s="477">
        <v>2014</v>
      </c>
      <c r="BK28" s="477">
        <v>2015</v>
      </c>
    </row>
    <row r="29" spans="2:63" x14ac:dyDescent="0.2">
      <c r="B29" s="71"/>
      <c r="C29" s="71"/>
      <c r="D29" s="71"/>
      <c r="E29" s="71"/>
      <c r="F29" s="71"/>
      <c r="G29" s="71"/>
      <c r="H29" s="71"/>
      <c r="I29" s="71"/>
      <c r="J29" s="71"/>
      <c r="K29" s="71"/>
      <c r="M29" s="11"/>
      <c r="N29" s="19">
        <v>5</v>
      </c>
      <c r="O29" s="24"/>
      <c r="P29" s="11">
        <f t="shared" ref="P29:Y29" si="16">VLOOKUP(P$9&amp;"Female"&amp;"AllEth"&amp;19&amp;5,deptable,7,FALSE)</f>
        <v>35</v>
      </c>
      <c r="Q29" s="11">
        <f t="shared" si="16"/>
        <v>30</v>
      </c>
      <c r="R29" s="11">
        <f t="shared" si="16"/>
        <v>30</v>
      </c>
      <c r="S29" s="11">
        <f t="shared" si="16"/>
        <v>28</v>
      </c>
      <c r="T29" s="11">
        <f t="shared" si="16"/>
        <v>37</v>
      </c>
      <c r="U29" s="11">
        <f t="shared" si="16"/>
        <v>44</v>
      </c>
      <c r="V29" s="11">
        <f t="shared" si="16"/>
        <v>43</v>
      </c>
      <c r="W29" s="11">
        <f t="shared" si="16"/>
        <v>45</v>
      </c>
      <c r="X29" s="11">
        <f t="shared" si="16"/>
        <v>38</v>
      </c>
      <c r="Y29" s="11">
        <f t="shared" si="16"/>
        <v>40</v>
      </c>
      <c r="AT29" s="477" t="s">
        <v>0</v>
      </c>
      <c r="AU29" s="477">
        <v>1</v>
      </c>
      <c r="AV29" s="477" t="s">
        <v>22</v>
      </c>
      <c r="AW29" s="478">
        <f t="shared" ref="AW29:BK29" si="17">VLOOKUP(AW$28&amp;"AllSex"&amp;"AllEth"&amp;19&amp;1,deptable,8,FALSE)</f>
        <v>8.8547779375483593</v>
      </c>
      <c r="AX29" s="478">
        <f t="shared" si="17"/>
        <v>7.4217186427377397</v>
      </c>
      <c r="AY29" s="478">
        <f t="shared" si="17"/>
        <v>7.7190227520079304</v>
      </c>
      <c r="AZ29" s="478">
        <f t="shared" si="17"/>
        <v>7.2841075117793102</v>
      </c>
      <c r="BA29" s="478">
        <f t="shared" si="17"/>
        <v>9.0900800329956297</v>
      </c>
      <c r="BB29" s="478">
        <f t="shared" si="17"/>
        <v>7.7829388850515304</v>
      </c>
      <c r="BC29" s="478">
        <f t="shared" si="17"/>
        <v>7.8368796841505901</v>
      </c>
      <c r="BD29" s="478">
        <f t="shared" si="17"/>
        <v>9.8455520002290502</v>
      </c>
      <c r="BE29" s="478">
        <f t="shared" si="17"/>
        <v>7.9860259733649004</v>
      </c>
      <c r="BF29" s="478">
        <f t="shared" si="17"/>
        <v>10.1349018099747</v>
      </c>
      <c r="BG29" s="478">
        <f t="shared" si="17"/>
        <v>8.0826555842724197</v>
      </c>
      <c r="BH29" s="478">
        <f t="shared" si="17"/>
        <v>5.8150688207643197</v>
      </c>
      <c r="BI29" s="478">
        <f t="shared" si="17"/>
        <v>6.73253886110823</v>
      </c>
      <c r="BJ29" s="478">
        <f t="shared" si="17"/>
        <v>6.6139183761554001</v>
      </c>
      <c r="BK29" s="478">
        <f t="shared" si="17"/>
        <v>8.0896312487476205</v>
      </c>
    </row>
    <row r="30" spans="2:63" x14ac:dyDescent="0.2">
      <c r="B30" s="71"/>
      <c r="C30" s="71"/>
      <c r="D30" s="71"/>
      <c r="E30" s="71"/>
      <c r="F30" s="71"/>
      <c r="G30" s="71"/>
      <c r="H30" s="71"/>
      <c r="I30" s="71"/>
      <c r="J30" s="71"/>
      <c r="K30" s="71"/>
      <c r="M30" s="11"/>
      <c r="N30" s="19" t="s">
        <v>75</v>
      </c>
      <c r="O30" s="24"/>
      <c r="P30" s="11">
        <f t="shared" ref="P30:Y30" si="18">IFERROR(VLOOKUP(P$9&amp;"Female"&amp;"AllEth"&amp;9,UnkDep,6,FALSE),0)</f>
        <v>22</v>
      </c>
      <c r="Q30" s="11">
        <f t="shared" si="18"/>
        <v>10</v>
      </c>
      <c r="R30" s="11">
        <f t="shared" si="18"/>
        <v>18</v>
      </c>
      <c r="S30" s="11">
        <f t="shared" si="18"/>
        <v>4</v>
      </c>
      <c r="T30" s="11">
        <f t="shared" si="18"/>
        <v>4</v>
      </c>
      <c r="U30" s="11">
        <f t="shared" si="18"/>
        <v>2</v>
      </c>
      <c r="V30" s="11">
        <f t="shared" si="18"/>
        <v>16</v>
      </c>
      <c r="W30" s="11">
        <f t="shared" si="18"/>
        <v>16</v>
      </c>
      <c r="X30" s="11">
        <f t="shared" si="18"/>
        <v>8</v>
      </c>
      <c r="Y30" s="11">
        <f t="shared" si="18"/>
        <v>0</v>
      </c>
      <c r="AT30" s="477"/>
      <c r="AU30" s="477"/>
      <c r="AV30" s="477" t="s">
        <v>16</v>
      </c>
      <c r="AW30" s="478">
        <f t="shared" ref="AW30:BK30" si="19">VLOOKUP(AW$28&amp;"AllSex"&amp;"AllEth"&amp;19&amp;1,deptable,9,FALSE)</f>
        <v>2.2000000000000002</v>
      </c>
      <c r="AX30" s="478">
        <f t="shared" si="19"/>
        <v>1.9</v>
      </c>
      <c r="AY30" s="478">
        <f t="shared" si="19"/>
        <v>1.9</v>
      </c>
      <c r="AZ30" s="478">
        <f t="shared" si="19"/>
        <v>1.9</v>
      </c>
      <c r="BA30" s="478">
        <f t="shared" si="19"/>
        <v>2</v>
      </c>
      <c r="BB30" s="478">
        <f t="shared" si="19"/>
        <v>1.9</v>
      </c>
      <c r="BC30" s="478">
        <f t="shared" si="19"/>
        <v>1.8</v>
      </c>
      <c r="BD30" s="478">
        <f t="shared" si="19"/>
        <v>2.1</v>
      </c>
      <c r="BE30" s="478">
        <f t="shared" si="19"/>
        <v>1.8</v>
      </c>
      <c r="BF30" s="478">
        <f t="shared" si="19"/>
        <v>2.1</v>
      </c>
      <c r="BG30" s="478">
        <f t="shared" si="19"/>
        <v>1.8</v>
      </c>
      <c r="BH30" s="478">
        <f t="shared" si="19"/>
        <v>1.6</v>
      </c>
      <c r="BI30" s="478">
        <f t="shared" si="19"/>
        <v>1.6</v>
      </c>
      <c r="BJ30" s="478">
        <f t="shared" si="19"/>
        <v>1.6</v>
      </c>
      <c r="BK30" s="478">
        <f t="shared" si="19"/>
        <v>1.8</v>
      </c>
    </row>
    <row r="31" spans="2:63" x14ac:dyDescent="0.2">
      <c r="B31" s="71"/>
      <c r="C31" s="71"/>
      <c r="D31" s="71"/>
      <c r="E31" s="71"/>
      <c r="F31" s="71"/>
      <c r="G31" s="71"/>
      <c r="H31" s="71"/>
      <c r="I31" s="71"/>
      <c r="J31" s="71"/>
      <c r="K31" s="71"/>
      <c r="M31" s="16"/>
      <c r="N31" s="16"/>
      <c r="O31" s="26"/>
      <c r="P31" s="16"/>
      <c r="Q31" s="16"/>
      <c r="R31" s="16"/>
      <c r="S31" s="16"/>
      <c r="T31" s="16"/>
      <c r="U31" s="16"/>
      <c r="V31" s="16"/>
      <c r="W31" s="16"/>
      <c r="X31" s="16"/>
      <c r="Y31" s="16"/>
      <c r="AT31" s="477"/>
      <c r="AU31" s="477"/>
      <c r="AV31" s="477"/>
      <c r="AW31" s="477"/>
      <c r="AX31" s="477"/>
      <c r="AY31" s="477"/>
      <c r="AZ31" s="477"/>
      <c r="BA31" s="477"/>
      <c r="BB31" s="477"/>
      <c r="BC31" s="477"/>
      <c r="BD31" s="477"/>
      <c r="BE31" s="477"/>
      <c r="BF31" s="477"/>
      <c r="BG31" s="477"/>
      <c r="BH31" s="477"/>
      <c r="BI31" s="477"/>
      <c r="BJ31" s="477"/>
      <c r="BK31" s="477"/>
    </row>
    <row r="32" spans="2:63" x14ac:dyDescent="0.2">
      <c r="B32" s="71"/>
      <c r="C32" s="71"/>
      <c r="D32" s="71"/>
      <c r="E32" s="71"/>
      <c r="F32" s="71"/>
      <c r="G32" s="71"/>
      <c r="H32" s="71"/>
      <c r="I32" s="71"/>
      <c r="J32" s="71"/>
      <c r="K32" s="71"/>
      <c r="M32" s="53" t="s">
        <v>0</v>
      </c>
      <c r="N32" s="18">
        <v>1</v>
      </c>
      <c r="O32" s="24" t="s">
        <v>22</v>
      </c>
      <c r="P32" s="14">
        <f t="shared" ref="P32:Y32" si="20">VLOOKUP(P$9&amp;"AllSex"&amp;"AllEth"&amp;19&amp;1,deptable,8,FALSE)</f>
        <v>7.7829388850515304</v>
      </c>
      <c r="Q32" s="14">
        <f t="shared" si="20"/>
        <v>7.8368796841505901</v>
      </c>
      <c r="R32" s="14">
        <f t="shared" si="20"/>
        <v>9.8455520002290502</v>
      </c>
      <c r="S32" s="14">
        <f t="shared" si="20"/>
        <v>7.9860259733649004</v>
      </c>
      <c r="T32" s="14">
        <f t="shared" si="20"/>
        <v>10.1349018099747</v>
      </c>
      <c r="U32" s="14">
        <f t="shared" si="20"/>
        <v>8.0826555842724197</v>
      </c>
      <c r="V32" s="14">
        <f t="shared" si="20"/>
        <v>5.8150688207643197</v>
      </c>
      <c r="W32" s="14">
        <f t="shared" si="20"/>
        <v>6.73253886110823</v>
      </c>
      <c r="X32" s="14">
        <f t="shared" si="20"/>
        <v>6.6139183761554001</v>
      </c>
      <c r="Y32" s="14">
        <f t="shared" si="20"/>
        <v>8.0896312487476205</v>
      </c>
      <c r="AT32" s="477"/>
      <c r="AU32" s="477">
        <v>5</v>
      </c>
      <c r="AV32" s="477"/>
      <c r="AW32" s="478">
        <f t="shared" ref="AW32:BK32" si="21">VLOOKUP(AW$28&amp;"AllSex"&amp;"AllEth"&amp;19&amp;5,deptable,8,FALSE)</f>
        <v>14.0699387222214</v>
      </c>
      <c r="AX32" s="478">
        <f t="shared" si="21"/>
        <v>13.354420806045299</v>
      </c>
      <c r="AY32" s="478">
        <f t="shared" si="21"/>
        <v>15.034665493241601</v>
      </c>
      <c r="AZ32" s="478">
        <f t="shared" si="21"/>
        <v>15.942288466223999</v>
      </c>
      <c r="BA32" s="478">
        <f t="shared" si="21"/>
        <v>16.4250668499181</v>
      </c>
      <c r="BB32" s="478">
        <f t="shared" si="21"/>
        <v>18.165153052613999</v>
      </c>
      <c r="BC32" s="478">
        <f t="shared" si="21"/>
        <v>14.712819146531</v>
      </c>
      <c r="BD32" s="478">
        <f t="shared" si="21"/>
        <v>14.0640790028423</v>
      </c>
      <c r="BE32" s="478">
        <f t="shared" si="21"/>
        <v>15.354556077231001</v>
      </c>
      <c r="BF32" s="478">
        <f t="shared" si="21"/>
        <v>14.8468642902606</v>
      </c>
      <c r="BG32" s="478">
        <f t="shared" si="21"/>
        <v>15.957499301362001</v>
      </c>
      <c r="BH32" s="478">
        <f t="shared" si="21"/>
        <v>15.5911311839955</v>
      </c>
      <c r="BI32" s="478">
        <f t="shared" si="21"/>
        <v>15.6036784873721</v>
      </c>
      <c r="BJ32" s="478">
        <f t="shared" si="21"/>
        <v>15.887486723761301</v>
      </c>
      <c r="BK32" s="478">
        <f t="shared" si="21"/>
        <v>15.3999588320555</v>
      </c>
    </row>
    <row r="33" spans="2:63" x14ac:dyDescent="0.2">
      <c r="B33" s="71"/>
      <c r="C33" s="71"/>
      <c r="D33" s="71"/>
      <c r="E33" s="71"/>
      <c r="F33" s="71"/>
      <c r="G33" s="71"/>
      <c r="H33" s="71"/>
      <c r="I33" s="71"/>
      <c r="J33" s="71"/>
      <c r="K33" s="71"/>
      <c r="M33" s="11"/>
      <c r="N33" s="19">
        <v>2</v>
      </c>
      <c r="O33" s="24"/>
      <c r="P33" s="14">
        <f>VLOOKUP(P$9&amp;"AllSex"&amp;"AllEth"&amp;19&amp;2,deptable,8,FALSE)</f>
        <v>9.8647821715884607</v>
      </c>
      <c r="Q33" s="14">
        <f t="shared" ref="Q33:Y33" si="22">VLOOKUP(Q$9&amp;"AllSex"&amp;"AllEth"&amp;19&amp;2,deptable,8,FALSE)</f>
        <v>7.8887909690839697</v>
      </c>
      <c r="R33" s="14">
        <f t="shared" si="22"/>
        <v>9.2358257009264193</v>
      </c>
      <c r="S33" s="14">
        <f t="shared" si="22"/>
        <v>9.5258859884151494</v>
      </c>
      <c r="T33" s="14">
        <f t="shared" si="22"/>
        <v>9.4076427688804802</v>
      </c>
      <c r="U33" s="14">
        <f t="shared" si="22"/>
        <v>8.6197586162676494</v>
      </c>
      <c r="V33" s="14">
        <f t="shared" si="22"/>
        <v>9.2460799535926093</v>
      </c>
      <c r="W33" s="14">
        <f t="shared" si="22"/>
        <v>8.3528893937719104</v>
      </c>
      <c r="X33" s="14">
        <f t="shared" si="22"/>
        <v>7.53145948142501</v>
      </c>
      <c r="Y33" s="14">
        <f t="shared" si="22"/>
        <v>8.9755667648996305</v>
      </c>
      <c r="AT33" s="477"/>
      <c r="AU33" s="477"/>
      <c r="AV33" s="477"/>
      <c r="AW33" s="478">
        <f t="shared" ref="AW33:BK33" si="23">VLOOKUP(AW$28&amp;"AllSex"&amp;"AllEth"&amp;19&amp;5,deptable,9,FALSE)</f>
        <v>2.7</v>
      </c>
      <c r="AX33" s="478">
        <f t="shared" si="23"/>
        <v>2.6</v>
      </c>
      <c r="AY33" s="478">
        <f t="shared" si="23"/>
        <v>2.7</v>
      </c>
      <c r="AZ33" s="478">
        <f t="shared" si="23"/>
        <v>2.7</v>
      </c>
      <c r="BA33" s="478">
        <f t="shared" si="23"/>
        <v>2.8</v>
      </c>
      <c r="BB33" s="478">
        <f t="shared" si="23"/>
        <v>2.9</v>
      </c>
      <c r="BC33" s="478">
        <f t="shared" si="23"/>
        <v>2.6</v>
      </c>
      <c r="BD33" s="478">
        <f t="shared" si="23"/>
        <v>2.5</v>
      </c>
      <c r="BE33" s="478">
        <f t="shared" si="23"/>
        <v>2.7</v>
      </c>
      <c r="BF33" s="478">
        <f t="shared" si="23"/>
        <v>2.6</v>
      </c>
      <c r="BG33" s="478">
        <f t="shared" si="23"/>
        <v>2.7</v>
      </c>
      <c r="BH33" s="478">
        <f t="shared" si="23"/>
        <v>2.6</v>
      </c>
      <c r="BI33" s="478">
        <f t="shared" si="23"/>
        <v>2.6</v>
      </c>
      <c r="BJ33" s="478">
        <f t="shared" si="23"/>
        <v>2.6</v>
      </c>
      <c r="BK33" s="478">
        <f t="shared" si="23"/>
        <v>2.6</v>
      </c>
    </row>
    <row r="34" spans="2:63" x14ac:dyDescent="0.2">
      <c r="B34" s="71"/>
      <c r="C34" s="71"/>
      <c r="D34" s="71"/>
      <c r="E34" s="71"/>
      <c r="F34" s="71"/>
      <c r="G34" s="71"/>
      <c r="H34" s="71"/>
      <c r="I34" s="71"/>
      <c r="J34" s="71"/>
      <c r="K34" s="71"/>
      <c r="M34" s="11"/>
      <c r="N34" s="18">
        <v>3</v>
      </c>
      <c r="O34" s="24"/>
      <c r="P34" s="14">
        <f t="shared" ref="P34:Y34" si="24">VLOOKUP(P$9&amp;"AllSex"&amp;"AllEth"&amp;19&amp;3,deptable,8,FALSE)</f>
        <v>10.927855897608399</v>
      </c>
      <c r="Q34" s="14">
        <f t="shared" si="24"/>
        <v>12.2118090894897</v>
      </c>
      <c r="R34" s="14">
        <f t="shared" si="24"/>
        <v>11.7800727004485</v>
      </c>
      <c r="S34" s="14">
        <f t="shared" si="24"/>
        <v>9.8737223189076193</v>
      </c>
      <c r="T34" s="14">
        <f t="shared" si="24"/>
        <v>10.834254585669999</v>
      </c>
      <c r="U34" s="14">
        <f t="shared" si="24"/>
        <v>11.2842380302409</v>
      </c>
      <c r="V34" s="14">
        <f t="shared" si="24"/>
        <v>13.2069258471706</v>
      </c>
      <c r="W34" s="14">
        <f t="shared" si="24"/>
        <v>10.0161311543428</v>
      </c>
      <c r="X34" s="14">
        <f t="shared" si="24"/>
        <v>10.115508598999501</v>
      </c>
      <c r="Y34" s="14">
        <f t="shared" si="24"/>
        <v>9.2264696457870095</v>
      </c>
      <c r="AT34" s="477"/>
      <c r="AU34" s="477"/>
      <c r="AV34" s="477"/>
      <c r="AW34" s="477"/>
      <c r="AX34" s="477"/>
      <c r="AY34" s="477"/>
      <c r="AZ34" s="477"/>
      <c r="BA34" s="477"/>
      <c r="BB34" s="477"/>
      <c r="BC34" s="477"/>
      <c r="BD34" s="477"/>
      <c r="BE34" s="477"/>
      <c r="BF34" s="477"/>
      <c r="BG34" s="477"/>
      <c r="BH34" s="477"/>
      <c r="BI34" s="477"/>
      <c r="BJ34" s="477"/>
      <c r="BK34" s="477"/>
    </row>
    <row r="35" spans="2:63" x14ac:dyDescent="0.2">
      <c r="B35" s="71"/>
      <c r="C35" s="71"/>
      <c r="D35" s="71"/>
      <c r="E35" s="71"/>
      <c r="F35" s="71"/>
      <c r="G35" s="71"/>
      <c r="H35" s="71"/>
      <c r="I35" s="71"/>
      <c r="J35" s="71"/>
      <c r="K35" s="71"/>
      <c r="M35" s="11"/>
      <c r="N35" s="19">
        <v>4</v>
      </c>
      <c r="O35" s="24"/>
      <c r="P35" s="14">
        <f t="shared" ref="P35:Y35" si="25">VLOOKUP(P$9&amp;"AllSex"&amp;"AllEth"&amp;19&amp;4,deptable,8,FALSE)</f>
        <v>11.6604236929648</v>
      </c>
      <c r="Q35" s="14">
        <f t="shared" si="25"/>
        <v>12.225496208264399</v>
      </c>
      <c r="R35" s="14">
        <f t="shared" si="25"/>
        <v>11.6112566860872</v>
      </c>
      <c r="S35" s="14">
        <f t="shared" si="25"/>
        <v>14.455050464133199</v>
      </c>
      <c r="T35" s="14">
        <f t="shared" si="25"/>
        <v>12.4646116325319</v>
      </c>
      <c r="U35" s="14">
        <f t="shared" si="25"/>
        <v>10.0472677723016</v>
      </c>
      <c r="V35" s="14">
        <f t="shared" si="25"/>
        <v>15.5604979085784</v>
      </c>
      <c r="W35" s="14">
        <f t="shared" si="25"/>
        <v>11.2169143637633</v>
      </c>
      <c r="X35" s="14">
        <f t="shared" si="25"/>
        <v>12.702250943943399</v>
      </c>
      <c r="Y35" s="14">
        <f t="shared" si="25"/>
        <v>12.6359015080068</v>
      </c>
    </row>
    <row r="36" spans="2:63" x14ac:dyDescent="0.2">
      <c r="B36" s="71"/>
      <c r="C36" s="71"/>
      <c r="D36" s="71"/>
      <c r="E36" s="71"/>
      <c r="F36" s="71"/>
      <c r="G36" s="71"/>
      <c r="H36" s="71"/>
      <c r="I36" s="71"/>
      <c r="J36" s="71"/>
      <c r="K36" s="71"/>
      <c r="M36" s="11"/>
      <c r="N36" s="19">
        <v>5</v>
      </c>
      <c r="O36" s="24"/>
      <c r="P36" s="14">
        <f t="shared" ref="P36:Y36" si="26">VLOOKUP(P$9&amp;"AllSex"&amp;"AllEth"&amp;19&amp;5,deptable,8,FALSE)</f>
        <v>18.165153052613999</v>
      </c>
      <c r="Q36" s="14">
        <f t="shared" si="26"/>
        <v>14.712819146531</v>
      </c>
      <c r="R36" s="14">
        <f t="shared" si="26"/>
        <v>14.0640790028423</v>
      </c>
      <c r="S36" s="14">
        <f t="shared" si="26"/>
        <v>15.354556077231001</v>
      </c>
      <c r="T36" s="14">
        <f t="shared" si="26"/>
        <v>14.8468642902606</v>
      </c>
      <c r="U36" s="14">
        <f t="shared" si="26"/>
        <v>15.957499301362001</v>
      </c>
      <c r="V36" s="14">
        <f t="shared" si="26"/>
        <v>15.5911311839955</v>
      </c>
      <c r="W36" s="14">
        <f t="shared" si="26"/>
        <v>15.6036784873721</v>
      </c>
      <c r="X36" s="14">
        <f t="shared" si="26"/>
        <v>15.887486723761301</v>
      </c>
      <c r="Y36" s="14">
        <f t="shared" si="26"/>
        <v>15.3999588320555</v>
      </c>
    </row>
    <row r="37" spans="2:63" x14ac:dyDescent="0.2">
      <c r="B37" s="71"/>
      <c r="C37" s="71"/>
      <c r="D37" s="71"/>
      <c r="E37" s="71"/>
      <c r="F37" s="71"/>
      <c r="G37" s="71"/>
      <c r="H37" s="71"/>
      <c r="I37" s="71"/>
      <c r="J37" s="71"/>
      <c r="K37" s="71"/>
      <c r="L37" s="65"/>
      <c r="M37" s="16"/>
      <c r="N37" s="17"/>
      <c r="O37" s="26"/>
      <c r="P37" s="21"/>
      <c r="Q37" s="21"/>
      <c r="R37" s="21"/>
      <c r="S37" s="21"/>
      <c r="T37" s="21"/>
      <c r="U37" s="21"/>
      <c r="V37" s="21"/>
      <c r="W37" s="21"/>
      <c r="X37" s="21"/>
      <c r="Y37" s="21"/>
    </row>
    <row r="38" spans="2:63" x14ac:dyDescent="0.2">
      <c r="B38" s="71"/>
      <c r="C38" s="71"/>
      <c r="D38" s="71"/>
      <c r="E38" s="71"/>
      <c r="F38" s="71"/>
      <c r="G38" s="71"/>
      <c r="H38" s="71"/>
      <c r="I38" s="71"/>
      <c r="J38" s="71"/>
      <c r="K38" s="71"/>
      <c r="M38" s="11" t="s">
        <v>20</v>
      </c>
      <c r="N38" s="18">
        <v>1</v>
      </c>
      <c r="O38" s="24" t="s">
        <v>22</v>
      </c>
      <c r="P38" s="14">
        <f t="shared" ref="P38:Y38" si="27">VLOOKUP(P$9&amp;"Male"&amp;"AllEth"&amp;19&amp;1,deptable,8,FALSE)</f>
        <v>11.7073332502529</v>
      </c>
      <c r="Q38" s="14">
        <f t="shared" si="27"/>
        <v>12.5941055922708</v>
      </c>
      <c r="R38" s="14">
        <f t="shared" si="27"/>
        <v>14.8510810707393</v>
      </c>
      <c r="S38" s="14">
        <f t="shared" si="27"/>
        <v>13.672965099776199</v>
      </c>
      <c r="T38" s="14">
        <f t="shared" si="27"/>
        <v>14.145474507651899</v>
      </c>
      <c r="U38" s="14">
        <f t="shared" si="27"/>
        <v>13.239357279649701</v>
      </c>
      <c r="V38" s="14">
        <f t="shared" si="27"/>
        <v>10.046935011885701</v>
      </c>
      <c r="W38" s="14">
        <f t="shared" si="27"/>
        <v>10.1047073133151</v>
      </c>
      <c r="X38" s="14">
        <f t="shared" si="27"/>
        <v>10.623591071432999</v>
      </c>
      <c r="Y38" s="14">
        <f t="shared" si="27"/>
        <v>12.2381526035751</v>
      </c>
    </row>
    <row r="39" spans="2:63" x14ac:dyDescent="0.2">
      <c r="B39" s="71"/>
      <c r="C39" s="79" t="s">
        <v>145</v>
      </c>
      <c r="D39" s="84" t="s">
        <v>108</v>
      </c>
      <c r="E39" s="110"/>
      <c r="F39" s="110"/>
      <c r="G39" s="110"/>
      <c r="H39" s="71"/>
      <c r="I39" s="71"/>
      <c r="J39" s="71"/>
      <c r="K39" s="71"/>
      <c r="M39" s="24"/>
      <c r="N39" s="19">
        <v>2</v>
      </c>
      <c r="O39" s="24"/>
      <c r="P39" s="14">
        <f t="shared" ref="P39:Y39" si="28">VLOOKUP(P$9&amp;"Male"&amp;"AllEth"&amp;19&amp;2,deptable,8,FALSE)</f>
        <v>14.679615920843499</v>
      </c>
      <c r="Q39" s="14">
        <f t="shared" si="28"/>
        <v>11.6028861834361</v>
      </c>
      <c r="R39" s="14">
        <f t="shared" si="28"/>
        <v>13.7450566156518</v>
      </c>
      <c r="S39" s="14">
        <f t="shared" si="28"/>
        <v>15.6322775264307</v>
      </c>
      <c r="T39" s="14">
        <f t="shared" si="28"/>
        <v>12.5788110241902</v>
      </c>
      <c r="U39" s="14">
        <f t="shared" si="28"/>
        <v>14.540831325937299</v>
      </c>
      <c r="V39" s="14">
        <f t="shared" si="28"/>
        <v>13.6769389350941</v>
      </c>
      <c r="W39" s="14">
        <f t="shared" si="28"/>
        <v>11.615740197445501</v>
      </c>
      <c r="X39" s="14">
        <f t="shared" si="28"/>
        <v>10.781463058969599</v>
      </c>
      <c r="Y39" s="14">
        <f t="shared" si="28"/>
        <v>13.6474606292609</v>
      </c>
    </row>
    <row r="40" spans="2:63" x14ac:dyDescent="0.2">
      <c r="B40" s="71"/>
      <c r="C40" s="71"/>
      <c r="D40" s="84" t="s">
        <v>292</v>
      </c>
      <c r="E40" s="79"/>
      <c r="F40" s="79"/>
      <c r="G40" s="79"/>
      <c r="H40" s="71"/>
      <c r="I40" s="71"/>
      <c r="J40" s="71"/>
      <c r="K40" s="71"/>
      <c r="M40" s="11"/>
      <c r="N40" s="18">
        <v>3</v>
      </c>
      <c r="O40" s="24"/>
      <c r="P40" s="14">
        <f t="shared" ref="P40:Y40" si="29">VLOOKUP(P$9&amp;"Male"&amp;"AllEth"&amp;19&amp;3,deptable,8,FALSE)</f>
        <v>16.606073448723802</v>
      </c>
      <c r="Q40" s="14">
        <f t="shared" si="29"/>
        <v>18.999903182903601</v>
      </c>
      <c r="R40" s="14">
        <f t="shared" si="29"/>
        <v>16.2948414480312</v>
      </c>
      <c r="S40" s="14">
        <f t="shared" si="29"/>
        <v>14.769474357958099</v>
      </c>
      <c r="T40" s="14">
        <f t="shared" si="29"/>
        <v>16.768718439865602</v>
      </c>
      <c r="U40" s="14">
        <f t="shared" si="29"/>
        <v>19.0319542103353</v>
      </c>
      <c r="V40" s="14">
        <f t="shared" si="29"/>
        <v>22.1565092054778</v>
      </c>
      <c r="W40" s="14">
        <f t="shared" si="29"/>
        <v>14.8153782402544</v>
      </c>
      <c r="X40" s="14">
        <f t="shared" si="29"/>
        <v>15.486617317140601</v>
      </c>
      <c r="Y40" s="14">
        <f t="shared" si="29"/>
        <v>12.848644486566799</v>
      </c>
    </row>
    <row r="41" spans="2:63" x14ac:dyDescent="0.2">
      <c r="B41" s="71"/>
      <c r="C41" s="79" t="s">
        <v>150</v>
      </c>
      <c r="D41" s="79" t="s">
        <v>149</v>
      </c>
      <c r="E41" s="71"/>
      <c r="F41" s="71"/>
      <c r="G41" s="71"/>
      <c r="H41" s="71"/>
      <c r="I41" s="71"/>
      <c r="J41" s="71"/>
      <c r="K41" s="71"/>
      <c r="M41" s="11"/>
      <c r="N41" s="19">
        <v>4</v>
      </c>
      <c r="O41" s="24"/>
      <c r="P41" s="14">
        <f t="shared" ref="P41:Y41" si="30">VLOOKUP(P$9&amp;"Male"&amp;"AllEth"&amp;19&amp;4,deptable,8,FALSE)</f>
        <v>18.318327574495498</v>
      </c>
      <c r="Q41" s="14">
        <f t="shared" si="30"/>
        <v>20.099156960381102</v>
      </c>
      <c r="R41" s="14">
        <f t="shared" si="30"/>
        <v>18.758767968392899</v>
      </c>
      <c r="S41" s="14">
        <f t="shared" si="30"/>
        <v>22.008575617776099</v>
      </c>
      <c r="T41" s="14">
        <f t="shared" si="30"/>
        <v>19.758547312996701</v>
      </c>
      <c r="U41" s="14">
        <f t="shared" si="30"/>
        <v>15.145499660123701</v>
      </c>
      <c r="V41" s="14">
        <f t="shared" si="30"/>
        <v>22.4574835839713</v>
      </c>
      <c r="W41" s="14">
        <f t="shared" si="30"/>
        <v>17.298751296226801</v>
      </c>
      <c r="X41" s="14">
        <f t="shared" si="30"/>
        <v>19.678305147009201</v>
      </c>
      <c r="Y41" s="14">
        <f t="shared" si="30"/>
        <v>19.115734604506201</v>
      </c>
    </row>
    <row r="42" spans="2:63" x14ac:dyDescent="0.2">
      <c r="B42" s="71"/>
      <c r="C42" s="71"/>
      <c r="D42" s="71"/>
      <c r="E42" s="71"/>
      <c r="F42" s="71"/>
      <c r="G42" s="71"/>
      <c r="H42" s="71"/>
      <c r="I42" s="71"/>
      <c r="J42" s="71"/>
      <c r="K42" s="71"/>
      <c r="M42" s="11"/>
      <c r="N42" s="19">
        <v>5</v>
      </c>
      <c r="O42" s="24"/>
      <c r="P42" s="14">
        <f t="shared" ref="P42:Y42" si="31">VLOOKUP(P$9&amp;"Male"&amp;"AllEth"&amp;19&amp;5,deptable,8,FALSE)</f>
        <v>28.780033814011201</v>
      </c>
      <c r="Q42" s="14">
        <f t="shared" si="31"/>
        <v>23.2431358648392</v>
      </c>
      <c r="R42" s="14">
        <f t="shared" si="31"/>
        <v>22.000250981121599</v>
      </c>
      <c r="S42" s="14">
        <f t="shared" si="31"/>
        <v>24.881574896415898</v>
      </c>
      <c r="T42" s="14">
        <f t="shared" si="31"/>
        <v>21.9325783022839</v>
      </c>
      <c r="U42" s="14">
        <f t="shared" si="31"/>
        <v>22.542784776259801</v>
      </c>
      <c r="V42" s="14">
        <f t="shared" si="31"/>
        <v>22.331571256110301</v>
      </c>
      <c r="W42" s="14">
        <f t="shared" si="31"/>
        <v>21.510814033369101</v>
      </c>
      <c r="X42" s="14">
        <f t="shared" si="31"/>
        <v>24.1272930335215</v>
      </c>
      <c r="Y42" s="14">
        <f t="shared" si="31"/>
        <v>22.721973057487901</v>
      </c>
    </row>
    <row r="43" spans="2:63" x14ac:dyDescent="0.2">
      <c r="M43" s="16"/>
      <c r="N43" s="17"/>
      <c r="O43" s="26"/>
      <c r="P43" s="21"/>
      <c r="Q43" s="21"/>
      <c r="R43" s="21"/>
      <c r="S43" s="21"/>
      <c r="T43" s="21"/>
      <c r="U43" s="21"/>
      <c r="V43" s="21"/>
      <c r="W43" s="21"/>
      <c r="X43" s="21"/>
      <c r="Y43" s="21"/>
    </row>
    <row r="44" spans="2:63" x14ac:dyDescent="0.2">
      <c r="B44" s="71"/>
      <c r="C44" s="71"/>
      <c r="D44" s="71"/>
      <c r="E44" s="71"/>
      <c r="F44" s="71"/>
      <c r="G44" s="71"/>
      <c r="H44" s="71"/>
      <c r="I44" s="71"/>
      <c r="J44" s="71"/>
      <c r="K44" s="71"/>
      <c r="M44" s="11" t="s">
        <v>8</v>
      </c>
      <c r="N44" s="18">
        <v>1</v>
      </c>
      <c r="O44" s="24" t="s">
        <v>22</v>
      </c>
      <c r="P44" s="14">
        <f t="shared" ref="P44:Y44" si="32">VLOOKUP(P$9&amp;"Female"&amp;"AllEth"&amp;19&amp;1,deptable,8,FALSE)</f>
        <v>3.91928161789447</v>
      </c>
      <c r="Q44" s="14">
        <f t="shared" si="32"/>
        <v>3.21939072200857</v>
      </c>
      <c r="R44" s="14">
        <f t="shared" si="32"/>
        <v>4.8919643634299597</v>
      </c>
      <c r="S44" s="14">
        <f t="shared" si="32"/>
        <v>2.38907362919592</v>
      </c>
      <c r="T44" s="14">
        <f t="shared" si="32"/>
        <v>6.2730726130140999</v>
      </c>
      <c r="U44" s="14">
        <f t="shared" si="32"/>
        <v>3.1724695276464998</v>
      </c>
      <c r="V44" s="14">
        <f t="shared" si="32"/>
        <v>1.6745010318739699</v>
      </c>
      <c r="W44" s="14">
        <f t="shared" si="32"/>
        <v>3.4168305432326198</v>
      </c>
      <c r="X44" s="14">
        <f t="shared" si="32"/>
        <v>2.7543322496102798</v>
      </c>
      <c r="Y44" s="14">
        <f t="shared" si="32"/>
        <v>4.0757342154773699</v>
      </c>
    </row>
    <row r="45" spans="2:63" ht="15" x14ac:dyDescent="0.25">
      <c r="B45" s="71"/>
      <c r="C45" s="95" t="s">
        <v>371</v>
      </c>
      <c r="D45" s="71"/>
      <c r="E45" s="71"/>
      <c r="F45" s="71"/>
      <c r="G45" s="71"/>
      <c r="H45" s="71"/>
      <c r="I45" s="71"/>
      <c r="J45" s="71"/>
      <c r="K45" s="71"/>
      <c r="M45" s="11"/>
      <c r="N45" s="19">
        <v>2</v>
      </c>
      <c r="O45" s="24"/>
      <c r="P45" s="14">
        <f t="shared" ref="P45:Y45" si="33">VLOOKUP(P$9&amp;"Female"&amp;"AllEth"&amp;19&amp;2,deptable,8,FALSE)</f>
        <v>5.3220540822637998</v>
      </c>
      <c r="Q45" s="14">
        <f t="shared" si="33"/>
        <v>4.3903552637485497</v>
      </c>
      <c r="R45" s="14">
        <f t="shared" si="33"/>
        <v>4.92960345088603</v>
      </c>
      <c r="S45" s="14">
        <f t="shared" si="33"/>
        <v>3.6586615219409002</v>
      </c>
      <c r="T45" s="14">
        <f t="shared" si="33"/>
        <v>6.4808380547622102</v>
      </c>
      <c r="U45" s="14">
        <f t="shared" si="33"/>
        <v>2.9406434228190901</v>
      </c>
      <c r="V45" s="14">
        <f t="shared" si="33"/>
        <v>5.1035643666233099</v>
      </c>
      <c r="W45" s="14">
        <f t="shared" si="33"/>
        <v>5.2973793210445397</v>
      </c>
      <c r="X45" s="14">
        <f t="shared" si="33"/>
        <v>4.3764290323286197</v>
      </c>
      <c r="Y45" s="14">
        <f t="shared" si="33"/>
        <v>4.5337462187208599</v>
      </c>
    </row>
    <row r="46" spans="2:63" x14ac:dyDescent="0.2">
      <c r="B46" s="71"/>
      <c r="C46" s="71"/>
      <c r="D46" s="71"/>
      <c r="E46" s="71"/>
      <c r="F46" s="71"/>
      <c r="G46" s="71"/>
      <c r="H46" s="71"/>
      <c r="I46" s="71"/>
      <c r="J46" s="71"/>
      <c r="K46" s="71"/>
      <c r="M46" s="11"/>
      <c r="N46" s="18">
        <v>3</v>
      </c>
      <c r="O46" s="24"/>
      <c r="P46" s="14">
        <f t="shared" ref="P46:Y46" si="34">VLOOKUP(P$9&amp;"Female"&amp;"AllEth"&amp;19&amp;3,deptable,8,FALSE)</f>
        <v>5.4993855608744502</v>
      </c>
      <c r="Q46" s="14">
        <f t="shared" si="34"/>
        <v>5.7446892212915204</v>
      </c>
      <c r="R46" s="14">
        <f t="shared" si="34"/>
        <v>7.5691748656037197</v>
      </c>
      <c r="S46" s="14">
        <f t="shared" si="34"/>
        <v>5.2206184166965404</v>
      </c>
      <c r="T46" s="14">
        <f t="shared" si="34"/>
        <v>5.2396119815643303</v>
      </c>
      <c r="U46" s="14">
        <f t="shared" si="34"/>
        <v>3.8279008266893402</v>
      </c>
      <c r="V46" s="14">
        <f t="shared" si="34"/>
        <v>4.4674700999259302</v>
      </c>
      <c r="W46" s="14">
        <f t="shared" si="34"/>
        <v>5.5756498222800701</v>
      </c>
      <c r="X46" s="14">
        <f t="shared" si="34"/>
        <v>4.9801442476464199</v>
      </c>
      <c r="Y46" s="14">
        <f t="shared" si="34"/>
        <v>5.6703552086804097</v>
      </c>
    </row>
    <row r="47" spans="2:63" x14ac:dyDescent="0.2">
      <c r="B47" s="71"/>
      <c r="C47" s="71"/>
      <c r="D47" s="71"/>
      <c r="E47" s="71"/>
      <c r="F47" s="71"/>
      <c r="G47" s="71"/>
      <c r="H47" s="71"/>
      <c r="I47" s="71"/>
      <c r="J47" s="71"/>
      <c r="K47" s="71"/>
      <c r="M47" s="24"/>
      <c r="N47" s="19">
        <v>4</v>
      </c>
      <c r="O47" s="24"/>
      <c r="P47" s="14">
        <f t="shared" ref="P47:Y47" si="35">VLOOKUP(P$9&amp;"Female"&amp;"AllEth"&amp;19&amp;4,deptable,8,FALSE)</f>
        <v>5.3830777309068196</v>
      </c>
      <c r="Q47" s="14">
        <f t="shared" si="35"/>
        <v>4.9567640127175396</v>
      </c>
      <c r="R47" s="14">
        <f t="shared" si="35"/>
        <v>4.8262497491326304</v>
      </c>
      <c r="S47" s="14">
        <f t="shared" si="35"/>
        <v>7.3510824533927499</v>
      </c>
      <c r="T47" s="14">
        <f t="shared" si="35"/>
        <v>5.6067155020755699</v>
      </c>
      <c r="U47" s="14">
        <f t="shared" si="35"/>
        <v>5.1852837425382301</v>
      </c>
      <c r="V47" s="14">
        <f t="shared" si="35"/>
        <v>8.9298192148046898</v>
      </c>
      <c r="W47" s="14">
        <f t="shared" si="35"/>
        <v>5.5573244121361203</v>
      </c>
      <c r="X47" s="14">
        <f t="shared" si="35"/>
        <v>6.1098861266219604</v>
      </c>
      <c r="Y47" s="14">
        <f t="shared" si="35"/>
        <v>6.56171162535788</v>
      </c>
    </row>
    <row r="48" spans="2:63" x14ac:dyDescent="0.2">
      <c r="B48" s="71"/>
      <c r="C48" s="71"/>
      <c r="D48" s="71"/>
      <c r="E48" s="71"/>
      <c r="F48" s="71"/>
      <c r="G48" s="71"/>
      <c r="H48" s="71"/>
      <c r="I48" s="71"/>
      <c r="J48" s="71"/>
      <c r="K48" s="71"/>
      <c r="M48" s="11"/>
      <c r="N48" s="19">
        <v>5</v>
      </c>
      <c r="O48" s="24"/>
      <c r="P48" s="14">
        <f t="shared" ref="P48:Y48" si="36">VLOOKUP(P$9&amp;"Female"&amp;"AllEth"&amp;19&amp;5,deptable,8,FALSE)</f>
        <v>8.3867177720886303</v>
      </c>
      <c r="Q48" s="14">
        <f t="shared" si="36"/>
        <v>6.78604023432323</v>
      </c>
      <c r="R48" s="14">
        <f t="shared" si="36"/>
        <v>6.8810283175385996</v>
      </c>
      <c r="S48" s="14">
        <f t="shared" si="36"/>
        <v>6.5983231739770396</v>
      </c>
      <c r="T48" s="14">
        <f t="shared" si="36"/>
        <v>8.3546213274244803</v>
      </c>
      <c r="U48" s="14">
        <f t="shared" si="36"/>
        <v>9.9898574049395492</v>
      </c>
      <c r="V48" s="14">
        <f t="shared" si="36"/>
        <v>9.4963410912357702</v>
      </c>
      <c r="W48" s="14">
        <f t="shared" si="36"/>
        <v>10.227777888353501</v>
      </c>
      <c r="X48" s="14">
        <f t="shared" si="36"/>
        <v>8.3627623467666599</v>
      </c>
      <c r="Y48" s="14">
        <f t="shared" si="36"/>
        <v>8.7248394367418296</v>
      </c>
    </row>
    <row r="49" spans="2:25" x14ac:dyDescent="0.2">
      <c r="B49" s="71"/>
      <c r="C49" s="71"/>
      <c r="D49" s="71"/>
      <c r="E49" s="71"/>
      <c r="F49" s="71"/>
      <c r="G49" s="71"/>
      <c r="H49" s="71"/>
      <c r="I49" s="71"/>
      <c r="J49" s="71"/>
      <c r="K49" s="71"/>
      <c r="M49" s="26"/>
      <c r="N49" s="26"/>
      <c r="O49" s="26"/>
      <c r="P49" s="26"/>
      <c r="Q49" s="26"/>
      <c r="R49" s="26"/>
      <c r="S49" s="26"/>
      <c r="T49" s="26"/>
      <c r="U49" s="26"/>
      <c r="V49" s="26"/>
      <c r="W49" s="26"/>
      <c r="X49" s="26"/>
      <c r="Y49" s="26"/>
    </row>
    <row r="50" spans="2:25" x14ac:dyDescent="0.2">
      <c r="B50" s="71"/>
      <c r="C50" s="71"/>
      <c r="D50" s="71"/>
      <c r="E50" s="71"/>
      <c r="F50" s="71"/>
      <c r="G50" s="71"/>
      <c r="H50" s="71"/>
      <c r="I50" s="71"/>
      <c r="J50" s="71"/>
      <c r="K50" s="71"/>
      <c r="M50" s="30" t="s">
        <v>0</v>
      </c>
      <c r="N50" s="373" t="s">
        <v>114</v>
      </c>
      <c r="O50" s="24" t="s">
        <v>113</v>
      </c>
      <c r="P50" s="32">
        <f t="shared" ref="P50:Y50" si="37">P36/P32</f>
        <v>2.333970922925181</v>
      </c>
      <c r="Q50" s="32">
        <f t="shared" si="37"/>
        <v>1.8773822923792491</v>
      </c>
      <c r="R50" s="32">
        <f t="shared" si="37"/>
        <v>1.4284703389424085</v>
      </c>
      <c r="S50" s="32">
        <f t="shared" si="37"/>
        <v>1.9226779537709644</v>
      </c>
      <c r="T50" s="32">
        <f t="shared" si="37"/>
        <v>1.464924334604645</v>
      </c>
      <c r="U50" s="32">
        <f t="shared" si="37"/>
        <v>1.9742891596683634</v>
      </c>
      <c r="V50" s="32">
        <f t="shared" si="37"/>
        <v>2.6811602174548703</v>
      </c>
      <c r="W50" s="32">
        <f t="shared" si="37"/>
        <v>2.3176514550119669</v>
      </c>
      <c r="X50" s="32">
        <f t="shared" si="37"/>
        <v>2.4021292402154693</v>
      </c>
      <c r="Y50" s="32">
        <f t="shared" si="37"/>
        <v>1.9036663549330031</v>
      </c>
    </row>
    <row r="51" spans="2:25" ht="12.75" customHeight="1" x14ac:dyDescent="0.2">
      <c r="B51" s="71"/>
      <c r="C51" s="71"/>
      <c r="D51" s="71"/>
      <c r="E51" s="71"/>
      <c r="F51" s="71"/>
      <c r="G51" s="71"/>
      <c r="H51" s="71"/>
      <c r="I51" s="71"/>
      <c r="J51" s="71"/>
      <c r="K51" s="71"/>
      <c r="M51" s="30" t="s">
        <v>20</v>
      </c>
      <c r="N51" s="373" t="s">
        <v>114</v>
      </c>
      <c r="O51" s="30"/>
      <c r="P51" s="32">
        <f t="shared" ref="P51:Y51" si="38">P42/P38</f>
        <v>2.4582911580986644</v>
      </c>
      <c r="Q51" s="32">
        <f t="shared" si="38"/>
        <v>1.8455566927359952</v>
      </c>
      <c r="R51" s="32">
        <f t="shared" si="38"/>
        <v>1.481390538259745</v>
      </c>
      <c r="S51" s="32">
        <f t="shared" si="38"/>
        <v>1.8197643828421066</v>
      </c>
      <c r="T51" s="32">
        <f t="shared" si="38"/>
        <v>1.5505014194058757</v>
      </c>
      <c r="U51" s="32">
        <f t="shared" si="38"/>
        <v>1.7027099050276751</v>
      </c>
      <c r="V51" s="32">
        <f t="shared" si="38"/>
        <v>2.2227247642879804</v>
      </c>
      <c r="W51" s="32">
        <f t="shared" si="38"/>
        <v>2.1287914005212234</v>
      </c>
      <c r="X51" s="32">
        <f t="shared" si="38"/>
        <v>2.2711052102146669</v>
      </c>
      <c r="Y51" s="32">
        <f t="shared" si="38"/>
        <v>1.8566505741111765</v>
      </c>
    </row>
    <row r="52" spans="2:25" ht="12.75" customHeight="1" x14ac:dyDescent="0.2">
      <c r="B52" s="71"/>
      <c r="C52" s="71"/>
      <c r="D52" s="71"/>
      <c r="E52" s="71"/>
      <c r="F52" s="71"/>
      <c r="G52" s="71"/>
      <c r="H52" s="71"/>
      <c r="I52" s="71"/>
      <c r="J52" s="71"/>
      <c r="K52" s="71"/>
      <c r="M52" s="30" t="s">
        <v>8</v>
      </c>
      <c r="N52" s="373" t="s">
        <v>114</v>
      </c>
      <c r="O52" s="30"/>
      <c r="P52" s="32">
        <f>P48/P44</f>
        <v>2.1398609719181576</v>
      </c>
      <c r="Q52" s="32">
        <f t="shared" ref="Q52:Y52" si="39">Q48/Q44</f>
        <v>2.1078647546357581</v>
      </c>
      <c r="R52" s="32">
        <f t="shared" si="39"/>
        <v>1.4065982101132937</v>
      </c>
      <c r="S52" s="32">
        <f t="shared" si="39"/>
        <v>2.7618751859890596</v>
      </c>
      <c r="T52" s="32">
        <f t="shared" si="39"/>
        <v>1.3318228311421112</v>
      </c>
      <c r="U52" s="32">
        <f t="shared" si="39"/>
        <v>3.1489214688692493</v>
      </c>
      <c r="V52" s="32">
        <f t="shared" si="39"/>
        <v>5.6711467538531233</v>
      </c>
      <c r="W52" s="32">
        <f t="shared" si="39"/>
        <v>2.9933523945489933</v>
      </c>
      <c r="X52" s="32">
        <f t="shared" si="39"/>
        <v>3.0362213374766012</v>
      </c>
      <c r="Y52" s="32">
        <f t="shared" si="39"/>
        <v>2.1406791943423951</v>
      </c>
    </row>
    <row r="53" spans="2:25" ht="12.75" customHeight="1" x14ac:dyDescent="0.2">
      <c r="B53" s="71"/>
      <c r="C53" s="71"/>
      <c r="D53" s="71"/>
      <c r="E53" s="71"/>
      <c r="F53" s="71"/>
      <c r="G53" s="71"/>
      <c r="H53" s="71"/>
      <c r="I53" s="71"/>
      <c r="J53" s="71"/>
      <c r="K53" s="71"/>
    </row>
    <row r="54" spans="2:25" ht="12.75" customHeight="1" x14ac:dyDescent="0.2">
      <c r="B54" s="71"/>
      <c r="C54" s="71"/>
      <c r="D54" s="71"/>
      <c r="E54" s="71"/>
      <c r="F54" s="71"/>
      <c r="G54" s="71"/>
      <c r="H54" s="71"/>
      <c r="I54" s="71"/>
      <c r="J54" s="71"/>
      <c r="K54" s="71"/>
      <c r="M54" s="51" t="s">
        <v>148</v>
      </c>
      <c r="N54" s="51" t="s">
        <v>108</v>
      </c>
      <c r="O54" s="51"/>
      <c r="P54" s="33"/>
      <c r="Q54" s="33"/>
      <c r="R54" s="33"/>
      <c r="S54" s="33"/>
      <c r="T54" s="33"/>
      <c r="U54" s="33"/>
      <c r="V54" s="33"/>
      <c r="W54" s="33"/>
      <c r="X54" s="33"/>
      <c r="Y54" s="33"/>
    </row>
    <row r="55" spans="2:25" ht="12.75" customHeight="1" x14ac:dyDescent="0.2">
      <c r="B55" s="71"/>
      <c r="C55" s="71"/>
      <c r="D55" s="71"/>
      <c r="E55" s="71"/>
      <c r="F55" s="71"/>
      <c r="G55" s="71"/>
      <c r="H55" s="71"/>
      <c r="I55" s="71"/>
      <c r="J55" s="71"/>
      <c r="K55" s="71"/>
      <c r="N55" s="51" t="s">
        <v>449</v>
      </c>
    </row>
    <row r="56" spans="2:25" ht="14.25" customHeight="1" x14ac:dyDescent="0.2">
      <c r="B56" s="71"/>
      <c r="C56" s="71"/>
      <c r="D56" s="71"/>
      <c r="E56" s="71"/>
      <c r="F56" s="71"/>
      <c r="G56" s="71"/>
      <c r="H56" s="71"/>
      <c r="I56" s="71"/>
      <c r="J56" s="71"/>
      <c r="K56" s="71"/>
      <c r="N56" s="51" t="s">
        <v>573</v>
      </c>
    </row>
    <row r="57" spans="2:25" x14ac:dyDescent="0.2">
      <c r="B57" s="71"/>
      <c r="C57" s="84" t="s">
        <v>390</v>
      </c>
      <c r="D57" s="71"/>
      <c r="E57" s="84"/>
      <c r="F57" s="84"/>
      <c r="G57" s="71"/>
      <c r="H57" s="71"/>
      <c r="I57" s="71"/>
      <c r="J57" s="71"/>
      <c r="K57" s="71"/>
      <c r="M57" s="51" t="s">
        <v>146</v>
      </c>
      <c r="N57" s="51" t="s">
        <v>149</v>
      </c>
      <c r="O57" s="51"/>
    </row>
    <row r="58" spans="2:25" x14ac:dyDescent="0.2">
      <c r="B58" s="71"/>
      <c r="C58" s="84" t="s">
        <v>102</v>
      </c>
      <c r="D58" s="84"/>
      <c r="E58" s="84"/>
      <c r="F58" s="84"/>
      <c r="G58" s="71"/>
      <c r="H58" s="71"/>
      <c r="I58" s="71"/>
      <c r="J58" s="71"/>
      <c r="K58" s="71"/>
      <c r="M58" s="20"/>
      <c r="N58" s="20"/>
      <c r="O58" s="20"/>
      <c r="P58" s="20"/>
      <c r="Q58" s="20"/>
      <c r="R58" s="20"/>
      <c r="S58" s="20"/>
      <c r="T58" s="20"/>
      <c r="U58" s="20"/>
      <c r="V58" s="20"/>
      <c r="W58" s="20"/>
      <c r="X58" s="20"/>
      <c r="Y58" s="20"/>
    </row>
    <row r="59" spans="2:25" x14ac:dyDescent="0.2">
      <c r="B59" s="71"/>
      <c r="C59" s="71"/>
      <c r="D59" s="84"/>
      <c r="E59" s="84"/>
      <c r="F59" s="84"/>
      <c r="G59" s="71"/>
      <c r="H59" s="71"/>
      <c r="I59" s="71"/>
      <c r="J59" s="71"/>
      <c r="K59" s="71"/>
    </row>
    <row r="60" spans="2:25" x14ac:dyDescent="0.2">
      <c r="B60" s="180"/>
      <c r="C60" s="180"/>
      <c r="D60" s="196"/>
      <c r="E60" s="196"/>
      <c r="F60" s="196"/>
      <c r="G60" s="180"/>
      <c r="H60" s="180"/>
      <c r="I60" s="180"/>
      <c r="J60" s="180"/>
      <c r="K60" s="180"/>
    </row>
    <row r="62" spans="2:25" x14ac:dyDescent="0.2">
      <c r="B62" s="71"/>
      <c r="C62" s="71"/>
      <c r="D62" s="71"/>
      <c r="E62" s="71"/>
      <c r="F62" s="71"/>
      <c r="G62" s="71"/>
      <c r="H62" s="71"/>
      <c r="I62" s="71"/>
      <c r="J62" s="71"/>
      <c r="K62" s="71"/>
    </row>
    <row r="63" spans="2:25" ht="15" x14ac:dyDescent="0.25">
      <c r="B63" s="71"/>
      <c r="C63" s="95" t="s">
        <v>372</v>
      </c>
      <c r="D63" s="77"/>
      <c r="E63" s="77"/>
      <c r="F63" s="77"/>
      <c r="G63" s="77"/>
      <c r="H63" s="77"/>
      <c r="I63" s="77"/>
      <c r="J63" s="71"/>
      <c r="K63" s="71"/>
    </row>
    <row r="64" spans="2:25" x14ac:dyDescent="0.2">
      <c r="B64" s="71"/>
      <c r="C64" s="71"/>
      <c r="D64" s="71"/>
      <c r="E64" s="71"/>
      <c r="F64" s="71"/>
      <c r="G64" s="71"/>
      <c r="H64" s="71"/>
      <c r="I64" s="71"/>
      <c r="J64" s="71"/>
      <c r="K64" s="71"/>
    </row>
    <row r="65" spans="2:25" x14ac:dyDescent="0.2">
      <c r="B65" s="71"/>
      <c r="C65" s="71"/>
      <c r="D65" s="71"/>
      <c r="E65" s="71"/>
      <c r="F65" s="71"/>
      <c r="G65" s="71"/>
      <c r="H65" s="71"/>
      <c r="I65" s="71"/>
      <c r="J65" s="71"/>
      <c r="K65" s="71"/>
    </row>
    <row r="66" spans="2:25" x14ac:dyDescent="0.2">
      <c r="B66" s="71"/>
      <c r="C66" s="71"/>
      <c r="D66" s="71"/>
      <c r="E66" s="71"/>
      <c r="F66" s="71"/>
      <c r="G66" s="71"/>
      <c r="H66" s="71"/>
      <c r="I66" s="71"/>
      <c r="J66" s="71"/>
      <c r="K66" s="71"/>
    </row>
    <row r="67" spans="2:25" ht="15" customHeight="1" x14ac:dyDescent="0.2">
      <c r="B67" s="71"/>
      <c r="C67" s="71"/>
      <c r="D67" s="71"/>
      <c r="E67" s="71"/>
      <c r="F67" s="71"/>
      <c r="G67" s="71"/>
      <c r="H67" s="71"/>
      <c r="I67" s="71"/>
      <c r="J67" s="71"/>
      <c r="K67" s="71"/>
    </row>
    <row r="68" spans="2:25" x14ac:dyDescent="0.2">
      <c r="B68" s="71"/>
      <c r="C68" s="71"/>
      <c r="D68" s="71"/>
      <c r="E68" s="71"/>
      <c r="F68" s="71"/>
      <c r="G68" s="71"/>
      <c r="H68" s="71"/>
      <c r="I68" s="71"/>
      <c r="J68" s="71"/>
      <c r="K68" s="71"/>
    </row>
    <row r="69" spans="2:25" x14ac:dyDescent="0.2">
      <c r="B69" s="71"/>
      <c r="C69" s="71"/>
      <c r="D69" s="71"/>
      <c r="E69" s="71"/>
      <c r="F69" s="71"/>
      <c r="G69" s="71"/>
      <c r="H69" s="71"/>
      <c r="I69" s="71"/>
      <c r="J69" s="71"/>
      <c r="K69" s="71"/>
    </row>
    <row r="70" spans="2:25" x14ac:dyDescent="0.2">
      <c r="B70" s="71"/>
      <c r="C70" s="71"/>
      <c r="D70" s="71"/>
      <c r="E70" s="71"/>
      <c r="F70" s="71"/>
      <c r="G70" s="71"/>
      <c r="H70" s="71"/>
      <c r="I70" s="71"/>
      <c r="J70" s="71"/>
      <c r="K70" s="71"/>
    </row>
    <row r="71" spans="2:25" x14ac:dyDescent="0.2">
      <c r="B71" s="71"/>
      <c r="C71" s="71"/>
      <c r="D71" s="71"/>
      <c r="E71" s="71"/>
      <c r="F71" s="71"/>
      <c r="G71" s="71"/>
      <c r="H71" s="71"/>
      <c r="I71" s="71"/>
      <c r="J71" s="71"/>
      <c r="K71" s="71"/>
    </row>
    <row r="72" spans="2:25" ht="13.5" customHeight="1" x14ac:dyDescent="0.2">
      <c r="B72" s="71"/>
      <c r="C72" s="71"/>
      <c r="D72" s="71"/>
      <c r="E72" s="71"/>
      <c r="F72" s="71"/>
      <c r="G72" s="71"/>
      <c r="H72" s="71"/>
      <c r="I72" s="71"/>
      <c r="J72" s="71"/>
      <c r="K72" s="71"/>
      <c r="M72" s="546" t="s">
        <v>453</v>
      </c>
      <c r="N72" s="525"/>
      <c r="O72" s="525"/>
      <c r="P72" s="525"/>
      <c r="Q72" s="525"/>
      <c r="R72" s="525"/>
      <c r="S72" s="525"/>
      <c r="T72" s="525"/>
      <c r="U72" s="525"/>
      <c r="V72" s="525"/>
      <c r="W72" s="525"/>
      <c r="X72" s="525"/>
      <c r="Y72" s="525"/>
    </row>
    <row r="73" spans="2:25" ht="18.75" customHeight="1" x14ac:dyDescent="0.2">
      <c r="B73" s="71"/>
      <c r="C73" s="71"/>
      <c r="D73" s="71"/>
      <c r="E73" s="71"/>
      <c r="F73" s="71"/>
      <c r="G73" s="71"/>
      <c r="H73" s="71"/>
      <c r="I73" s="71"/>
      <c r="J73" s="71"/>
      <c r="K73" s="71"/>
      <c r="M73" s="525"/>
      <c r="N73" s="525"/>
      <c r="O73" s="525"/>
      <c r="P73" s="525"/>
      <c r="Q73" s="525"/>
      <c r="R73" s="525"/>
      <c r="S73" s="525"/>
      <c r="T73" s="525"/>
      <c r="U73" s="525"/>
      <c r="V73" s="525"/>
      <c r="W73" s="525"/>
      <c r="X73" s="525"/>
      <c r="Y73" s="525"/>
    </row>
    <row r="74" spans="2:25" x14ac:dyDescent="0.2">
      <c r="B74" s="71"/>
      <c r="C74" s="71"/>
      <c r="D74" s="71"/>
      <c r="E74" s="71"/>
      <c r="F74" s="71"/>
      <c r="G74" s="71"/>
      <c r="H74" s="71"/>
      <c r="I74" s="71"/>
      <c r="J74" s="71"/>
      <c r="K74" s="71"/>
    </row>
    <row r="75" spans="2:25" ht="18.75" customHeight="1" x14ac:dyDescent="0.2">
      <c r="B75" s="71"/>
      <c r="C75" s="71"/>
      <c r="D75" s="71"/>
      <c r="E75" s="71"/>
      <c r="F75" s="71"/>
      <c r="G75" s="71"/>
      <c r="H75" s="71"/>
      <c r="I75" s="71"/>
      <c r="J75" s="71"/>
      <c r="K75" s="71"/>
      <c r="M75" s="22" t="s">
        <v>37</v>
      </c>
      <c r="N75" s="22" t="s">
        <v>38</v>
      </c>
      <c r="P75" s="13">
        <v>2006</v>
      </c>
      <c r="Q75" s="13">
        <v>2007</v>
      </c>
      <c r="R75" s="13">
        <v>2008</v>
      </c>
      <c r="S75" s="13">
        <v>2009</v>
      </c>
      <c r="T75" s="13">
        <v>2010</v>
      </c>
      <c r="U75" s="13">
        <v>2011</v>
      </c>
      <c r="V75" s="13">
        <v>2012</v>
      </c>
      <c r="W75" s="13">
        <v>2013</v>
      </c>
      <c r="X75" s="13">
        <v>2014</v>
      </c>
      <c r="Y75" s="13">
        <v>2015</v>
      </c>
    </row>
    <row r="76" spans="2:25" x14ac:dyDescent="0.2">
      <c r="B76" s="71"/>
      <c r="C76" s="71"/>
      <c r="D76" s="71"/>
      <c r="E76" s="71"/>
      <c r="F76" s="71"/>
      <c r="G76" s="71"/>
      <c r="H76" s="71"/>
      <c r="I76" s="71"/>
      <c r="J76" s="71"/>
      <c r="K76" s="71"/>
      <c r="M76" s="24"/>
      <c r="N76" s="24"/>
      <c r="P76" s="24"/>
      <c r="Q76" s="24"/>
      <c r="R76" s="24"/>
      <c r="S76" s="24"/>
      <c r="T76" s="24"/>
      <c r="U76" s="24"/>
      <c r="V76" s="24"/>
      <c r="W76" s="24"/>
      <c r="X76" s="24"/>
      <c r="Y76" s="24"/>
    </row>
    <row r="77" spans="2:25" x14ac:dyDescent="0.2">
      <c r="B77" s="71"/>
      <c r="C77" s="84" t="s">
        <v>390</v>
      </c>
      <c r="D77" s="84"/>
      <c r="E77" s="84"/>
      <c r="F77" s="84"/>
      <c r="G77" s="71"/>
      <c r="H77" s="71"/>
      <c r="I77" s="71"/>
      <c r="J77" s="71"/>
      <c r="K77" s="71"/>
      <c r="M77" s="24" t="s">
        <v>189</v>
      </c>
      <c r="N77" s="25">
        <v>1</v>
      </c>
      <c r="O77" s="12" t="s">
        <v>21</v>
      </c>
      <c r="P77" s="24">
        <f t="shared" ref="P77:Y77" si="40">VLOOKUP(P$75&amp;"AllSex"&amp;"AllEth"&amp;22&amp;1,deptable,7,FALSE)</f>
        <v>14</v>
      </c>
      <c r="Q77" s="24">
        <f t="shared" si="40"/>
        <v>12</v>
      </c>
      <c r="R77" s="24">
        <f t="shared" si="40"/>
        <v>18</v>
      </c>
      <c r="S77" s="24">
        <f t="shared" si="40"/>
        <v>16</v>
      </c>
      <c r="T77" s="24">
        <f t="shared" si="40"/>
        <v>11</v>
      </c>
      <c r="U77" s="24">
        <f t="shared" si="40"/>
        <v>11</v>
      </c>
      <c r="V77" s="24">
        <f t="shared" si="40"/>
        <v>11</v>
      </c>
      <c r="W77" s="24">
        <f t="shared" si="40"/>
        <v>8</v>
      </c>
      <c r="X77" s="24">
        <f t="shared" si="40"/>
        <v>11</v>
      </c>
      <c r="Y77" s="24">
        <f t="shared" si="40"/>
        <v>18</v>
      </c>
    </row>
    <row r="78" spans="2:25" x14ac:dyDescent="0.2">
      <c r="B78" s="71"/>
      <c r="C78" s="84" t="s">
        <v>102</v>
      </c>
      <c r="D78" s="84"/>
      <c r="E78" s="84"/>
      <c r="F78" s="84"/>
      <c r="G78" s="71"/>
      <c r="H78" s="71"/>
      <c r="I78" s="71"/>
      <c r="J78" s="71"/>
      <c r="K78" s="71"/>
      <c r="M78" s="203"/>
      <c r="N78" s="204">
        <v>2</v>
      </c>
      <c r="O78" s="177"/>
      <c r="P78" s="203">
        <f t="shared" ref="P78:Y78" si="41">VLOOKUP(P$75&amp;"AllSex"&amp;"AllEth"&amp;22&amp;2,deptable,7,FALSE)</f>
        <v>15</v>
      </c>
      <c r="Q78" s="203">
        <f t="shared" si="41"/>
        <v>11</v>
      </c>
      <c r="R78" s="203">
        <f t="shared" si="41"/>
        <v>18</v>
      </c>
      <c r="S78" s="203">
        <f t="shared" si="41"/>
        <v>12</v>
      </c>
      <c r="T78" s="203">
        <f t="shared" si="41"/>
        <v>13</v>
      </c>
      <c r="U78" s="203">
        <f t="shared" si="41"/>
        <v>19</v>
      </c>
      <c r="V78" s="203">
        <f t="shared" si="41"/>
        <v>16</v>
      </c>
      <c r="W78" s="203">
        <f t="shared" si="41"/>
        <v>11</v>
      </c>
      <c r="X78" s="203">
        <f t="shared" si="41"/>
        <v>12</v>
      </c>
      <c r="Y78" s="203">
        <f t="shared" si="41"/>
        <v>14</v>
      </c>
    </row>
    <row r="79" spans="2:25" x14ac:dyDescent="0.2">
      <c r="B79" s="71"/>
      <c r="C79" s="71"/>
      <c r="D79" s="71"/>
      <c r="E79" s="71"/>
      <c r="F79" s="71"/>
      <c r="G79" s="71"/>
      <c r="H79" s="71"/>
      <c r="I79" s="71"/>
      <c r="J79" s="71"/>
      <c r="K79" s="71"/>
      <c r="M79" s="203"/>
      <c r="N79" s="204">
        <v>3</v>
      </c>
      <c r="O79" s="177"/>
      <c r="P79" s="203">
        <f t="shared" ref="P79:Y79" si="42">VLOOKUP(P$75&amp;"AllSex"&amp;"AllEth"&amp;22&amp;3,deptable,7,FALSE)</f>
        <v>20</v>
      </c>
      <c r="Q79" s="203">
        <f t="shared" si="42"/>
        <v>21</v>
      </c>
      <c r="R79" s="203">
        <f t="shared" si="42"/>
        <v>20</v>
      </c>
      <c r="S79" s="203">
        <f t="shared" si="42"/>
        <v>22</v>
      </c>
      <c r="T79" s="203">
        <f t="shared" si="42"/>
        <v>19</v>
      </c>
      <c r="U79" s="203">
        <f t="shared" si="42"/>
        <v>25</v>
      </c>
      <c r="V79" s="203">
        <f t="shared" si="42"/>
        <v>30</v>
      </c>
      <c r="W79" s="203">
        <f t="shared" si="42"/>
        <v>18</v>
      </c>
      <c r="X79" s="203">
        <f t="shared" si="42"/>
        <v>18</v>
      </c>
      <c r="Y79" s="203">
        <f t="shared" si="42"/>
        <v>14</v>
      </c>
    </row>
    <row r="80" spans="2:25" x14ac:dyDescent="0.2">
      <c r="M80" s="203"/>
      <c r="N80" s="204">
        <v>4</v>
      </c>
      <c r="O80" s="177"/>
      <c r="P80" s="203">
        <f t="shared" ref="P80:Y80" si="43">VLOOKUP(P$75&amp;"AllSex"&amp;"AllEth"&amp;22&amp;4,deptable,7,FALSE)</f>
        <v>26</v>
      </c>
      <c r="Q80" s="203">
        <f t="shared" si="43"/>
        <v>20</v>
      </c>
      <c r="R80" s="203">
        <f t="shared" si="43"/>
        <v>24</v>
      </c>
      <c r="S80" s="203">
        <f t="shared" si="43"/>
        <v>29</v>
      </c>
      <c r="T80" s="203">
        <f t="shared" si="43"/>
        <v>25</v>
      </c>
      <c r="U80" s="203">
        <f t="shared" si="43"/>
        <v>22</v>
      </c>
      <c r="V80" s="203">
        <f t="shared" si="43"/>
        <v>39</v>
      </c>
      <c r="W80" s="203">
        <f t="shared" si="43"/>
        <v>26</v>
      </c>
      <c r="X80" s="203">
        <f t="shared" si="43"/>
        <v>16</v>
      </c>
      <c r="Y80" s="203">
        <f t="shared" si="43"/>
        <v>28</v>
      </c>
    </row>
    <row r="81" spans="2:27" x14ac:dyDescent="0.2">
      <c r="M81" s="203"/>
      <c r="N81" s="204">
        <v>5</v>
      </c>
      <c r="O81" s="177"/>
      <c r="P81" s="203">
        <f t="shared" ref="P81:Y81" si="44">VLOOKUP(P$75&amp;"AllSex"&amp;"AllEth"&amp;22&amp;5,deptable,7,FALSE)</f>
        <v>36</v>
      </c>
      <c r="Q81" s="203">
        <f t="shared" si="44"/>
        <v>27</v>
      </c>
      <c r="R81" s="203">
        <f t="shared" si="44"/>
        <v>35</v>
      </c>
      <c r="S81" s="203">
        <f t="shared" si="44"/>
        <v>37</v>
      </c>
      <c r="T81" s="203">
        <f t="shared" si="44"/>
        <v>41</v>
      </c>
      <c r="U81" s="203">
        <f t="shared" si="44"/>
        <v>49</v>
      </c>
      <c r="V81" s="203">
        <f t="shared" si="44"/>
        <v>48</v>
      </c>
      <c r="W81" s="203">
        <f t="shared" si="44"/>
        <v>46</v>
      </c>
      <c r="X81" s="203">
        <f t="shared" si="44"/>
        <v>31</v>
      </c>
      <c r="Y81" s="203">
        <f t="shared" si="44"/>
        <v>35</v>
      </c>
      <c r="AA81" s="23"/>
    </row>
    <row r="82" spans="2:27" x14ac:dyDescent="0.2">
      <c r="B82" s="71"/>
      <c r="C82" s="71"/>
      <c r="D82" s="71"/>
      <c r="E82" s="71"/>
      <c r="F82" s="71"/>
      <c r="G82" s="71"/>
      <c r="H82" s="71"/>
      <c r="I82" s="71"/>
      <c r="J82" s="71"/>
      <c r="K82" s="71"/>
      <c r="M82" s="205"/>
      <c r="N82" s="205"/>
      <c r="O82" s="206"/>
      <c r="P82" s="205"/>
      <c r="Q82" s="205"/>
      <c r="R82" s="205"/>
      <c r="S82" s="205"/>
      <c r="T82" s="205"/>
      <c r="U82" s="205"/>
      <c r="V82" s="205"/>
      <c r="W82" s="205"/>
      <c r="X82" s="205"/>
      <c r="Y82" s="205"/>
    </row>
    <row r="83" spans="2:27" ht="16.5" customHeight="1" x14ac:dyDescent="0.2">
      <c r="B83" s="71"/>
      <c r="C83" s="555" t="s">
        <v>452</v>
      </c>
      <c r="D83" s="523"/>
      <c r="E83" s="523"/>
      <c r="F83" s="523"/>
      <c r="G83" s="523"/>
      <c r="H83" s="523"/>
      <c r="I83" s="523"/>
      <c r="J83" s="523"/>
      <c r="K83" s="523"/>
      <c r="M83" s="203" t="s">
        <v>35</v>
      </c>
      <c r="N83" s="204">
        <v>1</v>
      </c>
      <c r="O83" s="177" t="s">
        <v>21</v>
      </c>
      <c r="P83" s="203">
        <f t="shared" ref="P83:Y83" si="45">VLOOKUP(P$75&amp;"AllSex"&amp;"AllEth"&amp;23&amp;1,deptable,7,FALSE)</f>
        <v>22</v>
      </c>
      <c r="Q83" s="203">
        <f t="shared" si="45"/>
        <v>28</v>
      </c>
      <c r="R83" s="203">
        <f t="shared" si="45"/>
        <v>24</v>
      </c>
      <c r="S83" s="203">
        <f t="shared" si="45"/>
        <v>19</v>
      </c>
      <c r="T83" s="203">
        <f t="shared" si="45"/>
        <v>35</v>
      </c>
      <c r="U83" s="203">
        <f t="shared" si="45"/>
        <v>25</v>
      </c>
      <c r="V83" s="203">
        <f t="shared" si="45"/>
        <v>19</v>
      </c>
      <c r="W83" s="203">
        <f t="shared" si="45"/>
        <v>17</v>
      </c>
      <c r="X83" s="203">
        <f t="shared" si="45"/>
        <v>20</v>
      </c>
      <c r="Y83" s="203">
        <f t="shared" si="45"/>
        <v>21</v>
      </c>
    </row>
    <row r="84" spans="2:27" x14ac:dyDescent="0.2">
      <c r="B84" s="71"/>
      <c r="C84" s="71"/>
      <c r="D84" s="71"/>
      <c r="E84" s="71"/>
      <c r="F84" s="71"/>
      <c r="G84" s="71"/>
      <c r="H84" s="71"/>
      <c r="I84" s="71"/>
      <c r="J84" s="71"/>
      <c r="K84" s="71"/>
      <c r="M84" s="203"/>
      <c r="N84" s="204">
        <v>2</v>
      </c>
      <c r="O84" s="177"/>
      <c r="P84" s="203">
        <f t="shared" ref="P84:Y84" si="46">VLOOKUP(P$75&amp;"AllSex"&amp;"AllEth"&amp;23&amp;2,deptable,7,FALSE)</f>
        <v>32</v>
      </c>
      <c r="Q84" s="203">
        <f t="shared" si="46"/>
        <v>31</v>
      </c>
      <c r="R84" s="203">
        <f t="shared" si="46"/>
        <v>26</v>
      </c>
      <c r="S84" s="203">
        <f t="shared" si="46"/>
        <v>31</v>
      </c>
      <c r="T84" s="203">
        <f t="shared" si="46"/>
        <v>33</v>
      </c>
      <c r="U84" s="203">
        <f t="shared" si="46"/>
        <v>24</v>
      </c>
      <c r="V84" s="203">
        <f t="shared" si="46"/>
        <v>27</v>
      </c>
      <c r="W84" s="203">
        <f t="shared" si="46"/>
        <v>26</v>
      </c>
      <c r="X84" s="203">
        <f t="shared" si="46"/>
        <v>25</v>
      </c>
      <c r="Y84" s="203">
        <f t="shared" si="46"/>
        <v>28</v>
      </c>
    </row>
    <row r="85" spans="2:27" x14ac:dyDescent="0.2">
      <c r="B85" s="71"/>
      <c r="C85" s="71"/>
      <c r="D85" s="71"/>
      <c r="E85" s="479" t="s">
        <v>104</v>
      </c>
      <c r="F85" s="71"/>
      <c r="G85" s="71"/>
      <c r="H85" s="71"/>
      <c r="I85" s="479" t="s">
        <v>105</v>
      </c>
      <c r="J85" s="71"/>
      <c r="K85" s="71"/>
      <c r="M85" s="203"/>
      <c r="N85" s="204">
        <v>3</v>
      </c>
      <c r="O85" s="177"/>
      <c r="P85" s="203">
        <f t="shared" ref="P85:Y85" si="47">VLOOKUP(P$75&amp;"AllSex"&amp;"AllEth"&amp;23&amp;3,deptable,7,FALSE)</f>
        <v>34</v>
      </c>
      <c r="Q85" s="203">
        <f t="shared" si="47"/>
        <v>43</v>
      </c>
      <c r="R85" s="203">
        <f t="shared" si="47"/>
        <v>33</v>
      </c>
      <c r="S85" s="203">
        <f t="shared" si="47"/>
        <v>31</v>
      </c>
      <c r="T85" s="203">
        <f t="shared" si="47"/>
        <v>37</v>
      </c>
      <c r="U85" s="203">
        <f t="shared" si="47"/>
        <v>27</v>
      </c>
      <c r="V85" s="203">
        <f t="shared" si="47"/>
        <v>38</v>
      </c>
      <c r="W85" s="203">
        <f t="shared" si="47"/>
        <v>30</v>
      </c>
      <c r="X85" s="203">
        <f t="shared" si="47"/>
        <v>34</v>
      </c>
      <c r="Y85" s="203">
        <f t="shared" si="47"/>
        <v>29</v>
      </c>
    </row>
    <row r="86" spans="2:27" x14ac:dyDescent="0.2">
      <c r="B86" s="71"/>
      <c r="C86" s="71"/>
      <c r="D86" s="71"/>
      <c r="E86" s="71"/>
      <c r="F86" s="71"/>
      <c r="G86" s="71"/>
      <c r="H86" s="71"/>
      <c r="I86" s="71"/>
      <c r="J86" s="71"/>
      <c r="K86" s="71"/>
      <c r="M86" s="203"/>
      <c r="N86" s="204">
        <v>4</v>
      </c>
      <c r="O86" s="177"/>
      <c r="P86" s="203">
        <f t="shared" ref="P86:Y86" si="48">VLOOKUP(P$75&amp;"AllSex"&amp;"AllEth"&amp;23&amp;4,deptable,7,FALSE)</f>
        <v>41</v>
      </c>
      <c r="Q86" s="203">
        <f t="shared" si="48"/>
        <v>43</v>
      </c>
      <c r="R86" s="203">
        <f t="shared" si="48"/>
        <v>40</v>
      </c>
      <c r="S86" s="203">
        <f t="shared" si="48"/>
        <v>41</v>
      </c>
      <c r="T86" s="203">
        <f t="shared" si="48"/>
        <v>41</v>
      </c>
      <c r="U86" s="203">
        <f t="shared" si="48"/>
        <v>33</v>
      </c>
      <c r="V86" s="203">
        <f t="shared" si="48"/>
        <v>48</v>
      </c>
      <c r="W86" s="203">
        <f t="shared" si="48"/>
        <v>32</v>
      </c>
      <c r="X86" s="203">
        <f t="shared" si="48"/>
        <v>46</v>
      </c>
      <c r="Y86" s="203">
        <f t="shared" si="48"/>
        <v>38</v>
      </c>
      <c r="Z86" s="23"/>
    </row>
    <row r="87" spans="2:27" x14ac:dyDescent="0.2">
      <c r="B87" s="71"/>
      <c r="C87" s="71"/>
      <c r="D87" s="71"/>
      <c r="E87" s="71"/>
      <c r="F87" s="71"/>
      <c r="G87" s="71"/>
      <c r="H87" s="71"/>
      <c r="I87" s="71"/>
      <c r="J87" s="71"/>
      <c r="K87" s="71"/>
      <c r="M87" s="203"/>
      <c r="N87" s="204">
        <v>5</v>
      </c>
      <c r="O87" s="177"/>
      <c r="P87" s="203">
        <f t="shared" ref="P87:Y87" si="49">VLOOKUP(P$75&amp;"AllSex"&amp;"AllEth"&amp;23&amp;5,deptable,7,FALSE)</f>
        <v>70</v>
      </c>
      <c r="Q87" s="203">
        <f t="shared" si="49"/>
        <v>58</v>
      </c>
      <c r="R87" s="203">
        <f t="shared" si="49"/>
        <v>51</v>
      </c>
      <c r="S87" s="203">
        <f t="shared" si="49"/>
        <v>51</v>
      </c>
      <c r="T87" s="203">
        <f t="shared" si="49"/>
        <v>46</v>
      </c>
      <c r="U87" s="203">
        <f t="shared" si="49"/>
        <v>52</v>
      </c>
      <c r="V87" s="203">
        <f t="shared" si="49"/>
        <v>44</v>
      </c>
      <c r="W87" s="203">
        <f t="shared" si="49"/>
        <v>46</v>
      </c>
      <c r="X87" s="203">
        <f t="shared" si="49"/>
        <v>59</v>
      </c>
      <c r="Y87" s="203">
        <f t="shared" si="49"/>
        <v>53</v>
      </c>
    </row>
    <row r="88" spans="2:27" x14ac:dyDescent="0.2">
      <c r="B88" s="71"/>
      <c r="C88" s="71"/>
      <c r="D88" s="71"/>
      <c r="E88" s="71"/>
      <c r="F88" s="71"/>
      <c r="G88" s="71"/>
      <c r="H88" s="71"/>
      <c r="I88" s="71"/>
      <c r="J88" s="71"/>
      <c r="K88" s="71"/>
      <c r="M88" s="205"/>
      <c r="N88" s="205"/>
      <c r="O88" s="206"/>
      <c r="P88" s="205"/>
      <c r="Q88" s="205"/>
      <c r="R88" s="205"/>
      <c r="S88" s="205"/>
      <c r="T88" s="205"/>
      <c r="U88" s="205"/>
      <c r="V88" s="205"/>
      <c r="W88" s="205"/>
      <c r="X88" s="205"/>
      <c r="Y88" s="205"/>
    </row>
    <row r="89" spans="2:27" x14ac:dyDescent="0.2">
      <c r="B89" s="71"/>
      <c r="C89" s="71"/>
      <c r="D89" s="71"/>
      <c r="E89" s="71"/>
      <c r="F89" s="71"/>
      <c r="G89" s="71"/>
      <c r="H89" s="71"/>
      <c r="I89" s="71"/>
      <c r="J89" s="71"/>
      <c r="K89" s="71"/>
      <c r="M89" s="203"/>
      <c r="N89" s="204">
        <v>1</v>
      </c>
      <c r="O89" s="177" t="s">
        <v>21</v>
      </c>
      <c r="P89" s="203">
        <f t="shared" ref="P89:Y89" si="50">VLOOKUP(P$75&amp;"AllSex"&amp;"AllEth"&amp;24&amp;1,deptable,7,FALSE)</f>
        <v>21</v>
      </c>
      <c r="Q89" s="203">
        <f t="shared" si="50"/>
        <v>20</v>
      </c>
      <c r="R89" s="203">
        <f t="shared" si="50"/>
        <v>33</v>
      </c>
      <c r="S89" s="203">
        <f t="shared" si="50"/>
        <v>25</v>
      </c>
      <c r="T89" s="203">
        <f t="shared" si="50"/>
        <v>33</v>
      </c>
      <c r="U89" s="203">
        <f t="shared" si="50"/>
        <v>32</v>
      </c>
      <c r="V89" s="203">
        <f t="shared" si="50"/>
        <v>17</v>
      </c>
      <c r="W89" s="203">
        <f t="shared" si="50"/>
        <v>38</v>
      </c>
      <c r="X89" s="203">
        <f t="shared" si="50"/>
        <v>21</v>
      </c>
      <c r="Y89" s="203">
        <f t="shared" si="50"/>
        <v>24</v>
      </c>
    </row>
    <row r="90" spans="2:27" x14ac:dyDescent="0.2">
      <c r="B90" s="71"/>
      <c r="C90" s="71"/>
      <c r="D90" s="71"/>
      <c r="E90" s="71"/>
      <c r="F90" s="71"/>
      <c r="G90" s="71"/>
      <c r="H90" s="71"/>
      <c r="I90" s="71"/>
      <c r="J90" s="71"/>
      <c r="K90" s="71"/>
      <c r="M90" s="203" t="s">
        <v>36</v>
      </c>
      <c r="N90" s="204">
        <v>2</v>
      </c>
      <c r="O90" s="177"/>
      <c r="P90" s="203">
        <f t="shared" ref="P90:Y90" si="51">VLOOKUP(P$75&amp;"AllSex"&amp;"AllEth"&amp;24&amp;2,deptable,7,FALSE)</f>
        <v>27</v>
      </c>
      <c r="Q90" s="203">
        <f t="shared" si="51"/>
        <v>22</v>
      </c>
      <c r="R90" s="203">
        <f t="shared" si="51"/>
        <v>29</v>
      </c>
      <c r="S90" s="203">
        <f t="shared" si="51"/>
        <v>34</v>
      </c>
      <c r="T90" s="203">
        <f t="shared" si="51"/>
        <v>31</v>
      </c>
      <c r="U90" s="203">
        <f t="shared" si="51"/>
        <v>24</v>
      </c>
      <c r="V90" s="203">
        <f t="shared" si="51"/>
        <v>27</v>
      </c>
      <c r="W90" s="203">
        <f t="shared" si="51"/>
        <v>35</v>
      </c>
      <c r="X90" s="203">
        <f t="shared" si="51"/>
        <v>28</v>
      </c>
      <c r="Y90" s="203">
        <f t="shared" si="51"/>
        <v>38</v>
      </c>
    </row>
    <row r="91" spans="2:27" x14ac:dyDescent="0.2">
      <c r="B91" s="71"/>
      <c r="C91" s="71"/>
      <c r="D91" s="71"/>
      <c r="E91" s="71"/>
      <c r="F91" s="71"/>
      <c r="G91" s="71"/>
      <c r="H91" s="71"/>
      <c r="I91" s="71"/>
      <c r="J91" s="71"/>
      <c r="K91" s="71"/>
      <c r="M91" s="203"/>
      <c r="N91" s="204">
        <v>3</v>
      </c>
      <c r="O91" s="177"/>
      <c r="P91" s="203">
        <f t="shared" ref="P91:Y91" si="52">VLOOKUP(P$75&amp;"AllSex"&amp;"AllEth"&amp;24&amp;3,deptable,7,FALSE)</f>
        <v>32</v>
      </c>
      <c r="Q91" s="203">
        <f t="shared" si="52"/>
        <v>34</v>
      </c>
      <c r="R91" s="203">
        <f t="shared" si="52"/>
        <v>38</v>
      </c>
      <c r="S91" s="203">
        <f t="shared" si="52"/>
        <v>24</v>
      </c>
      <c r="T91" s="203">
        <f t="shared" si="52"/>
        <v>27</v>
      </c>
      <c r="U91" s="203">
        <f t="shared" si="52"/>
        <v>37</v>
      </c>
      <c r="V91" s="203">
        <f t="shared" si="52"/>
        <v>32</v>
      </c>
      <c r="W91" s="203">
        <f t="shared" si="52"/>
        <v>26</v>
      </c>
      <c r="X91" s="203">
        <f t="shared" si="52"/>
        <v>29</v>
      </c>
      <c r="Y91" s="203">
        <f t="shared" si="52"/>
        <v>32</v>
      </c>
    </row>
    <row r="92" spans="2:27" x14ac:dyDescent="0.2">
      <c r="B92" s="71"/>
      <c r="C92" s="71"/>
      <c r="D92" s="71"/>
      <c r="E92" s="71"/>
      <c r="F92" s="71"/>
      <c r="G92" s="71"/>
      <c r="H92" s="71"/>
      <c r="I92" s="71"/>
      <c r="J92" s="71"/>
      <c r="K92" s="71"/>
      <c r="M92" s="203"/>
      <c r="N92" s="204">
        <v>4</v>
      </c>
      <c r="O92" s="177"/>
      <c r="P92" s="203">
        <f t="shared" ref="P92:Y92" si="53">VLOOKUP(P$75&amp;"AllSex"&amp;"AllEth"&amp;24&amp;4,deptable,7,FALSE)</f>
        <v>24</v>
      </c>
      <c r="Q92" s="203">
        <f t="shared" si="53"/>
        <v>31</v>
      </c>
      <c r="R92" s="203">
        <f t="shared" si="53"/>
        <v>29</v>
      </c>
      <c r="S92" s="203">
        <f t="shared" si="53"/>
        <v>44</v>
      </c>
      <c r="T92" s="203">
        <f t="shared" si="53"/>
        <v>33</v>
      </c>
      <c r="U92" s="203">
        <f t="shared" si="53"/>
        <v>26</v>
      </c>
      <c r="V92" s="203">
        <f t="shared" si="53"/>
        <v>37</v>
      </c>
      <c r="W92" s="203">
        <f t="shared" si="53"/>
        <v>35</v>
      </c>
      <c r="X92" s="203">
        <f t="shared" si="53"/>
        <v>40</v>
      </c>
      <c r="Y92" s="203">
        <f t="shared" si="53"/>
        <v>35</v>
      </c>
    </row>
    <row r="93" spans="2:27" x14ac:dyDescent="0.2">
      <c r="B93" s="71"/>
      <c r="C93" s="71"/>
      <c r="D93" s="71"/>
      <c r="E93" s="71"/>
      <c r="F93" s="71"/>
      <c r="G93" s="71"/>
      <c r="H93" s="71"/>
      <c r="I93" s="71"/>
      <c r="J93" s="71"/>
      <c r="K93" s="71"/>
      <c r="M93" s="203"/>
      <c r="N93" s="204">
        <v>5</v>
      </c>
      <c r="O93" s="177"/>
      <c r="P93" s="203">
        <f t="shared" ref="P93:Y93" si="54">VLOOKUP(P$75&amp;"AllSex"&amp;"AllEth"&amp;24&amp;5,deptable,7,FALSE)</f>
        <v>31</v>
      </c>
      <c r="Q93" s="203">
        <f t="shared" si="54"/>
        <v>27</v>
      </c>
      <c r="R93" s="203">
        <f t="shared" si="54"/>
        <v>21</v>
      </c>
      <c r="S93" s="203">
        <f t="shared" si="54"/>
        <v>29</v>
      </c>
      <c r="T93" s="203">
        <f t="shared" si="54"/>
        <v>31</v>
      </c>
      <c r="U93" s="203">
        <f t="shared" si="54"/>
        <v>25</v>
      </c>
      <c r="V93" s="203">
        <f t="shared" si="54"/>
        <v>29</v>
      </c>
      <c r="W93" s="203">
        <f t="shared" si="54"/>
        <v>37</v>
      </c>
      <c r="X93" s="203">
        <f t="shared" si="54"/>
        <v>37</v>
      </c>
      <c r="Y93" s="203">
        <f t="shared" si="54"/>
        <v>37</v>
      </c>
    </row>
    <row r="94" spans="2:27" x14ac:dyDescent="0.2">
      <c r="B94" s="71"/>
      <c r="C94" s="71"/>
      <c r="D94" s="71"/>
      <c r="E94" s="71"/>
      <c r="F94" s="71"/>
      <c r="G94" s="71"/>
      <c r="H94" s="71"/>
      <c r="I94" s="71"/>
      <c r="J94" s="71"/>
      <c r="K94" s="71"/>
      <c r="M94" s="205"/>
      <c r="N94" s="205"/>
      <c r="O94" s="206"/>
      <c r="P94" s="205"/>
      <c r="Q94" s="205"/>
      <c r="R94" s="205"/>
      <c r="S94" s="205"/>
      <c r="T94" s="205"/>
      <c r="U94" s="205"/>
      <c r="V94" s="205"/>
      <c r="W94" s="205"/>
      <c r="X94" s="205"/>
      <c r="Y94" s="205"/>
    </row>
    <row r="95" spans="2:27" x14ac:dyDescent="0.2">
      <c r="B95" s="71"/>
      <c r="C95" s="71"/>
      <c r="D95" s="71"/>
      <c r="E95" s="71"/>
      <c r="F95" s="71"/>
      <c r="G95" s="71"/>
      <c r="H95" s="71"/>
      <c r="I95" s="71"/>
      <c r="J95" s="71"/>
      <c r="K95" s="71"/>
      <c r="M95" s="203"/>
      <c r="N95" s="204">
        <v>1</v>
      </c>
      <c r="O95" s="177" t="s">
        <v>21</v>
      </c>
      <c r="P95" s="203">
        <f t="shared" ref="P95:Y95" si="55">VLOOKUP(P$75&amp;"AllSex"&amp;"AllEth"&amp;25&amp;1,deptable,7,FALSE)</f>
        <v>9</v>
      </c>
      <c r="Q95" s="203">
        <f t="shared" si="55"/>
        <v>9</v>
      </c>
      <c r="R95" s="203">
        <f t="shared" si="55"/>
        <v>8</v>
      </c>
      <c r="S95" s="203">
        <f t="shared" si="55"/>
        <v>13</v>
      </c>
      <c r="T95" s="203">
        <f t="shared" si="55"/>
        <v>11</v>
      </c>
      <c r="U95" s="203">
        <f t="shared" si="55"/>
        <v>7</v>
      </c>
      <c r="V95" s="203">
        <f t="shared" si="55"/>
        <v>5</v>
      </c>
      <c r="W95" s="203">
        <f t="shared" si="55"/>
        <v>9</v>
      </c>
      <c r="X95" s="203">
        <f t="shared" si="55"/>
        <v>10</v>
      </c>
      <c r="Y95" s="203">
        <f t="shared" si="55"/>
        <v>18</v>
      </c>
    </row>
    <row r="96" spans="2:27" x14ac:dyDescent="0.2">
      <c r="B96" s="71"/>
      <c r="C96" s="77"/>
      <c r="D96" s="71"/>
      <c r="E96" s="71"/>
      <c r="F96" s="71"/>
      <c r="G96" s="71"/>
      <c r="H96" s="71"/>
      <c r="I96" s="71"/>
      <c r="J96" s="71"/>
      <c r="K96" s="71"/>
      <c r="M96" s="203" t="s">
        <v>26</v>
      </c>
      <c r="N96" s="204">
        <v>2</v>
      </c>
      <c r="O96" s="177"/>
      <c r="P96" s="203">
        <f t="shared" ref="P96:Y96" si="56">VLOOKUP(P$75&amp;"AllSex"&amp;"AllEth"&amp;25&amp;2,deptable,7,FALSE)</f>
        <v>14</v>
      </c>
      <c r="Q96" s="203">
        <f t="shared" si="56"/>
        <v>10</v>
      </c>
      <c r="R96" s="203">
        <f t="shared" si="56"/>
        <v>12</v>
      </c>
      <c r="S96" s="203">
        <f t="shared" si="56"/>
        <v>9</v>
      </c>
      <c r="T96" s="203">
        <f t="shared" si="56"/>
        <v>11</v>
      </c>
      <c r="U96" s="203">
        <f t="shared" si="56"/>
        <v>8</v>
      </c>
      <c r="V96" s="203">
        <f t="shared" si="56"/>
        <v>14</v>
      </c>
      <c r="W96" s="203">
        <f t="shared" si="56"/>
        <v>11</v>
      </c>
      <c r="X96" s="203">
        <f t="shared" si="56"/>
        <v>7</v>
      </c>
      <c r="Y96" s="203">
        <f t="shared" si="56"/>
        <v>12</v>
      </c>
    </row>
    <row r="97" spans="1:26" x14ac:dyDescent="0.2">
      <c r="B97" s="71"/>
      <c r="C97" s="71"/>
      <c r="D97" s="71"/>
      <c r="E97" s="71"/>
      <c r="F97" s="71"/>
      <c r="G97" s="71"/>
      <c r="H97" s="71"/>
      <c r="I97" s="71"/>
      <c r="J97" s="71"/>
      <c r="K97" s="71"/>
      <c r="M97" s="203"/>
      <c r="N97" s="204">
        <v>3</v>
      </c>
      <c r="O97" s="177"/>
      <c r="P97" s="203">
        <f t="shared" ref="P97:Y97" si="57">VLOOKUP(P$75&amp;"AllSex"&amp;"AllEth"&amp;25&amp;3,deptable,7,FALSE)</f>
        <v>9</v>
      </c>
      <c r="Q97" s="203">
        <f t="shared" si="57"/>
        <v>7</v>
      </c>
      <c r="R97" s="203">
        <f t="shared" si="57"/>
        <v>12</v>
      </c>
      <c r="S97" s="203">
        <f t="shared" si="57"/>
        <v>9</v>
      </c>
      <c r="T97" s="203">
        <f t="shared" si="57"/>
        <v>14</v>
      </c>
      <c r="U97" s="203">
        <f t="shared" si="57"/>
        <v>13</v>
      </c>
      <c r="V97" s="203">
        <f t="shared" si="57"/>
        <v>16</v>
      </c>
      <c r="W97" s="203">
        <f t="shared" si="57"/>
        <v>24</v>
      </c>
      <c r="X97" s="203">
        <f t="shared" si="57"/>
        <v>12</v>
      </c>
      <c r="Y97" s="203">
        <f t="shared" si="57"/>
        <v>11</v>
      </c>
    </row>
    <row r="98" spans="1:26" x14ac:dyDescent="0.2">
      <c r="B98" s="71"/>
      <c r="C98" s="71"/>
      <c r="D98" s="71"/>
      <c r="E98" s="71"/>
      <c r="F98" s="71"/>
      <c r="G98" s="71"/>
      <c r="H98" s="71"/>
      <c r="I98" s="71"/>
      <c r="J98" s="71"/>
      <c r="K98" s="71"/>
      <c r="M98" s="203"/>
      <c r="N98" s="204">
        <v>4</v>
      </c>
      <c r="O98" s="177"/>
      <c r="P98" s="203">
        <f t="shared" ref="P98:Y98" si="58">VLOOKUP(P$75&amp;"AllSex"&amp;"AllEth"&amp;25&amp;4,deptable,7,FALSE)</f>
        <v>8</v>
      </c>
      <c r="Q98" s="203">
        <f t="shared" si="58"/>
        <v>15</v>
      </c>
      <c r="R98" s="203">
        <f t="shared" si="58"/>
        <v>8</v>
      </c>
      <c r="S98" s="203">
        <f t="shared" si="58"/>
        <v>13</v>
      </c>
      <c r="T98" s="203">
        <f t="shared" si="58"/>
        <v>15</v>
      </c>
      <c r="U98" s="203">
        <f t="shared" si="58"/>
        <v>8</v>
      </c>
      <c r="V98" s="203">
        <f t="shared" si="58"/>
        <v>10</v>
      </c>
      <c r="W98" s="203">
        <f t="shared" si="58"/>
        <v>6</v>
      </c>
      <c r="X98" s="203">
        <f t="shared" si="58"/>
        <v>17</v>
      </c>
      <c r="Y98" s="203">
        <f t="shared" si="58"/>
        <v>16</v>
      </c>
    </row>
    <row r="99" spans="1:26" x14ac:dyDescent="0.2">
      <c r="B99" s="71"/>
      <c r="C99" s="71"/>
      <c r="D99" s="71"/>
      <c r="E99" s="479" t="s">
        <v>106</v>
      </c>
      <c r="F99" s="71"/>
      <c r="G99" s="71"/>
      <c r="H99" s="71"/>
      <c r="I99" s="479" t="s">
        <v>107</v>
      </c>
      <c r="J99" s="71"/>
      <c r="K99" s="71"/>
      <c r="M99" s="203"/>
      <c r="N99" s="204">
        <v>5</v>
      </c>
      <c r="O99" s="177"/>
      <c r="P99" s="203">
        <f t="shared" ref="P99:Y99" si="59">VLOOKUP(P$75&amp;"AllSex"&amp;"AllEth"&amp;25&amp;5,deptable,7,FALSE)</f>
        <v>9</v>
      </c>
      <c r="Q99" s="203">
        <f t="shared" si="59"/>
        <v>8</v>
      </c>
      <c r="R99" s="203">
        <f t="shared" si="59"/>
        <v>9</v>
      </c>
      <c r="S99" s="203">
        <f t="shared" si="59"/>
        <v>8</v>
      </c>
      <c r="T99" s="203">
        <f t="shared" si="59"/>
        <v>4</v>
      </c>
      <c r="U99" s="203">
        <f t="shared" si="59"/>
        <v>7</v>
      </c>
      <c r="V99" s="203">
        <f t="shared" si="59"/>
        <v>10</v>
      </c>
      <c r="W99" s="203">
        <f t="shared" si="59"/>
        <v>3</v>
      </c>
      <c r="X99" s="203">
        <f t="shared" si="59"/>
        <v>13</v>
      </c>
      <c r="Y99" s="203">
        <f t="shared" si="59"/>
        <v>7</v>
      </c>
    </row>
    <row r="100" spans="1:26" x14ac:dyDescent="0.2">
      <c r="B100" s="71"/>
      <c r="C100" s="71"/>
      <c r="D100" s="71"/>
      <c r="E100" s="71"/>
      <c r="F100" s="71"/>
      <c r="G100" s="71"/>
      <c r="H100" s="71"/>
      <c r="I100" s="71"/>
      <c r="J100" s="71"/>
      <c r="K100" s="71"/>
      <c r="M100" s="205"/>
      <c r="N100" s="205"/>
      <c r="O100" s="206"/>
      <c r="P100" s="205"/>
      <c r="Q100" s="205"/>
      <c r="R100" s="205"/>
      <c r="S100" s="205"/>
      <c r="T100" s="205"/>
      <c r="U100" s="205"/>
      <c r="V100" s="205"/>
      <c r="W100" s="205"/>
      <c r="X100" s="205"/>
      <c r="Y100" s="205"/>
    </row>
    <row r="101" spans="1:26" x14ac:dyDescent="0.2">
      <c r="B101" s="71"/>
      <c r="C101" s="71"/>
      <c r="D101" s="71"/>
      <c r="E101" s="71"/>
      <c r="F101" s="71"/>
      <c r="G101" s="71"/>
      <c r="H101" s="71"/>
      <c r="I101" s="71"/>
      <c r="J101" s="71"/>
      <c r="K101" s="71"/>
      <c r="M101" s="203" t="s">
        <v>189</v>
      </c>
      <c r="N101" s="204">
        <v>1</v>
      </c>
      <c r="O101" s="177" t="s">
        <v>22</v>
      </c>
      <c r="P101" s="207">
        <f t="shared" ref="P101:Y101" si="60">VLOOKUP(P$75&amp;"AllSex"&amp;"AllEth"&amp;22&amp;1,deptable,8,FALSE)</f>
        <v>13.777404864683101</v>
      </c>
      <c r="Q101" s="207">
        <f t="shared" si="60"/>
        <v>11.780941947049399</v>
      </c>
      <c r="R101" s="207">
        <f t="shared" si="60"/>
        <v>17.6573444097845</v>
      </c>
      <c r="S101" s="207">
        <f t="shared" si="60"/>
        <v>15.6176130791048</v>
      </c>
      <c r="T101" s="207">
        <f t="shared" si="60"/>
        <v>10.0563462654691</v>
      </c>
      <c r="U101" s="207">
        <f t="shared" si="60"/>
        <v>9.9989165622484499</v>
      </c>
      <c r="V101" s="207">
        <f t="shared" si="60"/>
        <v>9.9822790655776394</v>
      </c>
      <c r="W101" s="207">
        <f t="shared" si="60"/>
        <v>7.2217854410360403</v>
      </c>
      <c r="X101" s="207">
        <f t="shared" si="60"/>
        <v>9.7656237803958401</v>
      </c>
      <c r="Y101" s="207">
        <f t="shared" si="60"/>
        <v>15.6144781512393</v>
      </c>
    </row>
    <row r="102" spans="1:26" x14ac:dyDescent="0.2">
      <c r="B102" s="71"/>
      <c r="C102" s="71"/>
      <c r="D102" s="71"/>
      <c r="E102" s="71"/>
      <c r="F102" s="71"/>
      <c r="G102" s="71"/>
      <c r="H102" s="71"/>
      <c r="I102" s="71"/>
      <c r="J102" s="71"/>
      <c r="K102" s="71"/>
      <c r="M102" s="203"/>
      <c r="N102" s="204">
        <v>2</v>
      </c>
      <c r="O102" s="177"/>
      <c r="P102" s="207">
        <f t="shared" ref="P102:Y102" si="61">VLOOKUP(P$75&amp;"AllSex"&amp;"AllEth"&amp;22&amp;2,deptable,8,FALSE)</f>
        <v>13.869924506774399</v>
      </c>
      <c r="Q102" s="207">
        <f t="shared" si="61"/>
        <v>10.156028828145599</v>
      </c>
      <c r="R102" s="207">
        <f t="shared" si="61"/>
        <v>16.609489598435299</v>
      </c>
      <c r="S102" s="207">
        <f t="shared" si="61"/>
        <v>11.0101774329999</v>
      </c>
      <c r="T102" s="207">
        <f t="shared" si="61"/>
        <v>11.7754172294279</v>
      </c>
      <c r="U102" s="207">
        <f t="shared" si="61"/>
        <v>17.0852915043818</v>
      </c>
      <c r="V102" s="207">
        <f t="shared" si="61"/>
        <v>14.3523465558831</v>
      </c>
      <c r="W102" s="207">
        <f t="shared" si="61"/>
        <v>9.8086002178118505</v>
      </c>
      <c r="X102" s="207">
        <f t="shared" si="61"/>
        <v>10.508134071104299</v>
      </c>
      <c r="Y102" s="207">
        <f t="shared" si="61"/>
        <v>11.962381134026399</v>
      </c>
    </row>
    <row r="103" spans="1:26" x14ac:dyDescent="0.2">
      <c r="B103" s="71"/>
      <c r="C103" s="71"/>
      <c r="D103" s="71"/>
      <c r="E103" s="71"/>
      <c r="F103" s="71"/>
      <c r="G103" s="71"/>
      <c r="H103" s="71"/>
      <c r="I103" s="71"/>
      <c r="J103" s="71"/>
      <c r="K103" s="71"/>
      <c r="M103" s="203"/>
      <c r="N103" s="204">
        <v>3</v>
      </c>
      <c r="O103" s="177"/>
      <c r="P103" s="207">
        <f t="shared" ref="P103:Y103" si="62">VLOOKUP(P$75&amp;"AllSex"&amp;"AllEth"&amp;22&amp;3,deptable,8,FALSE)</f>
        <v>17.100096928548201</v>
      </c>
      <c r="Q103" s="207">
        <f t="shared" si="62"/>
        <v>17.939118145817702</v>
      </c>
      <c r="R103" s="207">
        <f t="shared" si="62"/>
        <v>17.077779442394402</v>
      </c>
      <c r="S103" s="207">
        <f t="shared" si="62"/>
        <v>18.6698371957295</v>
      </c>
      <c r="T103" s="207">
        <f t="shared" si="62"/>
        <v>16.283162914851601</v>
      </c>
      <c r="U103" s="207">
        <f t="shared" si="62"/>
        <v>21.241494334554901</v>
      </c>
      <c r="V103" s="207">
        <f t="shared" si="62"/>
        <v>25.4102857361258</v>
      </c>
      <c r="W103" s="207">
        <f t="shared" si="62"/>
        <v>15.1465122576609</v>
      </c>
      <c r="X103" s="207">
        <f t="shared" si="62"/>
        <v>14.856473338669799</v>
      </c>
      <c r="Y103" s="207">
        <f t="shared" si="62"/>
        <v>11.2618063840156</v>
      </c>
    </row>
    <row r="104" spans="1:26" x14ac:dyDescent="0.2">
      <c r="B104" s="71"/>
      <c r="C104" s="71"/>
      <c r="D104" s="71"/>
      <c r="E104" s="71"/>
      <c r="F104" s="71"/>
      <c r="G104" s="71"/>
      <c r="H104" s="71"/>
      <c r="I104" s="71"/>
      <c r="J104" s="71"/>
      <c r="K104" s="71"/>
      <c r="M104" s="192"/>
      <c r="N104" s="204">
        <v>4</v>
      </c>
      <c r="O104" s="177"/>
      <c r="P104" s="207">
        <f t="shared" ref="P104:Y104" si="63">VLOOKUP(P$75&amp;"AllSex"&amp;"AllEth"&amp;22&amp;4,deptable,8,FALSE)</f>
        <v>20.250110691416801</v>
      </c>
      <c r="Q104" s="207">
        <f t="shared" si="63"/>
        <v>15.5687798971916</v>
      </c>
      <c r="R104" s="207">
        <f t="shared" si="63"/>
        <v>18.676491685595298</v>
      </c>
      <c r="S104" s="207">
        <f t="shared" si="63"/>
        <v>22.421879796150002</v>
      </c>
      <c r="T104" s="207">
        <f t="shared" si="63"/>
        <v>19.059862588335498</v>
      </c>
      <c r="U104" s="207">
        <f t="shared" si="63"/>
        <v>16.622611796462301</v>
      </c>
      <c r="V104" s="207">
        <f t="shared" si="63"/>
        <v>29.369879840171301</v>
      </c>
      <c r="W104" s="207">
        <f t="shared" si="63"/>
        <v>19.448647880211901</v>
      </c>
      <c r="X104" s="207">
        <f t="shared" si="63"/>
        <v>11.7351983797668</v>
      </c>
      <c r="Y104" s="207">
        <f t="shared" si="63"/>
        <v>20.0088448670564</v>
      </c>
    </row>
    <row r="105" spans="1:26" x14ac:dyDescent="0.2">
      <c r="B105" s="71"/>
      <c r="C105" s="71"/>
      <c r="D105" s="71"/>
      <c r="E105" s="71"/>
      <c r="F105" s="71"/>
      <c r="G105" s="71"/>
      <c r="H105" s="71"/>
      <c r="I105" s="71"/>
      <c r="J105" s="71"/>
      <c r="K105" s="71"/>
      <c r="M105" s="203"/>
      <c r="N105" s="204">
        <v>5</v>
      </c>
      <c r="O105" s="177"/>
      <c r="P105" s="207">
        <f t="shared" ref="P105:Y105" si="64">VLOOKUP(P$75&amp;"AllSex"&amp;"AllEth"&amp;22&amp;5,deptable,8,FALSE)</f>
        <v>24.0603246091591</v>
      </c>
      <c r="Q105" s="207">
        <f t="shared" si="64"/>
        <v>18.026957145990401</v>
      </c>
      <c r="R105" s="207">
        <f t="shared" si="64"/>
        <v>23.3578439517098</v>
      </c>
      <c r="S105" s="207">
        <f t="shared" si="64"/>
        <v>24.542902156326701</v>
      </c>
      <c r="T105" s="207">
        <f t="shared" si="64"/>
        <v>27.469658845595099</v>
      </c>
      <c r="U105" s="207">
        <f t="shared" si="64"/>
        <v>32.554462725283301</v>
      </c>
      <c r="V105" s="207">
        <f t="shared" si="64"/>
        <v>31.7937605176486</v>
      </c>
      <c r="W105" s="207">
        <f t="shared" si="64"/>
        <v>30.272525876177799</v>
      </c>
      <c r="X105" s="207">
        <f t="shared" si="64"/>
        <v>20.013974613699801</v>
      </c>
      <c r="Y105" s="207">
        <f t="shared" si="64"/>
        <v>22.026800919296701</v>
      </c>
    </row>
    <row r="106" spans="1:26" x14ac:dyDescent="0.2">
      <c r="B106" s="71"/>
      <c r="C106" s="71"/>
      <c r="D106" s="71"/>
      <c r="E106" s="71"/>
      <c r="F106" s="71"/>
      <c r="G106" s="71"/>
      <c r="H106" s="71"/>
      <c r="I106" s="71"/>
      <c r="J106" s="71"/>
      <c r="K106" s="71"/>
      <c r="M106" s="205"/>
      <c r="N106" s="208"/>
      <c r="O106" s="206"/>
      <c r="P106" s="209"/>
      <c r="Q106" s="209"/>
      <c r="R106" s="209"/>
      <c r="S106" s="209"/>
      <c r="T106" s="209"/>
      <c r="U106" s="209"/>
      <c r="V106" s="209"/>
      <c r="W106" s="209"/>
      <c r="X106" s="209"/>
      <c r="Y106" s="209"/>
    </row>
    <row r="107" spans="1:26" x14ac:dyDescent="0.2">
      <c r="A107" s="51"/>
      <c r="B107" s="71"/>
      <c r="C107" s="71"/>
      <c r="D107" s="71"/>
      <c r="E107" s="71"/>
      <c r="F107" s="71"/>
      <c r="G107" s="71"/>
      <c r="H107" s="71"/>
      <c r="I107" s="71"/>
      <c r="J107" s="71"/>
      <c r="K107" s="71"/>
      <c r="M107" s="210" t="s">
        <v>35</v>
      </c>
      <c r="N107" s="211">
        <v>1</v>
      </c>
      <c r="O107" s="177" t="s">
        <v>22</v>
      </c>
      <c r="P107" s="212">
        <f t="shared" ref="P107:Y107" si="65">VLOOKUP(P$75&amp;"AllSex"&amp;"AllEth"&amp;23&amp;1,deptable,8,FALSE)</f>
        <v>9.5047540081629904</v>
      </c>
      <c r="Q107" s="212">
        <f t="shared" si="65"/>
        <v>12.149812140638801</v>
      </c>
      <c r="R107" s="212">
        <f t="shared" si="65"/>
        <v>10.4945048331157</v>
      </c>
      <c r="S107" s="212">
        <f t="shared" si="65"/>
        <v>8.3495916612372696</v>
      </c>
      <c r="T107" s="212">
        <f t="shared" si="65"/>
        <v>15.8243637928763</v>
      </c>
      <c r="U107" s="212">
        <f t="shared" si="65"/>
        <v>11.3851673282244</v>
      </c>
      <c r="V107" s="212">
        <f t="shared" si="65"/>
        <v>8.7270022479196694</v>
      </c>
      <c r="W107" s="212">
        <f t="shared" si="65"/>
        <v>7.8428840678284901</v>
      </c>
      <c r="X107" s="212">
        <f t="shared" si="65"/>
        <v>9.1534807636980595</v>
      </c>
      <c r="Y107" s="212">
        <f t="shared" si="65"/>
        <v>9.4477166720078092</v>
      </c>
    </row>
    <row r="108" spans="1:26" x14ac:dyDescent="0.2">
      <c r="A108" s="51"/>
      <c r="B108" s="71"/>
      <c r="C108" s="71"/>
      <c r="D108" s="71"/>
      <c r="E108" s="71"/>
      <c r="F108" s="71"/>
      <c r="G108" s="71"/>
      <c r="H108" s="71"/>
      <c r="I108" s="71"/>
      <c r="J108" s="71"/>
      <c r="K108" s="71"/>
      <c r="M108" s="210"/>
      <c r="N108" s="211">
        <v>2</v>
      </c>
      <c r="O108" s="177"/>
      <c r="P108" s="212">
        <f t="shared" ref="P108:Y108" si="66">VLOOKUP(P$75&amp;"AllSex"&amp;"AllEth"&amp;23&amp;2,deptable,8,FALSE)</f>
        <v>13.1507001589565</v>
      </c>
      <c r="Q108" s="212">
        <f t="shared" si="66"/>
        <v>12.7894311448789</v>
      </c>
      <c r="R108" s="212">
        <f t="shared" si="66"/>
        <v>10.8004022216293</v>
      </c>
      <c r="S108" s="212">
        <f t="shared" si="66"/>
        <v>12.930916649572801</v>
      </c>
      <c r="T108" s="212">
        <f t="shared" si="66"/>
        <v>13.8633531553544</v>
      </c>
      <c r="U108" s="212">
        <f t="shared" si="66"/>
        <v>10.153947571105199</v>
      </c>
      <c r="V108" s="212">
        <f t="shared" si="66"/>
        <v>11.517774124728399</v>
      </c>
      <c r="W108" s="212">
        <f t="shared" si="66"/>
        <v>11.1265212735501</v>
      </c>
      <c r="X108" s="212">
        <f t="shared" si="66"/>
        <v>10.580746570703401</v>
      </c>
      <c r="Y108" s="212">
        <f t="shared" si="66"/>
        <v>11.599994790601199</v>
      </c>
    </row>
    <row r="109" spans="1:26" x14ac:dyDescent="0.2">
      <c r="A109" s="51"/>
      <c r="B109" s="71"/>
      <c r="C109" s="71"/>
      <c r="D109" s="71"/>
      <c r="E109" s="71"/>
      <c r="F109" s="71"/>
      <c r="G109" s="71"/>
      <c r="H109" s="71"/>
      <c r="I109" s="71"/>
      <c r="J109" s="71"/>
      <c r="K109" s="71"/>
      <c r="M109" s="210"/>
      <c r="N109" s="211">
        <v>3</v>
      </c>
      <c r="O109" s="177"/>
      <c r="P109" s="212">
        <f t="shared" ref="P109:Y109" si="67">VLOOKUP(P$75&amp;"AllSex"&amp;"AllEth"&amp;23&amp;3,deptable,8,FALSE)</f>
        <v>13.9723083636888</v>
      </c>
      <c r="Q109" s="212">
        <f t="shared" si="67"/>
        <v>17.7327187488089</v>
      </c>
      <c r="R109" s="212">
        <f t="shared" si="67"/>
        <v>13.693937194311401</v>
      </c>
      <c r="S109" s="212">
        <f t="shared" si="67"/>
        <v>12.9099007011847</v>
      </c>
      <c r="T109" s="212">
        <f t="shared" si="67"/>
        <v>15.275189025334999</v>
      </c>
      <c r="U109" s="212">
        <f t="shared" si="67"/>
        <v>11.2250458390719</v>
      </c>
      <c r="V109" s="212">
        <f t="shared" si="67"/>
        <v>15.9266886219936</v>
      </c>
      <c r="W109" s="212">
        <f t="shared" si="67"/>
        <v>12.6051108228083</v>
      </c>
      <c r="X109" s="212">
        <f t="shared" si="67"/>
        <v>14.1023989403629</v>
      </c>
      <c r="Y109" s="212">
        <f t="shared" si="67"/>
        <v>11.7444880633042</v>
      </c>
      <c r="Z109" s="65"/>
    </row>
    <row r="110" spans="1:26" x14ac:dyDescent="0.2">
      <c r="B110" s="71"/>
      <c r="C110" s="71"/>
      <c r="D110" s="71"/>
      <c r="E110" s="71"/>
      <c r="F110" s="71"/>
      <c r="G110" s="71"/>
      <c r="H110" s="71"/>
      <c r="I110" s="71"/>
      <c r="J110" s="71"/>
      <c r="K110" s="71"/>
      <c r="M110" s="210"/>
      <c r="N110" s="211">
        <v>4</v>
      </c>
      <c r="O110" s="177"/>
      <c r="P110" s="212">
        <f t="shared" ref="P110:Y110" si="68">VLOOKUP(P$75&amp;"AllSex"&amp;"AllEth"&amp;23&amp;4,deptable,8,FALSE)</f>
        <v>17.1654216466126</v>
      </c>
      <c r="Q110" s="212">
        <f t="shared" si="68"/>
        <v>18.059075582843999</v>
      </c>
      <c r="R110" s="212">
        <f t="shared" si="68"/>
        <v>16.895748974619899</v>
      </c>
      <c r="S110" s="212">
        <f t="shared" si="68"/>
        <v>17.372435993773699</v>
      </c>
      <c r="T110" s="212">
        <f t="shared" si="68"/>
        <v>17.297876759946501</v>
      </c>
      <c r="U110" s="212">
        <f t="shared" si="68"/>
        <v>14.017735082138</v>
      </c>
      <c r="V110" s="212">
        <f t="shared" si="68"/>
        <v>20.550488387618401</v>
      </c>
      <c r="W110" s="212">
        <f t="shared" si="68"/>
        <v>13.727006596395499</v>
      </c>
      <c r="X110" s="212">
        <f t="shared" si="68"/>
        <v>19.454182215812999</v>
      </c>
      <c r="Y110" s="212">
        <f t="shared" si="68"/>
        <v>15.66469047484</v>
      </c>
      <c r="Z110" s="70"/>
    </row>
    <row r="111" spans="1:26" x14ac:dyDescent="0.2">
      <c r="B111" s="71"/>
      <c r="C111" s="71"/>
      <c r="G111" s="71"/>
      <c r="H111" s="71"/>
      <c r="I111" s="71"/>
      <c r="J111" s="71"/>
      <c r="K111" s="71"/>
      <c r="M111" s="210"/>
      <c r="N111" s="211">
        <v>5</v>
      </c>
      <c r="O111" s="177"/>
      <c r="P111" s="212">
        <f t="shared" ref="P111:Y111" si="69">VLOOKUP(P$75&amp;"AllSex"&amp;"AllEth"&amp;23&amp;5,deptable,8,FALSE)</f>
        <v>31.1878582508776</v>
      </c>
      <c r="Q111" s="212">
        <f t="shared" si="69"/>
        <v>25.915722478530501</v>
      </c>
      <c r="R111" s="212">
        <f t="shared" si="69"/>
        <v>22.912910444206499</v>
      </c>
      <c r="S111" s="212">
        <f t="shared" si="69"/>
        <v>22.980220853362599</v>
      </c>
      <c r="T111" s="212">
        <f t="shared" si="69"/>
        <v>20.571696514574999</v>
      </c>
      <c r="U111" s="212">
        <f t="shared" si="69"/>
        <v>23.413397538986899</v>
      </c>
      <c r="V111" s="212">
        <f t="shared" si="69"/>
        <v>19.967310634898599</v>
      </c>
      <c r="W111" s="212">
        <f t="shared" si="69"/>
        <v>20.9127707375795</v>
      </c>
      <c r="X111" s="212">
        <f t="shared" si="69"/>
        <v>26.431412295100898</v>
      </c>
      <c r="Y111" s="212">
        <f t="shared" si="69"/>
        <v>23.1272051079739</v>
      </c>
      <c r="Z111" s="70"/>
    </row>
    <row r="112" spans="1:26" ht="18" customHeight="1" x14ac:dyDescent="0.2">
      <c r="B112" s="71"/>
      <c r="C112" s="84" t="s">
        <v>101</v>
      </c>
      <c r="D112" s="84" t="s">
        <v>103</v>
      </c>
      <c r="E112" s="71"/>
      <c r="F112" s="71"/>
      <c r="G112" s="105"/>
      <c r="H112" s="71"/>
      <c r="I112" s="71"/>
      <c r="J112" s="71"/>
      <c r="K112" s="71"/>
      <c r="M112" s="205"/>
      <c r="N112" s="208"/>
      <c r="O112" s="206"/>
      <c r="P112" s="209"/>
      <c r="Q112" s="209"/>
      <c r="R112" s="209"/>
      <c r="S112" s="209"/>
      <c r="T112" s="209"/>
      <c r="U112" s="209"/>
      <c r="V112" s="209"/>
      <c r="W112" s="209"/>
      <c r="X112" s="209"/>
      <c r="Y112" s="209"/>
      <c r="Z112" s="70"/>
    </row>
    <row r="113" spans="2:26" x14ac:dyDescent="0.2">
      <c r="B113" s="71"/>
      <c r="C113" s="71"/>
      <c r="D113" s="84" t="s">
        <v>595</v>
      </c>
      <c r="E113" s="71"/>
      <c r="F113" s="71"/>
      <c r="G113" s="105"/>
      <c r="H113" s="71"/>
      <c r="I113" s="71"/>
      <c r="J113" s="71"/>
      <c r="K113" s="71"/>
      <c r="L113" s="33"/>
      <c r="M113" s="210" t="s">
        <v>36</v>
      </c>
      <c r="N113" s="211">
        <v>1</v>
      </c>
      <c r="O113" s="177" t="s">
        <v>22</v>
      </c>
      <c r="P113" s="212">
        <f t="shared" ref="P113:Y113" si="70">VLOOKUP(P$75&amp;"AllSex"&amp;"AllEth"&amp;24&amp;1,deptable,8,FALSE)</f>
        <v>8.5247018863974802</v>
      </c>
      <c r="Q113" s="212">
        <f t="shared" si="70"/>
        <v>7.9149757874847104</v>
      </c>
      <c r="R113" s="212">
        <f t="shared" si="70"/>
        <v>12.7042958120834</v>
      </c>
      <c r="S113" s="212">
        <f t="shared" si="70"/>
        <v>9.4056632822046495</v>
      </c>
      <c r="T113" s="212">
        <f t="shared" si="70"/>
        <v>12.328896914508899</v>
      </c>
      <c r="U113" s="212">
        <f t="shared" si="70"/>
        <v>11.771349410784699</v>
      </c>
      <c r="V113" s="212">
        <f t="shared" si="70"/>
        <v>6.2006799575216904</v>
      </c>
      <c r="W113" s="212">
        <f t="shared" si="70"/>
        <v>13.722666242449399</v>
      </c>
      <c r="X113" s="212">
        <f t="shared" si="70"/>
        <v>7.4853703338470501</v>
      </c>
      <c r="Y113" s="212">
        <f t="shared" si="70"/>
        <v>8.4400846005149202</v>
      </c>
      <c r="Z113" s="70"/>
    </row>
    <row r="114" spans="2:26" x14ac:dyDescent="0.2">
      <c r="B114" s="71"/>
      <c r="C114" s="71"/>
      <c r="D114" s="84" t="s">
        <v>596</v>
      </c>
      <c r="E114" s="71"/>
      <c r="F114" s="71"/>
      <c r="G114" s="105"/>
      <c r="H114" s="71"/>
      <c r="I114" s="71"/>
      <c r="J114" s="71"/>
      <c r="K114" s="71"/>
      <c r="L114" s="33"/>
      <c r="M114" s="203"/>
      <c r="N114" s="211">
        <v>2</v>
      </c>
      <c r="O114" s="177"/>
      <c r="P114" s="212">
        <f t="shared" ref="P114:Y114" si="71">VLOOKUP(P$75&amp;"AllSex"&amp;"AllEth"&amp;24&amp;2,deptable,8,FALSE)</f>
        <v>12.4153183119709</v>
      </c>
      <c r="Q114" s="212">
        <f t="shared" si="71"/>
        <v>9.8596506814562996</v>
      </c>
      <c r="R114" s="212">
        <f t="shared" si="71"/>
        <v>12.6387700991577</v>
      </c>
      <c r="S114" s="212">
        <f t="shared" si="71"/>
        <v>14.479067118393999</v>
      </c>
      <c r="T114" s="212">
        <f t="shared" si="71"/>
        <v>12.971305078521601</v>
      </c>
      <c r="U114" s="212">
        <f t="shared" si="71"/>
        <v>9.8864789617812594</v>
      </c>
      <c r="V114" s="212">
        <f t="shared" si="71"/>
        <v>11.0276812039756</v>
      </c>
      <c r="W114" s="212">
        <f t="shared" si="71"/>
        <v>14.1523911696958</v>
      </c>
      <c r="X114" s="212">
        <f t="shared" si="71"/>
        <v>11.174325986053599</v>
      </c>
      <c r="Y114" s="212">
        <f t="shared" si="71"/>
        <v>14.9607001533436</v>
      </c>
      <c r="Z114" s="70"/>
    </row>
    <row r="115" spans="2:26" x14ac:dyDescent="0.2">
      <c r="B115" s="71"/>
      <c r="C115" s="84" t="s">
        <v>150</v>
      </c>
      <c r="D115" s="84" t="s">
        <v>149</v>
      </c>
      <c r="E115" s="84"/>
      <c r="F115" s="84"/>
      <c r="G115" s="105"/>
      <c r="H115" s="71"/>
      <c r="I115" s="71"/>
      <c r="J115" s="71"/>
      <c r="K115" s="71"/>
      <c r="L115" s="33"/>
      <c r="M115" s="210"/>
      <c r="N115" s="211">
        <v>3</v>
      </c>
      <c r="O115" s="177"/>
      <c r="P115" s="212">
        <f t="shared" ref="P115:Y115" si="72">VLOOKUP(P$75&amp;"AllSex"&amp;"AllEth"&amp;24&amp;3,deptable,8,FALSE)</f>
        <v>16.3227902507615</v>
      </c>
      <c r="Q115" s="212">
        <f t="shared" si="72"/>
        <v>16.898953744977302</v>
      </c>
      <c r="R115" s="212">
        <f t="shared" si="72"/>
        <v>18.360229324573801</v>
      </c>
      <c r="S115" s="212">
        <f t="shared" si="72"/>
        <v>11.3287242061726</v>
      </c>
      <c r="T115" s="212">
        <f t="shared" si="72"/>
        <v>12.4815703580578</v>
      </c>
      <c r="U115" s="212">
        <f t="shared" si="72"/>
        <v>16.8368978272429</v>
      </c>
      <c r="V115" s="212">
        <f t="shared" si="72"/>
        <v>14.4370924253983</v>
      </c>
      <c r="W115" s="212">
        <f t="shared" si="72"/>
        <v>11.612468791183399</v>
      </c>
      <c r="X115" s="212">
        <f t="shared" si="72"/>
        <v>12.7827877561602</v>
      </c>
      <c r="Y115" s="212">
        <f t="shared" si="72"/>
        <v>13.914332945355699</v>
      </c>
      <c r="Z115" s="70"/>
    </row>
    <row r="116" spans="2:26" x14ac:dyDescent="0.2">
      <c r="B116" s="71"/>
      <c r="C116" s="71"/>
      <c r="D116" s="71"/>
      <c r="E116" s="71"/>
      <c r="F116" s="71"/>
      <c r="G116" s="71"/>
      <c r="H116" s="71"/>
      <c r="I116" s="71"/>
      <c r="J116" s="71"/>
      <c r="K116" s="71"/>
      <c r="L116" s="33"/>
      <c r="M116" s="210"/>
      <c r="N116" s="211">
        <v>4</v>
      </c>
      <c r="O116" s="177"/>
      <c r="P116" s="212">
        <f t="shared" ref="P116:Y116" si="73">VLOOKUP(P$75&amp;"AllSex"&amp;"AllEth"&amp;24&amp;4,deptable,8,FALSE)</f>
        <v>13.3944607096868</v>
      </c>
      <c r="Q116" s="212">
        <f t="shared" si="73"/>
        <v>16.8574199864481</v>
      </c>
      <c r="R116" s="212">
        <f t="shared" si="73"/>
        <v>15.3289440096198</v>
      </c>
      <c r="S116" s="212">
        <f t="shared" si="73"/>
        <v>22.720631399735002</v>
      </c>
      <c r="T116" s="212">
        <f t="shared" si="73"/>
        <v>16.7969263326627</v>
      </c>
      <c r="U116" s="212">
        <f t="shared" si="73"/>
        <v>13.0256196799048</v>
      </c>
      <c r="V116" s="212">
        <f t="shared" si="73"/>
        <v>18.376466860299701</v>
      </c>
      <c r="W116" s="212">
        <f t="shared" si="73"/>
        <v>17.207570453768401</v>
      </c>
      <c r="X116" s="212">
        <f t="shared" si="73"/>
        <v>19.406573028414101</v>
      </c>
      <c r="Y116" s="212">
        <f t="shared" si="73"/>
        <v>16.749653895792999</v>
      </c>
      <c r="Z116" s="70"/>
    </row>
    <row r="117" spans="2:26" x14ac:dyDescent="0.2">
      <c r="L117" s="33"/>
      <c r="M117" s="210"/>
      <c r="N117" s="211">
        <v>5</v>
      </c>
      <c r="O117" s="177"/>
      <c r="P117" s="212">
        <f t="shared" ref="P117:Y117" si="74">VLOOKUP(P$75&amp;"AllSex"&amp;"AllEth"&amp;24&amp;5,deptable,8,FALSE)</f>
        <v>19.4430096494523</v>
      </c>
      <c r="Q117" s="212">
        <f t="shared" si="74"/>
        <v>16.499475182030999</v>
      </c>
      <c r="R117" s="212">
        <f t="shared" si="74"/>
        <v>12.475582038755901</v>
      </c>
      <c r="S117" s="212">
        <f t="shared" si="74"/>
        <v>16.8337113337709</v>
      </c>
      <c r="T117" s="212">
        <f t="shared" si="74"/>
        <v>17.1580379944476</v>
      </c>
      <c r="U117" s="212">
        <f t="shared" si="74"/>
        <v>13.6235726323133</v>
      </c>
      <c r="V117" s="212">
        <f t="shared" si="74"/>
        <v>15.6695562381692</v>
      </c>
      <c r="W117" s="212">
        <f t="shared" si="74"/>
        <v>19.793319766457898</v>
      </c>
      <c r="X117" s="212">
        <f t="shared" si="74"/>
        <v>19.536887234843299</v>
      </c>
      <c r="Y117" s="212">
        <f t="shared" si="74"/>
        <v>19.275225052220598</v>
      </c>
      <c r="Z117" s="70"/>
    </row>
    <row r="118" spans="2:26" x14ac:dyDescent="0.2">
      <c r="C118" s="457"/>
      <c r="L118" s="33"/>
      <c r="M118" s="205"/>
      <c r="N118" s="208"/>
      <c r="O118" s="206"/>
      <c r="P118" s="209"/>
      <c r="Q118" s="209"/>
      <c r="R118" s="209"/>
      <c r="S118" s="209"/>
      <c r="T118" s="209"/>
      <c r="U118" s="209"/>
      <c r="V118" s="209"/>
      <c r="W118" s="209"/>
      <c r="X118" s="209"/>
      <c r="Y118" s="209"/>
      <c r="Z118" s="70"/>
    </row>
    <row r="119" spans="2:26" x14ac:dyDescent="0.2">
      <c r="C119" s="457"/>
      <c r="L119" s="33"/>
      <c r="M119" s="210" t="s">
        <v>26</v>
      </c>
      <c r="N119" s="211">
        <v>1</v>
      </c>
      <c r="O119" s="177" t="s">
        <v>22</v>
      </c>
      <c r="P119" s="212">
        <f t="shared" ref="P119:Y119" si="75">VLOOKUP(P$75&amp;"AllSex"&amp;"AllEth"&amp;25&amp;1,deptable,8,FALSE)</f>
        <v>9.1592642759985594</v>
      </c>
      <c r="Q119" s="212">
        <f t="shared" si="75"/>
        <v>8.9156128849945198</v>
      </c>
      <c r="R119" s="212">
        <f t="shared" si="75"/>
        <v>7.7832339926645204</v>
      </c>
      <c r="S119" s="212">
        <f t="shared" si="75"/>
        <v>12.3359667452475</v>
      </c>
      <c r="T119" s="212">
        <f t="shared" si="75"/>
        <v>9.4553636332856392</v>
      </c>
      <c r="U119" s="212">
        <f t="shared" si="75"/>
        <v>5.8427897892515697</v>
      </c>
      <c r="V119" s="212">
        <f t="shared" si="75"/>
        <v>4.0076916080608296</v>
      </c>
      <c r="W119" s="212">
        <f t="shared" si="75"/>
        <v>6.9351193276698302</v>
      </c>
      <c r="X119" s="212">
        <f t="shared" si="75"/>
        <v>7.4094708277048502</v>
      </c>
      <c r="Y119" s="212">
        <f t="shared" si="75"/>
        <v>12.85592725844</v>
      </c>
      <c r="Z119" s="70"/>
    </row>
    <row r="120" spans="2:26" x14ac:dyDescent="0.2">
      <c r="C120" s="407"/>
      <c r="L120" s="33"/>
      <c r="M120" s="203"/>
      <c r="N120" s="211">
        <v>2</v>
      </c>
      <c r="O120" s="177"/>
      <c r="P120" s="212">
        <f t="shared" ref="P120:Y120" si="76">VLOOKUP(P$75&amp;"AllSex"&amp;"AllEth"&amp;25&amp;2,deptable,8,FALSE)</f>
        <v>13.2762762397857</v>
      </c>
      <c r="Q120" s="212">
        <f t="shared" si="76"/>
        <v>9.2347855074547596</v>
      </c>
      <c r="R120" s="212">
        <f t="shared" si="76"/>
        <v>10.879457234614501</v>
      </c>
      <c r="S120" s="212">
        <f t="shared" si="76"/>
        <v>7.9607469030300404</v>
      </c>
      <c r="T120" s="212">
        <f t="shared" si="76"/>
        <v>9.3563239638140008</v>
      </c>
      <c r="U120" s="212">
        <f t="shared" si="76"/>
        <v>6.6094495499466497</v>
      </c>
      <c r="V120" s="212">
        <f t="shared" si="76"/>
        <v>11.119693883237501</v>
      </c>
      <c r="W120" s="212">
        <f t="shared" si="76"/>
        <v>8.4105504861635794</v>
      </c>
      <c r="X120" s="212">
        <f t="shared" si="76"/>
        <v>5.1494834144112698</v>
      </c>
      <c r="Y120" s="212">
        <f t="shared" si="76"/>
        <v>8.5119967639644702</v>
      </c>
      <c r="Z120" s="70"/>
    </row>
    <row r="121" spans="2:26" x14ac:dyDescent="0.2">
      <c r="L121" s="33"/>
      <c r="M121" s="210"/>
      <c r="N121" s="211">
        <v>3</v>
      </c>
      <c r="O121" s="177"/>
      <c r="P121" s="212">
        <f t="shared" ref="P121:Y121" si="77">VLOOKUP(P$75&amp;"AllSex"&amp;"AllEth"&amp;25&amp;3,deptable,8,FALSE)</f>
        <v>8.1719220241008195</v>
      </c>
      <c r="Q121" s="212">
        <f t="shared" si="77"/>
        <v>6.1920360643504297</v>
      </c>
      <c r="R121" s="212">
        <f t="shared" si="77"/>
        <v>10.419338263835201</v>
      </c>
      <c r="S121" s="212">
        <f t="shared" si="77"/>
        <v>7.6258764907202803</v>
      </c>
      <c r="T121" s="212">
        <f t="shared" si="77"/>
        <v>12.031282125541701</v>
      </c>
      <c r="U121" s="212">
        <f t="shared" si="77"/>
        <v>10.853505567093</v>
      </c>
      <c r="V121" s="212">
        <f t="shared" si="77"/>
        <v>12.853786246412399</v>
      </c>
      <c r="W121" s="212">
        <f t="shared" si="77"/>
        <v>18.580178916540699</v>
      </c>
      <c r="X121" s="212">
        <f t="shared" si="77"/>
        <v>8.9425133850629308</v>
      </c>
      <c r="Y121" s="212">
        <f t="shared" si="77"/>
        <v>7.9069198940264203</v>
      </c>
      <c r="Z121" s="70"/>
    </row>
    <row r="122" spans="2:26" x14ac:dyDescent="0.2">
      <c r="M122" s="210"/>
      <c r="N122" s="211">
        <v>4</v>
      </c>
      <c r="O122" s="177"/>
      <c r="P122" s="212">
        <f t="shared" ref="P122:Y122" si="78">VLOOKUP(P$75&amp;"AllSex"&amp;"AllEth"&amp;25&amp;4,deptable,8,FALSE)</f>
        <v>7.1992076781166601</v>
      </c>
      <c r="Q122" s="212">
        <f t="shared" si="78"/>
        <v>13.154865748729501</v>
      </c>
      <c r="R122" s="212">
        <f t="shared" si="78"/>
        <v>6.8855576901865101</v>
      </c>
      <c r="S122" s="212">
        <f t="shared" si="78"/>
        <v>10.9220681739436</v>
      </c>
      <c r="T122" s="212">
        <f t="shared" si="78"/>
        <v>12.741884980701499</v>
      </c>
      <c r="U122" s="212">
        <f t="shared" si="78"/>
        <v>6.60402821934386</v>
      </c>
      <c r="V122" s="212">
        <f t="shared" si="78"/>
        <v>7.9527013153643802</v>
      </c>
      <c r="W122" s="212">
        <f t="shared" si="78"/>
        <v>4.6041006591166402</v>
      </c>
      <c r="X122" s="212">
        <f t="shared" si="78"/>
        <v>12.5640601634059</v>
      </c>
      <c r="Y122" s="212">
        <f t="shared" si="78"/>
        <v>11.4108332755892</v>
      </c>
      <c r="Z122" s="70"/>
    </row>
    <row r="123" spans="2:26" x14ac:dyDescent="0.2">
      <c r="M123" s="210"/>
      <c r="N123" s="211">
        <v>5</v>
      </c>
      <c r="O123" s="177"/>
      <c r="P123" s="212">
        <f>VLOOKUP(P$75&amp;"AllSex"&amp;"AllEth"&amp;25&amp;5,deptable,8,FALSE)</f>
        <v>10.386482615103199</v>
      </c>
      <c r="Q123" s="212">
        <f>VLOOKUP(Q$75&amp;"AllSex"&amp;"AllEth"&amp;25&amp;5,deptable,8,FALSE)</f>
        <v>8.9935310698840407</v>
      </c>
      <c r="R123" s="212">
        <f>VLOOKUP(R$75&amp;"AllSex"&amp;"AllEth"&amp;25&amp;5,deptable,8,FALSE)</f>
        <v>9.9326768249315798</v>
      </c>
      <c r="S123" s="212">
        <f>VLOOKUP(S$75&amp;"AllSex"&amp;"AllEth"&amp;25&amp;5,deptable,8,FALSE)</f>
        <v>8.6152551911992195</v>
      </c>
      <c r="T123" s="467" t="s">
        <v>85</v>
      </c>
      <c r="U123" s="212">
        <f>VLOOKUP(U$75&amp;"AllSex"&amp;"AllEth"&amp;25&amp;5,deptable,8,FALSE)</f>
        <v>7.1182948978656002</v>
      </c>
      <c r="V123" s="212">
        <f>VLOOKUP(V$75&amp;"AllSex"&amp;"AllEth"&amp;25&amp;5,deptable,8,FALSE)</f>
        <v>9.7879592188669502</v>
      </c>
      <c r="W123" s="467" t="s">
        <v>85</v>
      </c>
      <c r="X123" s="212">
        <f>VLOOKUP(X$75&amp;"AllSex"&amp;"AllEth"&amp;25&amp;5,deptable,8,FALSE)</f>
        <v>11.811027544716399</v>
      </c>
      <c r="Y123" s="212">
        <f>VLOOKUP(Y$75&amp;"AllSex"&amp;"AllEth"&amp;25&amp;5,deptable,8,FALSE)</f>
        <v>6.1351504208595404</v>
      </c>
      <c r="Z123" s="70"/>
    </row>
    <row r="124" spans="2:26" x14ac:dyDescent="0.2">
      <c r="M124" s="177"/>
      <c r="N124" s="177"/>
      <c r="O124" s="177"/>
      <c r="P124" s="177"/>
      <c r="Q124" s="177"/>
      <c r="R124" s="177"/>
      <c r="S124" s="177"/>
      <c r="T124" s="177"/>
      <c r="U124" s="177"/>
      <c r="V124" s="177"/>
      <c r="W124" s="177"/>
      <c r="X124" s="177"/>
      <c r="Y124" s="177"/>
      <c r="Z124" s="70"/>
    </row>
    <row r="125" spans="2:26" x14ac:dyDescent="0.2">
      <c r="M125" s="213" t="s">
        <v>145</v>
      </c>
      <c r="N125" s="213" t="s">
        <v>103</v>
      </c>
      <c r="O125" s="177"/>
      <c r="P125" s="177"/>
      <c r="Q125" s="177"/>
      <c r="R125" s="177"/>
      <c r="S125" s="177"/>
      <c r="T125" s="177"/>
      <c r="U125" s="177"/>
      <c r="V125" s="177"/>
      <c r="W125" s="177"/>
      <c r="X125" s="177"/>
      <c r="Y125" s="177"/>
      <c r="Z125" s="70"/>
    </row>
    <row r="126" spans="2:26" x14ac:dyDescent="0.2">
      <c r="M126" s="213"/>
      <c r="N126" s="213" t="s">
        <v>562</v>
      </c>
      <c r="O126" s="177"/>
      <c r="P126" s="177"/>
      <c r="Q126" s="177"/>
      <c r="R126" s="468"/>
      <c r="S126" s="468"/>
      <c r="T126" s="468"/>
      <c r="U126" s="468"/>
      <c r="V126" s="468"/>
      <c r="W126" s="468"/>
      <c r="X126" s="468"/>
      <c r="Y126" s="468"/>
      <c r="Z126" s="70"/>
    </row>
    <row r="127" spans="2:26" x14ac:dyDescent="0.2">
      <c r="M127" s="213"/>
      <c r="N127" s="213" t="s">
        <v>563</v>
      </c>
      <c r="O127" s="177"/>
      <c r="P127" s="177"/>
      <c r="Q127" s="177"/>
      <c r="R127" s="33"/>
      <c r="S127" s="33"/>
      <c r="T127" s="33"/>
      <c r="U127" s="33"/>
      <c r="V127" s="33"/>
      <c r="W127" s="33"/>
      <c r="X127" s="33"/>
      <c r="Y127" s="33"/>
      <c r="Z127" s="70"/>
    </row>
    <row r="128" spans="2:26" x14ac:dyDescent="0.2">
      <c r="M128" s="374" t="s">
        <v>150</v>
      </c>
      <c r="N128" s="374" t="s">
        <v>149</v>
      </c>
      <c r="O128" s="374"/>
      <c r="P128" s="375"/>
      <c r="Q128" s="375"/>
      <c r="Z128" s="70"/>
    </row>
    <row r="129" spans="13:26" x14ac:dyDescent="0.2">
      <c r="R129" s="20"/>
      <c r="S129" s="20"/>
      <c r="T129" s="20"/>
      <c r="U129" s="20"/>
      <c r="V129" s="20"/>
      <c r="W129" s="20"/>
      <c r="X129" s="20"/>
      <c r="Y129" s="20"/>
      <c r="Z129" s="69"/>
    </row>
    <row r="140" spans="13:26" x14ac:dyDescent="0.2">
      <c r="R140" s="35"/>
      <c r="S140" s="35"/>
      <c r="T140" s="35"/>
      <c r="U140" s="35"/>
      <c r="V140" s="35"/>
    </row>
    <row r="141" spans="13:26" x14ac:dyDescent="0.2">
      <c r="R141" s="35"/>
      <c r="S141" s="35"/>
      <c r="T141" s="35"/>
      <c r="U141" s="35"/>
      <c r="V141" s="35"/>
    </row>
    <row r="142" spans="13:26" x14ac:dyDescent="0.2">
      <c r="M142" s="35"/>
      <c r="N142" s="35"/>
      <c r="O142" s="35"/>
      <c r="P142" s="35"/>
      <c r="Q142" s="35"/>
      <c r="R142" s="35"/>
      <c r="S142" s="35"/>
      <c r="T142" s="35"/>
      <c r="U142" s="35"/>
      <c r="V142" s="35"/>
    </row>
    <row r="143" spans="13:26" x14ac:dyDescent="0.2">
      <c r="M143" s="35"/>
      <c r="N143" s="35"/>
      <c r="O143" s="35"/>
      <c r="P143" s="35"/>
      <c r="Q143" s="35"/>
      <c r="R143" s="35"/>
      <c r="S143" s="35"/>
      <c r="T143" s="35"/>
      <c r="U143" s="35"/>
      <c r="V143" s="35"/>
    </row>
    <row r="144" spans="13:26" x14ac:dyDescent="0.2">
      <c r="M144" s="35"/>
      <c r="N144" s="35"/>
      <c r="O144" s="35"/>
      <c r="P144" s="35"/>
      <c r="Q144" s="35"/>
      <c r="R144" s="35"/>
      <c r="S144" s="35"/>
      <c r="T144" s="35"/>
      <c r="U144" s="35"/>
      <c r="V144" s="35"/>
    </row>
    <row r="145" spans="13:22" x14ac:dyDescent="0.2">
      <c r="M145" s="35"/>
      <c r="N145" s="35"/>
      <c r="O145" s="35"/>
      <c r="P145" s="35"/>
      <c r="Q145" s="35"/>
      <c r="R145" s="35"/>
      <c r="S145" s="35"/>
      <c r="T145" s="35"/>
      <c r="U145" s="35"/>
      <c r="V145" s="35"/>
    </row>
    <row r="146" spans="13:22" x14ac:dyDescent="0.2">
      <c r="M146" s="35"/>
      <c r="N146" s="35"/>
      <c r="O146" s="35"/>
      <c r="P146" s="35"/>
      <c r="Q146" s="35"/>
      <c r="R146" s="35"/>
      <c r="S146" s="35"/>
      <c r="T146" s="35"/>
      <c r="U146" s="35"/>
      <c r="V146" s="35"/>
    </row>
    <row r="147" spans="13:22" x14ac:dyDescent="0.2">
      <c r="M147" s="35"/>
      <c r="N147" s="35"/>
      <c r="O147" s="35"/>
      <c r="P147" s="35"/>
      <c r="Q147" s="35"/>
      <c r="R147" s="35"/>
      <c r="S147" s="35"/>
      <c r="T147" s="35"/>
      <c r="U147" s="35"/>
      <c r="V147" s="35"/>
    </row>
    <row r="148" spans="13:22" x14ac:dyDescent="0.2">
      <c r="M148" s="35"/>
      <c r="N148" s="35"/>
      <c r="O148" s="35"/>
      <c r="P148" s="35"/>
      <c r="Q148" s="35"/>
      <c r="R148" s="35"/>
      <c r="S148" s="35"/>
      <c r="T148" s="35"/>
      <c r="U148" s="35"/>
      <c r="V148" s="35"/>
    </row>
    <row r="149" spans="13:22" x14ac:dyDescent="0.2">
      <c r="M149" s="35"/>
      <c r="N149" s="35"/>
      <c r="O149" s="35"/>
      <c r="P149" s="35"/>
      <c r="Q149" s="35"/>
      <c r="R149" s="35"/>
      <c r="S149" s="35"/>
      <c r="T149" s="35"/>
      <c r="U149" s="35"/>
      <c r="V149" s="35"/>
    </row>
    <row r="150" spans="13:22" x14ac:dyDescent="0.2">
      <c r="M150" s="35"/>
      <c r="N150" s="35"/>
      <c r="O150" s="35"/>
      <c r="P150" s="35"/>
      <c r="Q150" s="35"/>
      <c r="R150" s="35"/>
      <c r="S150" s="35"/>
      <c r="T150" s="35"/>
      <c r="U150" s="35"/>
      <c r="V150" s="35"/>
    </row>
    <row r="151" spans="13:22" x14ac:dyDescent="0.2">
      <c r="M151" s="35"/>
      <c r="N151" s="35"/>
      <c r="O151" s="35"/>
      <c r="P151" s="35"/>
      <c r="Q151" s="35"/>
      <c r="R151" s="35"/>
      <c r="S151" s="35"/>
      <c r="T151" s="35"/>
      <c r="U151" s="35"/>
      <c r="V151" s="35"/>
    </row>
    <row r="152" spans="13:22" x14ac:dyDescent="0.2">
      <c r="M152" s="35"/>
      <c r="N152" s="35"/>
      <c r="O152" s="35"/>
      <c r="P152" s="35"/>
      <c r="Q152" s="35"/>
      <c r="R152" s="35"/>
      <c r="S152" s="35"/>
      <c r="T152" s="35"/>
      <c r="U152" s="35"/>
      <c r="V152" s="35"/>
    </row>
    <row r="153" spans="13:22" x14ac:dyDescent="0.2">
      <c r="M153" s="35"/>
      <c r="N153" s="35"/>
      <c r="O153" s="35"/>
      <c r="P153" s="35"/>
      <c r="Q153" s="35"/>
      <c r="R153" s="33"/>
      <c r="S153" s="33"/>
      <c r="T153" s="33"/>
      <c r="U153" s="33"/>
      <c r="V153" s="33"/>
    </row>
    <row r="154" spans="13:22" x14ac:dyDescent="0.2">
      <c r="M154" s="35"/>
      <c r="N154" s="35"/>
      <c r="O154" s="35"/>
      <c r="P154" s="35"/>
      <c r="Q154" s="35"/>
      <c r="R154" s="33"/>
      <c r="S154" s="33"/>
      <c r="T154" s="33"/>
      <c r="U154" s="33"/>
      <c r="V154" s="33"/>
    </row>
    <row r="155" spans="13:22" x14ac:dyDescent="0.2">
      <c r="M155" s="33"/>
      <c r="N155" s="33"/>
      <c r="O155" s="33"/>
      <c r="P155" s="33"/>
      <c r="Q155" s="33"/>
      <c r="R155" s="33"/>
      <c r="S155" s="33"/>
      <c r="T155" s="33"/>
      <c r="U155" s="33"/>
      <c r="V155" s="33"/>
    </row>
    <row r="156" spans="13:22" x14ac:dyDescent="0.2">
      <c r="M156" s="33"/>
      <c r="N156" s="33"/>
      <c r="O156" s="33"/>
      <c r="P156" s="33"/>
      <c r="Q156" s="33"/>
      <c r="R156" s="33"/>
      <c r="S156" s="33"/>
      <c r="T156" s="33"/>
      <c r="U156" s="33"/>
      <c r="V156" s="33"/>
    </row>
    <row r="157" spans="13:22" x14ac:dyDescent="0.2">
      <c r="M157" s="33"/>
      <c r="N157" s="33"/>
      <c r="O157" s="33"/>
      <c r="P157" s="33"/>
      <c r="Q157" s="33"/>
    </row>
    <row r="158" spans="13:22" x14ac:dyDescent="0.2">
      <c r="M158" s="33"/>
      <c r="N158" s="33"/>
      <c r="O158" s="33"/>
      <c r="P158" s="33"/>
      <c r="Q158" s="33"/>
    </row>
  </sheetData>
  <mergeCells count="4">
    <mergeCell ref="C4:K4"/>
    <mergeCell ref="M6:Z7"/>
    <mergeCell ref="C83:K83"/>
    <mergeCell ref="M72:Y73"/>
  </mergeCells>
  <hyperlinks>
    <hyperlink ref="M1" location="'Key findings'!A1" display="Back to Key Findings"/>
    <hyperlink ref="M2" location="'Māori Non-Māori'!A140" display="See suicide rates for Māori and non-Māori by deprivation"/>
    <hyperlink ref="M3" location="'Ethnic group'!A86" display="See suicide rates by ethnic group and deprivation"/>
  </hyperlinks>
  <pageMargins left="0.25" right="0.25" top="0.75" bottom="0.75" header="0.3" footer="0.3"/>
  <pageSetup paperSize="9" scale="54" fitToWidth="0" orientation="landscape" r:id="rId1"/>
  <rowBreaks count="1" manualBreakCount="1">
    <brk id="60" max="31"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I120"/>
  <sheetViews>
    <sheetView showGridLines="0" zoomScaleNormal="100" workbookViewId="0">
      <selection activeCell="N27" sqref="N27"/>
    </sheetView>
  </sheetViews>
  <sheetFormatPr defaultRowHeight="12.75" x14ac:dyDescent="0.2"/>
  <cols>
    <col min="1" max="1" width="5.85546875" style="12" customWidth="1"/>
    <col min="2" max="2" width="2.140625" style="12" customWidth="1"/>
    <col min="3" max="3" width="9.140625" style="12" customWidth="1"/>
    <col min="4" max="4" width="9.140625" style="12"/>
    <col min="5" max="5" width="16.42578125" style="12" customWidth="1"/>
    <col min="6" max="11" width="9.140625" style="12"/>
    <col min="12" max="12" width="4.28515625" style="12" customWidth="1"/>
    <col min="13" max="13" width="9.140625" style="12"/>
    <col min="14" max="14" width="35.7109375" style="12" customWidth="1"/>
    <col min="15" max="15" width="15" style="12" customWidth="1"/>
    <col min="16" max="16" width="10.5703125" style="12" customWidth="1"/>
    <col min="17" max="17" width="12.140625" style="12" customWidth="1"/>
    <col min="18" max="18" width="34.42578125" style="12" customWidth="1"/>
    <col min="19" max="19" width="13.85546875" style="12" customWidth="1"/>
    <col min="20" max="40" width="9.140625" style="12"/>
    <col min="41" max="41" width="20.85546875" style="12" customWidth="1"/>
    <col min="42" max="45" width="9.140625" style="12"/>
    <col min="46" max="47" width="9.140625" style="24"/>
    <col min="48" max="48" width="34" style="24" customWidth="1"/>
    <col min="49" max="49" width="15.42578125" style="24" customWidth="1"/>
    <col min="50" max="60" width="9.140625" style="24"/>
    <col min="61" max="72" width="9.140625" style="517"/>
    <col min="73" max="87" width="9.140625" style="508"/>
    <col min="88" max="16384" width="9.140625" style="12"/>
  </cols>
  <sheetData>
    <row r="1" spans="2:39" x14ac:dyDescent="0.2">
      <c r="P1" s="131" t="s">
        <v>505</v>
      </c>
    </row>
    <row r="2" spans="2:39" ht="23.25" x14ac:dyDescent="0.35">
      <c r="C2" s="120" t="s">
        <v>358</v>
      </c>
      <c r="O2" s="131"/>
      <c r="P2" s="131" t="s">
        <v>360</v>
      </c>
    </row>
    <row r="3" spans="2:39" x14ac:dyDescent="0.2">
      <c r="O3" s="131"/>
    </row>
    <row r="4" spans="2:39" x14ac:dyDescent="0.2">
      <c r="C4" s="23" t="s">
        <v>456</v>
      </c>
      <c r="O4" s="131"/>
      <c r="P4" s="131" t="s">
        <v>474</v>
      </c>
    </row>
    <row r="5" spans="2:39" x14ac:dyDescent="0.2">
      <c r="C5" s="23" t="s">
        <v>520</v>
      </c>
      <c r="O5" s="131"/>
      <c r="Q5" s="131"/>
    </row>
    <row r="6" spans="2:39" x14ac:dyDescent="0.2">
      <c r="C6" s="23" t="s">
        <v>454</v>
      </c>
      <c r="O6" s="131"/>
      <c r="Q6" s="131"/>
    </row>
    <row r="7" spans="2:39" x14ac:dyDescent="0.2">
      <c r="C7" s="23"/>
      <c r="O7" s="131"/>
      <c r="Q7" s="131"/>
    </row>
    <row r="8" spans="2:39" ht="15.75" x14ac:dyDescent="0.25">
      <c r="D8" s="39"/>
      <c r="E8" s="39"/>
    </row>
    <row r="9" spans="2:39" x14ac:dyDescent="0.2">
      <c r="N9" s="34" t="s">
        <v>521</v>
      </c>
    </row>
    <row r="10" spans="2:39" x14ac:dyDescent="0.2">
      <c r="B10" s="5"/>
      <c r="C10" s="5"/>
      <c r="D10" s="5"/>
      <c r="E10" s="5"/>
      <c r="F10" s="5"/>
      <c r="G10" s="5"/>
      <c r="H10" s="5"/>
      <c r="I10" s="5"/>
      <c r="J10" s="5"/>
      <c r="K10" s="5"/>
      <c r="L10" s="5"/>
      <c r="N10" s="22" t="s">
        <v>522</v>
      </c>
    </row>
    <row r="11" spans="2:39" ht="15" x14ac:dyDescent="0.25">
      <c r="B11" s="5"/>
      <c r="C11" s="96" t="s">
        <v>109</v>
      </c>
      <c r="D11" s="5"/>
      <c r="E11" s="5"/>
      <c r="F11" s="5"/>
      <c r="G11" s="5"/>
      <c r="H11" s="5"/>
      <c r="I11" s="5"/>
      <c r="J11" s="5"/>
      <c r="K11" s="5"/>
      <c r="L11" s="5"/>
      <c r="P11" s="132" t="s">
        <v>455</v>
      </c>
    </row>
    <row r="12" spans="2:39" x14ac:dyDescent="0.2">
      <c r="B12" s="5"/>
      <c r="C12" s="5"/>
      <c r="D12" s="5"/>
      <c r="E12" s="5"/>
      <c r="F12" s="5"/>
      <c r="G12" s="5"/>
      <c r="H12" s="5"/>
      <c r="I12" s="5"/>
      <c r="J12" s="5"/>
      <c r="K12" s="5"/>
      <c r="L12" s="5"/>
    </row>
    <row r="13" spans="2:39" x14ac:dyDescent="0.2">
      <c r="B13" s="5"/>
      <c r="C13" s="5"/>
      <c r="D13" s="5"/>
      <c r="E13" s="5"/>
      <c r="F13" s="5"/>
      <c r="G13" s="5"/>
      <c r="H13" s="5"/>
      <c r="I13" s="5"/>
      <c r="J13" s="5"/>
      <c r="K13" s="5"/>
      <c r="L13" s="5"/>
      <c r="P13" s="384" t="s">
        <v>1</v>
      </c>
      <c r="Q13" s="13" t="s">
        <v>37</v>
      </c>
      <c r="R13" s="13" t="s">
        <v>50</v>
      </c>
      <c r="S13" s="13"/>
      <c r="T13" s="13">
        <v>1996</v>
      </c>
      <c r="U13" s="13">
        <v>1997</v>
      </c>
      <c r="V13" s="13">
        <v>1998</v>
      </c>
      <c r="W13" s="13">
        <v>1999</v>
      </c>
      <c r="X13" s="13">
        <v>2000</v>
      </c>
      <c r="Y13" s="13">
        <v>2001</v>
      </c>
      <c r="Z13" s="13">
        <v>2002</v>
      </c>
      <c r="AA13" s="13">
        <v>2003</v>
      </c>
      <c r="AB13" s="13">
        <v>2004</v>
      </c>
      <c r="AC13" s="13">
        <v>2005</v>
      </c>
      <c r="AD13" s="13">
        <v>2006</v>
      </c>
      <c r="AE13" s="13">
        <v>2007</v>
      </c>
      <c r="AF13" s="13">
        <v>2008</v>
      </c>
      <c r="AG13" s="13">
        <v>2009</v>
      </c>
      <c r="AH13" s="13">
        <v>2010</v>
      </c>
      <c r="AI13" s="13">
        <v>2011</v>
      </c>
      <c r="AJ13" s="13">
        <v>2012</v>
      </c>
      <c r="AK13" s="13">
        <v>2013</v>
      </c>
      <c r="AL13" s="13">
        <v>2014</v>
      </c>
      <c r="AM13" s="13">
        <v>2015</v>
      </c>
    </row>
    <row r="14" spans="2:39" x14ac:dyDescent="0.2">
      <c r="B14" s="5"/>
      <c r="C14" s="5"/>
      <c r="D14" s="5"/>
      <c r="E14" s="5"/>
      <c r="F14" s="5"/>
      <c r="G14" s="5"/>
      <c r="H14" s="5"/>
      <c r="I14" s="5"/>
      <c r="J14" s="5"/>
      <c r="K14" s="5"/>
      <c r="L14" s="5"/>
      <c r="P14" s="25"/>
      <c r="Q14" s="24"/>
      <c r="R14" s="13"/>
      <c r="S14" s="13"/>
      <c r="T14" s="13"/>
      <c r="U14" s="13"/>
      <c r="V14" s="13"/>
      <c r="W14" s="13"/>
      <c r="X14" s="13"/>
      <c r="Y14" s="13"/>
      <c r="Z14" s="13"/>
      <c r="AA14" s="13"/>
      <c r="AB14" s="13"/>
      <c r="AC14" s="13"/>
      <c r="AD14" s="13"/>
      <c r="AE14" s="13"/>
      <c r="AF14" s="13"/>
      <c r="AG14" s="13"/>
      <c r="AH14" s="13"/>
      <c r="AI14" s="13"/>
      <c r="AJ14" s="13"/>
      <c r="AK14" s="13"/>
      <c r="AL14" s="13"/>
      <c r="AM14" s="13"/>
    </row>
    <row r="15" spans="2:39" x14ac:dyDescent="0.2">
      <c r="B15" s="5"/>
      <c r="C15" s="5"/>
      <c r="D15" s="5"/>
      <c r="E15" s="5"/>
      <c r="F15" s="5"/>
      <c r="G15" s="5"/>
      <c r="H15" s="5"/>
      <c r="I15" s="5"/>
      <c r="J15" s="5"/>
      <c r="K15" s="5"/>
      <c r="L15" s="5"/>
      <c r="P15" s="19" t="s">
        <v>0</v>
      </c>
      <c r="Q15" s="19" t="s">
        <v>9</v>
      </c>
      <c r="R15" s="11" t="s">
        <v>43</v>
      </c>
      <c r="S15" s="11" t="s">
        <v>21</v>
      </c>
      <c r="T15" s="11">
        <f t="shared" ref="T15:AM15" si="0">VLOOKUP(T$13&amp;"AllSex"&amp;"AllEth"&amp;19&amp;$R$15,Methodstable,7,FALSE)</f>
        <v>230</v>
      </c>
      <c r="U15" s="11">
        <f t="shared" si="0"/>
        <v>232</v>
      </c>
      <c r="V15" s="11">
        <f t="shared" si="0"/>
        <v>250</v>
      </c>
      <c r="W15" s="11">
        <f t="shared" si="0"/>
        <v>242</v>
      </c>
      <c r="X15" s="11">
        <f t="shared" si="0"/>
        <v>215</v>
      </c>
      <c r="Y15" s="11">
        <f t="shared" si="0"/>
        <v>235</v>
      </c>
      <c r="Z15" s="11">
        <f t="shared" si="0"/>
        <v>222</v>
      </c>
      <c r="AA15" s="11">
        <f t="shared" si="0"/>
        <v>250</v>
      </c>
      <c r="AB15" s="11">
        <f t="shared" si="0"/>
        <v>270</v>
      </c>
      <c r="AC15" s="11">
        <f t="shared" si="0"/>
        <v>256</v>
      </c>
      <c r="AD15" s="11">
        <f t="shared" si="0"/>
        <v>286</v>
      </c>
      <c r="AE15" s="11">
        <f t="shared" si="0"/>
        <v>284</v>
      </c>
      <c r="AF15" s="11">
        <f t="shared" si="0"/>
        <v>290</v>
      </c>
      <c r="AG15" s="11">
        <f t="shared" si="0"/>
        <v>302</v>
      </c>
      <c r="AH15" s="11">
        <f t="shared" si="0"/>
        <v>313</v>
      </c>
      <c r="AI15" s="11">
        <f t="shared" si="0"/>
        <v>302</v>
      </c>
      <c r="AJ15" s="11">
        <f t="shared" si="0"/>
        <v>343</v>
      </c>
      <c r="AK15" s="11">
        <f t="shared" si="0"/>
        <v>294</v>
      </c>
      <c r="AL15" s="11">
        <f t="shared" si="0"/>
        <v>310</v>
      </c>
      <c r="AM15" s="11">
        <f t="shared" si="0"/>
        <v>328</v>
      </c>
    </row>
    <row r="16" spans="2:39" x14ac:dyDescent="0.2">
      <c r="B16" s="5"/>
      <c r="C16" s="5"/>
      <c r="D16" s="5"/>
      <c r="E16" s="5"/>
      <c r="F16" s="5"/>
      <c r="G16" s="5"/>
      <c r="H16" s="5"/>
      <c r="I16" s="5"/>
      <c r="J16" s="5"/>
      <c r="K16" s="5"/>
      <c r="L16" s="5"/>
      <c r="P16" s="19"/>
      <c r="Q16" s="19"/>
      <c r="R16" s="24" t="s">
        <v>46</v>
      </c>
      <c r="S16" s="11"/>
      <c r="T16" s="24">
        <f t="shared" ref="T16:AM16" si="1">VLOOKUP(T$13&amp;"AllSex"&amp;"AllEth"&amp;19&amp;$R$16,Methodstable,7,FALSE)</f>
        <v>157</v>
      </c>
      <c r="U16" s="24">
        <f t="shared" si="1"/>
        <v>157</v>
      </c>
      <c r="V16" s="24">
        <f t="shared" si="1"/>
        <v>134</v>
      </c>
      <c r="W16" s="24">
        <f t="shared" si="1"/>
        <v>117</v>
      </c>
      <c r="X16" s="24">
        <f t="shared" si="1"/>
        <v>113</v>
      </c>
      <c r="Y16" s="24">
        <f t="shared" si="1"/>
        <v>111</v>
      </c>
      <c r="Z16" s="24">
        <f t="shared" si="1"/>
        <v>99</v>
      </c>
      <c r="AA16" s="24">
        <f t="shared" si="1"/>
        <v>104</v>
      </c>
      <c r="AB16" s="24">
        <f t="shared" si="1"/>
        <v>95</v>
      </c>
      <c r="AC16" s="24">
        <f t="shared" si="1"/>
        <v>110</v>
      </c>
      <c r="AD16" s="24">
        <f t="shared" si="1"/>
        <v>87</v>
      </c>
      <c r="AE16" s="24">
        <f t="shared" si="1"/>
        <v>72</v>
      </c>
      <c r="AF16" s="24">
        <f t="shared" si="1"/>
        <v>75</v>
      </c>
      <c r="AG16" s="24">
        <f t="shared" si="1"/>
        <v>50</v>
      </c>
      <c r="AH16" s="24">
        <f t="shared" si="1"/>
        <v>61</v>
      </c>
      <c r="AI16" s="24">
        <f t="shared" si="1"/>
        <v>48</v>
      </c>
      <c r="AJ16" s="24">
        <f t="shared" si="1"/>
        <v>43</v>
      </c>
      <c r="AK16" s="24">
        <f t="shared" si="1"/>
        <v>45</v>
      </c>
      <c r="AL16" s="24">
        <f t="shared" si="1"/>
        <v>41</v>
      </c>
      <c r="AM16" s="24">
        <f t="shared" si="1"/>
        <v>46</v>
      </c>
    </row>
    <row r="17" spans="2:86" x14ac:dyDescent="0.2">
      <c r="B17" s="5"/>
      <c r="C17" s="5"/>
      <c r="D17" s="5"/>
      <c r="E17" s="5"/>
      <c r="F17" s="5"/>
      <c r="G17" s="5"/>
      <c r="H17" s="5"/>
      <c r="I17" s="5"/>
      <c r="J17" s="5"/>
      <c r="K17" s="5"/>
      <c r="L17" s="5"/>
      <c r="P17" s="25"/>
      <c r="Q17" s="25"/>
      <c r="R17" s="24" t="s">
        <v>47</v>
      </c>
      <c r="S17" s="11"/>
      <c r="T17" s="24">
        <f t="shared" ref="T17:AM17" si="2">VLOOKUP(T$13&amp;"AllSex"&amp;"AllEth"&amp;19&amp;$R$17,Methodstable,7,FALSE)</f>
        <v>59</v>
      </c>
      <c r="U17" s="24">
        <f t="shared" si="2"/>
        <v>59</v>
      </c>
      <c r="V17" s="24">
        <f t="shared" si="2"/>
        <v>64</v>
      </c>
      <c r="W17" s="24">
        <f t="shared" si="2"/>
        <v>52</v>
      </c>
      <c r="X17" s="24">
        <f t="shared" si="2"/>
        <v>36</v>
      </c>
      <c r="Y17" s="24">
        <f t="shared" si="2"/>
        <v>54</v>
      </c>
      <c r="Z17" s="24">
        <f t="shared" si="2"/>
        <v>47</v>
      </c>
      <c r="AA17" s="24">
        <f t="shared" si="2"/>
        <v>58</v>
      </c>
      <c r="AB17" s="24">
        <f t="shared" si="2"/>
        <v>46</v>
      </c>
      <c r="AC17" s="24">
        <f t="shared" si="2"/>
        <v>51</v>
      </c>
      <c r="AD17" s="24">
        <f t="shared" si="2"/>
        <v>49</v>
      </c>
      <c r="AE17" s="24">
        <f t="shared" si="2"/>
        <v>48</v>
      </c>
      <c r="AF17" s="24">
        <f t="shared" si="2"/>
        <v>55</v>
      </c>
      <c r="AG17" s="24">
        <f t="shared" si="2"/>
        <v>59</v>
      </c>
      <c r="AH17" s="24">
        <f t="shared" si="2"/>
        <v>67</v>
      </c>
      <c r="AI17" s="24">
        <f t="shared" si="2"/>
        <v>56</v>
      </c>
      <c r="AJ17" s="24">
        <f t="shared" si="2"/>
        <v>64</v>
      </c>
      <c r="AK17" s="24">
        <f t="shared" si="2"/>
        <v>69</v>
      </c>
      <c r="AL17" s="24">
        <f t="shared" si="2"/>
        <v>64</v>
      </c>
      <c r="AM17" s="24">
        <f t="shared" si="2"/>
        <v>49</v>
      </c>
    </row>
    <row r="18" spans="2:86" x14ac:dyDescent="0.2">
      <c r="B18" s="5"/>
      <c r="C18" s="5"/>
      <c r="D18" s="5"/>
      <c r="E18" s="5"/>
      <c r="F18" s="5"/>
      <c r="G18" s="5"/>
      <c r="H18" s="5"/>
      <c r="I18" s="5"/>
      <c r="J18" s="5"/>
      <c r="K18" s="5"/>
      <c r="L18" s="5"/>
      <c r="P18" s="25"/>
      <c r="Q18" s="25"/>
      <c r="R18" s="11" t="s">
        <v>42</v>
      </c>
      <c r="S18" s="11"/>
      <c r="T18" s="24">
        <f t="shared" ref="T18:AM18" si="3">VLOOKUP(T$13&amp;"AllSex"&amp;"AllEth"&amp;19&amp;$R$18,Methodstable,7,FALSE)</f>
        <v>47</v>
      </c>
      <c r="U18" s="24">
        <f t="shared" si="3"/>
        <v>56</v>
      </c>
      <c r="V18" s="24">
        <f t="shared" si="3"/>
        <v>72</v>
      </c>
      <c r="W18" s="24">
        <f t="shared" si="3"/>
        <v>47</v>
      </c>
      <c r="X18" s="24">
        <f t="shared" si="3"/>
        <v>37</v>
      </c>
      <c r="Y18" s="24">
        <f t="shared" si="3"/>
        <v>51</v>
      </c>
      <c r="Z18" s="24">
        <f t="shared" si="3"/>
        <v>49</v>
      </c>
      <c r="AA18" s="24">
        <f t="shared" si="3"/>
        <v>42</v>
      </c>
      <c r="AB18" s="24">
        <f t="shared" si="3"/>
        <v>39</v>
      </c>
      <c r="AC18" s="24">
        <f t="shared" si="3"/>
        <v>44</v>
      </c>
      <c r="AD18" s="24">
        <f t="shared" si="3"/>
        <v>48</v>
      </c>
      <c r="AE18" s="24">
        <f t="shared" si="3"/>
        <v>48</v>
      </c>
      <c r="AF18" s="24">
        <f t="shared" si="3"/>
        <v>42</v>
      </c>
      <c r="AG18" s="24">
        <f t="shared" si="3"/>
        <v>53</v>
      </c>
      <c r="AH18" s="24">
        <f t="shared" si="3"/>
        <v>42</v>
      </c>
      <c r="AI18" s="24">
        <f t="shared" si="3"/>
        <v>36</v>
      </c>
      <c r="AJ18" s="24">
        <f t="shared" si="3"/>
        <v>47</v>
      </c>
      <c r="AK18" s="24">
        <f t="shared" si="3"/>
        <v>48</v>
      </c>
      <c r="AL18" s="24">
        <f t="shared" si="3"/>
        <v>41</v>
      </c>
      <c r="AM18" s="24">
        <f t="shared" si="3"/>
        <v>41</v>
      </c>
    </row>
    <row r="19" spans="2:86" x14ac:dyDescent="0.2">
      <c r="B19" s="5"/>
      <c r="C19" s="5"/>
      <c r="D19" s="5"/>
      <c r="E19" s="5"/>
      <c r="F19" s="5"/>
      <c r="G19" s="5"/>
      <c r="H19" s="5"/>
      <c r="I19" s="5"/>
      <c r="J19" s="5"/>
      <c r="K19" s="5"/>
      <c r="L19" s="5"/>
      <c r="P19" s="25"/>
      <c r="Q19" s="25"/>
      <c r="R19" s="24" t="s">
        <v>44</v>
      </c>
      <c r="S19" s="11"/>
      <c r="T19" s="24">
        <f t="shared" ref="T19:AM19" si="4">VLOOKUP(T$13&amp;"AllSex"&amp;"AllEth"&amp;19&amp;$R$19,Methodstable,7,FALSE)</f>
        <v>12</v>
      </c>
      <c r="U19" s="24">
        <f t="shared" si="4"/>
        <v>11</v>
      </c>
      <c r="V19" s="24">
        <f t="shared" si="4"/>
        <v>16</v>
      </c>
      <c r="W19" s="24">
        <f t="shared" si="4"/>
        <v>17</v>
      </c>
      <c r="X19" s="24">
        <f t="shared" si="4"/>
        <v>16</v>
      </c>
      <c r="Y19" s="24">
        <f t="shared" si="4"/>
        <v>19</v>
      </c>
      <c r="Z19" s="24">
        <f t="shared" si="4"/>
        <v>19</v>
      </c>
      <c r="AA19" s="24">
        <f t="shared" si="4"/>
        <v>15</v>
      </c>
      <c r="AB19" s="24">
        <f t="shared" si="4"/>
        <v>10</v>
      </c>
      <c r="AC19" s="24">
        <f t="shared" si="4"/>
        <v>15</v>
      </c>
      <c r="AD19" s="24">
        <f t="shared" si="4"/>
        <v>10</v>
      </c>
      <c r="AE19" s="24">
        <f t="shared" si="4"/>
        <v>13</v>
      </c>
      <c r="AF19" s="24">
        <f t="shared" si="4"/>
        <v>14</v>
      </c>
      <c r="AG19" s="24">
        <f t="shared" si="4"/>
        <v>17</v>
      </c>
      <c r="AH19" s="24">
        <f t="shared" si="4"/>
        <v>13</v>
      </c>
      <c r="AI19" s="24">
        <f t="shared" si="4"/>
        <v>12</v>
      </c>
      <c r="AJ19" s="24">
        <f t="shared" si="4"/>
        <v>16</v>
      </c>
      <c r="AK19" s="24">
        <f t="shared" si="4"/>
        <v>14</v>
      </c>
      <c r="AL19" s="24">
        <f t="shared" si="4"/>
        <v>17</v>
      </c>
      <c r="AM19" s="24">
        <f t="shared" si="4"/>
        <v>19</v>
      </c>
    </row>
    <row r="20" spans="2:86" x14ac:dyDescent="0.2">
      <c r="B20" s="5"/>
      <c r="C20" s="5"/>
      <c r="D20" s="5"/>
      <c r="E20" s="5"/>
      <c r="F20" s="5"/>
      <c r="G20" s="5"/>
      <c r="H20" s="5"/>
      <c r="I20" s="5"/>
      <c r="J20" s="5"/>
      <c r="K20" s="5"/>
      <c r="L20" s="5"/>
      <c r="P20" s="25"/>
      <c r="Q20" s="25"/>
      <c r="R20" s="24" t="s">
        <v>49</v>
      </c>
      <c r="S20" s="11"/>
      <c r="T20" s="24">
        <f t="shared" ref="T20:AM20" si="5">VLOOKUP(T$13&amp;"AllSex"&amp;"AllEth"&amp;19&amp;$R$20,Methodstable,7,FALSE)</f>
        <v>11</v>
      </c>
      <c r="U20" s="24">
        <f t="shared" si="5"/>
        <v>17</v>
      </c>
      <c r="V20" s="24">
        <f t="shared" si="5"/>
        <v>10</v>
      </c>
      <c r="W20" s="24">
        <f t="shared" si="5"/>
        <v>16</v>
      </c>
      <c r="X20" s="24">
        <f t="shared" si="5"/>
        <v>15</v>
      </c>
      <c r="Y20" s="24">
        <f t="shared" si="5"/>
        <v>7</v>
      </c>
      <c r="Z20" s="24">
        <f t="shared" si="5"/>
        <v>13</v>
      </c>
      <c r="AA20" s="24">
        <f t="shared" si="5"/>
        <v>13</v>
      </c>
      <c r="AB20" s="24">
        <f t="shared" si="5"/>
        <v>12</v>
      </c>
      <c r="AC20" s="24">
        <f t="shared" si="5"/>
        <v>13</v>
      </c>
      <c r="AD20" s="24">
        <f t="shared" si="5"/>
        <v>9</v>
      </c>
      <c r="AE20" s="24">
        <f t="shared" si="5"/>
        <v>11</v>
      </c>
      <c r="AF20" s="24">
        <f t="shared" si="5"/>
        <v>8</v>
      </c>
      <c r="AG20" s="24">
        <f t="shared" si="5"/>
        <v>6</v>
      </c>
      <c r="AH20" s="24">
        <f t="shared" si="5"/>
        <v>9</v>
      </c>
      <c r="AI20" s="24">
        <f t="shared" si="5"/>
        <v>15</v>
      </c>
      <c r="AJ20" s="24">
        <f t="shared" si="5"/>
        <v>5</v>
      </c>
      <c r="AK20" s="24">
        <f t="shared" si="5"/>
        <v>15</v>
      </c>
      <c r="AL20" s="24">
        <f t="shared" si="5"/>
        <v>10</v>
      </c>
      <c r="AM20" s="24">
        <f t="shared" si="5"/>
        <v>10</v>
      </c>
    </row>
    <row r="21" spans="2:86" x14ac:dyDescent="0.2">
      <c r="B21" s="5"/>
      <c r="C21" s="5"/>
      <c r="D21" s="5"/>
      <c r="E21" s="5"/>
      <c r="F21" s="5"/>
      <c r="G21" s="5"/>
      <c r="H21" s="5"/>
      <c r="I21" s="5"/>
      <c r="J21" s="5"/>
      <c r="K21" s="5"/>
      <c r="L21" s="5"/>
      <c r="P21" s="25"/>
      <c r="Q21" s="25"/>
      <c r="R21" s="24" t="s">
        <v>48</v>
      </c>
      <c r="S21" s="11"/>
      <c r="T21" s="24">
        <f t="shared" ref="T21:AM21" si="6">VLOOKUP(T$13&amp;"AllSex"&amp;"AllEth"&amp;19&amp;$R$21,Methodstable,7,FALSE)</f>
        <v>7</v>
      </c>
      <c r="U21" s="24">
        <f t="shared" si="6"/>
        <v>14</v>
      </c>
      <c r="V21" s="24">
        <f t="shared" si="6"/>
        <v>8</v>
      </c>
      <c r="W21" s="24">
        <f t="shared" si="6"/>
        <v>8</v>
      </c>
      <c r="X21" s="24">
        <f t="shared" si="6"/>
        <v>11</v>
      </c>
      <c r="Y21" s="24">
        <f t="shared" si="6"/>
        <v>9</v>
      </c>
      <c r="Z21" s="24">
        <f t="shared" si="6"/>
        <v>5</v>
      </c>
      <c r="AA21" s="24">
        <f t="shared" si="6"/>
        <v>18</v>
      </c>
      <c r="AB21" s="24">
        <f t="shared" si="6"/>
        <v>6</v>
      </c>
      <c r="AC21" s="24">
        <f t="shared" si="6"/>
        <v>13</v>
      </c>
      <c r="AD21" s="24">
        <f t="shared" si="6"/>
        <v>13</v>
      </c>
      <c r="AE21" s="24">
        <f t="shared" si="6"/>
        <v>6</v>
      </c>
      <c r="AF21" s="24">
        <f t="shared" si="6"/>
        <v>14</v>
      </c>
      <c r="AG21" s="24">
        <f t="shared" si="6"/>
        <v>10</v>
      </c>
      <c r="AH21" s="24">
        <f t="shared" si="6"/>
        <v>9</v>
      </c>
      <c r="AI21" s="24">
        <f t="shared" si="6"/>
        <v>7</v>
      </c>
      <c r="AJ21" s="24">
        <f t="shared" si="6"/>
        <v>13</v>
      </c>
      <c r="AK21" s="24">
        <f t="shared" si="6"/>
        <v>10</v>
      </c>
      <c r="AL21" s="24">
        <f t="shared" si="6"/>
        <v>10</v>
      </c>
      <c r="AM21" s="24">
        <f t="shared" si="6"/>
        <v>8</v>
      </c>
    </row>
    <row r="22" spans="2:86" x14ac:dyDescent="0.2">
      <c r="B22" s="5"/>
      <c r="C22" s="5"/>
      <c r="D22" s="5"/>
      <c r="E22" s="5"/>
      <c r="F22" s="5"/>
      <c r="G22" s="5"/>
      <c r="H22" s="5"/>
      <c r="I22" s="5"/>
      <c r="J22" s="5"/>
      <c r="K22" s="5"/>
      <c r="L22" s="5"/>
      <c r="P22" s="25"/>
      <c r="Q22" s="25"/>
      <c r="R22" s="24" t="s">
        <v>45</v>
      </c>
      <c r="S22" s="11"/>
      <c r="T22" s="24">
        <f t="shared" ref="T22:AM22" si="7">VLOOKUP(T$13&amp;"AllSex"&amp;"AllEth"&amp;19&amp;$R$22,Methodstable,7,FALSE)</f>
        <v>17</v>
      </c>
      <c r="U22" s="24">
        <f t="shared" si="7"/>
        <v>16</v>
      </c>
      <c r="V22" s="24">
        <f t="shared" si="7"/>
        <v>25</v>
      </c>
      <c r="W22" s="24">
        <f t="shared" si="7"/>
        <v>18</v>
      </c>
      <c r="X22" s="24">
        <f t="shared" si="7"/>
        <v>16</v>
      </c>
      <c r="Y22" s="24">
        <f t="shared" si="7"/>
        <v>22</v>
      </c>
      <c r="Z22" s="24">
        <f t="shared" si="7"/>
        <v>16</v>
      </c>
      <c r="AA22" s="24">
        <f t="shared" si="7"/>
        <v>22</v>
      </c>
      <c r="AB22" s="24">
        <f t="shared" si="7"/>
        <v>16</v>
      </c>
      <c r="AC22" s="24">
        <f t="shared" si="7"/>
        <v>13</v>
      </c>
      <c r="AD22" s="24">
        <f t="shared" si="7"/>
        <v>22</v>
      </c>
      <c r="AE22" s="24">
        <f t="shared" si="7"/>
        <v>19</v>
      </c>
      <c r="AF22" s="24">
        <f t="shared" si="7"/>
        <v>20</v>
      </c>
      <c r="AG22" s="24">
        <f t="shared" si="7"/>
        <v>15</v>
      </c>
      <c r="AH22" s="24">
        <f t="shared" si="7"/>
        <v>20</v>
      </c>
      <c r="AI22" s="24">
        <f t="shared" si="7"/>
        <v>18</v>
      </c>
      <c r="AJ22" s="24">
        <f t="shared" si="7"/>
        <v>19</v>
      </c>
      <c r="AK22" s="24">
        <f t="shared" si="7"/>
        <v>19</v>
      </c>
      <c r="AL22" s="24">
        <f t="shared" si="7"/>
        <v>16</v>
      </c>
      <c r="AM22" s="24">
        <f t="shared" si="7"/>
        <v>24</v>
      </c>
      <c r="BJ22" s="480"/>
      <c r="BK22" s="512"/>
      <c r="BL22" s="512"/>
      <c r="BM22" s="512"/>
      <c r="BN22" s="512"/>
      <c r="BO22" s="512">
        <v>1996</v>
      </c>
      <c r="BP22" s="512">
        <v>1997</v>
      </c>
      <c r="BQ22" s="512">
        <v>1998</v>
      </c>
      <c r="BR22" s="512">
        <v>1999</v>
      </c>
      <c r="BS22" s="512">
        <v>2000</v>
      </c>
      <c r="BT22" s="512">
        <v>2001</v>
      </c>
      <c r="BU22" s="512">
        <v>2002</v>
      </c>
      <c r="BV22" s="512">
        <v>2003</v>
      </c>
      <c r="BW22" s="512">
        <v>2004</v>
      </c>
      <c r="BX22" s="512">
        <v>2005</v>
      </c>
      <c r="BY22" s="512">
        <v>2006</v>
      </c>
      <c r="BZ22" s="512">
        <v>2007</v>
      </c>
      <c r="CA22" s="512">
        <v>2008</v>
      </c>
      <c r="CB22" s="512">
        <v>2009</v>
      </c>
      <c r="CC22" s="512">
        <v>2010</v>
      </c>
      <c r="CD22" s="512">
        <v>2011</v>
      </c>
      <c r="CE22" s="512">
        <v>2012</v>
      </c>
      <c r="CF22" s="512">
        <v>2013</v>
      </c>
      <c r="CG22" s="512">
        <v>2014</v>
      </c>
      <c r="CH22" s="512">
        <v>2015</v>
      </c>
    </row>
    <row r="23" spans="2:86" x14ac:dyDescent="0.2">
      <c r="B23" s="5"/>
      <c r="C23" s="5"/>
      <c r="D23" s="5"/>
      <c r="E23" s="5"/>
      <c r="F23" s="5"/>
      <c r="G23" s="5"/>
      <c r="H23" s="5"/>
      <c r="I23" s="5"/>
      <c r="J23" s="5"/>
      <c r="K23" s="5"/>
      <c r="L23" s="5"/>
      <c r="P23" s="28"/>
      <c r="Q23" s="28"/>
      <c r="R23" s="17"/>
      <c r="S23" s="17"/>
      <c r="T23" s="17"/>
      <c r="U23" s="17"/>
      <c r="V23" s="17"/>
      <c r="W23" s="17"/>
      <c r="X23" s="17"/>
      <c r="Y23" s="17"/>
      <c r="Z23" s="17"/>
      <c r="AA23" s="17"/>
      <c r="AB23" s="17"/>
      <c r="AC23" s="17"/>
      <c r="AD23" s="17"/>
      <c r="AE23" s="17"/>
      <c r="AF23" s="17"/>
      <c r="AG23" s="17"/>
      <c r="AH23" s="17"/>
      <c r="AI23" s="17"/>
      <c r="AJ23" s="17"/>
      <c r="AK23" s="17"/>
      <c r="AL23" s="17"/>
      <c r="AM23" s="17"/>
      <c r="BJ23" s="480" t="b">
        <v>1</v>
      </c>
      <c r="BK23" s="512" t="s">
        <v>0</v>
      </c>
      <c r="BL23" s="512" t="s">
        <v>9</v>
      </c>
      <c r="BM23" s="512" t="s">
        <v>43</v>
      </c>
      <c r="BN23" s="512" t="s">
        <v>51</v>
      </c>
      <c r="BO23" s="512">
        <f t="shared" ref="BO23:CH23" si="8">IF($BJ$23,VLOOKUP(BO$22&amp;"AllSex"&amp;"AllEth"&amp;19&amp;$BM23,Methodstable,9,FALSE),NA())</f>
        <v>42.6</v>
      </c>
      <c r="BP23" s="512">
        <f t="shared" si="8"/>
        <v>41.3</v>
      </c>
      <c r="BQ23" s="512">
        <f t="shared" si="8"/>
        <v>43.2</v>
      </c>
      <c r="BR23" s="512">
        <f t="shared" si="8"/>
        <v>46.8</v>
      </c>
      <c r="BS23" s="512">
        <f t="shared" si="8"/>
        <v>46.8</v>
      </c>
      <c r="BT23" s="512">
        <f t="shared" si="8"/>
        <v>46.3</v>
      </c>
      <c r="BU23" s="512">
        <f t="shared" si="8"/>
        <v>47.2</v>
      </c>
      <c r="BV23" s="512">
        <f t="shared" si="8"/>
        <v>47.9</v>
      </c>
      <c r="BW23" s="512">
        <f t="shared" si="8"/>
        <v>54.7</v>
      </c>
      <c r="BX23" s="512">
        <f t="shared" si="8"/>
        <v>49.7</v>
      </c>
      <c r="BY23" s="512">
        <f t="shared" si="8"/>
        <v>54.6</v>
      </c>
      <c r="BZ23" s="512">
        <f t="shared" si="8"/>
        <v>56.7</v>
      </c>
      <c r="CA23" s="512">
        <f t="shared" si="8"/>
        <v>56</v>
      </c>
      <c r="CB23" s="512">
        <f t="shared" si="8"/>
        <v>59</v>
      </c>
      <c r="CC23" s="512">
        <f t="shared" si="8"/>
        <v>58.6</v>
      </c>
      <c r="CD23" s="512">
        <f t="shared" si="8"/>
        <v>61.1</v>
      </c>
      <c r="CE23" s="512">
        <f t="shared" si="8"/>
        <v>62.4</v>
      </c>
      <c r="CF23" s="512">
        <f t="shared" si="8"/>
        <v>57.2</v>
      </c>
      <c r="CG23" s="512">
        <f t="shared" si="8"/>
        <v>60.9</v>
      </c>
      <c r="CH23" s="512">
        <f t="shared" si="8"/>
        <v>62.5</v>
      </c>
    </row>
    <row r="24" spans="2:86" x14ac:dyDescent="0.2">
      <c r="B24" s="5"/>
      <c r="C24" s="5"/>
      <c r="D24" s="5"/>
      <c r="E24" s="5"/>
      <c r="F24" s="5"/>
      <c r="G24" s="5"/>
      <c r="H24" s="5"/>
      <c r="I24" s="5"/>
      <c r="J24" s="5"/>
      <c r="K24" s="5"/>
      <c r="L24" s="5"/>
      <c r="P24" s="25" t="s">
        <v>0</v>
      </c>
      <c r="Q24" s="25" t="s">
        <v>9</v>
      </c>
      <c r="R24" s="11" t="s">
        <v>43</v>
      </c>
      <c r="S24" s="24" t="s">
        <v>366</v>
      </c>
      <c r="T24" s="27">
        <f t="shared" ref="T24:AM24" si="9">VLOOKUP(T$13&amp;"AllSex"&amp;"AllEth"&amp;19&amp;$R$24,Methodstable,9,FALSE)</f>
        <v>42.6</v>
      </c>
      <c r="U24" s="27">
        <f t="shared" si="9"/>
        <v>41.3</v>
      </c>
      <c r="V24" s="27">
        <f t="shared" si="9"/>
        <v>43.2</v>
      </c>
      <c r="W24" s="27">
        <f t="shared" si="9"/>
        <v>46.8</v>
      </c>
      <c r="X24" s="27">
        <f t="shared" si="9"/>
        <v>46.8</v>
      </c>
      <c r="Y24" s="27">
        <f t="shared" si="9"/>
        <v>46.3</v>
      </c>
      <c r="Z24" s="27">
        <f t="shared" si="9"/>
        <v>47.2</v>
      </c>
      <c r="AA24" s="27">
        <f t="shared" si="9"/>
        <v>47.9</v>
      </c>
      <c r="AB24" s="27">
        <f t="shared" si="9"/>
        <v>54.7</v>
      </c>
      <c r="AC24" s="27">
        <f t="shared" si="9"/>
        <v>49.7</v>
      </c>
      <c r="AD24" s="27">
        <f t="shared" si="9"/>
        <v>54.6</v>
      </c>
      <c r="AE24" s="27">
        <f t="shared" si="9"/>
        <v>56.7</v>
      </c>
      <c r="AF24" s="27">
        <f t="shared" si="9"/>
        <v>56</v>
      </c>
      <c r="AG24" s="27">
        <f t="shared" si="9"/>
        <v>59</v>
      </c>
      <c r="AH24" s="27">
        <f t="shared" si="9"/>
        <v>58.6</v>
      </c>
      <c r="AI24" s="27">
        <f t="shared" si="9"/>
        <v>61.1</v>
      </c>
      <c r="AJ24" s="27">
        <f t="shared" si="9"/>
        <v>62.4</v>
      </c>
      <c r="AK24" s="27">
        <f t="shared" si="9"/>
        <v>57.2</v>
      </c>
      <c r="AL24" s="27">
        <f t="shared" si="9"/>
        <v>60.9</v>
      </c>
      <c r="AM24" s="27">
        <f t="shared" si="9"/>
        <v>62.5</v>
      </c>
      <c r="BJ24" s="480" t="b">
        <v>1</v>
      </c>
      <c r="BK24" s="512"/>
      <c r="BL24" s="512"/>
      <c r="BM24" s="512" t="s">
        <v>46</v>
      </c>
      <c r="BN24" s="512" t="s">
        <v>51</v>
      </c>
      <c r="BO24" s="512">
        <f t="shared" ref="BO24:CH24" si="10">IF($BJ$24,VLOOKUP(BO$22&amp;"AllSex"&amp;"AllEth"&amp;19&amp;$BM24,Methodstable,9,FALSE),NA())</f>
        <v>29.1</v>
      </c>
      <c r="BP24" s="512">
        <f t="shared" si="10"/>
        <v>27.9</v>
      </c>
      <c r="BQ24" s="512">
        <f t="shared" si="10"/>
        <v>23.1</v>
      </c>
      <c r="BR24" s="512">
        <f t="shared" si="10"/>
        <v>22.6</v>
      </c>
      <c r="BS24" s="512">
        <f t="shared" si="10"/>
        <v>24.6</v>
      </c>
      <c r="BT24" s="512">
        <f t="shared" si="10"/>
        <v>21.9</v>
      </c>
      <c r="BU24" s="512">
        <f t="shared" si="10"/>
        <v>21.1</v>
      </c>
      <c r="BV24" s="512">
        <f t="shared" si="10"/>
        <v>19.899999999999999</v>
      </c>
      <c r="BW24" s="512">
        <f t="shared" si="10"/>
        <v>19.2</v>
      </c>
      <c r="BX24" s="512">
        <f t="shared" si="10"/>
        <v>21.4</v>
      </c>
      <c r="BY24" s="512">
        <f t="shared" si="10"/>
        <v>16.600000000000001</v>
      </c>
      <c r="BZ24" s="512">
        <f t="shared" si="10"/>
        <v>14.4</v>
      </c>
      <c r="CA24" s="512">
        <f t="shared" si="10"/>
        <v>14.5</v>
      </c>
      <c r="CB24" s="512">
        <f t="shared" si="10"/>
        <v>9.8000000000000007</v>
      </c>
      <c r="CC24" s="512">
        <f t="shared" si="10"/>
        <v>11.4</v>
      </c>
      <c r="CD24" s="512">
        <f t="shared" si="10"/>
        <v>9.6999999999999993</v>
      </c>
      <c r="CE24" s="512">
        <f t="shared" si="10"/>
        <v>7.8</v>
      </c>
      <c r="CF24" s="512">
        <f t="shared" si="10"/>
        <v>8.8000000000000007</v>
      </c>
      <c r="CG24" s="512">
        <f t="shared" si="10"/>
        <v>8.1</v>
      </c>
      <c r="CH24" s="512">
        <f t="shared" si="10"/>
        <v>8.8000000000000007</v>
      </c>
    </row>
    <row r="25" spans="2:86" x14ac:dyDescent="0.2">
      <c r="B25" s="5"/>
      <c r="C25" s="5"/>
      <c r="D25" s="5"/>
      <c r="E25" s="5"/>
      <c r="F25" s="5"/>
      <c r="G25" s="5"/>
      <c r="H25" s="5"/>
      <c r="I25" s="5"/>
      <c r="J25" s="5"/>
      <c r="K25" s="5"/>
      <c r="L25" s="5"/>
      <c r="P25" s="25"/>
      <c r="Q25" s="25"/>
      <c r="R25" s="24" t="s">
        <v>46</v>
      </c>
      <c r="S25" s="24"/>
      <c r="T25" s="27">
        <f t="shared" ref="T25:AM25" si="11">VLOOKUP(T$13&amp;"AllSex"&amp;"AllEth"&amp;19&amp;$R$25,Methodstable,9,FALSE)</f>
        <v>29.1</v>
      </c>
      <c r="U25" s="27">
        <f t="shared" si="11"/>
        <v>27.9</v>
      </c>
      <c r="V25" s="27">
        <f t="shared" si="11"/>
        <v>23.1</v>
      </c>
      <c r="W25" s="27">
        <f t="shared" si="11"/>
        <v>22.6</v>
      </c>
      <c r="X25" s="27">
        <f t="shared" si="11"/>
        <v>24.6</v>
      </c>
      <c r="Y25" s="27">
        <f t="shared" si="11"/>
        <v>21.9</v>
      </c>
      <c r="Z25" s="27">
        <f t="shared" si="11"/>
        <v>21.1</v>
      </c>
      <c r="AA25" s="27">
        <f t="shared" si="11"/>
        <v>19.899999999999999</v>
      </c>
      <c r="AB25" s="27">
        <f t="shared" si="11"/>
        <v>19.2</v>
      </c>
      <c r="AC25" s="27">
        <f t="shared" si="11"/>
        <v>21.4</v>
      </c>
      <c r="AD25" s="27">
        <f t="shared" si="11"/>
        <v>16.600000000000001</v>
      </c>
      <c r="AE25" s="27">
        <f t="shared" si="11"/>
        <v>14.4</v>
      </c>
      <c r="AF25" s="27">
        <f t="shared" si="11"/>
        <v>14.5</v>
      </c>
      <c r="AG25" s="27">
        <f t="shared" si="11"/>
        <v>9.8000000000000007</v>
      </c>
      <c r="AH25" s="27">
        <f t="shared" si="11"/>
        <v>11.4</v>
      </c>
      <c r="AI25" s="27">
        <f t="shared" si="11"/>
        <v>9.6999999999999993</v>
      </c>
      <c r="AJ25" s="27">
        <f t="shared" si="11"/>
        <v>7.8</v>
      </c>
      <c r="AK25" s="27">
        <f t="shared" si="11"/>
        <v>8.8000000000000007</v>
      </c>
      <c r="AL25" s="27">
        <f t="shared" si="11"/>
        <v>8.1</v>
      </c>
      <c r="AM25" s="27">
        <f t="shared" si="11"/>
        <v>8.8000000000000007</v>
      </c>
      <c r="BJ25" s="480" t="b">
        <v>1</v>
      </c>
      <c r="BK25" s="512"/>
      <c r="BL25" s="512"/>
      <c r="BM25" s="512" t="s">
        <v>47</v>
      </c>
      <c r="BN25" s="512" t="s">
        <v>51</v>
      </c>
      <c r="BO25" s="512">
        <f t="shared" ref="BO25:CH25" si="12">IF($BJ$25,VLOOKUP(BO$22&amp;"AllSex"&amp;"AllEth"&amp;19&amp;$BM25,Methodstable,9,FALSE),NA())</f>
        <v>10.9</v>
      </c>
      <c r="BP25" s="512">
        <f t="shared" si="12"/>
        <v>10.5</v>
      </c>
      <c r="BQ25" s="512">
        <f t="shared" si="12"/>
        <v>11.1</v>
      </c>
      <c r="BR25" s="512">
        <f t="shared" si="12"/>
        <v>10.1</v>
      </c>
      <c r="BS25" s="512">
        <f t="shared" si="12"/>
        <v>7.8</v>
      </c>
      <c r="BT25" s="512">
        <f t="shared" si="12"/>
        <v>10.6</v>
      </c>
      <c r="BU25" s="512">
        <f t="shared" si="12"/>
        <v>10</v>
      </c>
      <c r="BV25" s="512">
        <f t="shared" si="12"/>
        <v>11.1</v>
      </c>
      <c r="BW25" s="512">
        <f t="shared" si="12"/>
        <v>9.3000000000000007</v>
      </c>
      <c r="BX25" s="512">
        <f t="shared" si="12"/>
        <v>9.9</v>
      </c>
      <c r="BY25" s="512">
        <f t="shared" si="12"/>
        <v>9.4</v>
      </c>
      <c r="BZ25" s="512">
        <f t="shared" si="12"/>
        <v>9.6</v>
      </c>
      <c r="CA25" s="512">
        <f t="shared" si="12"/>
        <v>10.6</v>
      </c>
      <c r="CB25" s="512">
        <f t="shared" si="12"/>
        <v>11.5</v>
      </c>
      <c r="CC25" s="512">
        <f t="shared" si="12"/>
        <v>12.5</v>
      </c>
      <c r="CD25" s="512">
        <f t="shared" si="12"/>
        <v>11.3</v>
      </c>
      <c r="CE25" s="512">
        <f t="shared" si="12"/>
        <v>11.6</v>
      </c>
      <c r="CF25" s="512">
        <f t="shared" si="12"/>
        <v>13.4</v>
      </c>
      <c r="CG25" s="512">
        <f t="shared" si="12"/>
        <v>12.6</v>
      </c>
      <c r="CH25" s="512">
        <f t="shared" si="12"/>
        <v>9.3000000000000007</v>
      </c>
    </row>
    <row r="26" spans="2:86" x14ac:dyDescent="0.2">
      <c r="B26" s="5"/>
      <c r="C26" s="60" t="s">
        <v>102</v>
      </c>
      <c r="D26" s="5"/>
      <c r="E26" s="5"/>
      <c r="F26" s="5"/>
      <c r="G26" s="5"/>
      <c r="H26" s="5"/>
      <c r="I26" s="5"/>
      <c r="J26" s="5"/>
      <c r="K26" s="5"/>
      <c r="L26" s="5"/>
      <c r="P26" s="25"/>
      <c r="Q26" s="25"/>
      <c r="R26" s="24" t="s">
        <v>47</v>
      </c>
      <c r="S26" s="24"/>
      <c r="T26" s="27">
        <f t="shared" ref="T26:AM26" si="13">VLOOKUP(T$13&amp;"AllSex"&amp;"AllEth"&amp;19&amp;$R$17,Methodstable,9,FALSE)</f>
        <v>10.9</v>
      </c>
      <c r="U26" s="27">
        <f t="shared" si="13"/>
        <v>10.5</v>
      </c>
      <c r="V26" s="27">
        <f t="shared" si="13"/>
        <v>11.1</v>
      </c>
      <c r="W26" s="27">
        <f t="shared" si="13"/>
        <v>10.1</v>
      </c>
      <c r="X26" s="27">
        <f t="shared" si="13"/>
        <v>7.8</v>
      </c>
      <c r="Y26" s="27">
        <f t="shared" si="13"/>
        <v>10.6</v>
      </c>
      <c r="Z26" s="27">
        <f t="shared" si="13"/>
        <v>10</v>
      </c>
      <c r="AA26" s="27">
        <f t="shared" si="13"/>
        <v>11.1</v>
      </c>
      <c r="AB26" s="27">
        <f t="shared" si="13"/>
        <v>9.3000000000000007</v>
      </c>
      <c r="AC26" s="27">
        <f t="shared" si="13"/>
        <v>9.9</v>
      </c>
      <c r="AD26" s="27">
        <f t="shared" si="13"/>
        <v>9.4</v>
      </c>
      <c r="AE26" s="27">
        <f t="shared" si="13"/>
        <v>9.6</v>
      </c>
      <c r="AF26" s="27">
        <f t="shared" si="13"/>
        <v>10.6</v>
      </c>
      <c r="AG26" s="27">
        <f t="shared" si="13"/>
        <v>11.5</v>
      </c>
      <c r="AH26" s="27">
        <f t="shared" si="13"/>
        <v>12.5</v>
      </c>
      <c r="AI26" s="27">
        <f t="shared" si="13"/>
        <v>11.3</v>
      </c>
      <c r="AJ26" s="27">
        <f t="shared" si="13"/>
        <v>11.6</v>
      </c>
      <c r="AK26" s="27">
        <f t="shared" si="13"/>
        <v>13.4</v>
      </c>
      <c r="AL26" s="27">
        <f t="shared" si="13"/>
        <v>12.6</v>
      </c>
      <c r="AM26" s="27">
        <f t="shared" si="13"/>
        <v>9.3000000000000007</v>
      </c>
      <c r="BJ26" s="480" t="b">
        <v>1</v>
      </c>
      <c r="BK26" s="512"/>
      <c r="BL26" s="512"/>
      <c r="BM26" s="512" t="s">
        <v>42</v>
      </c>
      <c r="BN26" s="512" t="s">
        <v>51</v>
      </c>
      <c r="BO26" s="512">
        <f t="shared" ref="BO26:CH26" si="14">IF($BJ$26,VLOOKUP(BO$22&amp;"AllSex"&amp;"AllEth"&amp;19&amp;$BM26,Methodstable,9,FALSE),NA())</f>
        <v>8.6999999999999993</v>
      </c>
      <c r="BP26" s="512">
        <f t="shared" si="14"/>
        <v>10</v>
      </c>
      <c r="BQ26" s="512">
        <f t="shared" si="14"/>
        <v>12.4</v>
      </c>
      <c r="BR26" s="512">
        <f t="shared" si="14"/>
        <v>9.1</v>
      </c>
      <c r="BS26" s="512">
        <f t="shared" si="14"/>
        <v>8.1</v>
      </c>
      <c r="BT26" s="512">
        <f t="shared" si="14"/>
        <v>10</v>
      </c>
      <c r="BU26" s="512">
        <f t="shared" si="14"/>
        <v>10.4</v>
      </c>
      <c r="BV26" s="512">
        <f t="shared" si="14"/>
        <v>8</v>
      </c>
      <c r="BW26" s="512">
        <f t="shared" si="14"/>
        <v>7.9</v>
      </c>
      <c r="BX26" s="512">
        <f t="shared" si="14"/>
        <v>8.5</v>
      </c>
      <c r="BY26" s="512">
        <f t="shared" si="14"/>
        <v>9.1999999999999993</v>
      </c>
      <c r="BZ26" s="512">
        <f t="shared" si="14"/>
        <v>9.6</v>
      </c>
      <c r="CA26" s="512">
        <f t="shared" si="14"/>
        <v>8.1</v>
      </c>
      <c r="CB26" s="512">
        <f t="shared" si="14"/>
        <v>10.4</v>
      </c>
      <c r="CC26" s="512">
        <f t="shared" si="14"/>
        <v>7.9</v>
      </c>
      <c r="CD26" s="512">
        <f t="shared" si="14"/>
        <v>7.3</v>
      </c>
      <c r="CE26" s="512">
        <f t="shared" si="14"/>
        <v>8.5</v>
      </c>
      <c r="CF26" s="512">
        <f t="shared" si="14"/>
        <v>9.3000000000000007</v>
      </c>
      <c r="CG26" s="512">
        <f t="shared" si="14"/>
        <v>8.1</v>
      </c>
      <c r="CH26" s="512">
        <f t="shared" si="14"/>
        <v>7.8</v>
      </c>
    </row>
    <row r="27" spans="2:86" x14ac:dyDescent="0.2">
      <c r="B27" s="5"/>
      <c r="C27" s="5"/>
      <c r="D27" s="5"/>
      <c r="E27" s="5"/>
      <c r="F27" s="5"/>
      <c r="G27" s="5"/>
      <c r="H27" s="5"/>
      <c r="I27" s="5"/>
      <c r="J27" s="5"/>
      <c r="K27" s="5"/>
      <c r="L27" s="5"/>
      <c r="P27" s="25"/>
      <c r="Q27" s="25"/>
      <c r="R27" s="11" t="s">
        <v>42</v>
      </c>
      <c r="S27" s="24"/>
      <c r="T27" s="27">
        <f t="shared" ref="T27:AM27" si="15">VLOOKUP(T$13&amp;"AllSex"&amp;"AllEth"&amp;19&amp;$R$18,Methodstable,9,FALSE)</f>
        <v>8.6999999999999993</v>
      </c>
      <c r="U27" s="27">
        <f t="shared" si="15"/>
        <v>10</v>
      </c>
      <c r="V27" s="27">
        <f t="shared" si="15"/>
        <v>12.4</v>
      </c>
      <c r="W27" s="27">
        <f t="shared" si="15"/>
        <v>9.1</v>
      </c>
      <c r="X27" s="27">
        <f t="shared" si="15"/>
        <v>8.1</v>
      </c>
      <c r="Y27" s="27">
        <f t="shared" si="15"/>
        <v>10</v>
      </c>
      <c r="Z27" s="27">
        <f t="shared" si="15"/>
        <v>10.4</v>
      </c>
      <c r="AA27" s="27">
        <f t="shared" si="15"/>
        <v>8</v>
      </c>
      <c r="AB27" s="27">
        <f t="shared" si="15"/>
        <v>7.9</v>
      </c>
      <c r="AC27" s="27">
        <f t="shared" si="15"/>
        <v>8.5</v>
      </c>
      <c r="AD27" s="27">
        <f t="shared" si="15"/>
        <v>9.1999999999999993</v>
      </c>
      <c r="AE27" s="27">
        <f t="shared" si="15"/>
        <v>9.6</v>
      </c>
      <c r="AF27" s="27">
        <f t="shared" si="15"/>
        <v>8.1</v>
      </c>
      <c r="AG27" s="27">
        <f t="shared" si="15"/>
        <v>10.4</v>
      </c>
      <c r="AH27" s="27">
        <f t="shared" si="15"/>
        <v>7.9</v>
      </c>
      <c r="AI27" s="27">
        <f t="shared" si="15"/>
        <v>7.3</v>
      </c>
      <c r="AJ27" s="27">
        <f t="shared" si="15"/>
        <v>8.5</v>
      </c>
      <c r="AK27" s="27">
        <f t="shared" si="15"/>
        <v>9.3000000000000007</v>
      </c>
      <c r="AL27" s="27">
        <f t="shared" si="15"/>
        <v>8.1</v>
      </c>
      <c r="AM27" s="27">
        <f t="shared" si="15"/>
        <v>7.8</v>
      </c>
      <c r="BJ27" s="480" t="b">
        <v>0</v>
      </c>
      <c r="BK27" s="512"/>
      <c r="BL27" s="512"/>
      <c r="BM27" s="512" t="s">
        <v>44</v>
      </c>
      <c r="BN27" s="512" t="s">
        <v>51</v>
      </c>
      <c r="BO27" s="512" t="e">
        <f t="shared" ref="BO27:CH27" si="16">IF($BJ$27,VLOOKUP(BO$22&amp;"AllSex"&amp;"AllEth"&amp;19&amp;$BM27,Methodstable,9,FALSE),NA())</f>
        <v>#N/A</v>
      </c>
      <c r="BP27" s="512" t="e">
        <f t="shared" si="16"/>
        <v>#N/A</v>
      </c>
      <c r="BQ27" s="512" t="e">
        <f t="shared" si="16"/>
        <v>#N/A</v>
      </c>
      <c r="BR27" s="512" t="e">
        <f t="shared" si="16"/>
        <v>#N/A</v>
      </c>
      <c r="BS27" s="512" t="e">
        <f t="shared" si="16"/>
        <v>#N/A</v>
      </c>
      <c r="BT27" s="512" t="e">
        <f t="shared" si="16"/>
        <v>#N/A</v>
      </c>
      <c r="BU27" s="512" t="e">
        <f t="shared" si="16"/>
        <v>#N/A</v>
      </c>
      <c r="BV27" s="512" t="e">
        <f t="shared" si="16"/>
        <v>#N/A</v>
      </c>
      <c r="BW27" s="512" t="e">
        <f t="shared" si="16"/>
        <v>#N/A</v>
      </c>
      <c r="BX27" s="512" t="e">
        <f t="shared" si="16"/>
        <v>#N/A</v>
      </c>
      <c r="BY27" s="512" t="e">
        <f t="shared" si="16"/>
        <v>#N/A</v>
      </c>
      <c r="BZ27" s="512" t="e">
        <f t="shared" si="16"/>
        <v>#N/A</v>
      </c>
      <c r="CA27" s="512" t="e">
        <f t="shared" si="16"/>
        <v>#N/A</v>
      </c>
      <c r="CB27" s="512" t="e">
        <f t="shared" si="16"/>
        <v>#N/A</v>
      </c>
      <c r="CC27" s="512" t="e">
        <f t="shared" si="16"/>
        <v>#N/A</v>
      </c>
      <c r="CD27" s="512" t="e">
        <f t="shared" si="16"/>
        <v>#N/A</v>
      </c>
      <c r="CE27" s="512" t="e">
        <f t="shared" si="16"/>
        <v>#N/A</v>
      </c>
      <c r="CF27" s="512" t="e">
        <f t="shared" si="16"/>
        <v>#N/A</v>
      </c>
      <c r="CG27" s="512" t="e">
        <f t="shared" si="16"/>
        <v>#N/A</v>
      </c>
      <c r="CH27" s="512" t="e">
        <f t="shared" si="16"/>
        <v>#N/A</v>
      </c>
    </row>
    <row r="28" spans="2:86" x14ac:dyDescent="0.2">
      <c r="P28" s="25"/>
      <c r="Q28" s="25"/>
      <c r="R28" s="24" t="s">
        <v>44</v>
      </c>
      <c r="S28" s="24"/>
      <c r="T28" s="27">
        <f t="shared" ref="T28:AM28" si="17">VLOOKUP(T$13&amp;"AllSex"&amp;"AllEth"&amp;19&amp;$R$19,Methodstable,9,FALSE)</f>
        <v>2.2000000000000002</v>
      </c>
      <c r="U28" s="27">
        <f t="shared" si="17"/>
        <v>2</v>
      </c>
      <c r="V28" s="27">
        <f t="shared" si="17"/>
        <v>2.8</v>
      </c>
      <c r="W28" s="27">
        <f t="shared" si="17"/>
        <v>3.3</v>
      </c>
      <c r="X28" s="27">
        <f t="shared" si="17"/>
        <v>3.5</v>
      </c>
      <c r="Y28" s="27">
        <f t="shared" si="17"/>
        <v>3.7</v>
      </c>
      <c r="Z28" s="27">
        <f t="shared" si="17"/>
        <v>4</v>
      </c>
      <c r="AA28" s="27">
        <f t="shared" si="17"/>
        <v>2.9</v>
      </c>
      <c r="AB28" s="27">
        <f t="shared" si="17"/>
        <v>2</v>
      </c>
      <c r="AC28" s="27">
        <f t="shared" si="17"/>
        <v>2.9</v>
      </c>
      <c r="AD28" s="27">
        <f t="shared" si="17"/>
        <v>1.9</v>
      </c>
      <c r="AE28" s="27">
        <f t="shared" si="17"/>
        <v>2.6</v>
      </c>
      <c r="AF28" s="27">
        <f t="shared" si="17"/>
        <v>2.7</v>
      </c>
      <c r="AG28" s="27">
        <f t="shared" si="17"/>
        <v>3.3</v>
      </c>
      <c r="AH28" s="27">
        <f t="shared" si="17"/>
        <v>2.4</v>
      </c>
      <c r="AI28" s="27">
        <f t="shared" si="17"/>
        <v>2.4</v>
      </c>
      <c r="AJ28" s="27">
        <f t="shared" si="17"/>
        <v>2.9</v>
      </c>
      <c r="AK28" s="27">
        <f t="shared" si="17"/>
        <v>2.7</v>
      </c>
      <c r="AL28" s="27">
        <f t="shared" si="17"/>
        <v>3.3</v>
      </c>
      <c r="AM28" s="27">
        <f t="shared" si="17"/>
        <v>3.6</v>
      </c>
      <c r="BJ28" s="480" t="b">
        <v>0</v>
      </c>
      <c r="BK28" s="512"/>
      <c r="BL28" s="512"/>
      <c r="BM28" s="512" t="s">
        <v>49</v>
      </c>
      <c r="BN28" s="512" t="s">
        <v>51</v>
      </c>
      <c r="BO28" s="512" t="e">
        <f t="shared" ref="BO28:CH28" si="18">IF($BJ$28,VLOOKUP(BO$22&amp;"AllSex"&amp;"AllEth"&amp;19&amp;$BM28,Methodstable,9,FALSE),NA())</f>
        <v>#N/A</v>
      </c>
      <c r="BP28" s="512" t="e">
        <f t="shared" si="18"/>
        <v>#N/A</v>
      </c>
      <c r="BQ28" s="512" t="e">
        <f t="shared" si="18"/>
        <v>#N/A</v>
      </c>
      <c r="BR28" s="512" t="e">
        <f t="shared" si="18"/>
        <v>#N/A</v>
      </c>
      <c r="BS28" s="512" t="e">
        <f t="shared" si="18"/>
        <v>#N/A</v>
      </c>
      <c r="BT28" s="512" t="e">
        <f t="shared" si="18"/>
        <v>#N/A</v>
      </c>
      <c r="BU28" s="512" t="e">
        <f t="shared" si="18"/>
        <v>#N/A</v>
      </c>
      <c r="BV28" s="512" t="e">
        <f t="shared" si="18"/>
        <v>#N/A</v>
      </c>
      <c r="BW28" s="512" t="e">
        <f t="shared" si="18"/>
        <v>#N/A</v>
      </c>
      <c r="BX28" s="512" t="e">
        <f t="shared" si="18"/>
        <v>#N/A</v>
      </c>
      <c r="BY28" s="512" t="e">
        <f t="shared" si="18"/>
        <v>#N/A</v>
      </c>
      <c r="BZ28" s="512" t="e">
        <f t="shared" si="18"/>
        <v>#N/A</v>
      </c>
      <c r="CA28" s="512" t="e">
        <f t="shared" si="18"/>
        <v>#N/A</v>
      </c>
      <c r="CB28" s="512" t="e">
        <f t="shared" si="18"/>
        <v>#N/A</v>
      </c>
      <c r="CC28" s="512" t="e">
        <f t="shared" si="18"/>
        <v>#N/A</v>
      </c>
      <c r="CD28" s="512" t="e">
        <f t="shared" si="18"/>
        <v>#N/A</v>
      </c>
      <c r="CE28" s="512" t="e">
        <f t="shared" si="18"/>
        <v>#N/A</v>
      </c>
      <c r="CF28" s="512" t="e">
        <f t="shared" si="18"/>
        <v>#N/A</v>
      </c>
      <c r="CG28" s="512" t="e">
        <f t="shared" si="18"/>
        <v>#N/A</v>
      </c>
      <c r="CH28" s="512" t="e">
        <f t="shared" si="18"/>
        <v>#N/A</v>
      </c>
    </row>
    <row r="29" spans="2:86" x14ac:dyDescent="0.2">
      <c r="N29" s="33"/>
      <c r="O29" s="33"/>
      <c r="P29" s="25"/>
      <c r="Q29" s="25"/>
      <c r="R29" s="24" t="s">
        <v>49</v>
      </c>
      <c r="S29" s="24"/>
      <c r="T29" s="27">
        <f t="shared" ref="T29:AM29" si="19">VLOOKUP(T$13&amp;"AllSex"&amp;"AllEth"&amp;19&amp;$R$20,Methodstable,9,FALSE)</f>
        <v>2</v>
      </c>
      <c r="U29" s="27">
        <f t="shared" si="19"/>
        <v>3</v>
      </c>
      <c r="V29" s="27">
        <f t="shared" si="19"/>
        <v>1.7</v>
      </c>
      <c r="W29" s="27">
        <f t="shared" si="19"/>
        <v>3.1</v>
      </c>
      <c r="X29" s="27">
        <f t="shared" si="19"/>
        <v>3.3</v>
      </c>
      <c r="Y29" s="27">
        <f t="shared" si="19"/>
        <v>1.4</v>
      </c>
      <c r="Z29" s="27">
        <f t="shared" si="19"/>
        <v>2.8</v>
      </c>
      <c r="AA29" s="27">
        <f t="shared" si="19"/>
        <v>2.5</v>
      </c>
      <c r="AB29" s="27">
        <f t="shared" si="19"/>
        <v>2.4</v>
      </c>
      <c r="AC29" s="27">
        <f t="shared" si="19"/>
        <v>2.5</v>
      </c>
      <c r="AD29" s="27">
        <f t="shared" si="19"/>
        <v>1.7</v>
      </c>
      <c r="AE29" s="27">
        <f t="shared" si="19"/>
        <v>2.2000000000000002</v>
      </c>
      <c r="AF29" s="27">
        <f t="shared" si="19"/>
        <v>1.5</v>
      </c>
      <c r="AG29" s="27">
        <f t="shared" si="19"/>
        <v>1.2</v>
      </c>
      <c r="AH29" s="27">
        <f t="shared" si="19"/>
        <v>1.7</v>
      </c>
      <c r="AI29" s="27">
        <f t="shared" si="19"/>
        <v>3</v>
      </c>
      <c r="AJ29" s="27">
        <f t="shared" si="19"/>
        <v>0.9</v>
      </c>
      <c r="AK29" s="27">
        <f t="shared" si="19"/>
        <v>2.9</v>
      </c>
      <c r="AL29" s="27">
        <f t="shared" si="19"/>
        <v>2</v>
      </c>
      <c r="AM29" s="27">
        <f t="shared" si="19"/>
        <v>1.9</v>
      </c>
      <c r="BJ29" s="480" t="b">
        <v>0</v>
      </c>
      <c r="BK29" s="512"/>
      <c r="BL29" s="512"/>
      <c r="BM29" s="512" t="s">
        <v>48</v>
      </c>
      <c r="BN29" s="512" t="s">
        <v>51</v>
      </c>
      <c r="BO29" s="512" t="e">
        <f t="shared" ref="BO29:CH29" si="20">IF($BJ$29,VLOOKUP(BO$22&amp;"AllSex"&amp;"AllEth"&amp;19&amp;$BM29,Methodstable,9,FALSE),NA())</f>
        <v>#N/A</v>
      </c>
      <c r="BP29" s="512" t="e">
        <f t="shared" si="20"/>
        <v>#N/A</v>
      </c>
      <c r="BQ29" s="512" t="e">
        <f t="shared" si="20"/>
        <v>#N/A</v>
      </c>
      <c r="BR29" s="512" t="e">
        <f t="shared" si="20"/>
        <v>#N/A</v>
      </c>
      <c r="BS29" s="512" t="e">
        <f t="shared" si="20"/>
        <v>#N/A</v>
      </c>
      <c r="BT29" s="512" t="e">
        <f t="shared" si="20"/>
        <v>#N/A</v>
      </c>
      <c r="BU29" s="512" t="e">
        <f t="shared" si="20"/>
        <v>#N/A</v>
      </c>
      <c r="BV29" s="512" t="e">
        <f t="shared" si="20"/>
        <v>#N/A</v>
      </c>
      <c r="BW29" s="512" t="e">
        <f t="shared" si="20"/>
        <v>#N/A</v>
      </c>
      <c r="BX29" s="512" t="e">
        <f t="shared" si="20"/>
        <v>#N/A</v>
      </c>
      <c r="BY29" s="512" t="e">
        <f t="shared" si="20"/>
        <v>#N/A</v>
      </c>
      <c r="BZ29" s="512" t="e">
        <f t="shared" si="20"/>
        <v>#N/A</v>
      </c>
      <c r="CA29" s="512" t="e">
        <f t="shared" si="20"/>
        <v>#N/A</v>
      </c>
      <c r="CB29" s="512" t="e">
        <f t="shared" si="20"/>
        <v>#N/A</v>
      </c>
      <c r="CC29" s="512" t="e">
        <f t="shared" si="20"/>
        <v>#N/A</v>
      </c>
      <c r="CD29" s="512" t="e">
        <f t="shared" si="20"/>
        <v>#N/A</v>
      </c>
      <c r="CE29" s="512" t="e">
        <f t="shared" si="20"/>
        <v>#N/A</v>
      </c>
      <c r="CF29" s="512" t="e">
        <f t="shared" si="20"/>
        <v>#N/A</v>
      </c>
      <c r="CG29" s="512" t="e">
        <f t="shared" si="20"/>
        <v>#N/A</v>
      </c>
      <c r="CH29" s="512" t="e">
        <f t="shared" si="20"/>
        <v>#N/A</v>
      </c>
    </row>
    <row r="30" spans="2:86" x14ac:dyDescent="0.2">
      <c r="B30" s="5"/>
      <c r="C30" s="5"/>
      <c r="D30" s="5"/>
      <c r="E30" s="5"/>
      <c r="F30" s="5"/>
      <c r="G30" s="5"/>
      <c r="H30" s="5"/>
      <c r="I30" s="5"/>
      <c r="J30" s="5"/>
      <c r="K30" s="5"/>
      <c r="L30" s="5"/>
      <c r="N30" s="33"/>
      <c r="O30" s="33"/>
      <c r="P30" s="25"/>
      <c r="Q30" s="25"/>
      <c r="R30" s="24" t="s">
        <v>48</v>
      </c>
      <c r="S30" s="24"/>
      <c r="T30" s="27">
        <f t="shared" ref="T30:AM30" si="21">VLOOKUP(T$13&amp;"AllSex"&amp;"AllEth"&amp;19&amp;$R$21,Methodstable,9,FALSE)</f>
        <v>1.3</v>
      </c>
      <c r="U30" s="27">
        <f t="shared" si="21"/>
        <v>2.5</v>
      </c>
      <c r="V30" s="27">
        <f t="shared" si="21"/>
        <v>1.4</v>
      </c>
      <c r="W30" s="27">
        <f t="shared" si="21"/>
        <v>1.5</v>
      </c>
      <c r="X30" s="27">
        <f t="shared" si="21"/>
        <v>2.4</v>
      </c>
      <c r="Y30" s="27">
        <f t="shared" si="21"/>
        <v>1.8</v>
      </c>
      <c r="Z30" s="27">
        <f t="shared" si="21"/>
        <v>1.1000000000000001</v>
      </c>
      <c r="AA30" s="27">
        <f t="shared" si="21"/>
        <v>3.4</v>
      </c>
      <c r="AB30" s="27">
        <f t="shared" si="21"/>
        <v>1.2</v>
      </c>
      <c r="AC30" s="27">
        <f t="shared" si="21"/>
        <v>2.5</v>
      </c>
      <c r="AD30" s="27">
        <f t="shared" si="21"/>
        <v>2.5</v>
      </c>
      <c r="AE30" s="27">
        <f t="shared" si="21"/>
        <v>1.2</v>
      </c>
      <c r="AF30" s="27">
        <f t="shared" si="21"/>
        <v>2.7</v>
      </c>
      <c r="AG30" s="27">
        <f t="shared" si="21"/>
        <v>2</v>
      </c>
      <c r="AH30" s="27">
        <f t="shared" si="21"/>
        <v>1.7</v>
      </c>
      <c r="AI30" s="27">
        <f t="shared" si="21"/>
        <v>1.4</v>
      </c>
      <c r="AJ30" s="27">
        <f t="shared" si="21"/>
        <v>2.4</v>
      </c>
      <c r="AK30" s="27">
        <f t="shared" si="21"/>
        <v>1.9</v>
      </c>
      <c r="AL30" s="27">
        <f t="shared" si="21"/>
        <v>2</v>
      </c>
      <c r="AM30" s="27">
        <f t="shared" si="21"/>
        <v>1.5</v>
      </c>
      <c r="BJ30" s="480" t="b">
        <v>0</v>
      </c>
      <c r="BK30" s="512"/>
      <c r="BL30" s="512"/>
      <c r="BM30" s="512" t="s">
        <v>45</v>
      </c>
      <c r="BN30" s="512" t="s">
        <v>51</v>
      </c>
      <c r="BO30" s="512" t="e">
        <f t="shared" ref="BO30:CH30" si="22">IF($BJ$30,VLOOKUP(BO$22&amp;"AllSex"&amp;"AllEth"&amp;19&amp;$BM30,Methodstable,9,FALSE),NA())</f>
        <v>#N/A</v>
      </c>
      <c r="BP30" s="512" t="e">
        <f t="shared" si="22"/>
        <v>#N/A</v>
      </c>
      <c r="BQ30" s="512" t="e">
        <f t="shared" si="22"/>
        <v>#N/A</v>
      </c>
      <c r="BR30" s="512" t="e">
        <f t="shared" si="22"/>
        <v>#N/A</v>
      </c>
      <c r="BS30" s="512" t="e">
        <f t="shared" si="22"/>
        <v>#N/A</v>
      </c>
      <c r="BT30" s="512" t="e">
        <f t="shared" si="22"/>
        <v>#N/A</v>
      </c>
      <c r="BU30" s="512" t="e">
        <f t="shared" si="22"/>
        <v>#N/A</v>
      </c>
      <c r="BV30" s="512" t="e">
        <f t="shared" si="22"/>
        <v>#N/A</v>
      </c>
      <c r="BW30" s="512" t="e">
        <f t="shared" si="22"/>
        <v>#N/A</v>
      </c>
      <c r="BX30" s="512" t="e">
        <f t="shared" si="22"/>
        <v>#N/A</v>
      </c>
      <c r="BY30" s="512" t="e">
        <f t="shared" si="22"/>
        <v>#N/A</v>
      </c>
      <c r="BZ30" s="512" t="e">
        <f t="shared" si="22"/>
        <v>#N/A</v>
      </c>
      <c r="CA30" s="512" t="e">
        <f t="shared" si="22"/>
        <v>#N/A</v>
      </c>
      <c r="CB30" s="512" t="e">
        <f t="shared" si="22"/>
        <v>#N/A</v>
      </c>
      <c r="CC30" s="512" t="e">
        <f t="shared" si="22"/>
        <v>#N/A</v>
      </c>
      <c r="CD30" s="512" t="e">
        <f t="shared" si="22"/>
        <v>#N/A</v>
      </c>
      <c r="CE30" s="512" t="e">
        <f t="shared" si="22"/>
        <v>#N/A</v>
      </c>
      <c r="CF30" s="512" t="e">
        <f t="shared" si="22"/>
        <v>#N/A</v>
      </c>
      <c r="CG30" s="512" t="e">
        <f t="shared" si="22"/>
        <v>#N/A</v>
      </c>
      <c r="CH30" s="512" t="e">
        <f t="shared" si="22"/>
        <v>#N/A</v>
      </c>
    </row>
    <row r="31" spans="2:86" ht="15" x14ac:dyDescent="0.25">
      <c r="B31" s="5"/>
      <c r="C31" s="96" t="s">
        <v>296</v>
      </c>
      <c r="D31" s="5"/>
      <c r="E31" s="5"/>
      <c r="F31" s="5"/>
      <c r="G31" s="5"/>
      <c r="H31" s="5"/>
      <c r="I31" s="5"/>
      <c r="J31" s="5"/>
      <c r="K31" s="5"/>
      <c r="L31" s="5"/>
      <c r="N31" s="33"/>
      <c r="O31" s="33"/>
      <c r="P31" s="25"/>
      <c r="Q31" s="25"/>
      <c r="R31" s="24" t="s">
        <v>45</v>
      </c>
      <c r="S31" s="24"/>
      <c r="T31" s="27">
        <f t="shared" ref="T31:AM31" si="23">VLOOKUP(T$13&amp;"AllSex"&amp;"AllEth"&amp;19&amp;$R$22,Methodstable,9,FALSE)</f>
        <v>3.1</v>
      </c>
      <c r="U31" s="27">
        <f t="shared" si="23"/>
        <v>2.8</v>
      </c>
      <c r="V31" s="27">
        <f t="shared" si="23"/>
        <v>4.3</v>
      </c>
      <c r="W31" s="27">
        <f t="shared" si="23"/>
        <v>3.5</v>
      </c>
      <c r="X31" s="27">
        <f t="shared" si="23"/>
        <v>3.5</v>
      </c>
      <c r="Y31" s="27">
        <f t="shared" si="23"/>
        <v>4.3</v>
      </c>
      <c r="Z31" s="27">
        <f t="shared" si="23"/>
        <v>3.4</v>
      </c>
      <c r="AA31" s="27">
        <f t="shared" si="23"/>
        <v>4.2</v>
      </c>
      <c r="AB31" s="27">
        <f t="shared" si="23"/>
        <v>3.2</v>
      </c>
      <c r="AC31" s="27">
        <f t="shared" si="23"/>
        <v>2.5</v>
      </c>
      <c r="AD31" s="27">
        <f t="shared" si="23"/>
        <v>4.2</v>
      </c>
      <c r="AE31" s="27">
        <f t="shared" si="23"/>
        <v>3.8</v>
      </c>
      <c r="AF31" s="27">
        <f t="shared" si="23"/>
        <v>3.9</v>
      </c>
      <c r="AG31" s="27">
        <f t="shared" si="23"/>
        <v>2.9</v>
      </c>
      <c r="AH31" s="27">
        <f t="shared" si="23"/>
        <v>3.7</v>
      </c>
      <c r="AI31" s="27">
        <f t="shared" si="23"/>
        <v>3.6</v>
      </c>
      <c r="AJ31" s="27">
        <f t="shared" si="23"/>
        <v>3.5</v>
      </c>
      <c r="AK31" s="27">
        <f t="shared" si="23"/>
        <v>3.7</v>
      </c>
      <c r="AL31" s="27">
        <f t="shared" si="23"/>
        <v>3.1</v>
      </c>
      <c r="AM31" s="27">
        <f t="shared" si="23"/>
        <v>4.5999999999999996</v>
      </c>
      <c r="BJ31" s="480"/>
      <c r="BK31" s="512"/>
      <c r="BL31" s="512"/>
      <c r="BM31" s="512"/>
      <c r="BN31" s="512"/>
      <c r="BO31" s="512"/>
      <c r="BP31" s="512"/>
      <c r="BQ31" s="512"/>
      <c r="BR31" s="512"/>
      <c r="BS31" s="512"/>
      <c r="BT31" s="512"/>
      <c r="BU31" s="512"/>
      <c r="BV31" s="512"/>
      <c r="BW31" s="512"/>
      <c r="BX31" s="512"/>
      <c r="BY31" s="512"/>
      <c r="BZ31" s="512"/>
      <c r="CA31" s="512"/>
      <c r="CB31" s="512"/>
      <c r="CC31" s="512"/>
      <c r="CD31" s="512"/>
      <c r="CE31" s="512"/>
      <c r="CF31" s="512"/>
      <c r="CG31" s="512"/>
      <c r="CH31" s="512"/>
    </row>
    <row r="32" spans="2:86" x14ac:dyDescent="0.2">
      <c r="B32" s="5"/>
      <c r="C32" s="71"/>
      <c r="D32" s="71"/>
      <c r="E32" s="71"/>
      <c r="F32" s="71"/>
      <c r="G32" s="71"/>
      <c r="H32" s="71"/>
      <c r="I32" s="71"/>
      <c r="J32" s="71"/>
      <c r="K32" s="71"/>
      <c r="L32" s="71"/>
      <c r="N32" s="33"/>
      <c r="O32" s="33"/>
      <c r="P32" s="28"/>
      <c r="Q32" s="28"/>
      <c r="R32" s="26"/>
      <c r="S32" s="26"/>
      <c r="T32" s="26"/>
      <c r="U32" s="26"/>
      <c r="V32" s="26"/>
      <c r="W32" s="26"/>
      <c r="X32" s="26"/>
      <c r="Y32" s="26"/>
      <c r="Z32" s="26"/>
      <c r="AA32" s="26"/>
      <c r="AB32" s="26"/>
      <c r="AC32" s="26"/>
      <c r="AD32" s="26"/>
      <c r="AE32" s="26"/>
      <c r="AF32" s="26"/>
      <c r="AG32" s="26"/>
      <c r="AH32" s="26"/>
      <c r="AI32" s="26"/>
      <c r="AJ32" s="26"/>
      <c r="AK32" s="26"/>
      <c r="AL32" s="26"/>
      <c r="AM32" s="26"/>
      <c r="BJ32" s="480"/>
      <c r="BK32" s="512" t="s">
        <v>20</v>
      </c>
      <c r="BL32" s="512" t="s">
        <v>23</v>
      </c>
      <c r="BM32" s="512" t="s">
        <v>43</v>
      </c>
      <c r="BN32" s="512" t="s">
        <v>51</v>
      </c>
      <c r="BO32" s="518">
        <f t="shared" ref="BO32:CH32" si="24">IF($BJ$23,VLOOKUP(BO$22&amp;"Male"&amp;"AllEth"&amp;22&amp;$BM32,Methodstable,9,FALSE),NA())</f>
        <v>67.599999999999994</v>
      </c>
      <c r="BP32" s="518">
        <f t="shared" si="24"/>
        <v>47.8</v>
      </c>
      <c r="BQ32" s="518">
        <f t="shared" si="24"/>
        <v>50.5</v>
      </c>
      <c r="BR32" s="518">
        <f t="shared" si="24"/>
        <v>65.099999999999994</v>
      </c>
      <c r="BS32" s="518">
        <f t="shared" si="24"/>
        <v>65.400000000000006</v>
      </c>
      <c r="BT32" s="518">
        <f t="shared" si="24"/>
        <v>66.7</v>
      </c>
      <c r="BU32" s="518">
        <f t="shared" si="24"/>
        <v>63.6</v>
      </c>
      <c r="BV32" s="518">
        <f t="shared" si="24"/>
        <v>74.599999999999994</v>
      </c>
      <c r="BW32" s="518">
        <f t="shared" si="24"/>
        <v>72.3</v>
      </c>
      <c r="BX32" s="518">
        <f t="shared" si="24"/>
        <v>71.400000000000006</v>
      </c>
      <c r="BY32" s="518">
        <f t="shared" si="24"/>
        <v>73.7</v>
      </c>
      <c r="BZ32" s="518">
        <f t="shared" si="24"/>
        <v>81.7</v>
      </c>
      <c r="CA32" s="518">
        <f t="shared" si="24"/>
        <v>69.900000000000006</v>
      </c>
      <c r="CB32" s="518">
        <f t="shared" si="24"/>
        <v>78.900000000000006</v>
      </c>
      <c r="CC32" s="518">
        <f t="shared" si="24"/>
        <v>79.2</v>
      </c>
      <c r="CD32" s="518">
        <f t="shared" si="24"/>
        <v>77.099999999999994</v>
      </c>
      <c r="CE32" s="518">
        <f t="shared" si="24"/>
        <v>83.2</v>
      </c>
      <c r="CF32" s="518">
        <f t="shared" si="24"/>
        <v>83.8</v>
      </c>
      <c r="CG32" s="518">
        <f t="shared" si="24"/>
        <v>88.2</v>
      </c>
      <c r="CH32" s="518">
        <f t="shared" si="24"/>
        <v>82.6</v>
      </c>
    </row>
    <row r="33" spans="2:86" ht="15" x14ac:dyDescent="0.25">
      <c r="B33" s="5"/>
      <c r="C33" s="71"/>
      <c r="D33" s="98" t="s">
        <v>20</v>
      </c>
      <c r="E33" s="71"/>
      <c r="F33" s="71"/>
      <c r="G33" s="71"/>
      <c r="H33" s="98" t="s">
        <v>8</v>
      </c>
      <c r="I33" s="71"/>
      <c r="J33" s="71"/>
      <c r="K33" s="71"/>
      <c r="L33" s="71"/>
      <c r="N33" s="33"/>
      <c r="O33" s="33"/>
      <c r="P33" s="25" t="s">
        <v>20</v>
      </c>
      <c r="Q33" s="25" t="s">
        <v>189</v>
      </c>
      <c r="R33" s="24" t="s">
        <v>43</v>
      </c>
      <c r="S33" s="24" t="s">
        <v>366</v>
      </c>
      <c r="T33" s="36">
        <f t="shared" ref="T33:AC40" si="25">IFERROR(VLOOKUP(T$13&amp;"Male"&amp;"AllEth"&amp;22&amp;$R33,Methodstable,9,FALSE),"0.0")</f>
        <v>67.599999999999994</v>
      </c>
      <c r="U33" s="36">
        <f t="shared" si="25"/>
        <v>47.8</v>
      </c>
      <c r="V33" s="36">
        <f t="shared" si="25"/>
        <v>50.5</v>
      </c>
      <c r="W33" s="36">
        <f t="shared" si="25"/>
        <v>65.099999999999994</v>
      </c>
      <c r="X33" s="36">
        <f t="shared" si="25"/>
        <v>65.400000000000006</v>
      </c>
      <c r="Y33" s="36">
        <f t="shared" si="25"/>
        <v>66.7</v>
      </c>
      <c r="Z33" s="36">
        <f t="shared" si="25"/>
        <v>63.6</v>
      </c>
      <c r="AA33" s="36">
        <f t="shared" si="25"/>
        <v>74.599999999999994</v>
      </c>
      <c r="AB33" s="36">
        <f t="shared" si="25"/>
        <v>72.3</v>
      </c>
      <c r="AC33" s="36">
        <f t="shared" si="25"/>
        <v>71.400000000000006</v>
      </c>
      <c r="AD33" s="36">
        <f t="shared" ref="AD33:AM40" si="26">IFERROR(VLOOKUP(AD$13&amp;"Male"&amp;"AllEth"&amp;22&amp;$R33,Methodstable,9,FALSE),"0.0")</f>
        <v>73.7</v>
      </c>
      <c r="AE33" s="36">
        <f t="shared" si="26"/>
        <v>81.7</v>
      </c>
      <c r="AF33" s="36">
        <f t="shared" si="26"/>
        <v>69.900000000000006</v>
      </c>
      <c r="AG33" s="36">
        <f t="shared" si="26"/>
        <v>78.900000000000006</v>
      </c>
      <c r="AH33" s="36">
        <f t="shared" si="26"/>
        <v>79.2</v>
      </c>
      <c r="AI33" s="36">
        <f t="shared" si="26"/>
        <v>77.099999999999994</v>
      </c>
      <c r="AJ33" s="36">
        <f t="shared" si="26"/>
        <v>83.2</v>
      </c>
      <c r="AK33" s="36">
        <f t="shared" si="26"/>
        <v>83.8</v>
      </c>
      <c r="AL33" s="36">
        <f t="shared" si="26"/>
        <v>88.2</v>
      </c>
      <c r="AM33" s="36">
        <f t="shared" si="26"/>
        <v>82.6</v>
      </c>
      <c r="BJ33" s="480"/>
      <c r="BK33" s="512"/>
      <c r="BL33" s="512"/>
      <c r="BM33" s="512" t="s">
        <v>46</v>
      </c>
      <c r="BN33" s="512" t="s">
        <v>51</v>
      </c>
      <c r="BO33" s="518">
        <f t="shared" ref="BO33:CH33" si="27">IF($BJ$24,VLOOKUP(BO$22&amp;"Male"&amp;"AllEth"&amp;22&amp;$BM33,Methodstable,9,FALSE),NA())</f>
        <v>14.3</v>
      </c>
      <c r="BP33" s="518">
        <f t="shared" si="27"/>
        <v>31</v>
      </c>
      <c r="BQ33" s="518">
        <f t="shared" si="27"/>
        <v>21.9</v>
      </c>
      <c r="BR33" s="518">
        <f t="shared" si="27"/>
        <v>13.3</v>
      </c>
      <c r="BS33" s="518">
        <f t="shared" si="27"/>
        <v>17.3</v>
      </c>
      <c r="BT33" s="518">
        <f t="shared" si="27"/>
        <v>14.9</v>
      </c>
      <c r="BU33" s="518">
        <f t="shared" si="27"/>
        <v>12.1</v>
      </c>
      <c r="BV33" s="518">
        <f t="shared" si="27"/>
        <v>11.9</v>
      </c>
      <c r="BW33" s="518">
        <f t="shared" si="27"/>
        <v>16.899999999999999</v>
      </c>
      <c r="BX33" s="518">
        <f t="shared" si="27"/>
        <v>10.7</v>
      </c>
      <c r="BY33" s="518">
        <f t="shared" si="27"/>
        <v>10.5</v>
      </c>
      <c r="BZ33" s="518">
        <f t="shared" si="27"/>
        <v>5.6</v>
      </c>
      <c r="CA33" s="518">
        <f t="shared" si="27"/>
        <v>15.7</v>
      </c>
      <c r="CB33" s="518">
        <f t="shared" si="27"/>
        <v>4.2</v>
      </c>
      <c r="CC33" s="518">
        <f t="shared" si="27"/>
        <v>2.6</v>
      </c>
      <c r="CD33" s="518">
        <f t="shared" si="27"/>
        <v>6.2</v>
      </c>
      <c r="CE33" s="518">
        <f t="shared" si="27"/>
        <v>1.9</v>
      </c>
      <c r="CF33" s="518">
        <f t="shared" si="27"/>
        <v>4.0999999999999996</v>
      </c>
      <c r="CG33" s="518">
        <f t="shared" si="27"/>
        <v>2.9</v>
      </c>
      <c r="CH33" s="518">
        <f t="shared" si="27"/>
        <v>4.3</v>
      </c>
    </row>
    <row r="34" spans="2:86" x14ac:dyDescent="0.2">
      <c r="B34" s="5"/>
      <c r="C34" s="71"/>
      <c r="D34" s="71"/>
      <c r="E34" s="112" t="s">
        <v>104</v>
      </c>
      <c r="F34" s="71"/>
      <c r="G34" s="71"/>
      <c r="H34" s="71"/>
      <c r="I34" s="112" t="s">
        <v>104</v>
      </c>
      <c r="J34" s="71"/>
      <c r="K34" s="71"/>
      <c r="L34" s="71"/>
      <c r="N34" s="33"/>
      <c r="O34" s="33"/>
      <c r="P34" s="25"/>
      <c r="Q34" s="25"/>
      <c r="R34" s="24" t="s">
        <v>46</v>
      </c>
      <c r="S34" s="24"/>
      <c r="T34" s="36">
        <f t="shared" si="25"/>
        <v>14.3</v>
      </c>
      <c r="U34" s="36">
        <f t="shared" si="25"/>
        <v>31</v>
      </c>
      <c r="V34" s="36">
        <f t="shared" si="25"/>
        <v>21.9</v>
      </c>
      <c r="W34" s="36">
        <f t="shared" si="25"/>
        <v>13.3</v>
      </c>
      <c r="X34" s="36">
        <f t="shared" si="25"/>
        <v>17.3</v>
      </c>
      <c r="Y34" s="36">
        <f t="shared" si="25"/>
        <v>14.9</v>
      </c>
      <c r="Z34" s="36">
        <f t="shared" si="25"/>
        <v>12.1</v>
      </c>
      <c r="AA34" s="36">
        <f t="shared" si="25"/>
        <v>11.9</v>
      </c>
      <c r="AB34" s="36">
        <f t="shared" si="25"/>
        <v>16.899999999999999</v>
      </c>
      <c r="AC34" s="36">
        <f t="shared" si="25"/>
        <v>10.7</v>
      </c>
      <c r="AD34" s="36">
        <f t="shared" si="26"/>
        <v>10.5</v>
      </c>
      <c r="AE34" s="36">
        <f t="shared" si="26"/>
        <v>5.6</v>
      </c>
      <c r="AF34" s="36">
        <f t="shared" si="26"/>
        <v>15.7</v>
      </c>
      <c r="AG34" s="36">
        <f t="shared" si="26"/>
        <v>4.2</v>
      </c>
      <c r="AH34" s="36">
        <f t="shared" si="26"/>
        <v>2.6</v>
      </c>
      <c r="AI34" s="36">
        <f t="shared" si="26"/>
        <v>6.2</v>
      </c>
      <c r="AJ34" s="36">
        <f t="shared" si="26"/>
        <v>1.9</v>
      </c>
      <c r="AK34" s="36">
        <f t="shared" si="26"/>
        <v>4.0999999999999996</v>
      </c>
      <c r="AL34" s="36">
        <f t="shared" si="26"/>
        <v>2.9</v>
      </c>
      <c r="AM34" s="36">
        <f t="shared" si="26"/>
        <v>4.3</v>
      </c>
      <c r="BJ34" s="480"/>
      <c r="BK34" s="512"/>
      <c r="BL34" s="512"/>
      <c r="BM34" s="512" t="s">
        <v>47</v>
      </c>
      <c r="BN34" s="512" t="s">
        <v>51</v>
      </c>
      <c r="BO34" s="518">
        <f t="shared" ref="BO34:CH34" si="28">IF($BJ$25,VLOOKUP(BO$22&amp;"Male"&amp;"AllEth"&amp;22&amp;$BM34,Methodstable,9,FALSE),NA())</f>
        <v>5.7</v>
      </c>
      <c r="BP34" s="518">
        <f t="shared" si="28"/>
        <v>5.3</v>
      </c>
      <c r="BQ34" s="518">
        <f t="shared" si="28"/>
        <v>2.9</v>
      </c>
      <c r="BR34" s="518">
        <f t="shared" si="28"/>
        <v>3.6</v>
      </c>
      <c r="BS34" s="518" t="e">
        <f t="shared" si="28"/>
        <v>#N/A</v>
      </c>
      <c r="BT34" s="518" t="e">
        <f t="shared" si="28"/>
        <v>#N/A</v>
      </c>
      <c r="BU34" s="518">
        <f t="shared" si="28"/>
        <v>3</v>
      </c>
      <c r="BV34" s="518" t="e">
        <f t="shared" si="28"/>
        <v>#N/A</v>
      </c>
      <c r="BW34" s="518">
        <f t="shared" si="28"/>
        <v>3.6</v>
      </c>
      <c r="BX34" s="518">
        <f t="shared" si="28"/>
        <v>1.2</v>
      </c>
      <c r="BY34" s="518">
        <f t="shared" si="28"/>
        <v>1.1000000000000001</v>
      </c>
      <c r="BZ34" s="518" t="e">
        <f t="shared" si="28"/>
        <v>#N/A</v>
      </c>
      <c r="CA34" s="518">
        <f t="shared" si="28"/>
        <v>1.2</v>
      </c>
      <c r="CB34" s="518">
        <f t="shared" si="28"/>
        <v>2.1</v>
      </c>
      <c r="CC34" s="518">
        <f t="shared" si="28"/>
        <v>2.6</v>
      </c>
      <c r="CD34" s="518">
        <f t="shared" si="28"/>
        <v>4.2</v>
      </c>
      <c r="CE34" s="518">
        <f t="shared" si="28"/>
        <v>2.8</v>
      </c>
      <c r="CF34" s="518">
        <f t="shared" si="28"/>
        <v>1.4</v>
      </c>
      <c r="CG34" s="518" t="e">
        <f t="shared" si="28"/>
        <v>#N/A</v>
      </c>
      <c r="CH34" s="518">
        <f t="shared" si="28"/>
        <v>1.4</v>
      </c>
    </row>
    <row r="35" spans="2:86" x14ac:dyDescent="0.2">
      <c r="B35" s="5"/>
      <c r="C35" s="71"/>
      <c r="D35" s="71"/>
      <c r="E35" s="71"/>
      <c r="F35" s="71"/>
      <c r="G35" s="71"/>
      <c r="H35" s="71"/>
      <c r="I35" s="71"/>
      <c r="J35" s="71"/>
      <c r="K35" s="71"/>
      <c r="L35" s="71"/>
      <c r="N35" s="33"/>
      <c r="O35" s="33"/>
      <c r="P35" s="25"/>
      <c r="Q35" s="25"/>
      <c r="R35" s="24" t="s">
        <v>47</v>
      </c>
      <c r="S35" s="24"/>
      <c r="T35" s="36">
        <f t="shared" si="25"/>
        <v>5.7</v>
      </c>
      <c r="U35" s="36">
        <f t="shared" si="25"/>
        <v>5.3</v>
      </c>
      <c r="V35" s="36">
        <f t="shared" si="25"/>
        <v>2.9</v>
      </c>
      <c r="W35" s="36">
        <f t="shared" si="25"/>
        <v>3.6</v>
      </c>
      <c r="X35" s="36" t="str">
        <f t="shared" si="25"/>
        <v>0.0</v>
      </c>
      <c r="Y35" s="36" t="str">
        <f t="shared" si="25"/>
        <v>0.0</v>
      </c>
      <c r="Z35" s="36">
        <f t="shared" si="25"/>
        <v>3</v>
      </c>
      <c r="AA35" s="36" t="str">
        <f t="shared" si="25"/>
        <v>0.0</v>
      </c>
      <c r="AB35" s="36">
        <f t="shared" si="25"/>
        <v>3.6</v>
      </c>
      <c r="AC35" s="36">
        <f t="shared" si="25"/>
        <v>1.2</v>
      </c>
      <c r="AD35" s="36">
        <f t="shared" si="26"/>
        <v>1.1000000000000001</v>
      </c>
      <c r="AE35" s="36" t="str">
        <f t="shared" si="26"/>
        <v>0.0</v>
      </c>
      <c r="AF35" s="36">
        <f t="shared" si="26"/>
        <v>1.2</v>
      </c>
      <c r="AG35" s="36">
        <f t="shared" si="26"/>
        <v>2.1</v>
      </c>
      <c r="AH35" s="36">
        <f t="shared" si="26"/>
        <v>2.6</v>
      </c>
      <c r="AI35" s="36">
        <f t="shared" si="26"/>
        <v>4.2</v>
      </c>
      <c r="AJ35" s="36">
        <f t="shared" si="26"/>
        <v>2.8</v>
      </c>
      <c r="AK35" s="36">
        <f t="shared" si="26"/>
        <v>1.4</v>
      </c>
      <c r="AL35" s="36" t="str">
        <f t="shared" si="26"/>
        <v>0.0</v>
      </c>
      <c r="AM35" s="36">
        <f t="shared" si="26"/>
        <v>1.4</v>
      </c>
      <c r="BJ35" s="480"/>
      <c r="BK35" s="512"/>
      <c r="BL35" s="512"/>
      <c r="BM35" s="512" t="s">
        <v>42</v>
      </c>
      <c r="BN35" s="512" t="s">
        <v>51</v>
      </c>
      <c r="BO35" s="518">
        <f t="shared" ref="BO35:CH35" si="29">IF($BJ$26,VLOOKUP(BO$22&amp;"Male"&amp;"AllEth"&amp;22&amp;$BM35,Methodstable,9,FALSE),NA())</f>
        <v>7.6</v>
      </c>
      <c r="BP35" s="518">
        <f t="shared" si="29"/>
        <v>10.6</v>
      </c>
      <c r="BQ35" s="518">
        <f t="shared" si="29"/>
        <v>14.3</v>
      </c>
      <c r="BR35" s="518">
        <f t="shared" si="29"/>
        <v>3.6</v>
      </c>
      <c r="BS35" s="518">
        <f t="shared" si="29"/>
        <v>3.7</v>
      </c>
      <c r="BT35" s="518">
        <f t="shared" si="29"/>
        <v>5.7</v>
      </c>
      <c r="BU35" s="518">
        <f t="shared" si="29"/>
        <v>7.6</v>
      </c>
      <c r="BV35" s="518">
        <f t="shared" si="29"/>
        <v>3</v>
      </c>
      <c r="BW35" s="518">
        <f t="shared" si="29"/>
        <v>2.4</v>
      </c>
      <c r="BX35" s="518">
        <f t="shared" si="29"/>
        <v>10.7</v>
      </c>
      <c r="BY35" s="518">
        <f t="shared" si="29"/>
        <v>5.3</v>
      </c>
      <c r="BZ35" s="518">
        <f t="shared" si="29"/>
        <v>5.6</v>
      </c>
      <c r="CA35" s="518">
        <f t="shared" si="29"/>
        <v>6</v>
      </c>
      <c r="CB35" s="518">
        <f t="shared" si="29"/>
        <v>9.5</v>
      </c>
      <c r="CC35" s="518">
        <f t="shared" si="29"/>
        <v>5.2</v>
      </c>
      <c r="CD35" s="518">
        <f t="shared" si="29"/>
        <v>4.2</v>
      </c>
      <c r="CE35" s="518">
        <f t="shared" si="29"/>
        <v>8.4</v>
      </c>
      <c r="CF35" s="518">
        <f t="shared" si="29"/>
        <v>6.8</v>
      </c>
      <c r="CG35" s="518">
        <f t="shared" si="29"/>
        <v>2.9</v>
      </c>
      <c r="CH35" s="518">
        <f t="shared" si="29"/>
        <v>2.9</v>
      </c>
    </row>
    <row r="36" spans="2:86" ht="15" customHeight="1" x14ac:dyDescent="0.2">
      <c r="B36" s="5"/>
      <c r="C36" s="71"/>
      <c r="D36" s="71"/>
      <c r="E36" s="71"/>
      <c r="F36" s="71"/>
      <c r="G36" s="71"/>
      <c r="H36" s="71"/>
      <c r="I36" s="71"/>
      <c r="J36" s="71"/>
      <c r="K36" s="71"/>
      <c r="L36" s="71"/>
      <c r="N36" s="33"/>
      <c r="O36" s="33"/>
      <c r="P36" s="25"/>
      <c r="Q36" s="25"/>
      <c r="R36" s="24" t="s">
        <v>42</v>
      </c>
      <c r="S36" s="24"/>
      <c r="T36" s="36">
        <f t="shared" si="25"/>
        <v>7.6</v>
      </c>
      <c r="U36" s="36">
        <f t="shared" si="25"/>
        <v>10.6</v>
      </c>
      <c r="V36" s="36">
        <f t="shared" si="25"/>
        <v>14.3</v>
      </c>
      <c r="W36" s="36">
        <f t="shared" si="25"/>
        <v>3.6</v>
      </c>
      <c r="X36" s="36">
        <f t="shared" si="25"/>
        <v>3.7</v>
      </c>
      <c r="Y36" s="36">
        <f t="shared" si="25"/>
        <v>5.7</v>
      </c>
      <c r="Z36" s="36">
        <f t="shared" si="25"/>
        <v>7.6</v>
      </c>
      <c r="AA36" s="36">
        <f t="shared" si="25"/>
        <v>3</v>
      </c>
      <c r="AB36" s="36">
        <f t="shared" si="25"/>
        <v>2.4</v>
      </c>
      <c r="AC36" s="36">
        <f t="shared" si="25"/>
        <v>10.7</v>
      </c>
      <c r="AD36" s="36">
        <f t="shared" si="26"/>
        <v>5.3</v>
      </c>
      <c r="AE36" s="36">
        <f t="shared" si="26"/>
        <v>5.6</v>
      </c>
      <c r="AF36" s="36">
        <f t="shared" si="26"/>
        <v>6</v>
      </c>
      <c r="AG36" s="36">
        <f t="shared" si="26"/>
        <v>9.5</v>
      </c>
      <c r="AH36" s="36">
        <f t="shared" si="26"/>
        <v>5.2</v>
      </c>
      <c r="AI36" s="36">
        <f t="shared" si="26"/>
        <v>4.2</v>
      </c>
      <c r="AJ36" s="36">
        <f t="shared" si="26"/>
        <v>8.4</v>
      </c>
      <c r="AK36" s="36">
        <f t="shared" si="26"/>
        <v>6.8</v>
      </c>
      <c r="AL36" s="36">
        <f t="shared" si="26"/>
        <v>2.9</v>
      </c>
      <c r="AM36" s="36">
        <f t="shared" si="26"/>
        <v>2.9</v>
      </c>
      <c r="BJ36" s="480"/>
      <c r="BK36" s="512"/>
      <c r="BL36" s="512"/>
      <c r="BM36" s="512" t="s">
        <v>44</v>
      </c>
      <c r="BN36" s="512" t="s">
        <v>51</v>
      </c>
      <c r="BO36" s="518" t="e">
        <f t="shared" ref="BO36:CH36" si="30">IF($BJ$27,VLOOKUP(BO$22&amp;"Male"&amp;"AllEth"&amp;22&amp;$BM36,Methodstable,9,FALSE),NA())</f>
        <v>#N/A</v>
      </c>
      <c r="BP36" s="518" t="e">
        <f t="shared" si="30"/>
        <v>#N/A</v>
      </c>
      <c r="BQ36" s="518" t="e">
        <f t="shared" si="30"/>
        <v>#N/A</v>
      </c>
      <c r="BR36" s="518" t="e">
        <f t="shared" si="30"/>
        <v>#N/A</v>
      </c>
      <c r="BS36" s="518" t="e">
        <f t="shared" si="30"/>
        <v>#N/A</v>
      </c>
      <c r="BT36" s="518" t="e">
        <f t="shared" si="30"/>
        <v>#N/A</v>
      </c>
      <c r="BU36" s="518" t="e">
        <f t="shared" si="30"/>
        <v>#N/A</v>
      </c>
      <c r="BV36" s="518" t="e">
        <f t="shared" si="30"/>
        <v>#N/A</v>
      </c>
      <c r="BW36" s="518" t="e">
        <f t="shared" si="30"/>
        <v>#N/A</v>
      </c>
      <c r="BX36" s="518" t="e">
        <f t="shared" si="30"/>
        <v>#N/A</v>
      </c>
      <c r="BY36" s="518" t="e">
        <f t="shared" si="30"/>
        <v>#N/A</v>
      </c>
      <c r="BZ36" s="518" t="e">
        <f t="shared" si="30"/>
        <v>#N/A</v>
      </c>
      <c r="CA36" s="518" t="e">
        <f t="shared" si="30"/>
        <v>#N/A</v>
      </c>
      <c r="CB36" s="518" t="e">
        <f t="shared" si="30"/>
        <v>#N/A</v>
      </c>
      <c r="CC36" s="518" t="e">
        <f t="shared" si="30"/>
        <v>#N/A</v>
      </c>
      <c r="CD36" s="518" t="e">
        <f t="shared" si="30"/>
        <v>#N/A</v>
      </c>
      <c r="CE36" s="518" t="e">
        <f t="shared" si="30"/>
        <v>#N/A</v>
      </c>
      <c r="CF36" s="518" t="e">
        <f t="shared" si="30"/>
        <v>#N/A</v>
      </c>
      <c r="CG36" s="518" t="e">
        <f t="shared" si="30"/>
        <v>#N/A</v>
      </c>
      <c r="CH36" s="518" t="e">
        <f t="shared" si="30"/>
        <v>#N/A</v>
      </c>
    </row>
    <row r="37" spans="2:86" ht="12.75" customHeight="1" x14ac:dyDescent="0.2">
      <c r="B37" s="5"/>
      <c r="C37" s="71"/>
      <c r="D37" s="71"/>
      <c r="E37" s="71"/>
      <c r="F37" s="71"/>
      <c r="G37" s="71"/>
      <c r="H37" s="71"/>
      <c r="I37" s="71"/>
      <c r="J37" s="71"/>
      <c r="K37" s="71"/>
      <c r="L37" s="71"/>
      <c r="N37" s="33"/>
      <c r="O37" s="33"/>
      <c r="P37" s="25"/>
      <c r="Q37" s="25"/>
      <c r="R37" s="24" t="s">
        <v>44</v>
      </c>
      <c r="S37" s="24"/>
      <c r="T37" s="36">
        <f t="shared" si="25"/>
        <v>1.9</v>
      </c>
      <c r="U37" s="36">
        <f t="shared" si="25"/>
        <v>1.8</v>
      </c>
      <c r="V37" s="36">
        <f t="shared" si="25"/>
        <v>6.7</v>
      </c>
      <c r="W37" s="36">
        <f t="shared" si="25"/>
        <v>9.6</v>
      </c>
      <c r="X37" s="36">
        <f t="shared" si="25"/>
        <v>4.9000000000000004</v>
      </c>
      <c r="Y37" s="36">
        <f t="shared" si="25"/>
        <v>6.9</v>
      </c>
      <c r="Z37" s="36">
        <f t="shared" si="25"/>
        <v>3</v>
      </c>
      <c r="AA37" s="36">
        <f t="shared" si="25"/>
        <v>4.5</v>
      </c>
      <c r="AB37" s="36">
        <f t="shared" si="25"/>
        <v>1.2</v>
      </c>
      <c r="AC37" s="36">
        <f t="shared" si="25"/>
        <v>2.4</v>
      </c>
      <c r="AD37" s="36">
        <f t="shared" si="26"/>
        <v>3.2</v>
      </c>
      <c r="AE37" s="36">
        <f t="shared" si="26"/>
        <v>1.4</v>
      </c>
      <c r="AF37" s="36">
        <f t="shared" si="26"/>
        <v>3.6</v>
      </c>
      <c r="AG37" s="36">
        <f t="shared" si="26"/>
        <v>4.2</v>
      </c>
      <c r="AH37" s="36">
        <f t="shared" si="26"/>
        <v>2.6</v>
      </c>
      <c r="AI37" s="36">
        <f t="shared" si="26"/>
        <v>3.1</v>
      </c>
      <c r="AJ37" s="36">
        <f t="shared" si="26"/>
        <v>3.7</v>
      </c>
      <c r="AK37" s="36">
        <f t="shared" si="26"/>
        <v>2.7</v>
      </c>
      <c r="AL37" s="36">
        <f t="shared" si="26"/>
        <v>1.5</v>
      </c>
      <c r="AM37" s="36">
        <f t="shared" si="26"/>
        <v>2.9</v>
      </c>
      <c r="BJ37" s="480"/>
      <c r="BK37" s="512"/>
      <c r="BL37" s="512"/>
      <c r="BM37" s="512" t="s">
        <v>49</v>
      </c>
      <c r="BN37" s="512" t="s">
        <v>51</v>
      </c>
      <c r="BO37" s="518" t="e">
        <f t="shared" ref="BO37:CH37" si="31">IF($BJ$28,VLOOKUP(BO$22&amp;"Male"&amp;"AllEth"&amp;22&amp;$BM37,Methodstable,9,FALSE),NA())</f>
        <v>#N/A</v>
      </c>
      <c r="BP37" s="518" t="e">
        <f t="shared" si="31"/>
        <v>#N/A</v>
      </c>
      <c r="BQ37" s="518" t="e">
        <f t="shared" si="31"/>
        <v>#N/A</v>
      </c>
      <c r="BR37" s="518" t="e">
        <f t="shared" si="31"/>
        <v>#N/A</v>
      </c>
      <c r="BS37" s="518" t="e">
        <f t="shared" si="31"/>
        <v>#N/A</v>
      </c>
      <c r="BT37" s="518" t="e">
        <f t="shared" si="31"/>
        <v>#N/A</v>
      </c>
      <c r="BU37" s="518" t="e">
        <f t="shared" si="31"/>
        <v>#N/A</v>
      </c>
      <c r="BV37" s="518" t="e">
        <f t="shared" si="31"/>
        <v>#N/A</v>
      </c>
      <c r="BW37" s="518" t="e">
        <f t="shared" si="31"/>
        <v>#N/A</v>
      </c>
      <c r="BX37" s="518" t="e">
        <f t="shared" si="31"/>
        <v>#N/A</v>
      </c>
      <c r="BY37" s="518" t="e">
        <f t="shared" si="31"/>
        <v>#N/A</v>
      </c>
      <c r="BZ37" s="518" t="e">
        <f t="shared" si="31"/>
        <v>#N/A</v>
      </c>
      <c r="CA37" s="518" t="e">
        <f t="shared" si="31"/>
        <v>#N/A</v>
      </c>
      <c r="CB37" s="518" t="e">
        <f t="shared" si="31"/>
        <v>#N/A</v>
      </c>
      <c r="CC37" s="518" t="e">
        <f t="shared" si="31"/>
        <v>#N/A</v>
      </c>
      <c r="CD37" s="518" t="e">
        <f t="shared" si="31"/>
        <v>#N/A</v>
      </c>
      <c r="CE37" s="518" t="e">
        <f t="shared" si="31"/>
        <v>#N/A</v>
      </c>
      <c r="CF37" s="518" t="e">
        <f t="shared" si="31"/>
        <v>#N/A</v>
      </c>
      <c r="CG37" s="518" t="e">
        <f t="shared" si="31"/>
        <v>#N/A</v>
      </c>
      <c r="CH37" s="518" t="e">
        <f t="shared" si="31"/>
        <v>#N/A</v>
      </c>
    </row>
    <row r="38" spans="2:86" ht="12.75" customHeight="1" x14ac:dyDescent="0.2">
      <c r="B38" s="5"/>
      <c r="C38" s="71"/>
      <c r="D38" s="71"/>
      <c r="E38" s="71"/>
      <c r="F38" s="71"/>
      <c r="G38" s="71"/>
      <c r="H38" s="71"/>
      <c r="I38" s="71"/>
      <c r="J38" s="71"/>
      <c r="K38" s="71"/>
      <c r="L38" s="71"/>
      <c r="N38" s="33"/>
      <c r="O38" s="33"/>
      <c r="P38" s="25"/>
      <c r="Q38" s="25"/>
      <c r="R38" s="24" t="s">
        <v>49</v>
      </c>
      <c r="S38" s="24"/>
      <c r="T38" s="36" t="str">
        <f t="shared" si="25"/>
        <v>0.0</v>
      </c>
      <c r="U38" s="36">
        <f t="shared" si="25"/>
        <v>0.9</v>
      </c>
      <c r="V38" s="36" t="str">
        <f t="shared" si="25"/>
        <v>0.0</v>
      </c>
      <c r="W38" s="36" t="str">
        <f t="shared" si="25"/>
        <v>0.0</v>
      </c>
      <c r="X38" s="36" t="str">
        <f t="shared" si="25"/>
        <v>0.0</v>
      </c>
      <c r="Y38" s="36">
        <f t="shared" si="25"/>
        <v>1.1000000000000001</v>
      </c>
      <c r="Z38" s="36">
        <f t="shared" si="25"/>
        <v>3</v>
      </c>
      <c r="AA38" s="36" t="str">
        <f t="shared" si="25"/>
        <v>0.0</v>
      </c>
      <c r="AB38" s="36">
        <f t="shared" si="25"/>
        <v>2.4</v>
      </c>
      <c r="AC38" s="36" t="str">
        <f t="shared" si="25"/>
        <v>0.0</v>
      </c>
      <c r="AD38" s="36">
        <f t="shared" si="26"/>
        <v>1.1000000000000001</v>
      </c>
      <c r="AE38" s="36" t="str">
        <f t="shared" si="26"/>
        <v>0.0</v>
      </c>
      <c r="AF38" s="36" t="str">
        <f t="shared" si="26"/>
        <v>0.0</v>
      </c>
      <c r="AG38" s="36">
        <f t="shared" si="26"/>
        <v>1.1000000000000001</v>
      </c>
      <c r="AH38" s="36">
        <f t="shared" si="26"/>
        <v>1.3</v>
      </c>
      <c r="AI38" s="36" t="str">
        <f t="shared" si="26"/>
        <v>0.0</v>
      </c>
      <c r="AJ38" s="36" t="str">
        <f t="shared" si="26"/>
        <v>0.0</v>
      </c>
      <c r="AK38" s="36" t="str">
        <f t="shared" si="26"/>
        <v>0.0</v>
      </c>
      <c r="AL38" s="36">
        <f t="shared" si="26"/>
        <v>1.5</v>
      </c>
      <c r="AM38" s="36" t="str">
        <f t="shared" si="26"/>
        <v>0.0</v>
      </c>
      <c r="BJ38" s="480"/>
      <c r="BK38" s="512"/>
      <c r="BL38" s="512"/>
      <c r="BM38" s="512" t="s">
        <v>48</v>
      </c>
      <c r="BN38" s="512" t="s">
        <v>51</v>
      </c>
      <c r="BO38" s="518" t="e">
        <f t="shared" ref="BO38:CH38" si="32">IF($BJ$29,VLOOKUP(BO$22&amp;"Male"&amp;"AllEth"&amp;22&amp;$BM38,Methodstable,9,FALSE),NA())</f>
        <v>#N/A</v>
      </c>
      <c r="BP38" s="518" t="e">
        <f t="shared" si="32"/>
        <v>#N/A</v>
      </c>
      <c r="BQ38" s="518" t="e">
        <f t="shared" si="32"/>
        <v>#N/A</v>
      </c>
      <c r="BR38" s="518" t="e">
        <f t="shared" si="32"/>
        <v>#N/A</v>
      </c>
      <c r="BS38" s="518" t="e">
        <f t="shared" si="32"/>
        <v>#N/A</v>
      </c>
      <c r="BT38" s="518" t="e">
        <f t="shared" si="32"/>
        <v>#N/A</v>
      </c>
      <c r="BU38" s="518" t="e">
        <f t="shared" si="32"/>
        <v>#N/A</v>
      </c>
      <c r="BV38" s="518" t="e">
        <f t="shared" si="32"/>
        <v>#N/A</v>
      </c>
      <c r="BW38" s="518" t="e">
        <f t="shared" si="32"/>
        <v>#N/A</v>
      </c>
      <c r="BX38" s="518" t="e">
        <f t="shared" si="32"/>
        <v>#N/A</v>
      </c>
      <c r="BY38" s="518" t="e">
        <f t="shared" si="32"/>
        <v>#N/A</v>
      </c>
      <c r="BZ38" s="518" t="e">
        <f t="shared" si="32"/>
        <v>#N/A</v>
      </c>
      <c r="CA38" s="518" t="e">
        <f t="shared" si="32"/>
        <v>#N/A</v>
      </c>
      <c r="CB38" s="518" t="e">
        <f t="shared" si="32"/>
        <v>#N/A</v>
      </c>
      <c r="CC38" s="518" t="e">
        <f t="shared" si="32"/>
        <v>#N/A</v>
      </c>
      <c r="CD38" s="518" t="e">
        <f t="shared" si="32"/>
        <v>#N/A</v>
      </c>
      <c r="CE38" s="518" t="e">
        <f t="shared" si="32"/>
        <v>#N/A</v>
      </c>
      <c r="CF38" s="518" t="e">
        <f t="shared" si="32"/>
        <v>#N/A</v>
      </c>
      <c r="CG38" s="518" t="e">
        <f t="shared" si="32"/>
        <v>#N/A</v>
      </c>
      <c r="CH38" s="518" t="e">
        <f t="shared" si="32"/>
        <v>#N/A</v>
      </c>
    </row>
    <row r="39" spans="2:86" x14ac:dyDescent="0.2">
      <c r="B39" s="5"/>
      <c r="C39" s="71"/>
      <c r="D39" s="71"/>
      <c r="E39" s="71"/>
      <c r="F39" s="71"/>
      <c r="G39" s="71"/>
      <c r="H39" s="71"/>
      <c r="I39" s="71"/>
      <c r="J39" s="71"/>
      <c r="K39" s="71"/>
      <c r="L39" s="71"/>
      <c r="N39" s="33"/>
      <c r="O39" s="33"/>
      <c r="P39" s="25"/>
      <c r="Q39" s="25"/>
      <c r="R39" s="24" t="s">
        <v>48</v>
      </c>
      <c r="S39" s="24"/>
      <c r="T39" s="36" t="str">
        <f t="shared" si="25"/>
        <v>0.0</v>
      </c>
      <c r="U39" s="36" t="str">
        <f t="shared" si="25"/>
        <v>0.0</v>
      </c>
      <c r="V39" s="36" t="str">
        <f t="shared" si="25"/>
        <v>0.0</v>
      </c>
      <c r="W39" s="36" t="str">
        <f t="shared" si="25"/>
        <v>0.0</v>
      </c>
      <c r="X39" s="36">
        <f t="shared" si="25"/>
        <v>3.7</v>
      </c>
      <c r="Y39" s="36">
        <f t="shared" si="25"/>
        <v>2.2999999999999998</v>
      </c>
      <c r="Z39" s="36">
        <f t="shared" si="25"/>
        <v>1.5</v>
      </c>
      <c r="AA39" s="36">
        <f t="shared" si="25"/>
        <v>1.5</v>
      </c>
      <c r="AB39" s="36" t="str">
        <f t="shared" si="25"/>
        <v>0.0</v>
      </c>
      <c r="AC39" s="36" t="str">
        <f t="shared" si="25"/>
        <v>0.0</v>
      </c>
      <c r="AD39" s="36">
        <f t="shared" si="26"/>
        <v>1.1000000000000001</v>
      </c>
      <c r="AE39" s="36" t="str">
        <f t="shared" si="26"/>
        <v>0.0</v>
      </c>
      <c r="AF39" s="36" t="str">
        <f t="shared" si="26"/>
        <v>0.0</v>
      </c>
      <c r="AG39" s="36" t="str">
        <f t="shared" si="26"/>
        <v>0.0</v>
      </c>
      <c r="AH39" s="36">
        <f t="shared" si="26"/>
        <v>2.6</v>
      </c>
      <c r="AI39" s="36" t="str">
        <f t="shared" si="26"/>
        <v>0.0</v>
      </c>
      <c r="AJ39" s="36" t="str">
        <f t="shared" si="26"/>
        <v>0.0</v>
      </c>
      <c r="AK39" s="36" t="str">
        <f t="shared" si="26"/>
        <v>0.0</v>
      </c>
      <c r="AL39" s="36" t="str">
        <f t="shared" si="26"/>
        <v>0.0</v>
      </c>
      <c r="AM39" s="36">
        <f t="shared" si="26"/>
        <v>1.4</v>
      </c>
      <c r="BJ39" s="480"/>
      <c r="BK39" s="512"/>
      <c r="BL39" s="512"/>
      <c r="BM39" s="512" t="s">
        <v>45</v>
      </c>
      <c r="BN39" s="512" t="s">
        <v>51</v>
      </c>
      <c r="BO39" s="518" t="e">
        <f t="shared" ref="BO39:CH39" si="33">IF($BJ$30,VLOOKUP(BO$22&amp;"Male"&amp;"AllEth"&amp;22&amp;$BM39,Methodstable,9,FALSE),NA())</f>
        <v>#N/A</v>
      </c>
      <c r="BP39" s="518" t="e">
        <f t="shared" si="33"/>
        <v>#N/A</v>
      </c>
      <c r="BQ39" s="518" t="e">
        <f t="shared" si="33"/>
        <v>#N/A</v>
      </c>
      <c r="BR39" s="518" t="e">
        <f t="shared" si="33"/>
        <v>#N/A</v>
      </c>
      <c r="BS39" s="518" t="e">
        <f t="shared" si="33"/>
        <v>#N/A</v>
      </c>
      <c r="BT39" s="518" t="e">
        <f t="shared" si="33"/>
        <v>#N/A</v>
      </c>
      <c r="BU39" s="518" t="e">
        <f t="shared" si="33"/>
        <v>#N/A</v>
      </c>
      <c r="BV39" s="518" t="e">
        <f t="shared" si="33"/>
        <v>#N/A</v>
      </c>
      <c r="BW39" s="518" t="e">
        <f t="shared" si="33"/>
        <v>#N/A</v>
      </c>
      <c r="BX39" s="518" t="e">
        <f t="shared" si="33"/>
        <v>#N/A</v>
      </c>
      <c r="BY39" s="518" t="e">
        <f t="shared" si="33"/>
        <v>#N/A</v>
      </c>
      <c r="BZ39" s="518" t="e">
        <f t="shared" si="33"/>
        <v>#N/A</v>
      </c>
      <c r="CA39" s="518" t="e">
        <f t="shared" si="33"/>
        <v>#N/A</v>
      </c>
      <c r="CB39" s="518" t="e">
        <f t="shared" si="33"/>
        <v>#N/A</v>
      </c>
      <c r="CC39" s="518" t="e">
        <f t="shared" si="33"/>
        <v>#N/A</v>
      </c>
      <c r="CD39" s="518" t="e">
        <f t="shared" si="33"/>
        <v>#N/A</v>
      </c>
      <c r="CE39" s="518" t="e">
        <f t="shared" si="33"/>
        <v>#N/A</v>
      </c>
      <c r="CF39" s="518" t="e">
        <f t="shared" si="33"/>
        <v>#N/A</v>
      </c>
      <c r="CG39" s="518" t="e">
        <f t="shared" si="33"/>
        <v>#N/A</v>
      </c>
      <c r="CH39" s="518" t="e">
        <f t="shared" si="33"/>
        <v>#N/A</v>
      </c>
    </row>
    <row r="40" spans="2:86" x14ac:dyDescent="0.2">
      <c r="B40" s="5"/>
      <c r="C40" s="71"/>
      <c r="D40" s="71"/>
      <c r="E40" s="71"/>
      <c r="F40" s="71"/>
      <c r="G40" s="71"/>
      <c r="H40" s="71"/>
      <c r="I40" s="71"/>
      <c r="J40" s="71"/>
      <c r="K40" s="71"/>
      <c r="L40" s="71"/>
      <c r="N40" s="33"/>
      <c r="O40" s="33"/>
      <c r="P40" s="25"/>
      <c r="Q40" s="25"/>
      <c r="R40" s="24" t="s">
        <v>45</v>
      </c>
      <c r="S40" s="24"/>
      <c r="T40" s="36">
        <f t="shared" si="25"/>
        <v>2.9</v>
      </c>
      <c r="U40" s="36">
        <f t="shared" si="25"/>
        <v>2.7</v>
      </c>
      <c r="V40" s="36">
        <f t="shared" si="25"/>
        <v>3.8</v>
      </c>
      <c r="W40" s="36">
        <f t="shared" si="25"/>
        <v>4.8</v>
      </c>
      <c r="X40" s="36">
        <f t="shared" si="25"/>
        <v>4.9000000000000004</v>
      </c>
      <c r="Y40" s="36">
        <f t="shared" si="25"/>
        <v>2.2999999999999998</v>
      </c>
      <c r="Z40" s="36">
        <f t="shared" si="25"/>
        <v>6.1</v>
      </c>
      <c r="AA40" s="36">
        <f t="shared" si="25"/>
        <v>4.5</v>
      </c>
      <c r="AB40" s="36">
        <f t="shared" si="25"/>
        <v>1.2</v>
      </c>
      <c r="AC40" s="36">
        <f t="shared" si="25"/>
        <v>3.6</v>
      </c>
      <c r="AD40" s="36">
        <f t="shared" si="26"/>
        <v>4.2</v>
      </c>
      <c r="AE40" s="36">
        <f t="shared" si="26"/>
        <v>5.6</v>
      </c>
      <c r="AF40" s="36">
        <f t="shared" si="26"/>
        <v>3.6</v>
      </c>
      <c r="AG40" s="36" t="str">
        <f t="shared" si="26"/>
        <v>0.0</v>
      </c>
      <c r="AH40" s="36">
        <f t="shared" si="26"/>
        <v>3.9</v>
      </c>
      <c r="AI40" s="36">
        <f t="shared" si="26"/>
        <v>5.2</v>
      </c>
      <c r="AJ40" s="36" t="str">
        <f t="shared" si="26"/>
        <v>0.0</v>
      </c>
      <c r="AK40" s="36">
        <f t="shared" si="26"/>
        <v>1.4</v>
      </c>
      <c r="AL40" s="36">
        <f t="shared" si="26"/>
        <v>2.9</v>
      </c>
      <c r="AM40" s="36">
        <f t="shared" si="26"/>
        <v>4.3</v>
      </c>
      <c r="BJ40" s="480"/>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row>
    <row r="41" spans="2:86" x14ac:dyDescent="0.2">
      <c r="B41" s="5"/>
      <c r="C41" s="71"/>
      <c r="D41" s="71"/>
      <c r="E41" s="71"/>
      <c r="F41" s="71"/>
      <c r="G41" s="71"/>
      <c r="H41" s="71"/>
      <c r="I41" s="71"/>
      <c r="J41" s="71"/>
      <c r="K41" s="71"/>
      <c r="L41" s="71"/>
      <c r="N41" s="33"/>
      <c r="O41" s="33"/>
      <c r="P41" s="28"/>
      <c r="Q41" s="28"/>
      <c r="R41" s="26"/>
      <c r="S41" s="26"/>
      <c r="T41" s="29"/>
      <c r="U41" s="29"/>
      <c r="V41" s="29"/>
      <c r="W41" s="29"/>
      <c r="X41" s="29"/>
      <c r="Y41" s="29"/>
      <c r="Z41" s="29"/>
      <c r="AA41" s="29"/>
      <c r="AB41" s="29"/>
      <c r="AC41" s="29"/>
      <c r="AD41" s="29"/>
      <c r="AE41" s="29"/>
      <c r="AF41" s="29"/>
      <c r="AG41" s="29"/>
      <c r="AH41" s="38"/>
      <c r="AI41" s="38"/>
      <c r="AJ41" s="38"/>
      <c r="AK41" s="38"/>
      <c r="AL41" s="38"/>
      <c r="AM41" s="38"/>
      <c r="BJ41" s="480"/>
      <c r="BK41" s="512" t="s">
        <v>20</v>
      </c>
      <c r="BL41" s="512" t="s">
        <v>24</v>
      </c>
      <c r="BM41" s="512" t="s">
        <v>43</v>
      </c>
      <c r="BN41" s="512" t="s">
        <v>51</v>
      </c>
      <c r="BO41" s="518">
        <f t="shared" ref="BO41:CH41" si="34">IF($BJ23,VLOOKUP(BO$22&amp;"Male"&amp;"AllEth"&amp;23&amp;$BM41,Methodstable,9,FALSE),NA())</f>
        <v>40.4</v>
      </c>
      <c r="BP41" s="518">
        <f t="shared" si="34"/>
        <v>41.8</v>
      </c>
      <c r="BQ41" s="518">
        <f t="shared" si="34"/>
        <v>45.6</v>
      </c>
      <c r="BR41" s="518">
        <f t="shared" si="34"/>
        <v>42.8</v>
      </c>
      <c r="BS41" s="518">
        <f t="shared" si="34"/>
        <v>50.3</v>
      </c>
      <c r="BT41" s="518">
        <f t="shared" si="34"/>
        <v>47.6</v>
      </c>
      <c r="BU41" s="518">
        <f t="shared" si="34"/>
        <v>49.4</v>
      </c>
      <c r="BV41" s="518">
        <f t="shared" si="34"/>
        <v>51.5</v>
      </c>
      <c r="BW41" s="518">
        <f t="shared" si="34"/>
        <v>62.7</v>
      </c>
      <c r="BX41" s="518">
        <f t="shared" si="34"/>
        <v>48.4</v>
      </c>
      <c r="BY41" s="518">
        <f t="shared" si="34"/>
        <v>57.1</v>
      </c>
      <c r="BZ41" s="518">
        <f t="shared" si="34"/>
        <v>65.5</v>
      </c>
      <c r="CA41" s="518">
        <f t="shared" si="34"/>
        <v>60.9</v>
      </c>
      <c r="CB41" s="518">
        <f t="shared" si="34"/>
        <v>62.1</v>
      </c>
      <c r="CC41" s="518">
        <f t="shared" si="34"/>
        <v>64.400000000000006</v>
      </c>
      <c r="CD41" s="518">
        <f t="shared" si="34"/>
        <v>66.2</v>
      </c>
      <c r="CE41" s="518">
        <f t="shared" si="34"/>
        <v>62.9</v>
      </c>
      <c r="CF41" s="518">
        <f t="shared" si="34"/>
        <v>69.3</v>
      </c>
      <c r="CG41" s="518">
        <f t="shared" si="34"/>
        <v>70.900000000000006</v>
      </c>
      <c r="CH41" s="518">
        <f t="shared" si="34"/>
        <v>72.099999999999994</v>
      </c>
    </row>
    <row r="42" spans="2:86" x14ac:dyDescent="0.2">
      <c r="B42" s="5"/>
      <c r="C42" s="71"/>
      <c r="D42" s="71"/>
      <c r="E42" s="71"/>
      <c r="F42" s="71"/>
      <c r="G42" s="71"/>
      <c r="H42" s="71"/>
      <c r="I42" s="71"/>
      <c r="J42" s="71"/>
      <c r="K42" s="71"/>
      <c r="L42" s="71"/>
      <c r="N42" s="33"/>
      <c r="O42" s="33"/>
      <c r="P42" s="25" t="s">
        <v>20</v>
      </c>
      <c r="Q42" s="25" t="s">
        <v>35</v>
      </c>
      <c r="R42" s="24" t="s">
        <v>43</v>
      </c>
      <c r="S42" s="24" t="s">
        <v>366</v>
      </c>
      <c r="T42" s="36">
        <f t="shared" ref="T42:AM42" si="35">IFERROR(VLOOKUP(T$13&amp;"Male"&amp;"AllEth"&amp;23&amp;$R33,Methodstable,9,FALSE),"0.0")</f>
        <v>40.4</v>
      </c>
      <c r="U42" s="36">
        <f t="shared" si="35"/>
        <v>41.8</v>
      </c>
      <c r="V42" s="36">
        <f t="shared" si="35"/>
        <v>45.6</v>
      </c>
      <c r="W42" s="36">
        <f t="shared" si="35"/>
        <v>42.8</v>
      </c>
      <c r="X42" s="36">
        <f t="shared" si="35"/>
        <v>50.3</v>
      </c>
      <c r="Y42" s="36">
        <f t="shared" si="35"/>
        <v>47.6</v>
      </c>
      <c r="Z42" s="36">
        <f t="shared" si="35"/>
        <v>49.4</v>
      </c>
      <c r="AA42" s="36">
        <f t="shared" si="35"/>
        <v>51.5</v>
      </c>
      <c r="AB42" s="36">
        <f t="shared" si="35"/>
        <v>62.7</v>
      </c>
      <c r="AC42" s="36">
        <f t="shared" si="35"/>
        <v>48.4</v>
      </c>
      <c r="AD42" s="36">
        <f t="shared" si="35"/>
        <v>57.1</v>
      </c>
      <c r="AE42" s="36">
        <f t="shared" si="35"/>
        <v>65.5</v>
      </c>
      <c r="AF42" s="36">
        <f t="shared" si="35"/>
        <v>60.9</v>
      </c>
      <c r="AG42" s="36">
        <f t="shared" si="35"/>
        <v>62.1</v>
      </c>
      <c r="AH42" s="36">
        <f t="shared" si="35"/>
        <v>64.400000000000006</v>
      </c>
      <c r="AI42" s="36">
        <f t="shared" si="35"/>
        <v>66.2</v>
      </c>
      <c r="AJ42" s="36">
        <f t="shared" si="35"/>
        <v>62.9</v>
      </c>
      <c r="AK42" s="36">
        <f t="shared" si="35"/>
        <v>69.3</v>
      </c>
      <c r="AL42" s="36">
        <f t="shared" si="35"/>
        <v>70.900000000000006</v>
      </c>
      <c r="AM42" s="36">
        <f t="shared" si="35"/>
        <v>72.099999999999994</v>
      </c>
      <c r="BJ42" s="480"/>
      <c r="BK42" s="512"/>
      <c r="BL42" s="512"/>
      <c r="BM42" s="512" t="s">
        <v>46</v>
      </c>
      <c r="BN42" s="512" t="s">
        <v>51</v>
      </c>
      <c r="BO42" s="518">
        <f t="shared" ref="BO42:CH42" si="36">IF($BJ24,VLOOKUP(BO$22&amp;"Male"&amp;"AllEth"&amp;23&amp;$BM42,Methodstable,9,FALSE),NA())</f>
        <v>36.200000000000003</v>
      </c>
      <c r="BP42" s="518">
        <f t="shared" si="36"/>
        <v>31.8</v>
      </c>
      <c r="BQ42" s="518">
        <f t="shared" si="36"/>
        <v>25.1</v>
      </c>
      <c r="BR42" s="518">
        <f t="shared" si="36"/>
        <v>31.7</v>
      </c>
      <c r="BS42" s="518">
        <f t="shared" si="36"/>
        <v>23.4</v>
      </c>
      <c r="BT42" s="518">
        <f t="shared" si="36"/>
        <v>23.8</v>
      </c>
      <c r="BU42" s="518">
        <f t="shared" si="36"/>
        <v>24.7</v>
      </c>
      <c r="BV42" s="518">
        <f t="shared" si="36"/>
        <v>21.5</v>
      </c>
      <c r="BW42" s="518">
        <f t="shared" si="36"/>
        <v>19.899999999999999</v>
      </c>
      <c r="BX42" s="518">
        <f t="shared" si="36"/>
        <v>28.6</v>
      </c>
      <c r="BY42" s="518">
        <f t="shared" si="36"/>
        <v>16.3</v>
      </c>
      <c r="BZ42" s="518">
        <f t="shared" si="36"/>
        <v>13.9</v>
      </c>
      <c r="CA42" s="518">
        <f t="shared" si="36"/>
        <v>19.5</v>
      </c>
      <c r="CB42" s="518">
        <f t="shared" si="36"/>
        <v>12.1</v>
      </c>
      <c r="CC42" s="518">
        <f t="shared" si="36"/>
        <v>14.4</v>
      </c>
      <c r="CD42" s="518">
        <f t="shared" si="36"/>
        <v>13.8</v>
      </c>
      <c r="CE42" s="518">
        <f t="shared" si="36"/>
        <v>11.2</v>
      </c>
      <c r="CF42" s="518">
        <f t="shared" si="36"/>
        <v>11.4</v>
      </c>
      <c r="CG42" s="518">
        <f t="shared" si="36"/>
        <v>10.6</v>
      </c>
      <c r="CH42" s="518">
        <f t="shared" si="36"/>
        <v>11.8</v>
      </c>
    </row>
    <row r="43" spans="2:86" x14ac:dyDescent="0.2">
      <c r="B43" s="5"/>
      <c r="C43" s="71"/>
      <c r="D43" s="71"/>
      <c r="E43" s="71"/>
      <c r="F43" s="71"/>
      <c r="G43" s="71"/>
      <c r="H43" s="71"/>
      <c r="I43" s="71"/>
      <c r="J43" s="71"/>
      <c r="K43" s="71"/>
      <c r="L43" s="71"/>
      <c r="N43" s="33"/>
      <c r="O43" s="33"/>
      <c r="P43" s="31"/>
      <c r="Q43" s="31"/>
      <c r="R43" s="30" t="s">
        <v>46</v>
      </c>
      <c r="S43" s="30"/>
      <c r="T43" s="36">
        <f t="shared" ref="T43:AM43" si="37">IFERROR(VLOOKUP(T$13&amp;"Male"&amp;"AllEth"&amp;23&amp;$R34,Methodstable,9,FALSE),"0.0")</f>
        <v>36.200000000000003</v>
      </c>
      <c r="U43" s="36">
        <f t="shared" si="37"/>
        <v>31.8</v>
      </c>
      <c r="V43" s="36">
        <f t="shared" si="37"/>
        <v>25.1</v>
      </c>
      <c r="W43" s="36">
        <f t="shared" si="37"/>
        <v>31.7</v>
      </c>
      <c r="X43" s="36">
        <f t="shared" si="37"/>
        <v>23.4</v>
      </c>
      <c r="Y43" s="36">
        <f t="shared" si="37"/>
        <v>23.8</v>
      </c>
      <c r="Z43" s="36">
        <f t="shared" si="37"/>
        <v>24.7</v>
      </c>
      <c r="AA43" s="36">
        <f t="shared" si="37"/>
        <v>21.5</v>
      </c>
      <c r="AB43" s="36">
        <f t="shared" si="37"/>
        <v>19.899999999999999</v>
      </c>
      <c r="AC43" s="36">
        <f t="shared" si="37"/>
        <v>28.6</v>
      </c>
      <c r="AD43" s="36">
        <f t="shared" si="37"/>
        <v>16.3</v>
      </c>
      <c r="AE43" s="36">
        <f t="shared" si="37"/>
        <v>13.9</v>
      </c>
      <c r="AF43" s="36">
        <f t="shared" si="37"/>
        <v>19.5</v>
      </c>
      <c r="AG43" s="36">
        <f t="shared" si="37"/>
        <v>12.1</v>
      </c>
      <c r="AH43" s="36">
        <f t="shared" si="37"/>
        <v>14.4</v>
      </c>
      <c r="AI43" s="36">
        <f t="shared" si="37"/>
        <v>13.8</v>
      </c>
      <c r="AJ43" s="36">
        <f t="shared" si="37"/>
        <v>11.2</v>
      </c>
      <c r="AK43" s="36">
        <f t="shared" si="37"/>
        <v>11.4</v>
      </c>
      <c r="AL43" s="36">
        <f t="shared" si="37"/>
        <v>10.6</v>
      </c>
      <c r="AM43" s="36">
        <f t="shared" si="37"/>
        <v>11.8</v>
      </c>
      <c r="BJ43" s="480"/>
      <c r="BK43" s="512"/>
      <c r="BL43" s="512"/>
      <c r="BM43" s="512" t="s">
        <v>47</v>
      </c>
      <c r="BN43" s="512" t="s">
        <v>51</v>
      </c>
      <c r="BO43" s="518">
        <f t="shared" ref="BO43:CH43" si="38">IF($BJ25,VLOOKUP(BO$22&amp;"Male"&amp;"AllEth"&amp;23&amp;$BM43,Methodstable,9,FALSE),NA())</f>
        <v>4.8</v>
      </c>
      <c r="BP43" s="518">
        <f t="shared" si="38"/>
        <v>6</v>
      </c>
      <c r="BQ43" s="518">
        <f t="shared" si="38"/>
        <v>8.1999999999999993</v>
      </c>
      <c r="BR43" s="518">
        <f t="shared" si="38"/>
        <v>5</v>
      </c>
      <c r="BS43" s="518">
        <f t="shared" si="38"/>
        <v>5.8</v>
      </c>
      <c r="BT43" s="518">
        <f t="shared" si="38"/>
        <v>7.4</v>
      </c>
      <c r="BU43" s="518">
        <f t="shared" si="38"/>
        <v>7.2</v>
      </c>
      <c r="BV43" s="518">
        <f t="shared" si="38"/>
        <v>8.6</v>
      </c>
      <c r="BW43" s="518">
        <f t="shared" si="38"/>
        <v>6.2</v>
      </c>
      <c r="BX43" s="518">
        <f t="shared" si="38"/>
        <v>6.2</v>
      </c>
      <c r="BY43" s="518">
        <f t="shared" si="38"/>
        <v>6.1</v>
      </c>
      <c r="BZ43" s="518">
        <f t="shared" si="38"/>
        <v>2.4</v>
      </c>
      <c r="CA43" s="518">
        <f t="shared" si="38"/>
        <v>4.5</v>
      </c>
      <c r="CB43" s="518">
        <f t="shared" si="38"/>
        <v>8.3000000000000007</v>
      </c>
      <c r="CC43" s="518">
        <f t="shared" si="38"/>
        <v>6.8</v>
      </c>
      <c r="CD43" s="518">
        <f t="shared" si="38"/>
        <v>9.1999999999999993</v>
      </c>
      <c r="CE43" s="518">
        <f t="shared" si="38"/>
        <v>6.3</v>
      </c>
      <c r="CF43" s="518">
        <f t="shared" si="38"/>
        <v>7</v>
      </c>
      <c r="CG43" s="518">
        <f t="shared" si="38"/>
        <v>5</v>
      </c>
      <c r="CH43" s="518">
        <f t="shared" si="38"/>
        <v>1.5</v>
      </c>
    </row>
    <row r="44" spans="2:86" x14ac:dyDescent="0.2">
      <c r="B44" s="5"/>
      <c r="C44" s="71"/>
      <c r="D44" s="71"/>
      <c r="E44" s="71"/>
      <c r="F44" s="71"/>
      <c r="G44" s="71"/>
      <c r="H44" s="71"/>
      <c r="I44" s="71"/>
      <c r="J44" s="71"/>
      <c r="K44" s="71"/>
      <c r="L44" s="71"/>
      <c r="N44" s="33"/>
      <c r="O44" s="33"/>
      <c r="P44" s="31"/>
      <c r="Q44" s="31"/>
      <c r="R44" s="30" t="s">
        <v>47</v>
      </c>
      <c r="S44" s="30"/>
      <c r="T44" s="36">
        <f t="shared" ref="T44:AM44" si="39">IFERROR(VLOOKUP(T$13&amp;"Male"&amp;"AllEth"&amp;23&amp;$R35,Methodstable,9,FALSE),"0.0")</f>
        <v>4.8</v>
      </c>
      <c r="U44" s="36">
        <f t="shared" si="39"/>
        <v>6</v>
      </c>
      <c r="V44" s="36">
        <f t="shared" si="39"/>
        <v>8.1999999999999993</v>
      </c>
      <c r="W44" s="36">
        <f t="shared" si="39"/>
        <v>5</v>
      </c>
      <c r="X44" s="36">
        <f t="shared" si="39"/>
        <v>5.8</v>
      </c>
      <c r="Y44" s="36">
        <f t="shared" si="39"/>
        <v>7.4</v>
      </c>
      <c r="Z44" s="36">
        <f t="shared" si="39"/>
        <v>7.2</v>
      </c>
      <c r="AA44" s="36">
        <f t="shared" si="39"/>
        <v>8.6</v>
      </c>
      <c r="AB44" s="36">
        <f t="shared" si="39"/>
        <v>6.2</v>
      </c>
      <c r="AC44" s="36">
        <f t="shared" si="39"/>
        <v>6.2</v>
      </c>
      <c r="AD44" s="36">
        <f t="shared" si="39"/>
        <v>6.1</v>
      </c>
      <c r="AE44" s="36">
        <f t="shared" si="39"/>
        <v>2.4</v>
      </c>
      <c r="AF44" s="36">
        <f t="shared" si="39"/>
        <v>4.5</v>
      </c>
      <c r="AG44" s="36">
        <f t="shared" si="39"/>
        <v>8.3000000000000007</v>
      </c>
      <c r="AH44" s="36">
        <f t="shared" si="39"/>
        <v>6.8</v>
      </c>
      <c r="AI44" s="36">
        <f t="shared" si="39"/>
        <v>9.1999999999999993</v>
      </c>
      <c r="AJ44" s="36">
        <f t="shared" si="39"/>
        <v>6.3</v>
      </c>
      <c r="AK44" s="36">
        <f t="shared" si="39"/>
        <v>7</v>
      </c>
      <c r="AL44" s="36">
        <f t="shared" si="39"/>
        <v>5</v>
      </c>
      <c r="AM44" s="36">
        <f t="shared" si="39"/>
        <v>1.5</v>
      </c>
      <c r="BJ44" s="480"/>
      <c r="BK44" s="512"/>
      <c r="BL44" s="512"/>
      <c r="BM44" s="512" t="s">
        <v>42</v>
      </c>
      <c r="BN44" s="512" t="s">
        <v>51</v>
      </c>
      <c r="BO44" s="518">
        <f t="shared" ref="BO44:CH44" si="40">IF($BJ26,VLOOKUP(BO$22&amp;"Male"&amp;"AllEth"&amp;23&amp;$BM44,Methodstable,9,FALSE),NA())</f>
        <v>10.6</v>
      </c>
      <c r="BP44" s="518">
        <f t="shared" si="40"/>
        <v>10.4</v>
      </c>
      <c r="BQ44" s="518">
        <f t="shared" si="40"/>
        <v>11.3</v>
      </c>
      <c r="BR44" s="518">
        <f t="shared" si="40"/>
        <v>11.1</v>
      </c>
      <c r="BS44" s="518">
        <f t="shared" si="40"/>
        <v>10.5</v>
      </c>
      <c r="BT44" s="518">
        <f t="shared" si="40"/>
        <v>15.3</v>
      </c>
      <c r="BU44" s="518">
        <f t="shared" si="40"/>
        <v>10.199999999999999</v>
      </c>
      <c r="BV44" s="518">
        <f t="shared" si="40"/>
        <v>6.7</v>
      </c>
      <c r="BW44" s="518">
        <f t="shared" si="40"/>
        <v>5.6</v>
      </c>
      <c r="BX44" s="518">
        <f t="shared" si="40"/>
        <v>8.1</v>
      </c>
      <c r="BY44" s="518">
        <f t="shared" si="40"/>
        <v>9.5</v>
      </c>
      <c r="BZ44" s="518">
        <f t="shared" si="40"/>
        <v>10.3</v>
      </c>
      <c r="CA44" s="518">
        <f t="shared" si="40"/>
        <v>5.3</v>
      </c>
      <c r="CB44" s="518">
        <f t="shared" si="40"/>
        <v>9.8000000000000007</v>
      </c>
      <c r="CC44" s="518">
        <f t="shared" si="40"/>
        <v>8.9</v>
      </c>
      <c r="CD44" s="518">
        <f t="shared" si="40"/>
        <v>3.1</v>
      </c>
      <c r="CE44" s="518">
        <f t="shared" si="40"/>
        <v>7</v>
      </c>
      <c r="CF44" s="518">
        <f t="shared" si="40"/>
        <v>5.3</v>
      </c>
      <c r="CG44" s="518">
        <f t="shared" si="40"/>
        <v>5</v>
      </c>
      <c r="CH44" s="518">
        <f t="shared" si="40"/>
        <v>5.9</v>
      </c>
    </row>
    <row r="45" spans="2:86" x14ac:dyDescent="0.2">
      <c r="B45" s="5"/>
      <c r="C45" s="71"/>
      <c r="D45" s="71"/>
      <c r="E45" s="71"/>
      <c r="F45" s="71"/>
      <c r="G45" s="71"/>
      <c r="H45" s="71"/>
      <c r="I45" s="71"/>
      <c r="J45" s="71"/>
      <c r="K45" s="71"/>
      <c r="L45" s="71"/>
      <c r="N45" s="33"/>
      <c r="O45" s="33"/>
      <c r="P45" s="25"/>
      <c r="Q45" s="25"/>
      <c r="R45" s="24" t="s">
        <v>42</v>
      </c>
      <c r="S45" s="24"/>
      <c r="T45" s="36">
        <f t="shared" ref="T45:AM45" si="41">IFERROR(VLOOKUP(T$13&amp;"Male"&amp;"AllEth"&amp;23&amp;$R36,Methodstable,9,FALSE),"0.0")</f>
        <v>10.6</v>
      </c>
      <c r="U45" s="36">
        <f t="shared" si="41"/>
        <v>10.4</v>
      </c>
      <c r="V45" s="36">
        <f t="shared" si="41"/>
        <v>11.3</v>
      </c>
      <c r="W45" s="36">
        <f t="shared" si="41"/>
        <v>11.1</v>
      </c>
      <c r="X45" s="36">
        <f t="shared" si="41"/>
        <v>10.5</v>
      </c>
      <c r="Y45" s="36">
        <f t="shared" si="41"/>
        <v>15.3</v>
      </c>
      <c r="Z45" s="36">
        <f t="shared" si="41"/>
        <v>10.199999999999999</v>
      </c>
      <c r="AA45" s="36">
        <f t="shared" si="41"/>
        <v>6.7</v>
      </c>
      <c r="AB45" s="36">
        <f t="shared" si="41"/>
        <v>5.6</v>
      </c>
      <c r="AC45" s="36">
        <f t="shared" si="41"/>
        <v>8.1</v>
      </c>
      <c r="AD45" s="36">
        <f t="shared" si="41"/>
        <v>9.5</v>
      </c>
      <c r="AE45" s="36">
        <f t="shared" si="41"/>
        <v>10.3</v>
      </c>
      <c r="AF45" s="36">
        <f t="shared" si="41"/>
        <v>5.3</v>
      </c>
      <c r="AG45" s="36">
        <f t="shared" si="41"/>
        <v>9.8000000000000007</v>
      </c>
      <c r="AH45" s="36">
        <f t="shared" si="41"/>
        <v>8.9</v>
      </c>
      <c r="AI45" s="36">
        <f t="shared" si="41"/>
        <v>3.1</v>
      </c>
      <c r="AJ45" s="36">
        <f t="shared" si="41"/>
        <v>7</v>
      </c>
      <c r="AK45" s="36">
        <f t="shared" si="41"/>
        <v>5.3</v>
      </c>
      <c r="AL45" s="36">
        <f t="shared" si="41"/>
        <v>5</v>
      </c>
      <c r="AM45" s="36">
        <f t="shared" si="41"/>
        <v>5.9</v>
      </c>
      <c r="BJ45" s="480"/>
      <c r="BK45" s="512"/>
      <c r="BL45" s="512"/>
      <c r="BM45" s="512" t="s">
        <v>44</v>
      </c>
      <c r="BN45" s="512" t="s">
        <v>51</v>
      </c>
      <c r="BO45" s="518" t="e">
        <f t="shared" ref="BO45:CH45" si="42">IF($BJ27,VLOOKUP(BO$22&amp;"Male"&amp;"AllEth"&amp;23&amp;$BM45,Methodstable,9,FALSE),NA())</f>
        <v>#N/A</v>
      </c>
      <c r="BP45" s="518" t="e">
        <f t="shared" si="42"/>
        <v>#N/A</v>
      </c>
      <c r="BQ45" s="518" t="e">
        <f t="shared" si="42"/>
        <v>#N/A</v>
      </c>
      <c r="BR45" s="518" t="e">
        <f t="shared" si="42"/>
        <v>#N/A</v>
      </c>
      <c r="BS45" s="518" t="e">
        <f t="shared" si="42"/>
        <v>#N/A</v>
      </c>
      <c r="BT45" s="518" t="e">
        <f t="shared" si="42"/>
        <v>#N/A</v>
      </c>
      <c r="BU45" s="518" t="e">
        <f t="shared" si="42"/>
        <v>#N/A</v>
      </c>
      <c r="BV45" s="518" t="e">
        <f t="shared" si="42"/>
        <v>#N/A</v>
      </c>
      <c r="BW45" s="518" t="e">
        <f t="shared" si="42"/>
        <v>#N/A</v>
      </c>
      <c r="BX45" s="518" t="e">
        <f t="shared" si="42"/>
        <v>#N/A</v>
      </c>
      <c r="BY45" s="518" t="e">
        <f t="shared" si="42"/>
        <v>#N/A</v>
      </c>
      <c r="BZ45" s="518" t="e">
        <f t="shared" si="42"/>
        <v>#N/A</v>
      </c>
      <c r="CA45" s="518" t="e">
        <f t="shared" si="42"/>
        <v>#N/A</v>
      </c>
      <c r="CB45" s="518" t="e">
        <f t="shared" si="42"/>
        <v>#N/A</v>
      </c>
      <c r="CC45" s="518" t="e">
        <f t="shared" si="42"/>
        <v>#N/A</v>
      </c>
      <c r="CD45" s="518" t="e">
        <f t="shared" si="42"/>
        <v>#N/A</v>
      </c>
      <c r="CE45" s="518" t="e">
        <f t="shared" si="42"/>
        <v>#N/A</v>
      </c>
      <c r="CF45" s="518" t="e">
        <f t="shared" si="42"/>
        <v>#N/A</v>
      </c>
      <c r="CG45" s="518" t="e">
        <f t="shared" si="42"/>
        <v>#N/A</v>
      </c>
      <c r="CH45" s="518" t="e">
        <f t="shared" si="42"/>
        <v>#N/A</v>
      </c>
    </row>
    <row r="46" spans="2:86" x14ac:dyDescent="0.2">
      <c r="B46" s="5"/>
      <c r="C46" s="71"/>
      <c r="D46" s="71"/>
      <c r="E46" s="71"/>
      <c r="F46" s="71"/>
      <c r="G46" s="71"/>
      <c r="H46" s="71"/>
      <c r="I46" s="71"/>
      <c r="J46" s="71"/>
      <c r="K46" s="71"/>
      <c r="L46" s="71"/>
      <c r="N46" s="33"/>
      <c r="O46" s="33"/>
      <c r="P46" s="25"/>
      <c r="Q46" s="25"/>
      <c r="R46" s="24" t="s">
        <v>44</v>
      </c>
      <c r="S46" s="24"/>
      <c r="T46" s="36">
        <f t="shared" ref="T46:AM46" si="43">IFERROR(VLOOKUP(T$13&amp;"Male"&amp;"AllEth"&amp;23&amp;$R37,Methodstable,9,FALSE),"0.0")</f>
        <v>3.7</v>
      </c>
      <c r="U46" s="36">
        <f t="shared" si="43"/>
        <v>3</v>
      </c>
      <c r="V46" s="36">
        <f t="shared" si="43"/>
        <v>1.5</v>
      </c>
      <c r="W46" s="36">
        <f t="shared" si="43"/>
        <v>1.7</v>
      </c>
      <c r="X46" s="36">
        <f t="shared" si="43"/>
        <v>1.2</v>
      </c>
      <c r="Y46" s="36">
        <f t="shared" si="43"/>
        <v>1.6</v>
      </c>
      <c r="Z46" s="36">
        <f t="shared" si="43"/>
        <v>3</v>
      </c>
      <c r="AA46" s="36">
        <f t="shared" si="43"/>
        <v>1.8</v>
      </c>
      <c r="AB46" s="36">
        <f t="shared" si="43"/>
        <v>0.6</v>
      </c>
      <c r="AC46" s="36">
        <f t="shared" si="43"/>
        <v>2.5</v>
      </c>
      <c r="AD46" s="36">
        <f t="shared" si="43"/>
        <v>1.4</v>
      </c>
      <c r="AE46" s="36">
        <f t="shared" si="43"/>
        <v>3.6</v>
      </c>
      <c r="AF46" s="36">
        <f t="shared" si="43"/>
        <v>3</v>
      </c>
      <c r="AG46" s="36">
        <f t="shared" si="43"/>
        <v>3</v>
      </c>
      <c r="AH46" s="36">
        <f t="shared" si="43"/>
        <v>1.4</v>
      </c>
      <c r="AI46" s="36">
        <f t="shared" si="43"/>
        <v>2.2999999999999998</v>
      </c>
      <c r="AJ46" s="36">
        <f t="shared" si="43"/>
        <v>1.4</v>
      </c>
      <c r="AK46" s="36">
        <f t="shared" si="43"/>
        <v>1.8</v>
      </c>
      <c r="AL46" s="36">
        <f t="shared" si="43"/>
        <v>5</v>
      </c>
      <c r="AM46" s="36">
        <f t="shared" si="43"/>
        <v>2.9</v>
      </c>
      <c r="BJ46" s="480"/>
      <c r="BK46" s="512"/>
      <c r="BL46" s="512"/>
      <c r="BM46" s="512" t="s">
        <v>49</v>
      </c>
      <c r="BN46" s="512" t="s">
        <v>51</v>
      </c>
      <c r="BO46" s="518" t="e">
        <f t="shared" ref="BO46:CH46" si="44">IF($BJ28,VLOOKUP(BO$22&amp;"Male"&amp;"AllEth"&amp;23&amp;$BM46,Methodstable,9,FALSE),NA())</f>
        <v>#N/A</v>
      </c>
      <c r="BP46" s="518" t="e">
        <f t="shared" si="44"/>
        <v>#N/A</v>
      </c>
      <c r="BQ46" s="518" t="e">
        <f t="shared" si="44"/>
        <v>#N/A</v>
      </c>
      <c r="BR46" s="518" t="e">
        <f t="shared" si="44"/>
        <v>#N/A</v>
      </c>
      <c r="BS46" s="518" t="e">
        <f t="shared" si="44"/>
        <v>#N/A</v>
      </c>
      <c r="BT46" s="518" t="e">
        <f t="shared" si="44"/>
        <v>#N/A</v>
      </c>
      <c r="BU46" s="518" t="e">
        <f t="shared" si="44"/>
        <v>#N/A</v>
      </c>
      <c r="BV46" s="518" t="e">
        <f t="shared" si="44"/>
        <v>#N/A</v>
      </c>
      <c r="BW46" s="518" t="e">
        <f t="shared" si="44"/>
        <v>#N/A</v>
      </c>
      <c r="BX46" s="518" t="e">
        <f t="shared" si="44"/>
        <v>#N/A</v>
      </c>
      <c r="BY46" s="518" t="e">
        <f t="shared" si="44"/>
        <v>#N/A</v>
      </c>
      <c r="BZ46" s="518" t="e">
        <f t="shared" si="44"/>
        <v>#N/A</v>
      </c>
      <c r="CA46" s="518" t="e">
        <f t="shared" si="44"/>
        <v>#N/A</v>
      </c>
      <c r="CB46" s="518" t="e">
        <f t="shared" si="44"/>
        <v>#N/A</v>
      </c>
      <c r="CC46" s="518" t="e">
        <f t="shared" si="44"/>
        <v>#N/A</v>
      </c>
      <c r="CD46" s="518" t="e">
        <f t="shared" si="44"/>
        <v>#N/A</v>
      </c>
      <c r="CE46" s="518" t="e">
        <f t="shared" si="44"/>
        <v>#N/A</v>
      </c>
      <c r="CF46" s="518" t="e">
        <f t="shared" si="44"/>
        <v>#N/A</v>
      </c>
      <c r="CG46" s="518" t="e">
        <f t="shared" si="44"/>
        <v>#N/A</v>
      </c>
      <c r="CH46" s="518" t="e">
        <f t="shared" si="44"/>
        <v>#N/A</v>
      </c>
    </row>
    <row r="47" spans="2:86" ht="12.75" customHeight="1" x14ac:dyDescent="0.2">
      <c r="B47" s="5"/>
      <c r="C47" s="71"/>
      <c r="D47" s="71"/>
      <c r="E47" s="112" t="s">
        <v>105</v>
      </c>
      <c r="F47" s="71"/>
      <c r="G47" s="71"/>
      <c r="H47" s="71"/>
      <c r="I47" s="112" t="s">
        <v>105</v>
      </c>
      <c r="J47" s="71"/>
      <c r="K47" s="71"/>
      <c r="L47" s="71"/>
      <c r="N47" s="33"/>
      <c r="O47" s="33"/>
      <c r="P47" s="25"/>
      <c r="Q47" s="25"/>
      <c r="R47" s="24" t="s">
        <v>49</v>
      </c>
      <c r="S47" s="24"/>
      <c r="T47" s="36">
        <f t="shared" ref="T47:AM47" si="45">IFERROR(VLOOKUP(T$13&amp;"Male"&amp;"AllEth"&amp;23&amp;$R38,Methodstable,9,FALSE),"0.0")</f>
        <v>0.5</v>
      </c>
      <c r="U47" s="36">
        <f t="shared" si="45"/>
        <v>2</v>
      </c>
      <c r="V47" s="36">
        <f t="shared" si="45"/>
        <v>0.5</v>
      </c>
      <c r="W47" s="36">
        <f t="shared" si="45"/>
        <v>2.2000000000000002</v>
      </c>
      <c r="X47" s="36">
        <f t="shared" si="45"/>
        <v>3.5</v>
      </c>
      <c r="Y47" s="36" t="str">
        <f t="shared" si="45"/>
        <v>0.0</v>
      </c>
      <c r="Z47" s="36">
        <f t="shared" si="45"/>
        <v>2.4</v>
      </c>
      <c r="AA47" s="36">
        <f t="shared" si="45"/>
        <v>1.8</v>
      </c>
      <c r="AB47" s="36">
        <f t="shared" si="45"/>
        <v>2.5</v>
      </c>
      <c r="AC47" s="36" t="str">
        <f t="shared" si="45"/>
        <v>0.0</v>
      </c>
      <c r="AD47" s="36">
        <f t="shared" si="45"/>
        <v>1.4</v>
      </c>
      <c r="AE47" s="36">
        <f t="shared" si="45"/>
        <v>0.6</v>
      </c>
      <c r="AF47" s="36" t="str">
        <f t="shared" si="45"/>
        <v>0.0</v>
      </c>
      <c r="AG47" s="36">
        <f t="shared" si="45"/>
        <v>0.8</v>
      </c>
      <c r="AH47" s="36">
        <f t="shared" si="45"/>
        <v>0.7</v>
      </c>
      <c r="AI47" s="36">
        <f t="shared" si="45"/>
        <v>2.2999999999999998</v>
      </c>
      <c r="AJ47" s="36">
        <f t="shared" si="45"/>
        <v>0.7</v>
      </c>
      <c r="AK47" s="36">
        <f t="shared" si="45"/>
        <v>0.9</v>
      </c>
      <c r="AL47" s="36" t="str">
        <f t="shared" si="45"/>
        <v>0.0</v>
      </c>
      <c r="AM47" s="36">
        <f t="shared" si="45"/>
        <v>0.7</v>
      </c>
      <c r="BJ47" s="480"/>
      <c r="BK47" s="512"/>
      <c r="BL47" s="512"/>
      <c r="BM47" s="512" t="s">
        <v>48</v>
      </c>
      <c r="BN47" s="512" t="s">
        <v>51</v>
      </c>
      <c r="BO47" s="518" t="e">
        <f t="shared" ref="BO47:CH47" si="46">IF($BJ29,VLOOKUP(BO$22&amp;"Male"&amp;"AllEth"&amp;23&amp;$BM47,Methodstable,9,FALSE),NA())</f>
        <v>#N/A</v>
      </c>
      <c r="BP47" s="518" t="e">
        <f t="shared" si="46"/>
        <v>#N/A</v>
      </c>
      <c r="BQ47" s="518" t="e">
        <f t="shared" si="46"/>
        <v>#N/A</v>
      </c>
      <c r="BR47" s="518" t="e">
        <f t="shared" si="46"/>
        <v>#N/A</v>
      </c>
      <c r="BS47" s="518" t="e">
        <f t="shared" si="46"/>
        <v>#N/A</v>
      </c>
      <c r="BT47" s="518" t="e">
        <f t="shared" si="46"/>
        <v>#N/A</v>
      </c>
      <c r="BU47" s="518" t="e">
        <f t="shared" si="46"/>
        <v>#N/A</v>
      </c>
      <c r="BV47" s="518" t="e">
        <f t="shared" si="46"/>
        <v>#N/A</v>
      </c>
      <c r="BW47" s="518" t="e">
        <f t="shared" si="46"/>
        <v>#N/A</v>
      </c>
      <c r="BX47" s="518" t="e">
        <f t="shared" si="46"/>
        <v>#N/A</v>
      </c>
      <c r="BY47" s="518" t="e">
        <f t="shared" si="46"/>
        <v>#N/A</v>
      </c>
      <c r="BZ47" s="518" t="e">
        <f t="shared" si="46"/>
        <v>#N/A</v>
      </c>
      <c r="CA47" s="518" t="e">
        <f t="shared" si="46"/>
        <v>#N/A</v>
      </c>
      <c r="CB47" s="518" t="e">
        <f t="shared" si="46"/>
        <v>#N/A</v>
      </c>
      <c r="CC47" s="518" t="e">
        <f t="shared" si="46"/>
        <v>#N/A</v>
      </c>
      <c r="CD47" s="518" t="e">
        <f t="shared" si="46"/>
        <v>#N/A</v>
      </c>
      <c r="CE47" s="518" t="e">
        <f t="shared" si="46"/>
        <v>#N/A</v>
      </c>
      <c r="CF47" s="518" t="e">
        <f t="shared" si="46"/>
        <v>#N/A</v>
      </c>
      <c r="CG47" s="518" t="e">
        <f t="shared" si="46"/>
        <v>#N/A</v>
      </c>
      <c r="CH47" s="518" t="e">
        <f t="shared" si="46"/>
        <v>#N/A</v>
      </c>
    </row>
    <row r="48" spans="2:86" x14ac:dyDescent="0.2">
      <c r="B48" s="5"/>
      <c r="C48" s="71"/>
      <c r="D48" s="71"/>
      <c r="E48" s="71"/>
      <c r="F48" s="71"/>
      <c r="G48" s="71"/>
      <c r="H48" s="71"/>
      <c r="I48" s="71"/>
      <c r="J48" s="71"/>
      <c r="K48" s="71"/>
      <c r="L48" s="71"/>
      <c r="N48" s="33"/>
      <c r="O48" s="33"/>
      <c r="P48" s="25"/>
      <c r="Q48" s="25"/>
      <c r="R48" s="24" t="s">
        <v>48</v>
      </c>
      <c r="S48" s="24"/>
      <c r="T48" s="36">
        <f t="shared" ref="T48:AM48" si="47">IFERROR(VLOOKUP(T$13&amp;"Male"&amp;"AllEth"&amp;23&amp;$R39,Methodstable,9,FALSE),"0.0")</f>
        <v>1.6</v>
      </c>
      <c r="U48" s="36">
        <f t="shared" si="47"/>
        <v>2</v>
      </c>
      <c r="V48" s="36">
        <f t="shared" si="47"/>
        <v>2.6</v>
      </c>
      <c r="W48" s="36">
        <f t="shared" si="47"/>
        <v>2.2000000000000002</v>
      </c>
      <c r="X48" s="36">
        <f t="shared" si="47"/>
        <v>1.2</v>
      </c>
      <c r="Y48" s="36">
        <f t="shared" si="47"/>
        <v>0.5</v>
      </c>
      <c r="Z48" s="36">
        <f t="shared" si="47"/>
        <v>2.4</v>
      </c>
      <c r="AA48" s="36">
        <f t="shared" si="47"/>
        <v>2.5</v>
      </c>
      <c r="AB48" s="36">
        <f t="shared" si="47"/>
        <v>0.6</v>
      </c>
      <c r="AC48" s="36">
        <f t="shared" si="47"/>
        <v>3.7</v>
      </c>
      <c r="AD48" s="36">
        <f t="shared" si="47"/>
        <v>4.0999999999999996</v>
      </c>
      <c r="AE48" s="36">
        <f t="shared" si="47"/>
        <v>1.2</v>
      </c>
      <c r="AF48" s="36">
        <f t="shared" si="47"/>
        <v>2.2999999999999998</v>
      </c>
      <c r="AG48" s="36">
        <f t="shared" si="47"/>
        <v>0.8</v>
      </c>
      <c r="AH48" s="36">
        <f t="shared" si="47"/>
        <v>2.1</v>
      </c>
      <c r="AI48" s="36">
        <f t="shared" si="47"/>
        <v>0.8</v>
      </c>
      <c r="AJ48" s="36">
        <f t="shared" si="47"/>
        <v>4.2</v>
      </c>
      <c r="AK48" s="36">
        <f t="shared" si="47"/>
        <v>2.6</v>
      </c>
      <c r="AL48" s="36">
        <f t="shared" si="47"/>
        <v>1.4</v>
      </c>
      <c r="AM48" s="36">
        <f t="shared" si="47"/>
        <v>1.5</v>
      </c>
      <c r="BJ48" s="480"/>
      <c r="BK48" s="512"/>
      <c r="BL48" s="512"/>
      <c r="BM48" s="512" t="s">
        <v>45</v>
      </c>
      <c r="BN48" s="512" t="s">
        <v>51</v>
      </c>
      <c r="BO48" s="518" t="e">
        <f t="shared" ref="BO48:CH48" si="48">IF($BJ30,VLOOKUP(BO$22&amp;"Male"&amp;"AllEth"&amp;23&amp;$BM48,Methodstable,9,FALSE),NA())</f>
        <v>#N/A</v>
      </c>
      <c r="BP48" s="518" t="e">
        <f t="shared" si="48"/>
        <v>#N/A</v>
      </c>
      <c r="BQ48" s="518" t="e">
        <f t="shared" si="48"/>
        <v>#N/A</v>
      </c>
      <c r="BR48" s="518" t="e">
        <f t="shared" si="48"/>
        <v>#N/A</v>
      </c>
      <c r="BS48" s="518" t="e">
        <f t="shared" si="48"/>
        <v>#N/A</v>
      </c>
      <c r="BT48" s="518" t="e">
        <f t="shared" si="48"/>
        <v>#N/A</v>
      </c>
      <c r="BU48" s="518" t="e">
        <f t="shared" si="48"/>
        <v>#N/A</v>
      </c>
      <c r="BV48" s="518" t="e">
        <f t="shared" si="48"/>
        <v>#N/A</v>
      </c>
      <c r="BW48" s="518" t="e">
        <f t="shared" si="48"/>
        <v>#N/A</v>
      </c>
      <c r="BX48" s="518" t="e">
        <f t="shared" si="48"/>
        <v>#N/A</v>
      </c>
      <c r="BY48" s="518" t="e">
        <f t="shared" si="48"/>
        <v>#N/A</v>
      </c>
      <c r="BZ48" s="518" t="e">
        <f t="shared" si="48"/>
        <v>#N/A</v>
      </c>
      <c r="CA48" s="518" t="e">
        <f t="shared" si="48"/>
        <v>#N/A</v>
      </c>
      <c r="CB48" s="518" t="e">
        <f t="shared" si="48"/>
        <v>#N/A</v>
      </c>
      <c r="CC48" s="518" t="e">
        <f t="shared" si="48"/>
        <v>#N/A</v>
      </c>
      <c r="CD48" s="518" t="e">
        <f t="shared" si="48"/>
        <v>#N/A</v>
      </c>
      <c r="CE48" s="518" t="e">
        <f t="shared" si="48"/>
        <v>#N/A</v>
      </c>
      <c r="CF48" s="518" t="e">
        <f t="shared" si="48"/>
        <v>#N/A</v>
      </c>
      <c r="CG48" s="518" t="e">
        <f t="shared" si="48"/>
        <v>#N/A</v>
      </c>
      <c r="CH48" s="518" t="e">
        <f t="shared" si="48"/>
        <v>#N/A</v>
      </c>
    </row>
    <row r="49" spans="1:86" x14ac:dyDescent="0.2">
      <c r="B49" s="5"/>
      <c r="C49" s="71"/>
      <c r="D49" s="71"/>
      <c r="E49" s="71"/>
      <c r="F49" s="71"/>
      <c r="G49" s="71"/>
      <c r="H49" s="71"/>
      <c r="I49" s="71"/>
      <c r="J49" s="71"/>
      <c r="K49" s="71"/>
      <c r="L49" s="71"/>
      <c r="N49" s="33"/>
      <c r="O49" s="33"/>
      <c r="P49" s="25"/>
      <c r="Q49" s="25"/>
      <c r="R49" s="24" t="s">
        <v>45</v>
      </c>
      <c r="S49" s="24"/>
      <c r="T49" s="36">
        <f t="shared" ref="T49:AM49" si="49">IFERROR(VLOOKUP(T$13&amp;"Male"&amp;"AllEth"&amp;23&amp;$R40,Methodstable,9,FALSE),"0.0")</f>
        <v>2.1</v>
      </c>
      <c r="U49" s="36">
        <f t="shared" si="49"/>
        <v>3</v>
      </c>
      <c r="V49" s="36">
        <f t="shared" si="49"/>
        <v>5.0999999999999996</v>
      </c>
      <c r="W49" s="36">
        <f t="shared" si="49"/>
        <v>3.3</v>
      </c>
      <c r="X49" s="36">
        <f t="shared" si="49"/>
        <v>4.0999999999999996</v>
      </c>
      <c r="Y49" s="36">
        <f t="shared" si="49"/>
        <v>3.7</v>
      </c>
      <c r="Z49" s="36">
        <f t="shared" si="49"/>
        <v>0.6</v>
      </c>
      <c r="AA49" s="36">
        <f t="shared" si="49"/>
        <v>5.5</v>
      </c>
      <c r="AB49" s="36">
        <f t="shared" si="49"/>
        <v>1.9</v>
      </c>
      <c r="AC49" s="36">
        <f t="shared" si="49"/>
        <v>2.5</v>
      </c>
      <c r="AD49" s="36">
        <f t="shared" si="49"/>
        <v>4.0999999999999996</v>
      </c>
      <c r="AE49" s="36">
        <f t="shared" si="49"/>
        <v>2.4</v>
      </c>
      <c r="AF49" s="36">
        <f t="shared" si="49"/>
        <v>4.5</v>
      </c>
      <c r="AG49" s="36">
        <f t="shared" si="49"/>
        <v>3</v>
      </c>
      <c r="AH49" s="36">
        <f t="shared" si="49"/>
        <v>1.4</v>
      </c>
      <c r="AI49" s="36">
        <f t="shared" si="49"/>
        <v>2.2999999999999998</v>
      </c>
      <c r="AJ49" s="36">
        <f t="shared" si="49"/>
        <v>6.3</v>
      </c>
      <c r="AK49" s="36">
        <f t="shared" si="49"/>
        <v>1.8</v>
      </c>
      <c r="AL49" s="36">
        <f t="shared" si="49"/>
        <v>2.1</v>
      </c>
      <c r="AM49" s="36">
        <f t="shared" si="49"/>
        <v>3.7</v>
      </c>
      <c r="BJ49" s="480"/>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row>
    <row r="50" spans="1:86" ht="12.75" customHeight="1" x14ac:dyDescent="0.2">
      <c r="B50" s="5"/>
      <c r="C50" s="71"/>
      <c r="D50" s="71"/>
      <c r="E50" s="71"/>
      <c r="F50" s="71"/>
      <c r="G50" s="71"/>
      <c r="H50" s="71"/>
      <c r="I50" s="71"/>
      <c r="J50" s="71"/>
      <c r="K50" s="71"/>
      <c r="L50" s="71"/>
      <c r="N50" s="33"/>
      <c r="O50" s="33"/>
      <c r="P50" s="28"/>
      <c r="Q50" s="28"/>
      <c r="R50" s="26"/>
      <c r="S50" s="26"/>
      <c r="T50" s="29"/>
      <c r="U50" s="29"/>
      <c r="V50" s="29"/>
      <c r="W50" s="29"/>
      <c r="X50" s="29"/>
      <c r="Y50" s="29"/>
      <c r="Z50" s="29"/>
      <c r="AA50" s="29"/>
      <c r="AB50" s="29"/>
      <c r="AC50" s="29"/>
      <c r="AD50" s="29"/>
      <c r="AE50" s="29"/>
      <c r="AF50" s="29"/>
      <c r="AG50" s="29"/>
      <c r="AH50" s="29"/>
      <c r="AI50" s="29"/>
      <c r="AJ50" s="29"/>
      <c r="AK50" s="29"/>
      <c r="AL50" s="29"/>
      <c r="AM50" s="29"/>
      <c r="BJ50" s="480"/>
      <c r="BK50" s="512" t="s">
        <v>20</v>
      </c>
      <c r="BL50" s="512" t="s">
        <v>25</v>
      </c>
      <c r="BM50" s="512" t="s">
        <v>43</v>
      </c>
      <c r="BN50" s="512" t="s">
        <v>51</v>
      </c>
      <c r="BO50" s="518">
        <f t="shared" ref="BO50:CH50" si="50">IF($BJ23,VLOOKUP(BO$22&amp;"Male"&amp;"AllEth"&amp;24&amp;$BM50,Methodstable,9,FALSE),NA())</f>
        <v>31.2</v>
      </c>
      <c r="BP50" s="518">
        <f t="shared" si="50"/>
        <v>38.200000000000003</v>
      </c>
      <c r="BQ50" s="518">
        <f t="shared" si="50"/>
        <v>27.8</v>
      </c>
      <c r="BR50" s="518">
        <f t="shared" si="50"/>
        <v>41</v>
      </c>
      <c r="BS50" s="518">
        <f t="shared" si="50"/>
        <v>36.200000000000003</v>
      </c>
      <c r="BT50" s="518">
        <f t="shared" si="50"/>
        <v>32.299999999999997</v>
      </c>
      <c r="BU50" s="518">
        <f t="shared" si="50"/>
        <v>42</v>
      </c>
      <c r="BV50" s="518">
        <f t="shared" si="50"/>
        <v>36</v>
      </c>
      <c r="BW50" s="518">
        <f t="shared" si="50"/>
        <v>36.4</v>
      </c>
      <c r="BX50" s="518">
        <f t="shared" si="50"/>
        <v>38.1</v>
      </c>
      <c r="BY50" s="518">
        <f t="shared" si="50"/>
        <v>40</v>
      </c>
      <c r="BZ50" s="518">
        <f t="shared" si="50"/>
        <v>49</v>
      </c>
      <c r="CA50" s="518">
        <f t="shared" si="50"/>
        <v>48.8</v>
      </c>
      <c r="CB50" s="518">
        <f t="shared" si="50"/>
        <v>50.8</v>
      </c>
      <c r="CC50" s="518">
        <f t="shared" si="50"/>
        <v>50</v>
      </c>
      <c r="CD50" s="518">
        <f t="shared" si="50"/>
        <v>52.1</v>
      </c>
      <c r="CE50" s="518">
        <f t="shared" si="50"/>
        <v>52.4</v>
      </c>
      <c r="CF50" s="518">
        <f t="shared" si="50"/>
        <v>40</v>
      </c>
      <c r="CG50" s="518">
        <f t="shared" si="50"/>
        <v>47.9</v>
      </c>
      <c r="CH50" s="518">
        <f t="shared" si="50"/>
        <v>55.6</v>
      </c>
    </row>
    <row r="51" spans="1:86" x14ac:dyDescent="0.2">
      <c r="B51" s="5"/>
      <c r="C51" s="71"/>
      <c r="D51" s="71"/>
      <c r="E51" s="71"/>
      <c r="F51" s="71"/>
      <c r="G51" s="71"/>
      <c r="H51" s="71"/>
      <c r="I51" s="71"/>
      <c r="J51" s="71"/>
      <c r="K51" s="71"/>
      <c r="L51" s="71"/>
      <c r="N51" s="33"/>
      <c r="O51" s="33"/>
      <c r="P51" s="25" t="s">
        <v>20</v>
      </c>
      <c r="Q51" s="25" t="s">
        <v>36</v>
      </c>
      <c r="R51" s="24" t="s">
        <v>43</v>
      </c>
      <c r="S51" s="24" t="s">
        <v>366</v>
      </c>
      <c r="T51" s="36">
        <f t="shared" ref="T51:AC58" si="51">IFERROR(VLOOKUP(T$13&amp;"Male"&amp;"AllEth"&amp;24&amp;$R51,Methodstable,9,FALSE),"0.0")</f>
        <v>31.2</v>
      </c>
      <c r="U51" s="36">
        <f t="shared" si="51"/>
        <v>38.200000000000003</v>
      </c>
      <c r="V51" s="36">
        <f t="shared" si="51"/>
        <v>27.8</v>
      </c>
      <c r="W51" s="36">
        <f t="shared" si="51"/>
        <v>41</v>
      </c>
      <c r="X51" s="36">
        <f t="shared" si="51"/>
        <v>36.200000000000003</v>
      </c>
      <c r="Y51" s="36">
        <f t="shared" si="51"/>
        <v>32.299999999999997</v>
      </c>
      <c r="Z51" s="36">
        <f t="shared" si="51"/>
        <v>42</v>
      </c>
      <c r="AA51" s="36">
        <f t="shared" si="51"/>
        <v>36</v>
      </c>
      <c r="AB51" s="36">
        <f t="shared" si="51"/>
        <v>36.4</v>
      </c>
      <c r="AC51" s="36">
        <f t="shared" si="51"/>
        <v>38.1</v>
      </c>
      <c r="AD51" s="36">
        <f t="shared" ref="AD51:AM58" si="52">IFERROR(VLOOKUP(AD$13&amp;"Male"&amp;"AllEth"&amp;24&amp;$R51,Methodstable,9,FALSE),"0.0")</f>
        <v>40</v>
      </c>
      <c r="AE51" s="36">
        <f t="shared" si="52"/>
        <v>49</v>
      </c>
      <c r="AF51" s="36">
        <f t="shared" si="52"/>
        <v>48.8</v>
      </c>
      <c r="AG51" s="36">
        <f t="shared" si="52"/>
        <v>50.8</v>
      </c>
      <c r="AH51" s="36">
        <f t="shared" si="52"/>
        <v>50</v>
      </c>
      <c r="AI51" s="36">
        <f t="shared" si="52"/>
        <v>52.1</v>
      </c>
      <c r="AJ51" s="36">
        <f t="shared" si="52"/>
        <v>52.4</v>
      </c>
      <c r="AK51" s="36">
        <f t="shared" si="52"/>
        <v>40</v>
      </c>
      <c r="AL51" s="36">
        <f t="shared" si="52"/>
        <v>47.9</v>
      </c>
      <c r="AM51" s="36">
        <f t="shared" si="52"/>
        <v>55.6</v>
      </c>
      <c r="BJ51" s="480"/>
      <c r="BK51" s="512"/>
      <c r="BL51" s="512"/>
      <c r="BM51" s="512" t="s">
        <v>46</v>
      </c>
      <c r="BN51" s="512" t="s">
        <v>51</v>
      </c>
      <c r="BO51" s="518">
        <f t="shared" ref="BO51:CH51" si="53">IF($BJ24,VLOOKUP(BO$22&amp;"Male"&amp;"AllEth"&amp;24&amp;$BM51,Methodstable,9,FALSE),NA())</f>
        <v>40</v>
      </c>
      <c r="BP51" s="518">
        <f t="shared" si="53"/>
        <v>25</v>
      </c>
      <c r="BQ51" s="518">
        <f t="shared" si="53"/>
        <v>21.1</v>
      </c>
      <c r="BR51" s="518">
        <f t="shared" si="53"/>
        <v>21.7</v>
      </c>
      <c r="BS51" s="518">
        <f t="shared" si="53"/>
        <v>35</v>
      </c>
      <c r="BT51" s="518">
        <f t="shared" si="53"/>
        <v>27.7</v>
      </c>
      <c r="BU51" s="518">
        <f t="shared" si="53"/>
        <v>25</v>
      </c>
      <c r="BV51" s="518">
        <f t="shared" si="53"/>
        <v>23</v>
      </c>
      <c r="BW51" s="518">
        <f t="shared" si="53"/>
        <v>28.4</v>
      </c>
      <c r="BX51" s="518">
        <f t="shared" si="53"/>
        <v>24.8</v>
      </c>
      <c r="BY51" s="518">
        <f t="shared" si="53"/>
        <v>21.8</v>
      </c>
      <c r="BZ51" s="518">
        <f t="shared" si="53"/>
        <v>18.600000000000001</v>
      </c>
      <c r="CA51" s="518">
        <f t="shared" si="53"/>
        <v>14.4</v>
      </c>
      <c r="CB51" s="518">
        <f t="shared" si="53"/>
        <v>12.5</v>
      </c>
      <c r="CC51" s="518">
        <f t="shared" si="53"/>
        <v>16.100000000000001</v>
      </c>
      <c r="CD51" s="518">
        <f t="shared" si="53"/>
        <v>15.4</v>
      </c>
      <c r="CE51" s="518">
        <f t="shared" si="53"/>
        <v>13.3</v>
      </c>
      <c r="CF51" s="518">
        <f t="shared" si="53"/>
        <v>15.4</v>
      </c>
      <c r="CG51" s="518">
        <f t="shared" si="53"/>
        <v>8.4</v>
      </c>
      <c r="CH51" s="518">
        <f t="shared" si="53"/>
        <v>14.5</v>
      </c>
    </row>
    <row r="52" spans="1:86" x14ac:dyDescent="0.2">
      <c r="B52" s="5"/>
      <c r="C52" s="71"/>
      <c r="D52" s="71"/>
      <c r="E52" s="71"/>
      <c r="F52" s="71"/>
      <c r="G52" s="71"/>
      <c r="H52" s="71"/>
      <c r="I52" s="71"/>
      <c r="J52" s="71"/>
      <c r="K52" s="71"/>
      <c r="L52" s="71"/>
      <c r="P52" s="25"/>
      <c r="Q52" s="25"/>
      <c r="R52" s="24" t="s">
        <v>46</v>
      </c>
      <c r="S52" s="24"/>
      <c r="T52" s="36">
        <f t="shared" si="51"/>
        <v>40</v>
      </c>
      <c r="U52" s="36">
        <f t="shared" si="51"/>
        <v>25</v>
      </c>
      <c r="V52" s="36">
        <f t="shared" si="51"/>
        <v>21.1</v>
      </c>
      <c r="W52" s="36">
        <f t="shared" si="51"/>
        <v>21.7</v>
      </c>
      <c r="X52" s="36">
        <f t="shared" si="51"/>
        <v>35</v>
      </c>
      <c r="Y52" s="36">
        <f t="shared" si="51"/>
        <v>27.7</v>
      </c>
      <c r="Z52" s="36">
        <f t="shared" si="51"/>
        <v>25</v>
      </c>
      <c r="AA52" s="36">
        <f t="shared" si="51"/>
        <v>23</v>
      </c>
      <c r="AB52" s="36">
        <f t="shared" si="51"/>
        <v>28.4</v>
      </c>
      <c r="AC52" s="36">
        <f t="shared" si="51"/>
        <v>24.8</v>
      </c>
      <c r="AD52" s="36">
        <f t="shared" si="52"/>
        <v>21.8</v>
      </c>
      <c r="AE52" s="36">
        <f t="shared" si="52"/>
        <v>18.600000000000001</v>
      </c>
      <c r="AF52" s="36">
        <f t="shared" si="52"/>
        <v>14.4</v>
      </c>
      <c r="AG52" s="36">
        <f t="shared" si="52"/>
        <v>12.5</v>
      </c>
      <c r="AH52" s="36">
        <f t="shared" si="52"/>
        <v>16.100000000000001</v>
      </c>
      <c r="AI52" s="36">
        <f t="shared" si="52"/>
        <v>15.4</v>
      </c>
      <c r="AJ52" s="36">
        <f t="shared" si="52"/>
        <v>13.3</v>
      </c>
      <c r="AK52" s="36">
        <f t="shared" si="52"/>
        <v>15.4</v>
      </c>
      <c r="AL52" s="36">
        <f t="shared" si="52"/>
        <v>8.4</v>
      </c>
      <c r="AM52" s="36">
        <f t="shared" si="52"/>
        <v>14.5</v>
      </c>
      <c r="BJ52" s="480"/>
      <c r="BK52" s="512"/>
      <c r="BL52" s="512"/>
      <c r="BM52" s="512" t="s">
        <v>47</v>
      </c>
      <c r="BN52" s="512" t="s">
        <v>51</v>
      </c>
      <c r="BO52" s="518">
        <f t="shared" ref="BO52:CH52" si="54">IF($BJ25,VLOOKUP(BO$22&amp;"Male"&amp;"AllEth"&amp;24&amp;$BM52,Methodstable,9,FALSE),NA())</f>
        <v>7.5</v>
      </c>
      <c r="BP52" s="518">
        <f t="shared" si="54"/>
        <v>5.3</v>
      </c>
      <c r="BQ52" s="518">
        <f t="shared" si="54"/>
        <v>10</v>
      </c>
      <c r="BR52" s="518">
        <f t="shared" si="54"/>
        <v>10.8</v>
      </c>
      <c r="BS52" s="518">
        <f t="shared" si="54"/>
        <v>7.5</v>
      </c>
      <c r="BT52" s="518">
        <f t="shared" si="54"/>
        <v>12.3</v>
      </c>
      <c r="BU52" s="518">
        <f t="shared" si="54"/>
        <v>4.5</v>
      </c>
      <c r="BV52" s="518">
        <f t="shared" si="54"/>
        <v>13</v>
      </c>
      <c r="BW52" s="518">
        <f t="shared" si="54"/>
        <v>6.8</v>
      </c>
      <c r="BX52" s="518">
        <f t="shared" si="54"/>
        <v>14.3</v>
      </c>
      <c r="BY52" s="518">
        <f t="shared" si="54"/>
        <v>11.8</v>
      </c>
      <c r="BZ52" s="518">
        <f t="shared" si="54"/>
        <v>10.8</v>
      </c>
      <c r="CA52" s="518">
        <f t="shared" si="54"/>
        <v>7.2</v>
      </c>
      <c r="CB52" s="518">
        <f t="shared" si="54"/>
        <v>9.1999999999999993</v>
      </c>
      <c r="CC52" s="518">
        <f t="shared" si="54"/>
        <v>10.199999999999999</v>
      </c>
      <c r="CD52" s="518">
        <f t="shared" si="54"/>
        <v>8.5</v>
      </c>
      <c r="CE52" s="518">
        <f t="shared" si="54"/>
        <v>9.5</v>
      </c>
      <c r="CF52" s="518">
        <f t="shared" si="54"/>
        <v>12.3</v>
      </c>
      <c r="CG52" s="518">
        <f t="shared" si="54"/>
        <v>12.6</v>
      </c>
      <c r="CH52" s="518">
        <f t="shared" si="54"/>
        <v>6.5</v>
      </c>
    </row>
    <row r="53" spans="1:86" ht="14.25" customHeight="1" x14ac:dyDescent="0.2">
      <c r="B53" s="5"/>
      <c r="C53" s="71"/>
      <c r="D53" s="71"/>
      <c r="E53" s="71"/>
      <c r="F53" s="71"/>
      <c r="G53" s="71"/>
      <c r="H53" s="71"/>
      <c r="I53" s="71"/>
      <c r="J53" s="71"/>
      <c r="K53" s="71"/>
      <c r="L53" s="71"/>
      <c r="P53" s="25"/>
      <c r="Q53" s="25"/>
      <c r="R53" s="24" t="s">
        <v>47</v>
      </c>
      <c r="S53" s="24"/>
      <c r="T53" s="36">
        <f t="shared" si="51"/>
        <v>7.5</v>
      </c>
      <c r="U53" s="36">
        <f t="shared" si="51"/>
        <v>5.3</v>
      </c>
      <c r="V53" s="36">
        <f t="shared" si="51"/>
        <v>10</v>
      </c>
      <c r="W53" s="36">
        <f t="shared" si="51"/>
        <v>10.8</v>
      </c>
      <c r="X53" s="36">
        <f t="shared" si="51"/>
        <v>7.5</v>
      </c>
      <c r="Y53" s="36">
        <f t="shared" si="51"/>
        <v>12.3</v>
      </c>
      <c r="Z53" s="36">
        <f t="shared" si="51"/>
        <v>4.5</v>
      </c>
      <c r="AA53" s="36">
        <f t="shared" si="51"/>
        <v>13</v>
      </c>
      <c r="AB53" s="36">
        <f t="shared" si="51"/>
        <v>6.8</v>
      </c>
      <c r="AC53" s="36">
        <f t="shared" si="51"/>
        <v>14.3</v>
      </c>
      <c r="AD53" s="36">
        <f t="shared" si="52"/>
        <v>11.8</v>
      </c>
      <c r="AE53" s="36">
        <f t="shared" si="52"/>
        <v>10.8</v>
      </c>
      <c r="AF53" s="36">
        <f t="shared" si="52"/>
        <v>7.2</v>
      </c>
      <c r="AG53" s="36">
        <f t="shared" si="52"/>
        <v>9.1999999999999993</v>
      </c>
      <c r="AH53" s="36">
        <f t="shared" si="52"/>
        <v>10.199999999999999</v>
      </c>
      <c r="AI53" s="36">
        <f t="shared" si="52"/>
        <v>8.5</v>
      </c>
      <c r="AJ53" s="36">
        <f t="shared" si="52"/>
        <v>9.5</v>
      </c>
      <c r="AK53" s="36">
        <f t="shared" si="52"/>
        <v>12.3</v>
      </c>
      <c r="AL53" s="36">
        <f t="shared" si="52"/>
        <v>12.6</v>
      </c>
      <c r="AM53" s="36">
        <f t="shared" si="52"/>
        <v>6.5</v>
      </c>
      <c r="BJ53" s="480"/>
      <c r="BK53" s="512"/>
      <c r="BL53" s="512"/>
      <c r="BM53" s="512" t="s">
        <v>42</v>
      </c>
      <c r="BN53" s="512" t="s">
        <v>51</v>
      </c>
      <c r="BO53" s="518">
        <f t="shared" ref="BO53:CH53" si="55">IF($BJ26,VLOOKUP(BO$22&amp;"Male"&amp;"AllEth"&amp;24&amp;$BM53,Methodstable,9,FALSE),NA())</f>
        <v>11.2</v>
      </c>
      <c r="BP53" s="518">
        <f t="shared" si="55"/>
        <v>18.399999999999999</v>
      </c>
      <c r="BQ53" s="518">
        <f t="shared" si="55"/>
        <v>30</v>
      </c>
      <c r="BR53" s="518">
        <f t="shared" si="55"/>
        <v>15.7</v>
      </c>
      <c r="BS53" s="518">
        <f t="shared" si="55"/>
        <v>8.8000000000000007</v>
      </c>
      <c r="BT53" s="518">
        <f t="shared" si="55"/>
        <v>20</v>
      </c>
      <c r="BU53" s="518">
        <f t="shared" si="55"/>
        <v>19.3</v>
      </c>
      <c r="BV53" s="518">
        <f t="shared" si="55"/>
        <v>15</v>
      </c>
      <c r="BW53" s="518">
        <f t="shared" si="55"/>
        <v>18.2</v>
      </c>
      <c r="BX53" s="518">
        <f t="shared" si="55"/>
        <v>13.3</v>
      </c>
      <c r="BY53" s="518">
        <f t="shared" si="55"/>
        <v>16.399999999999999</v>
      </c>
      <c r="BZ53" s="518">
        <f t="shared" si="55"/>
        <v>8.8000000000000007</v>
      </c>
      <c r="CA53" s="518">
        <f t="shared" si="55"/>
        <v>13.6</v>
      </c>
      <c r="CB53" s="518">
        <f t="shared" si="55"/>
        <v>19.2</v>
      </c>
      <c r="CC53" s="518">
        <f t="shared" si="55"/>
        <v>11</v>
      </c>
      <c r="CD53" s="518">
        <f t="shared" si="55"/>
        <v>16.2</v>
      </c>
      <c r="CE53" s="518">
        <f t="shared" si="55"/>
        <v>15.2</v>
      </c>
      <c r="CF53" s="518">
        <f t="shared" si="55"/>
        <v>15.4</v>
      </c>
      <c r="CG53" s="518">
        <f t="shared" si="55"/>
        <v>15.1</v>
      </c>
      <c r="CH53" s="518">
        <f t="shared" si="55"/>
        <v>10.5</v>
      </c>
    </row>
    <row r="54" spans="1:86" x14ac:dyDescent="0.2">
      <c r="B54" s="5"/>
      <c r="C54" s="71"/>
      <c r="D54" s="71"/>
      <c r="E54" s="71"/>
      <c r="F54" s="71"/>
      <c r="G54" s="71"/>
      <c r="H54" s="71"/>
      <c r="I54" s="71"/>
      <c r="J54" s="71"/>
      <c r="K54" s="71"/>
      <c r="L54" s="71"/>
      <c r="P54" s="25"/>
      <c r="Q54" s="25"/>
      <c r="R54" s="24" t="s">
        <v>42</v>
      </c>
      <c r="S54" s="24"/>
      <c r="T54" s="36">
        <f t="shared" si="51"/>
        <v>11.2</v>
      </c>
      <c r="U54" s="36">
        <f t="shared" si="51"/>
        <v>18.399999999999999</v>
      </c>
      <c r="V54" s="36">
        <f t="shared" si="51"/>
        <v>30</v>
      </c>
      <c r="W54" s="36">
        <f t="shared" si="51"/>
        <v>15.7</v>
      </c>
      <c r="X54" s="36">
        <f t="shared" si="51"/>
        <v>8.8000000000000007</v>
      </c>
      <c r="Y54" s="36">
        <f t="shared" si="51"/>
        <v>20</v>
      </c>
      <c r="Z54" s="36">
        <f t="shared" si="51"/>
        <v>19.3</v>
      </c>
      <c r="AA54" s="36">
        <f t="shared" si="51"/>
        <v>15</v>
      </c>
      <c r="AB54" s="36">
        <f t="shared" si="51"/>
        <v>18.2</v>
      </c>
      <c r="AC54" s="36">
        <f t="shared" si="51"/>
        <v>13.3</v>
      </c>
      <c r="AD54" s="36">
        <f t="shared" si="52"/>
        <v>16.399999999999999</v>
      </c>
      <c r="AE54" s="36">
        <f t="shared" si="52"/>
        <v>8.8000000000000007</v>
      </c>
      <c r="AF54" s="36">
        <f t="shared" si="52"/>
        <v>13.6</v>
      </c>
      <c r="AG54" s="36">
        <f t="shared" si="52"/>
        <v>19.2</v>
      </c>
      <c r="AH54" s="36">
        <f t="shared" si="52"/>
        <v>11</v>
      </c>
      <c r="AI54" s="36">
        <f t="shared" si="52"/>
        <v>16.2</v>
      </c>
      <c r="AJ54" s="36">
        <f t="shared" si="52"/>
        <v>15.2</v>
      </c>
      <c r="AK54" s="36">
        <f t="shared" si="52"/>
        <v>15.4</v>
      </c>
      <c r="AL54" s="36">
        <f t="shared" si="52"/>
        <v>15.1</v>
      </c>
      <c r="AM54" s="36">
        <f t="shared" si="52"/>
        <v>10.5</v>
      </c>
      <c r="BJ54" s="480"/>
      <c r="BK54" s="512"/>
      <c r="BL54" s="512"/>
      <c r="BM54" s="512" t="s">
        <v>44</v>
      </c>
      <c r="BN54" s="512" t="s">
        <v>51</v>
      </c>
      <c r="BO54" s="518" t="e">
        <f t="shared" ref="BO54:CH54" si="56">IF($BJ27,VLOOKUP(BO$22&amp;"Male"&amp;"AllEth"&amp;24&amp;$BM54,Methodstable,9,FALSE),NA())</f>
        <v>#N/A</v>
      </c>
      <c r="BP54" s="518" t="e">
        <f t="shared" si="56"/>
        <v>#N/A</v>
      </c>
      <c r="BQ54" s="518" t="e">
        <f t="shared" si="56"/>
        <v>#N/A</v>
      </c>
      <c r="BR54" s="518" t="e">
        <f t="shared" si="56"/>
        <v>#N/A</v>
      </c>
      <c r="BS54" s="518" t="e">
        <f t="shared" si="56"/>
        <v>#N/A</v>
      </c>
      <c r="BT54" s="518" t="e">
        <f t="shared" si="56"/>
        <v>#N/A</v>
      </c>
      <c r="BU54" s="518" t="e">
        <f t="shared" si="56"/>
        <v>#N/A</v>
      </c>
      <c r="BV54" s="518" t="e">
        <f t="shared" si="56"/>
        <v>#N/A</v>
      </c>
      <c r="BW54" s="518" t="e">
        <f t="shared" si="56"/>
        <v>#N/A</v>
      </c>
      <c r="BX54" s="518" t="e">
        <f t="shared" si="56"/>
        <v>#N/A</v>
      </c>
      <c r="BY54" s="518" t="e">
        <f t="shared" si="56"/>
        <v>#N/A</v>
      </c>
      <c r="BZ54" s="518" t="e">
        <f t="shared" si="56"/>
        <v>#N/A</v>
      </c>
      <c r="CA54" s="518" t="e">
        <f t="shared" si="56"/>
        <v>#N/A</v>
      </c>
      <c r="CB54" s="518" t="e">
        <f t="shared" si="56"/>
        <v>#N/A</v>
      </c>
      <c r="CC54" s="518" t="e">
        <f t="shared" si="56"/>
        <v>#N/A</v>
      </c>
      <c r="CD54" s="518" t="e">
        <f t="shared" si="56"/>
        <v>#N/A</v>
      </c>
      <c r="CE54" s="518" t="e">
        <f t="shared" si="56"/>
        <v>#N/A</v>
      </c>
      <c r="CF54" s="518" t="e">
        <f t="shared" si="56"/>
        <v>#N/A</v>
      </c>
      <c r="CG54" s="518" t="e">
        <f t="shared" si="56"/>
        <v>#N/A</v>
      </c>
      <c r="CH54" s="518" t="e">
        <f t="shared" si="56"/>
        <v>#N/A</v>
      </c>
    </row>
    <row r="55" spans="1:86" x14ac:dyDescent="0.2">
      <c r="B55" s="1"/>
      <c r="C55" s="71"/>
      <c r="D55" s="71"/>
      <c r="E55" s="71"/>
      <c r="F55" s="71"/>
      <c r="G55" s="71"/>
      <c r="H55" s="71"/>
      <c r="I55" s="71"/>
      <c r="J55" s="71"/>
      <c r="K55" s="71"/>
      <c r="L55" s="71"/>
      <c r="P55" s="25"/>
      <c r="Q55" s="25"/>
      <c r="R55" s="24" t="s">
        <v>44</v>
      </c>
      <c r="S55" s="24"/>
      <c r="T55" s="36">
        <f t="shared" si="51"/>
        <v>1.2</v>
      </c>
      <c r="U55" s="36">
        <f t="shared" si="51"/>
        <v>1.3</v>
      </c>
      <c r="V55" s="36">
        <f t="shared" si="51"/>
        <v>1.1000000000000001</v>
      </c>
      <c r="W55" s="36">
        <f t="shared" si="51"/>
        <v>2.4</v>
      </c>
      <c r="X55" s="36">
        <f t="shared" si="51"/>
        <v>2.5</v>
      </c>
      <c r="Y55" s="36">
        <f t="shared" si="51"/>
        <v>1.5</v>
      </c>
      <c r="Z55" s="36" t="str">
        <f t="shared" si="51"/>
        <v>0.0</v>
      </c>
      <c r="AA55" s="36">
        <f t="shared" si="51"/>
        <v>1</v>
      </c>
      <c r="AB55" s="36">
        <f t="shared" si="51"/>
        <v>2.2999999999999998</v>
      </c>
      <c r="AC55" s="36">
        <f t="shared" si="51"/>
        <v>2.9</v>
      </c>
      <c r="AD55" s="36">
        <f t="shared" si="52"/>
        <v>0.9</v>
      </c>
      <c r="AE55" s="36">
        <f t="shared" si="52"/>
        <v>2.9</v>
      </c>
      <c r="AF55" s="36">
        <f t="shared" si="52"/>
        <v>4</v>
      </c>
      <c r="AG55" s="36">
        <f t="shared" si="52"/>
        <v>3.3</v>
      </c>
      <c r="AH55" s="36">
        <f t="shared" si="52"/>
        <v>4.2</v>
      </c>
      <c r="AI55" s="36">
        <f t="shared" si="52"/>
        <v>1.7</v>
      </c>
      <c r="AJ55" s="36">
        <f t="shared" si="52"/>
        <v>1.9</v>
      </c>
      <c r="AK55" s="36">
        <f t="shared" si="52"/>
        <v>3.8</v>
      </c>
      <c r="AL55" s="36">
        <f t="shared" si="52"/>
        <v>3.4</v>
      </c>
      <c r="AM55" s="36">
        <f t="shared" si="52"/>
        <v>5.6</v>
      </c>
      <c r="BJ55" s="480"/>
      <c r="BK55" s="512"/>
      <c r="BL55" s="512"/>
      <c r="BM55" s="512" t="s">
        <v>49</v>
      </c>
      <c r="BN55" s="512" t="s">
        <v>51</v>
      </c>
      <c r="BO55" s="518" t="e">
        <f t="shared" ref="BO55:CH55" si="57">IF($BJ28,VLOOKUP(BO$22&amp;"Male"&amp;"AllEth"&amp;24&amp;$BM55,Methodstable,9,FALSE),NA())</f>
        <v>#N/A</v>
      </c>
      <c r="BP55" s="518" t="e">
        <f t="shared" si="57"/>
        <v>#N/A</v>
      </c>
      <c r="BQ55" s="518" t="e">
        <f t="shared" si="57"/>
        <v>#N/A</v>
      </c>
      <c r="BR55" s="518" t="e">
        <f t="shared" si="57"/>
        <v>#N/A</v>
      </c>
      <c r="BS55" s="518" t="e">
        <f t="shared" si="57"/>
        <v>#N/A</v>
      </c>
      <c r="BT55" s="518" t="e">
        <f t="shared" si="57"/>
        <v>#N/A</v>
      </c>
      <c r="BU55" s="518" t="e">
        <f t="shared" si="57"/>
        <v>#N/A</v>
      </c>
      <c r="BV55" s="518" t="e">
        <f t="shared" si="57"/>
        <v>#N/A</v>
      </c>
      <c r="BW55" s="518" t="e">
        <f t="shared" si="57"/>
        <v>#N/A</v>
      </c>
      <c r="BX55" s="518" t="e">
        <f t="shared" si="57"/>
        <v>#N/A</v>
      </c>
      <c r="BY55" s="518" t="e">
        <f t="shared" si="57"/>
        <v>#N/A</v>
      </c>
      <c r="BZ55" s="518" t="e">
        <f t="shared" si="57"/>
        <v>#N/A</v>
      </c>
      <c r="CA55" s="518" t="e">
        <f t="shared" si="57"/>
        <v>#N/A</v>
      </c>
      <c r="CB55" s="518" t="e">
        <f t="shared" si="57"/>
        <v>#N/A</v>
      </c>
      <c r="CC55" s="518" t="e">
        <f t="shared" si="57"/>
        <v>#N/A</v>
      </c>
      <c r="CD55" s="518" t="e">
        <f t="shared" si="57"/>
        <v>#N/A</v>
      </c>
      <c r="CE55" s="518" t="e">
        <f t="shared" si="57"/>
        <v>#N/A</v>
      </c>
      <c r="CF55" s="518" t="e">
        <f t="shared" si="57"/>
        <v>#N/A</v>
      </c>
      <c r="CG55" s="518" t="e">
        <f t="shared" si="57"/>
        <v>#N/A</v>
      </c>
      <c r="CH55" s="518" t="e">
        <f t="shared" si="57"/>
        <v>#N/A</v>
      </c>
    </row>
    <row r="56" spans="1:86" x14ac:dyDescent="0.2">
      <c r="B56" s="5"/>
      <c r="C56" s="71"/>
      <c r="D56" s="71"/>
      <c r="E56" s="71"/>
      <c r="F56" s="71"/>
      <c r="G56" s="71"/>
      <c r="H56" s="71"/>
      <c r="I56" s="71"/>
      <c r="J56" s="71"/>
      <c r="K56" s="71"/>
      <c r="L56" s="71"/>
      <c r="P56" s="25"/>
      <c r="Q56" s="25"/>
      <c r="R56" s="24" t="s">
        <v>49</v>
      </c>
      <c r="S56" s="24"/>
      <c r="T56" s="36">
        <f t="shared" si="51"/>
        <v>3.8</v>
      </c>
      <c r="U56" s="36">
        <f t="shared" si="51"/>
        <v>3.9</v>
      </c>
      <c r="V56" s="36">
        <f t="shared" si="51"/>
        <v>5.6</v>
      </c>
      <c r="W56" s="36">
        <f t="shared" si="51"/>
        <v>3.6</v>
      </c>
      <c r="X56" s="36">
        <f t="shared" si="51"/>
        <v>5</v>
      </c>
      <c r="Y56" s="36" t="str">
        <f t="shared" si="51"/>
        <v>0.0</v>
      </c>
      <c r="Z56" s="36">
        <f t="shared" si="51"/>
        <v>1.1000000000000001</v>
      </c>
      <c r="AA56" s="36">
        <f t="shared" si="51"/>
        <v>2</v>
      </c>
      <c r="AB56" s="36">
        <f t="shared" si="51"/>
        <v>1.1000000000000001</v>
      </c>
      <c r="AC56" s="36">
        <f t="shared" si="51"/>
        <v>3.8</v>
      </c>
      <c r="AD56" s="36">
        <f t="shared" si="52"/>
        <v>2.7</v>
      </c>
      <c r="AE56" s="36">
        <f t="shared" si="52"/>
        <v>2.9</v>
      </c>
      <c r="AF56" s="36">
        <f t="shared" si="52"/>
        <v>3.2</v>
      </c>
      <c r="AG56" s="36" t="str">
        <f t="shared" si="52"/>
        <v>0.0</v>
      </c>
      <c r="AH56" s="36">
        <f t="shared" si="52"/>
        <v>0.8</v>
      </c>
      <c r="AI56" s="36">
        <f t="shared" si="52"/>
        <v>1.7</v>
      </c>
      <c r="AJ56" s="36">
        <f t="shared" si="52"/>
        <v>1</v>
      </c>
      <c r="AK56" s="36">
        <f t="shared" si="52"/>
        <v>2.2999999999999998</v>
      </c>
      <c r="AL56" s="36">
        <f t="shared" si="52"/>
        <v>4.2</v>
      </c>
      <c r="AM56" s="36">
        <f t="shared" si="52"/>
        <v>0.8</v>
      </c>
      <c r="BJ56" s="480"/>
      <c r="BK56" s="512"/>
      <c r="BL56" s="512"/>
      <c r="BM56" s="512" t="s">
        <v>48</v>
      </c>
      <c r="BN56" s="512" t="s">
        <v>51</v>
      </c>
      <c r="BO56" s="518" t="e">
        <f t="shared" ref="BO56:CH56" si="58">IF($BJ29,VLOOKUP(BO$22&amp;"Male"&amp;"AllEth"&amp;24&amp;$BM56,Methodstable,9,FALSE),NA())</f>
        <v>#N/A</v>
      </c>
      <c r="BP56" s="518" t="e">
        <f t="shared" si="58"/>
        <v>#N/A</v>
      </c>
      <c r="BQ56" s="518" t="e">
        <f t="shared" si="58"/>
        <v>#N/A</v>
      </c>
      <c r="BR56" s="518" t="e">
        <f t="shared" si="58"/>
        <v>#N/A</v>
      </c>
      <c r="BS56" s="518" t="e">
        <f t="shared" si="58"/>
        <v>#N/A</v>
      </c>
      <c r="BT56" s="518" t="e">
        <f t="shared" si="58"/>
        <v>#N/A</v>
      </c>
      <c r="BU56" s="518" t="e">
        <f t="shared" si="58"/>
        <v>#N/A</v>
      </c>
      <c r="BV56" s="518" t="e">
        <f t="shared" si="58"/>
        <v>#N/A</v>
      </c>
      <c r="BW56" s="518" t="e">
        <f t="shared" si="58"/>
        <v>#N/A</v>
      </c>
      <c r="BX56" s="518" t="e">
        <f t="shared" si="58"/>
        <v>#N/A</v>
      </c>
      <c r="BY56" s="518" t="e">
        <f t="shared" si="58"/>
        <v>#N/A</v>
      </c>
      <c r="BZ56" s="518" t="e">
        <f t="shared" si="58"/>
        <v>#N/A</v>
      </c>
      <c r="CA56" s="518" t="e">
        <f t="shared" si="58"/>
        <v>#N/A</v>
      </c>
      <c r="CB56" s="518" t="e">
        <f t="shared" si="58"/>
        <v>#N/A</v>
      </c>
      <c r="CC56" s="518" t="e">
        <f t="shared" si="58"/>
        <v>#N/A</v>
      </c>
      <c r="CD56" s="518" t="e">
        <f t="shared" si="58"/>
        <v>#N/A</v>
      </c>
      <c r="CE56" s="518" t="e">
        <f t="shared" si="58"/>
        <v>#N/A</v>
      </c>
      <c r="CF56" s="518" t="e">
        <f t="shared" si="58"/>
        <v>#N/A</v>
      </c>
      <c r="CG56" s="518" t="e">
        <f t="shared" si="58"/>
        <v>#N/A</v>
      </c>
      <c r="CH56" s="518" t="e">
        <f t="shared" si="58"/>
        <v>#N/A</v>
      </c>
    </row>
    <row r="57" spans="1:86" x14ac:dyDescent="0.2">
      <c r="A57" s="33"/>
      <c r="B57" s="5"/>
      <c r="C57" s="71"/>
      <c r="D57" s="71"/>
      <c r="E57" s="71"/>
      <c r="F57" s="71"/>
      <c r="G57" s="71"/>
      <c r="H57" s="71"/>
      <c r="I57" s="71"/>
      <c r="J57" s="71"/>
      <c r="K57" s="71"/>
      <c r="L57" s="71"/>
      <c r="P57" s="25"/>
      <c r="Q57" s="25"/>
      <c r="R57" s="24" t="s">
        <v>48</v>
      </c>
      <c r="S57" s="24"/>
      <c r="T57" s="36">
        <f t="shared" si="51"/>
        <v>2.5</v>
      </c>
      <c r="U57" s="36">
        <f t="shared" si="51"/>
        <v>5.3</v>
      </c>
      <c r="V57" s="36">
        <f t="shared" si="51"/>
        <v>2.2000000000000002</v>
      </c>
      <c r="W57" s="36">
        <f t="shared" si="51"/>
        <v>1.2</v>
      </c>
      <c r="X57" s="36">
        <f t="shared" si="51"/>
        <v>3.8</v>
      </c>
      <c r="Y57" s="36">
        <f t="shared" si="51"/>
        <v>3.1</v>
      </c>
      <c r="Z57" s="36" t="str">
        <f t="shared" si="51"/>
        <v>0.0</v>
      </c>
      <c r="AA57" s="36">
        <f t="shared" si="51"/>
        <v>3</v>
      </c>
      <c r="AB57" s="36" t="str">
        <f t="shared" si="51"/>
        <v>0.0</v>
      </c>
      <c r="AC57" s="36">
        <f t="shared" si="51"/>
        <v>2.9</v>
      </c>
      <c r="AD57" s="36">
        <f t="shared" si="52"/>
        <v>2.7</v>
      </c>
      <c r="AE57" s="36">
        <f t="shared" si="52"/>
        <v>2</v>
      </c>
      <c r="AF57" s="36">
        <f t="shared" si="52"/>
        <v>5.6</v>
      </c>
      <c r="AG57" s="36">
        <f t="shared" si="52"/>
        <v>3.3</v>
      </c>
      <c r="AH57" s="36">
        <f t="shared" si="52"/>
        <v>0.8</v>
      </c>
      <c r="AI57" s="36">
        <f t="shared" si="52"/>
        <v>1.7</v>
      </c>
      <c r="AJ57" s="36">
        <f t="shared" si="52"/>
        <v>3.8</v>
      </c>
      <c r="AK57" s="36">
        <f t="shared" si="52"/>
        <v>3.8</v>
      </c>
      <c r="AL57" s="36">
        <f t="shared" si="52"/>
        <v>1.7</v>
      </c>
      <c r="AM57" s="36">
        <f t="shared" si="52"/>
        <v>2.4</v>
      </c>
      <c r="BJ57" s="480"/>
      <c r="BK57" s="512"/>
      <c r="BL57" s="512"/>
      <c r="BM57" s="512" t="s">
        <v>45</v>
      </c>
      <c r="BN57" s="512" t="s">
        <v>51</v>
      </c>
      <c r="BO57" s="518" t="e">
        <f t="shared" ref="BO57:CH57" si="59">IF($BJ30,VLOOKUP(BO$22&amp;"Male"&amp;"AllEth"&amp;24&amp;$BM57,Methodstable,9,FALSE),NA())</f>
        <v>#N/A</v>
      </c>
      <c r="BP57" s="518" t="e">
        <f t="shared" si="59"/>
        <v>#N/A</v>
      </c>
      <c r="BQ57" s="518" t="e">
        <f t="shared" si="59"/>
        <v>#N/A</v>
      </c>
      <c r="BR57" s="518" t="e">
        <f t="shared" si="59"/>
        <v>#N/A</v>
      </c>
      <c r="BS57" s="518" t="e">
        <f t="shared" si="59"/>
        <v>#N/A</v>
      </c>
      <c r="BT57" s="518" t="e">
        <f t="shared" si="59"/>
        <v>#N/A</v>
      </c>
      <c r="BU57" s="518" t="e">
        <f t="shared" si="59"/>
        <v>#N/A</v>
      </c>
      <c r="BV57" s="518" t="e">
        <f t="shared" si="59"/>
        <v>#N/A</v>
      </c>
      <c r="BW57" s="518" t="e">
        <f t="shared" si="59"/>
        <v>#N/A</v>
      </c>
      <c r="BX57" s="518" t="e">
        <f t="shared" si="59"/>
        <v>#N/A</v>
      </c>
      <c r="BY57" s="518" t="e">
        <f t="shared" si="59"/>
        <v>#N/A</v>
      </c>
      <c r="BZ57" s="518" t="e">
        <f t="shared" si="59"/>
        <v>#N/A</v>
      </c>
      <c r="CA57" s="518" t="e">
        <f t="shared" si="59"/>
        <v>#N/A</v>
      </c>
      <c r="CB57" s="518" t="e">
        <f t="shared" si="59"/>
        <v>#N/A</v>
      </c>
      <c r="CC57" s="518" t="e">
        <f t="shared" si="59"/>
        <v>#N/A</v>
      </c>
      <c r="CD57" s="518" t="e">
        <f t="shared" si="59"/>
        <v>#N/A</v>
      </c>
      <c r="CE57" s="518" t="e">
        <f t="shared" si="59"/>
        <v>#N/A</v>
      </c>
      <c r="CF57" s="518" t="e">
        <f t="shared" si="59"/>
        <v>#N/A</v>
      </c>
      <c r="CG57" s="518" t="e">
        <f t="shared" si="59"/>
        <v>#N/A</v>
      </c>
      <c r="CH57" s="518" t="e">
        <f t="shared" si="59"/>
        <v>#N/A</v>
      </c>
    </row>
    <row r="58" spans="1:86" ht="15" customHeight="1" x14ac:dyDescent="0.2">
      <c r="B58" s="5"/>
      <c r="C58" s="71"/>
      <c r="D58" s="76"/>
      <c r="E58" s="76"/>
      <c r="F58" s="76"/>
      <c r="G58" s="76"/>
      <c r="H58" s="76"/>
      <c r="I58" s="76"/>
      <c r="J58" s="76"/>
      <c r="K58" s="76"/>
      <c r="L58" s="76"/>
      <c r="M58" s="33"/>
      <c r="P58" s="25"/>
      <c r="Q58" s="25"/>
      <c r="R58" s="24" t="s">
        <v>45</v>
      </c>
      <c r="S58" s="24"/>
      <c r="T58" s="36">
        <f t="shared" si="51"/>
        <v>2.5</v>
      </c>
      <c r="U58" s="36">
        <f t="shared" si="51"/>
        <v>2.6</v>
      </c>
      <c r="V58" s="36">
        <f t="shared" si="51"/>
        <v>2.2000000000000002</v>
      </c>
      <c r="W58" s="36">
        <f t="shared" si="51"/>
        <v>3.6</v>
      </c>
      <c r="X58" s="36">
        <f t="shared" si="51"/>
        <v>1.2</v>
      </c>
      <c r="Y58" s="36">
        <f t="shared" si="51"/>
        <v>3.1</v>
      </c>
      <c r="Z58" s="36">
        <f t="shared" si="51"/>
        <v>8</v>
      </c>
      <c r="AA58" s="36">
        <f t="shared" si="51"/>
        <v>7</v>
      </c>
      <c r="AB58" s="36">
        <f t="shared" si="51"/>
        <v>6.8</v>
      </c>
      <c r="AC58" s="36" t="str">
        <f t="shared" si="51"/>
        <v>0.0</v>
      </c>
      <c r="AD58" s="36">
        <f t="shared" si="52"/>
        <v>3.6</v>
      </c>
      <c r="AE58" s="36">
        <f t="shared" si="52"/>
        <v>4.9000000000000004</v>
      </c>
      <c r="AF58" s="36">
        <f t="shared" si="52"/>
        <v>3.2</v>
      </c>
      <c r="AG58" s="36">
        <f t="shared" si="52"/>
        <v>1.7</v>
      </c>
      <c r="AH58" s="36">
        <f t="shared" si="52"/>
        <v>6.8</v>
      </c>
      <c r="AI58" s="36">
        <f t="shared" si="52"/>
        <v>2.6</v>
      </c>
      <c r="AJ58" s="36">
        <f t="shared" si="52"/>
        <v>2.9</v>
      </c>
      <c r="AK58" s="36">
        <f t="shared" si="52"/>
        <v>6.9</v>
      </c>
      <c r="AL58" s="36">
        <f t="shared" si="52"/>
        <v>6.7</v>
      </c>
      <c r="AM58" s="36">
        <f t="shared" si="52"/>
        <v>4</v>
      </c>
      <c r="BJ58" s="480"/>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row>
    <row r="59" spans="1:86" ht="15.75" customHeight="1" x14ac:dyDescent="0.2">
      <c r="B59" s="5"/>
      <c r="C59" s="71"/>
      <c r="D59" s="71"/>
      <c r="E59" s="71"/>
      <c r="F59" s="71"/>
      <c r="G59" s="71"/>
      <c r="H59" s="71"/>
      <c r="I59" s="71"/>
      <c r="J59" s="71"/>
      <c r="K59" s="71"/>
      <c r="L59" s="71"/>
      <c r="P59" s="28"/>
      <c r="Q59" s="28"/>
      <c r="R59" s="28"/>
      <c r="S59" s="28"/>
      <c r="T59" s="128"/>
      <c r="U59" s="128"/>
      <c r="V59" s="128"/>
      <c r="W59" s="128"/>
      <c r="X59" s="128"/>
      <c r="Y59" s="128"/>
      <c r="Z59" s="128"/>
      <c r="AA59" s="128"/>
      <c r="AB59" s="128"/>
      <c r="AC59" s="128"/>
      <c r="AD59" s="128"/>
      <c r="AE59" s="128"/>
      <c r="AF59" s="128"/>
      <c r="AG59" s="128"/>
      <c r="AH59" s="128"/>
      <c r="AI59" s="128"/>
      <c r="AJ59" s="128"/>
      <c r="AK59" s="128"/>
      <c r="AL59" s="128"/>
      <c r="AM59" s="128"/>
      <c r="AN59" s="37"/>
      <c r="BJ59" s="480"/>
      <c r="BK59" s="512" t="s">
        <v>20</v>
      </c>
      <c r="BL59" s="512" t="s">
        <v>26</v>
      </c>
      <c r="BM59" s="512" t="s">
        <v>43</v>
      </c>
      <c r="BN59" s="512" t="s">
        <v>51</v>
      </c>
      <c r="BO59" s="518">
        <f t="shared" ref="BO59:CH59" si="60">IF($BJ23,VLOOKUP(BO$22&amp;"Male"&amp;"AllEth"&amp;25&amp;$BM59,Methodstable,9,FALSE),NA())</f>
        <v>28.3</v>
      </c>
      <c r="BP59" s="518">
        <f t="shared" si="60"/>
        <v>28.3</v>
      </c>
      <c r="BQ59" s="518">
        <f t="shared" si="60"/>
        <v>29.2</v>
      </c>
      <c r="BR59" s="518">
        <f t="shared" si="60"/>
        <v>36.1</v>
      </c>
      <c r="BS59" s="518">
        <f t="shared" si="60"/>
        <v>39</v>
      </c>
      <c r="BT59" s="518">
        <f t="shared" si="60"/>
        <v>29.2</v>
      </c>
      <c r="BU59" s="518">
        <f t="shared" si="60"/>
        <v>27.8</v>
      </c>
      <c r="BV59" s="518">
        <f t="shared" si="60"/>
        <v>30.4</v>
      </c>
      <c r="BW59" s="518">
        <f t="shared" si="60"/>
        <v>34.799999999999997</v>
      </c>
      <c r="BX59" s="518">
        <f t="shared" si="60"/>
        <v>43.8</v>
      </c>
      <c r="BY59" s="518">
        <f t="shared" si="60"/>
        <v>36.4</v>
      </c>
      <c r="BZ59" s="518">
        <f t="shared" si="60"/>
        <v>31</v>
      </c>
      <c r="CA59" s="518">
        <f t="shared" si="60"/>
        <v>22.2</v>
      </c>
      <c r="CB59" s="518">
        <f t="shared" si="60"/>
        <v>36.6</v>
      </c>
      <c r="CC59" s="518">
        <f t="shared" si="60"/>
        <v>37.200000000000003</v>
      </c>
      <c r="CD59" s="518">
        <f t="shared" si="60"/>
        <v>29</v>
      </c>
      <c r="CE59" s="518">
        <f t="shared" si="60"/>
        <v>39.5</v>
      </c>
      <c r="CF59" s="518">
        <f t="shared" si="60"/>
        <v>39.6</v>
      </c>
      <c r="CG59" s="518">
        <f t="shared" si="60"/>
        <v>44.9</v>
      </c>
      <c r="CH59" s="518">
        <f t="shared" si="60"/>
        <v>29.2</v>
      </c>
    </row>
    <row r="60" spans="1:86" x14ac:dyDescent="0.2">
      <c r="B60" s="5"/>
      <c r="C60" s="77"/>
      <c r="D60" s="71"/>
      <c r="E60" s="112" t="s">
        <v>106</v>
      </c>
      <c r="F60" s="71"/>
      <c r="G60" s="71"/>
      <c r="H60" s="71"/>
      <c r="I60" s="112" t="s">
        <v>106</v>
      </c>
      <c r="J60" s="71"/>
      <c r="K60" s="71"/>
      <c r="L60" s="71"/>
      <c r="P60" s="25" t="s">
        <v>20</v>
      </c>
      <c r="Q60" s="25" t="s">
        <v>26</v>
      </c>
      <c r="R60" s="25" t="s">
        <v>43</v>
      </c>
      <c r="S60" s="25" t="s">
        <v>366</v>
      </c>
      <c r="T60" s="36">
        <f t="shared" ref="T60:AC67" si="61">IFERROR(VLOOKUP(T$13&amp;"Male"&amp;"AllEth"&amp;25&amp;$R60,Methodstable,9,FALSE),"0.0")</f>
        <v>28.3</v>
      </c>
      <c r="U60" s="36">
        <f t="shared" si="61"/>
        <v>28.3</v>
      </c>
      <c r="V60" s="36">
        <f t="shared" si="61"/>
        <v>29.2</v>
      </c>
      <c r="W60" s="36">
        <f t="shared" si="61"/>
        <v>36.1</v>
      </c>
      <c r="X60" s="36">
        <f t="shared" si="61"/>
        <v>39</v>
      </c>
      <c r="Y60" s="36">
        <f t="shared" si="61"/>
        <v>29.2</v>
      </c>
      <c r="Z60" s="36">
        <f t="shared" si="61"/>
        <v>27.8</v>
      </c>
      <c r="AA60" s="36">
        <f t="shared" si="61"/>
        <v>30.4</v>
      </c>
      <c r="AB60" s="36">
        <f t="shared" si="61"/>
        <v>34.799999999999997</v>
      </c>
      <c r="AC60" s="36">
        <f t="shared" si="61"/>
        <v>43.8</v>
      </c>
      <c r="AD60" s="36">
        <f t="shared" ref="AD60:AM67" si="62">IFERROR(VLOOKUP(AD$13&amp;"Male"&amp;"AllEth"&amp;25&amp;$R60,Methodstable,9,FALSE),"0.0")</f>
        <v>36.4</v>
      </c>
      <c r="AE60" s="36">
        <f t="shared" si="62"/>
        <v>31</v>
      </c>
      <c r="AF60" s="36">
        <f t="shared" si="62"/>
        <v>22.2</v>
      </c>
      <c r="AG60" s="36">
        <f t="shared" si="62"/>
        <v>36.6</v>
      </c>
      <c r="AH60" s="36">
        <f t="shared" si="62"/>
        <v>37.200000000000003</v>
      </c>
      <c r="AI60" s="36">
        <f t="shared" si="62"/>
        <v>29</v>
      </c>
      <c r="AJ60" s="36">
        <f t="shared" si="62"/>
        <v>39.5</v>
      </c>
      <c r="AK60" s="36">
        <f t="shared" si="62"/>
        <v>39.6</v>
      </c>
      <c r="AL60" s="36">
        <f t="shared" si="62"/>
        <v>44.9</v>
      </c>
      <c r="AM60" s="36">
        <f t="shared" si="62"/>
        <v>29.2</v>
      </c>
      <c r="AN60" s="37"/>
      <c r="BJ60" s="480"/>
      <c r="BK60" s="512"/>
      <c r="BL60" s="512"/>
      <c r="BM60" s="512" t="s">
        <v>46</v>
      </c>
      <c r="BN60" s="512" t="s">
        <v>51</v>
      </c>
      <c r="BO60" s="518">
        <f t="shared" ref="BO60:CH60" si="63">IF($BJ24,VLOOKUP(BO$22&amp;"Male"&amp;"AllEth"&amp;25&amp;$BM60,Methodstable,9,FALSE),NA())</f>
        <v>20.8</v>
      </c>
      <c r="BP60" s="518">
        <f t="shared" si="63"/>
        <v>34.799999999999997</v>
      </c>
      <c r="BQ60" s="518">
        <f t="shared" si="63"/>
        <v>41.7</v>
      </c>
      <c r="BR60" s="518">
        <f t="shared" si="63"/>
        <v>25</v>
      </c>
      <c r="BS60" s="518">
        <f t="shared" si="63"/>
        <v>17.100000000000001</v>
      </c>
      <c r="BT60" s="518">
        <f t="shared" si="63"/>
        <v>29.2</v>
      </c>
      <c r="BU60" s="518">
        <f t="shared" si="63"/>
        <v>19.399999999999999</v>
      </c>
      <c r="BV60" s="518">
        <f t="shared" si="63"/>
        <v>19.600000000000001</v>
      </c>
      <c r="BW60" s="518">
        <f t="shared" si="63"/>
        <v>21.7</v>
      </c>
      <c r="BX60" s="518">
        <f t="shared" si="63"/>
        <v>21.9</v>
      </c>
      <c r="BY60" s="518">
        <f t="shared" si="63"/>
        <v>27.3</v>
      </c>
      <c r="BZ60" s="518">
        <f t="shared" si="63"/>
        <v>14.3</v>
      </c>
      <c r="CA60" s="518">
        <f t="shared" si="63"/>
        <v>22.2</v>
      </c>
      <c r="CB60" s="518">
        <f t="shared" si="63"/>
        <v>9.8000000000000007</v>
      </c>
      <c r="CC60" s="518">
        <f t="shared" si="63"/>
        <v>20.9</v>
      </c>
      <c r="CD60" s="518">
        <f t="shared" si="63"/>
        <v>3.2</v>
      </c>
      <c r="CE60" s="518">
        <f t="shared" si="63"/>
        <v>11.6</v>
      </c>
      <c r="CF60" s="518">
        <f t="shared" si="63"/>
        <v>6.2</v>
      </c>
      <c r="CG60" s="518">
        <f t="shared" si="63"/>
        <v>10.199999999999999</v>
      </c>
      <c r="CH60" s="518">
        <f t="shared" si="63"/>
        <v>2.1</v>
      </c>
    </row>
    <row r="61" spans="1:86" x14ac:dyDescent="0.2">
      <c r="B61" s="5"/>
      <c r="C61" s="71"/>
      <c r="D61" s="71"/>
      <c r="E61" s="71"/>
      <c r="F61" s="71"/>
      <c r="G61" s="71"/>
      <c r="H61" s="71"/>
      <c r="I61" s="71"/>
      <c r="J61" s="71"/>
      <c r="K61" s="71"/>
      <c r="L61" s="71"/>
      <c r="P61" s="25"/>
      <c r="Q61" s="25"/>
      <c r="R61" s="25" t="s">
        <v>46</v>
      </c>
      <c r="S61" s="25"/>
      <c r="T61" s="36">
        <f t="shared" si="61"/>
        <v>20.8</v>
      </c>
      <c r="U61" s="36">
        <f t="shared" si="61"/>
        <v>34.799999999999997</v>
      </c>
      <c r="V61" s="36">
        <f t="shared" si="61"/>
        <v>41.7</v>
      </c>
      <c r="W61" s="36">
        <f t="shared" si="61"/>
        <v>25</v>
      </c>
      <c r="X61" s="36">
        <f t="shared" si="61"/>
        <v>17.100000000000001</v>
      </c>
      <c r="Y61" s="36">
        <f t="shared" si="61"/>
        <v>29.2</v>
      </c>
      <c r="Z61" s="36">
        <f t="shared" si="61"/>
        <v>19.399999999999999</v>
      </c>
      <c r="AA61" s="36">
        <f t="shared" si="61"/>
        <v>19.600000000000001</v>
      </c>
      <c r="AB61" s="36">
        <f t="shared" si="61"/>
        <v>21.7</v>
      </c>
      <c r="AC61" s="36">
        <f t="shared" si="61"/>
        <v>21.9</v>
      </c>
      <c r="AD61" s="36">
        <f t="shared" si="62"/>
        <v>27.3</v>
      </c>
      <c r="AE61" s="36">
        <f t="shared" si="62"/>
        <v>14.3</v>
      </c>
      <c r="AF61" s="36">
        <f t="shared" si="62"/>
        <v>22.2</v>
      </c>
      <c r="AG61" s="36">
        <f t="shared" si="62"/>
        <v>9.8000000000000007</v>
      </c>
      <c r="AH61" s="36">
        <f t="shared" si="62"/>
        <v>20.9</v>
      </c>
      <c r="AI61" s="36">
        <f t="shared" si="62"/>
        <v>3.2</v>
      </c>
      <c r="AJ61" s="36">
        <f t="shared" si="62"/>
        <v>11.6</v>
      </c>
      <c r="AK61" s="36">
        <f t="shared" si="62"/>
        <v>6.2</v>
      </c>
      <c r="AL61" s="36">
        <f t="shared" si="62"/>
        <v>10.199999999999999</v>
      </c>
      <c r="AM61" s="36">
        <f t="shared" si="62"/>
        <v>2.1</v>
      </c>
      <c r="AN61" s="37"/>
      <c r="BJ61" s="480"/>
      <c r="BK61" s="512"/>
      <c r="BL61" s="512"/>
      <c r="BM61" s="512" t="s">
        <v>47</v>
      </c>
      <c r="BN61" s="512" t="s">
        <v>51</v>
      </c>
      <c r="BO61" s="518">
        <f t="shared" ref="BO61:CH61" si="64">IF($BJ25,VLOOKUP(BO$22&amp;"Male"&amp;"AllEth"&amp;25&amp;$BM61,Methodstable,9,FALSE),NA())</f>
        <v>17</v>
      </c>
      <c r="BP61" s="518">
        <f t="shared" si="64"/>
        <v>8.6999999999999993</v>
      </c>
      <c r="BQ61" s="518">
        <f t="shared" si="64"/>
        <v>6.2</v>
      </c>
      <c r="BR61" s="518">
        <f t="shared" si="64"/>
        <v>2.8</v>
      </c>
      <c r="BS61" s="518">
        <f t="shared" si="64"/>
        <v>9.8000000000000007</v>
      </c>
      <c r="BT61" s="518">
        <f t="shared" si="64"/>
        <v>14.6</v>
      </c>
      <c r="BU61" s="518">
        <f t="shared" si="64"/>
        <v>16.7</v>
      </c>
      <c r="BV61" s="518">
        <f t="shared" si="64"/>
        <v>10.9</v>
      </c>
      <c r="BW61" s="518">
        <f t="shared" si="64"/>
        <v>6.5</v>
      </c>
      <c r="BX61" s="518">
        <f t="shared" si="64"/>
        <v>3.1</v>
      </c>
      <c r="BY61" s="518">
        <f t="shared" si="64"/>
        <v>3</v>
      </c>
      <c r="BZ61" s="518">
        <f t="shared" si="64"/>
        <v>11.9</v>
      </c>
      <c r="CA61" s="518">
        <f t="shared" si="64"/>
        <v>13.9</v>
      </c>
      <c r="CB61" s="518">
        <f t="shared" si="64"/>
        <v>19.5</v>
      </c>
      <c r="CC61" s="518">
        <f t="shared" si="64"/>
        <v>9.3000000000000007</v>
      </c>
      <c r="CD61" s="518">
        <f t="shared" si="64"/>
        <v>16.100000000000001</v>
      </c>
      <c r="CE61" s="518">
        <f t="shared" si="64"/>
        <v>14</v>
      </c>
      <c r="CF61" s="518">
        <f t="shared" si="64"/>
        <v>12.5</v>
      </c>
      <c r="CG61" s="518">
        <f t="shared" si="64"/>
        <v>16.3</v>
      </c>
      <c r="CH61" s="518">
        <f t="shared" si="64"/>
        <v>10.4</v>
      </c>
    </row>
    <row r="62" spans="1:86" x14ac:dyDescent="0.2">
      <c r="B62" s="5"/>
      <c r="C62" s="71"/>
      <c r="D62" s="71"/>
      <c r="E62" s="71"/>
      <c r="F62" s="71"/>
      <c r="G62" s="71"/>
      <c r="H62" s="71"/>
      <c r="I62" s="71"/>
      <c r="J62" s="71"/>
      <c r="K62" s="71"/>
      <c r="L62" s="71"/>
      <c r="N62" s="131" t="s">
        <v>360</v>
      </c>
      <c r="P62" s="25"/>
      <c r="Q62" s="25"/>
      <c r="R62" s="25" t="s">
        <v>47</v>
      </c>
      <c r="S62" s="25"/>
      <c r="T62" s="36">
        <f t="shared" si="61"/>
        <v>17</v>
      </c>
      <c r="U62" s="36">
        <f t="shared" si="61"/>
        <v>8.6999999999999993</v>
      </c>
      <c r="V62" s="36">
        <f t="shared" si="61"/>
        <v>6.2</v>
      </c>
      <c r="W62" s="36">
        <f t="shared" si="61"/>
        <v>2.8</v>
      </c>
      <c r="X62" s="36">
        <f t="shared" si="61"/>
        <v>9.8000000000000007</v>
      </c>
      <c r="Y62" s="36">
        <f t="shared" si="61"/>
        <v>14.6</v>
      </c>
      <c r="Z62" s="36">
        <f t="shared" si="61"/>
        <v>16.7</v>
      </c>
      <c r="AA62" s="36">
        <f t="shared" si="61"/>
        <v>10.9</v>
      </c>
      <c r="AB62" s="36">
        <f t="shared" si="61"/>
        <v>6.5</v>
      </c>
      <c r="AC62" s="36">
        <f t="shared" si="61"/>
        <v>3.1</v>
      </c>
      <c r="AD62" s="36">
        <f t="shared" si="62"/>
        <v>3</v>
      </c>
      <c r="AE62" s="36">
        <f t="shared" si="62"/>
        <v>11.9</v>
      </c>
      <c r="AF62" s="36">
        <f t="shared" si="62"/>
        <v>13.9</v>
      </c>
      <c r="AG62" s="36">
        <f t="shared" si="62"/>
        <v>19.5</v>
      </c>
      <c r="AH62" s="36">
        <f t="shared" si="62"/>
        <v>9.3000000000000007</v>
      </c>
      <c r="AI62" s="36">
        <f t="shared" si="62"/>
        <v>16.100000000000001</v>
      </c>
      <c r="AJ62" s="36">
        <f t="shared" si="62"/>
        <v>14</v>
      </c>
      <c r="AK62" s="36">
        <f t="shared" si="62"/>
        <v>12.5</v>
      </c>
      <c r="AL62" s="36">
        <f t="shared" si="62"/>
        <v>16.3</v>
      </c>
      <c r="AM62" s="36">
        <f t="shared" si="62"/>
        <v>10.4</v>
      </c>
      <c r="AN62" s="37"/>
      <c r="BJ62" s="480"/>
      <c r="BK62" s="512"/>
      <c r="BL62" s="512"/>
      <c r="BM62" s="512" t="s">
        <v>42</v>
      </c>
      <c r="BN62" s="512" t="s">
        <v>51</v>
      </c>
      <c r="BO62" s="518">
        <f t="shared" ref="BO62:CH62" si="65">IF($BJ26,VLOOKUP(BO$22&amp;"Male"&amp;"AllEth"&amp;25&amp;$BM62,Methodstable,9,FALSE),NA())</f>
        <v>17</v>
      </c>
      <c r="BP62" s="518">
        <f t="shared" si="65"/>
        <v>10.9</v>
      </c>
      <c r="BQ62" s="518">
        <f t="shared" si="65"/>
        <v>14.6</v>
      </c>
      <c r="BR62" s="518">
        <f t="shared" si="65"/>
        <v>19.399999999999999</v>
      </c>
      <c r="BS62" s="518">
        <f t="shared" si="65"/>
        <v>17.100000000000001</v>
      </c>
      <c r="BT62" s="518">
        <f t="shared" si="65"/>
        <v>6.2</v>
      </c>
      <c r="BU62" s="518">
        <f t="shared" si="65"/>
        <v>19.399999999999999</v>
      </c>
      <c r="BV62" s="518">
        <f t="shared" si="65"/>
        <v>21.7</v>
      </c>
      <c r="BW62" s="518">
        <f t="shared" si="65"/>
        <v>17.399999999999999</v>
      </c>
      <c r="BX62" s="518">
        <f t="shared" si="65"/>
        <v>18.8</v>
      </c>
      <c r="BY62" s="518">
        <f t="shared" si="65"/>
        <v>15.2</v>
      </c>
      <c r="BZ62" s="518">
        <f t="shared" si="65"/>
        <v>33.299999999999997</v>
      </c>
      <c r="CA62" s="518">
        <f t="shared" si="65"/>
        <v>30.6</v>
      </c>
      <c r="CB62" s="518">
        <f t="shared" si="65"/>
        <v>17.100000000000001</v>
      </c>
      <c r="CC62" s="518">
        <f t="shared" si="65"/>
        <v>23.3</v>
      </c>
      <c r="CD62" s="518">
        <f t="shared" si="65"/>
        <v>22.6</v>
      </c>
      <c r="CE62" s="518">
        <f t="shared" si="65"/>
        <v>18.600000000000001</v>
      </c>
      <c r="CF62" s="518">
        <f t="shared" si="65"/>
        <v>31.2</v>
      </c>
      <c r="CG62" s="518">
        <f t="shared" si="65"/>
        <v>22.4</v>
      </c>
      <c r="CH62" s="518">
        <f t="shared" si="65"/>
        <v>31.2</v>
      </c>
    </row>
    <row r="63" spans="1:86" x14ac:dyDescent="0.2">
      <c r="B63" s="5"/>
      <c r="C63" s="71"/>
      <c r="D63" s="71"/>
      <c r="E63" s="71"/>
      <c r="F63" s="71"/>
      <c r="G63" s="71"/>
      <c r="H63" s="71"/>
      <c r="I63" s="71"/>
      <c r="J63" s="71"/>
      <c r="K63" s="71"/>
      <c r="L63" s="71"/>
      <c r="P63" s="25"/>
      <c r="Q63" s="25"/>
      <c r="R63" s="25" t="s">
        <v>42</v>
      </c>
      <c r="S63" s="25"/>
      <c r="T63" s="36">
        <f t="shared" si="61"/>
        <v>17</v>
      </c>
      <c r="U63" s="36">
        <f t="shared" si="61"/>
        <v>10.9</v>
      </c>
      <c r="V63" s="36">
        <f t="shared" si="61"/>
        <v>14.6</v>
      </c>
      <c r="W63" s="36">
        <f t="shared" si="61"/>
        <v>19.399999999999999</v>
      </c>
      <c r="X63" s="36">
        <f t="shared" si="61"/>
        <v>17.100000000000001</v>
      </c>
      <c r="Y63" s="36">
        <f t="shared" si="61"/>
        <v>6.2</v>
      </c>
      <c r="Z63" s="36">
        <f t="shared" si="61"/>
        <v>19.399999999999999</v>
      </c>
      <c r="AA63" s="36">
        <f t="shared" si="61"/>
        <v>21.7</v>
      </c>
      <c r="AB63" s="36">
        <f t="shared" si="61"/>
        <v>17.399999999999999</v>
      </c>
      <c r="AC63" s="36">
        <f t="shared" si="61"/>
        <v>18.8</v>
      </c>
      <c r="AD63" s="36">
        <f t="shared" si="62"/>
        <v>15.2</v>
      </c>
      <c r="AE63" s="36">
        <f t="shared" si="62"/>
        <v>33.299999999999997</v>
      </c>
      <c r="AF63" s="36">
        <f t="shared" si="62"/>
        <v>30.6</v>
      </c>
      <c r="AG63" s="36">
        <f t="shared" si="62"/>
        <v>17.100000000000001</v>
      </c>
      <c r="AH63" s="36">
        <f t="shared" si="62"/>
        <v>23.3</v>
      </c>
      <c r="AI63" s="36">
        <f t="shared" si="62"/>
        <v>22.6</v>
      </c>
      <c r="AJ63" s="36">
        <f t="shared" si="62"/>
        <v>18.600000000000001</v>
      </c>
      <c r="AK63" s="36">
        <f t="shared" si="62"/>
        <v>31.2</v>
      </c>
      <c r="AL63" s="36">
        <f t="shared" si="62"/>
        <v>22.4</v>
      </c>
      <c r="AM63" s="36">
        <f t="shared" si="62"/>
        <v>31.2</v>
      </c>
      <c r="AN63" s="37"/>
      <c r="BJ63" s="480"/>
      <c r="BK63" s="512"/>
      <c r="BL63" s="512"/>
      <c r="BM63" s="512" t="s">
        <v>44</v>
      </c>
      <c r="BN63" s="512" t="s">
        <v>51</v>
      </c>
      <c r="BO63" s="518" t="e">
        <f t="shared" ref="BO63:CH63" si="66">IF($BJ27,VLOOKUP(BO$22&amp;"Male"&amp;"AllEth"&amp;25&amp;$BM63,Methodstable,9,FALSE),NA())</f>
        <v>#N/A</v>
      </c>
      <c r="BP63" s="518" t="e">
        <f t="shared" si="66"/>
        <v>#N/A</v>
      </c>
      <c r="BQ63" s="518" t="e">
        <f t="shared" si="66"/>
        <v>#N/A</v>
      </c>
      <c r="BR63" s="518" t="e">
        <f t="shared" si="66"/>
        <v>#N/A</v>
      </c>
      <c r="BS63" s="518" t="e">
        <f t="shared" si="66"/>
        <v>#N/A</v>
      </c>
      <c r="BT63" s="518" t="e">
        <f t="shared" si="66"/>
        <v>#N/A</v>
      </c>
      <c r="BU63" s="518" t="e">
        <f t="shared" si="66"/>
        <v>#N/A</v>
      </c>
      <c r="BV63" s="518" t="e">
        <f t="shared" si="66"/>
        <v>#N/A</v>
      </c>
      <c r="BW63" s="518" t="e">
        <f t="shared" si="66"/>
        <v>#N/A</v>
      </c>
      <c r="BX63" s="518" t="e">
        <f t="shared" si="66"/>
        <v>#N/A</v>
      </c>
      <c r="BY63" s="518" t="e">
        <f t="shared" si="66"/>
        <v>#N/A</v>
      </c>
      <c r="BZ63" s="518" t="e">
        <f t="shared" si="66"/>
        <v>#N/A</v>
      </c>
      <c r="CA63" s="518" t="e">
        <f t="shared" si="66"/>
        <v>#N/A</v>
      </c>
      <c r="CB63" s="518" t="e">
        <f t="shared" si="66"/>
        <v>#N/A</v>
      </c>
      <c r="CC63" s="518" t="e">
        <f t="shared" si="66"/>
        <v>#N/A</v>
      </c>
      <c r="CD63" s="518" t="e">
        <f t="shared" si="66"/>
        <v>#N/A</v>
      </c>
      <c r="CE63" s="518" t="e">
        <f t="shared" si="66"/>
        <v>#N/A</v>
      </c>
      <c r="CF63" s="518" t="e">
        <f t="shared" si="66"/>
        <v>#N/A</v>
      </c>
      <c r="CG63" s="518" t="e">
        <f t="shared" si="66"/>
        <v>#N/A</v>
      </c>
      <c r="CH63" s="518" t="e">
        <f t="shared" si="66"/>
        <v>#N/A</v>
      </c>
    </row>
    <row r="64" spans="1:86" ht="12" customHeight="1" x14ac:dyDescent="0.2">
      <c r="B64" s="5"/>
      <c r="C64" s="71"/>
      <c r="D64" s="71"/>
      <c r="E64" s="71"/>
      <c r="F64" s="71"/>
      <c r="G64" s="71"/>
      <c r="H64" s="71"/>
      <c r="I64" s="71"/>
      <c r="J64" s="71"/>
      <c r="K64" s="71"/>
      <c r="L64" s="71"/>
      <c r="P64" s="25"/>
      <c r="Q64" s="25"/>
      <c r="R64" s="25" t="s">
        <v>44</v>
      </c>
      <c r="S64" s="25"/>
      <c r="T64" s="36">
        <f t="shared" si="61"/>
        <v>1.9</v>
      </c>
      <c r="U64" s="36" t="str">
        <f t="shared" si="61"/>
        <v>0.0</v>
      </c>
      <c r="V64" s="36" t="str">
        <f t="shared" si="61"/>
        <v>0.0</v>
      </c>
      <c r="W64" s="36" t="str">
        <f t="shared" si="61"/>
        <v>0.0</v>
      </c>
      <c r="X64" s="36">
        <f t="shared" si="61"/>
        <v>7.3</v>
      </c>
      <c r="Y64" s="36" t="str">
        <f t="shared" si="61"/>
        <v>0.0</v>
      </c>
      <c r="Z64" s="36">
        <f t="shared" si="61"/>
        <v>13.9</v>
      </c>
      <c r="AA64" s="36" t="str">
        <f t="shared" si="61"/>
        <v>0.0</v>
      </c>
      <c r="AB64" s="36">
        <f t="shared" si="61"/>
        <v>6.5</v>
      </c>
      <c r="AC64" s="36">
        <f t="shared" si="61"/>
        <v>6.2</v>
      </c>
      <c r="AD64" s="36" t="str">
        <f t="shared" si="62"/>
        <v>0.0</v>
      </c>
      <c r="AE64" s="36" t="str">
        <f t="shared" si="62"/>
        <v>0.0</v>
      </c>
      <c r="AF64" s="36" t="str">
        <f t="shared" si="62"/>
        <v>0.0</v>
      </c>
      <c r="AG64" s="36" t="str">
        <f t="shared" si="62"/>
        <v>0.0</v>
      </c>
      <c r="AH64" s="36">
        <f t="shared" si="62"/>
        <v>2.2999999999999998</v>
      </c>
      <c r="AI64" s="36">
        <f t="shared" si="62"/>
        <v>3.2</v>
      </c>
      <c r="AJ64" s="36">
        <f t="shared" si="62"/>
        <v>2.2999999999999998</v>
      </c>
      <c r="AK64" s="36" t="str">
        <f t="shared" si="62"/>
        <v>0.0</v>
      </c>
      <c r="AL64" s="36" t="str">
        <f t="shared" si="62"/>
        <v>0.0</v>
      </c>
      <c r="AM64" s="36">
        <f t="shared" si="62"/>
        <v>6.2</v>
      </c>
      <c r="AN64" s="37"/>
      <c r="BJ64" s="480"/>
      <c r="BK64" s="512"/>
      <c r="BL64" s="512"/>
      <c r="BM64" s="512" t="s">
        <v>49</v>
      </c>
      <c r="BN64" s="512" t="s">
        <v>51</v>
      </c>
      <c r="BO64" s="518" t="e">
        <f t="shared" ref="BO64:CH64" si="67">IF($BJ28,VLOOKUP(BO$22&amp;"Male"&amp;"AllEth"&amp;25&amp;$BM64,Methodstable,9,FALSE),NA())</f>
        <v>#N/A</v>
      </c>
      <c r="BP64" s="518" t="e">
        <f t="shared" si="67"/>
        <v>#N/A</v>
      </c>
      <c r="BQ64" s="518" t="e">
        <f t="shared" si="67"/>
        <v>#N/A</v>
      </c>
      <c r="BR64" s="518" t="e">
        <f t="shared" si="67"/>
        <v>#N/A</v>
      </c>
      <c r="BS64" s="518" t="e">
        <f t="shared" si="67"/>
        <v>#N/A</v>
      </c>
      <c r="BT64" s="518" t="e">
        <f t="shared" si="67"/>
        <v>#N/A</v>
      </c>
      <c r="BU64" s="518" t="e">
        <f t="shared" si="67"/>
        <v>#N/A</v>
      </c>
      <c r="BV64" s="518" t="e">
        <f t="shared" si="67"/>
        <v>#N/A</v>
      </c>
      <c r="BW64" s="518" t="e">
        <f t="shared" si="67"/>
        <v>#N/A</v>
      </c>
      <c r="BX64" s="518" t="e">
        <f t="shared" si="67"/>
        <v>#N/A</v>
      </c>
      <c r="BY64" s="518" t="e">
        <f t="shared" si="67"/>
        <v>#N/A</v>
      </c>
      <c r="BZ64" s="518" t="e">
        <f t="shared" si="67"/>
        <v>#N/A</v>
      </c>
      <c r="CA64" s="518" t="e">
        <f t="shared" si="67"/>
        <v>#N/A</v>
      </c>
      <c r="CB64" s="518" t="e">
        <f t="shared" si="67"/>
        <v>#N/A</v>
      </c>
      <c r="CC64" s="518" t="e">
        <f t="shared" si="67"/>
        <v>#N/A</v>
      </c>
      <c r="CD64" s="518" t="e">
        <f t="shared" si="67"/>
        <v>#N/A</v>
      </c>
      <c r="CE64" s="518" t="e">
        <f t="shared" si="67"/>
        <v>#N/A</v>
      </c>
      <c r="CF64" s="518" t="e">
        <f t="shared" si="67"/>
        <v>#N/A</v>
      </c>
      <c r="CG64" s="518" t="e">
        <f t="shared" si="67"/>
        <v>#N/A</v>
      </c>
      <c r="CH64" s="518" t="e">
        <f t="shared" si="67"/>
        <v>#N/A</v>
      </c>
    </row>
    <row r="65" spans="2:86" x14ac:dyDescent="0.2">
      <c r="B65" s="5"/>
      <c r="C65" s="71"/>
      <c r="D65" s="71"/>
      <c r="E65" s="71"/>
      <c r="F65" s="71"/>
      <c r="G65" s="71"/>
      <c r="H65" s="71"/>
      <c r="I65" s="71"/>
      <c r="J65" s="71"/>
      <c r="K65" s="71"/>
      <c r="L65" s="71"/>
      <c r="P65" s="25"/>
      <c r="Q65" s="25"/>
      <c r="R65" s="25" t="s">
        <v>49</v>
      </c>
      <c r="S65" s="25"/>
      <c r="T65" s="36">
        <f t="shared" si="61"/>
        <v>7.5</v>
      </c>
      <c r="U65" s="36">
        <f t="shared" si="61"/>
        <v>6.5</v>
      </c>
      <c r="V65" s="36">
        <f t="shared" si="61"/>
        <v>2.1</v>
      </c>
      <c r="W65" s="36">
        <f t="shared" si="61"/>
        <v>11.1</v>
      </c>
      <c r="X65" s="36">
        <f t="shared" si="61"/>
        <v>4.9000000000000004</v>
      </c>
      <c r="Y65" s="36">
        <f t="shared" si="61"/>
        <v>2.1</v>
      </c>
      <c r="Z65" s="36">
        <f t="shared" si="61"/>
        <v>2.8</v>
      </c>
      <c r="AA65" s="36">
        <f t="shared" si="61"/>
        <v>2.2000000000000002</v>
      </c>
      <c r="AB65" s="36">
        <f t="shared" si="61"/>
        <v>6.5</v>
      </c>
      <c r="AC65" s="36" t="str">
        <f t="shared" si="61"/>
        <v>0.0</v>
      </c>
      <c r="AD65" s="36">
        <f t="shared" si="62"/>
        <v>3</v>
      </c>
      <c r="AE65" s="36">
        <f t="shared" si="62"/>
        <v>2.4</v>
      </c>
      <c r="AF65" s="36">
        <f t="shared" si="62"/>
        <v>2.8</v>
      </c>
      <c r="AG65" s="36">
        <f t="shared" si="62"/>
        <v>2.4</v>
      </c>
      <c r="AH65" s="36">
        <f t="shared" si="62"/>
        <v>2.2999999999999998</v>
      </c>
      <c r="AI65" s="36">
        <f t="shared" si="62"/>
        <v>9.6999999999999993</v>
      </c>
      <c r="AJ65" s="36">
        <f t="shared" si="62"/>
        <v>2.2999999999999998</v>
      </c>
      <c r="AK65" s="36">
        <f t="shared" si="62"/>
        <v>6.2</v>
      </c>
      <c r="AL65" s="36">
        <f t="shared" si="62"/>
        <v>4.0999999999999996</v>
      </c>
      <c r="AM65" s="36">
        <f t="shared" si="62"/>
        <v>10.4</v>
      </c>
      <c r="AN65" s="37"/>
      <c r="BJ65" s="480"/>
      <c r="BK65" s="512"/>
      <c r="BL65" s="512"/>
      <c r="BM65" s="512" t="s">
        <v>48</v>
      </c>
      <c r="BN65" s="512" t="s">
        <v>51</v>
      </c>
      <c r="BO65" s="518" t="e">
        <f t="shared" ref="BO65:CH65" si="68">IF($BJ29,VLOOKUP(BO$22&amp;"Male"&amp;"AllEth"&amp;25&amp;$BM65,Methodstable,9,FALSE),NA())</f>
        <v>#N/A</v>
      </c>
      <c r="BP65" s="518" t="e">
        <f t="shared" si="68"/>
        <v>#N/A</v>
      </c>
      <c r="BQ65" s="518" t="e">
        <f t="shared" si="68"/>
        <v>#N/A</v>
      </c>
      <c r="BR65" s="518" t="e">
        <f t="shared" si="68"/>
        <v>#N/A</v>
      </c>
      <c r="BS65" s="518" t="e">
        <f t="shared" si="68"/>
        <v>#N/A</v>
      </c>
      <c r="BT65" s="518" t="e">
        <f t="shared" si="68"/>
        <v>#N/A</v>
      </c>
      <c r="BU65" s="518" t="e">
        <f t="shared" si="68"/>
        <v>#N/A</v>
      </c>
      <c r="BV65" s="518" t="e">
        <f t="shared" si="68"/>
        <v>#N/A</v>
      </c>
      <c r="BW65" s="518" t="e">
        <f t="shared" si="68"/>
        <v>#N/A</v>
      </c>
      <c r="BX65" s="518" t="e">
        <f t="shared" si="68"/>
        <v>#N/A</v>
      </c>
      <c r="BY65" s="518" t="e">
        <f t="shared" si="68"/>
        <v>#N/A</v>
      </c>
      <c r="BZ65" s="518" t="e">
        <f t="shared" si="68"/>
        <v>#N/A</v>
      </c>
      <c r="CA65" s="518" t="e">
        <f t="shared" si="68"/>
        <v>#N/A</v>
      </c>
      <c r="CB65" s="518" t="e">
        <f t="shared" si="68"/>
        <v>#N/A</v>
      </c>
      <c r="CC65" s="518" t="e">
        <f t="shared" si="68"/>
        <v>#N/A</v>
      </c>
      <c r="CD65" s="518" t="e">
        <f t="shared" si="68"/>
        <v>#N/A</v>
      </c>
      <c r="CE65" s="518" t="e">
        <f t="shared" si="68"/>
        <v>#N/A</v>
      </c>
      <c r="CF65" s="518" t="e">
        <f t="shared" si="68"/>
        <v>#N/A</v>
      </c>
      <c r="CG65" s="518" t="e">
        <f t="shared" si="68"/>
        <v>#N/A</v>
      </c>
      <c r="CH65" s="518" t="e">
        <f t="shared" si="68"/>
        <v>#N/A</v>
      </c>
    </row>
    <row r="66" spans="2:86" x14ac:dyDescent="0.2">
      <c r="B66" s="5"/>
      <c r="C66" s="71"/>
      <c r="D66" s="71"/>
      <c r="E66" s="71"/>
      <c r="F66" s="71"/>
      <c r="G66" s="71"/>
      <c r="H66" s="71"/>
      <c r="I66" s="71"/>
      <c r="J66" s="71"/>
      <c r="K66" s="71"/>
      <c r="L66" s="71"/>
      <c r="P66" s="25"/>
      <c r="Q66" s="25"/>
      <c r="R66" s="25" t="s">
        <v>48</v>
      </c>
      <c r="S66" s="25"/>
      <c r="T66" s="36" t="str">
        <f t="shared" si="61"/>
        <v>0.0</v>
      </c>
      <c r="U66" s="36">
        <f t="shared" si="61"/>
        <v>6.5</v>
      </c>
      <c r="V66" s="36" t="str">
        <f t="shared" si="61"/>
        <v>0.0</v>
      </c>
      <c r="W66" s="36">
        <f t="shared" si="61"/>
        <v>2.8</v>
      </c>
      <c r="X66" s="36">
        <f t="shared" si="61"/>
        <v>2.4</v>
      </c>
      <c r="Y66" s="36">
        <f t="shared" si="61"/>
        <v>6.2</v>
      </c>
      <c r="Z66" s="36" t="str">
        <f t="shared" si="61"/>
        <v>0.0</v>
      </c>
      <c r="AA66" s="36">
        <f t="shared" si="61"/>
        <v>13</v>
      </c>
      <c r="AB66" s="36">
        <f t="shared" si="61"/>
        <v>6.5</v>
      </c>
      <c r="AC66" s="36">
        <f t="shared" si="61"/>
        <v>3.1</v>
      </c>
      <c r="AD66" s="36">
        <f t="shared" si="62"/>
        <v>6.1</v>
      </c>
      <c r="AE66" s="36">
        <f t="shared" si="62"/>
        <v>4.8</v>
      </c>
      <c r="AF66" s="36">
        <f t="shared" si="62"/>
        <v>5.6</v>
      </c>
      <c r="AG66" s="36">
        <f t="shared" si="62"/>
        <v>7.3</v>
      </c>
      <c r="AH66" s="36">
        <f t="shared" si="62"/>
        <v>2.2999999999999998</v>
      </c>
      <c r="AI66" s="36">
        <f t="shared" si="62"/>
        <v>9.6999999999999993</v>
      </c>
      <c r="AJ66" s="36">
        <f t="shared" si="62"/>
        <v>7</v>
      </c>
      <c r="AK66" s="36">
        <f t="shared" si="62"/>
        <v>2.1</v>
      </c>
      <c r="AL66" s="36" t="str">
        <f t="shared" si="62"/>
        <v>0.0</v>
      </c>
      <c r="AM66" s="36">
        <f t="shared" si="62"/>
        <v>4.2</v>
      </c>
      <c r="AN66" s="37"/>
      <c r="BJ66" s="480"/>
      <c r="BK66" s="512"/>
      <c r="BL66" s="512"/>
      <c r="BM66" s="512" t="s">
        <v>45</v>
      </c>
      <c r="BN66" s="512" t="s">
        <v>51</v>
      </c>
      <c r="BO66" s="518" t="e">
        <f t="shared" ref="BO66:CH66" si="69">IF($BJ30,VLOOKUP(BO$22&amp;"Male"&amp;"AllEth"&amp;25&amp;$BM66,Methodstable,9,FALSE),NA())</f>
        <v>#N/A</v>
      </c>
      <c r="BP66" s="518" t="e">
        <f t="shared" si="69"/>
        <v>#N/A</v>
      </c>
      <c r="BQ66" s="518" t="e">
        <f t="shared" si="69"/>
        <v>#N/A</v>
      </c>
      <c r="BR66" s="518" t="e">
        <f t="shared" si="69"/>
        <v>#N/A</v>
      </c>
      <c r="BS66" s="518" t="e">
        <f t="shared" si="69"/>
        <v>#N/A</v>
      </c>
      <c r="BT66" s="518" t="e">
        <f t="shared" si="69"/>
        <v>#N/A</v>
      </c>
      <c r="BU66" s="518" t="e">
        <f t="shared" si="69"/>
        <v>#N/A</v>
      </c>
      <c r="BV66" s="518" t="e">
        <f t="shared" si="69"/>
        <v>#N/A</v>
      </c>
      <c r="BW66" s="518" t="e">
        <f t="shared" si="69"/>
        <v>#N/A</v>
      </c>
      <c r="BX66" s="518" t="e">
        <f t="shared" si="69"/>
        <v>#N/A</v>
      </c>
      <c r="BY66" s="518" t="e">
        <f t="shared" si="69"/>
        <v>#N/A</v>
      </c>
      <c r="BZ66" s="518" t="e">
        <f t="shared" si="69"/>
        <v>#N/A</v>
      </c>
      <c r="CA66" s="518" t="e">
        <f t="shared" si="69"/>
        <v>#N/A</v>
      </c>
      <c r="CB66" s="518" t="e">
        <f t="shared" si="69"/>
        <v>#N/A</v>
      </c>
      <c r="CC66" s="518" t="e">
        <f t="shared" si="69"/>
        <v>#N/A</v>
      </c>
      <c r="CD66" s="518" t="e">
        <f t="shared" si="69"/>
        <v>#N/A</v>
      </c>
      <c r="CE66" s="518" t="e">
        <f t="shared" si="69"/>
        <v>#N/A</v>
      </c>
      <c r="CF66" s="518" t="e">
        <f t="shared" si="69"/>
        <v>#N/A</v>
      </c>
      <c r="CG66" s="518" t="e">
        <f t="shared" si="69"/>
        <v>#N/A</v>
      </c>
      <c r="CH66" s="518" t="e">
        <f t="shared" si="69"/>
        <v>#N/A</v>
      </c>
    </row>
    <row r="67" spans="2:86" x14ac:dyDescent="0.2">
      <c r="B67" s="5"/>
      <c r="C67" s="71"/>
      <c r="D67" s="71"/>
      <c r="E67" s="71"/>
      <c r="F67" s="71"/>
      <c r="G67" s="71"/>
      <c r="H67" s="71"/>
      <c r="I67" s="71"/>
      <c r="J67" s="71"/>
      <c r="K67" s="71"/>
      <c r="L67" s="71"/>
      <c r="P67" s="25"/>
      <c r="Q67" s="25"/>
      <c r="R67" s="24" t="s">
        <v>45</v>
      </c>
      <c r="S67" s="24"/>
      <c r="T67" s="36">
        <f t="shared" si="61"/>
        <v>7.5</v>
      </c>
      <c r="U67" s="36">
        <f t="shared" si="61"/>
        <v>4.3</v>
      </c>
      <c r="V67" s="36">
        <f t="shared" si="61"/>
        <v>6.2</v>
      </c>
      <c r="W67" s="36">
        <f t="shared" si="61"/>
        <v>2.8</v>
      </c>
      <c r="X67" s="36">
        <f t="shared" si="61"/>
        <v>2.4</v>
      </c>
      <c r="Y67" s="36">
        <f t="shared" si="61"/>
        <v>12.5</v>
      </c>
      <c r="Z67" s="36" t="str">
        <f t="shared" si="61"/>
        <v>0.0</v>
      </c>
      <c r="AA67" s="36">
        <f t="shared" si="61"/>
        <v>2.2000000000000002</v>
      </c>
      <c r="AB67" s="36" t="str">
        <f t="shared" si="61"/>
        <v>0.0</v>
      </c>
      <c r="AC67" s="36">
        <f t="shared" si="61"/>
        <v>3.1</v>
      </c>
      <c r="AD67" s="36">
        <f t="shared" si="62"/>
        <v>9.1</v>
      </c>
      <c r="AE67" s="36">
        <f t="shared" si="62"/>
        <v>2.4</v>
      </c>
      <c r="AF67" s="36">
        <f t="shared" si="62"/>
        <v>2.8</v>
      </c>
      <c r="AG67" s="36">
        <f t="shared" si="62"/>
        <v>7.3</v>
      </c>
      <c r="AH67" s="36">
        <f t="shared" si="62"/>
        <v>2.2999999999999998</v>
      </c>
      <c r="AI67" s="36">
        <f t="shared" si="62"/>
        <v>6.5</v>
      </c>
      <c r="AJ67" s="36">
        <f t="shared" si="62"/>
        <v>4.7</v>
      </c>
      <c r="AK67" s="36">
        <f t="shared" si="62"/>
        <v>2.1</v>
      </c>
      <c r="AL67" s="36">
        <f t="shared" si="62"/>
        <v>2</v>
      </c>
      <c r="AM67" s="36">
        <f t="shared" si="62"/>
        <v>6.2</v>
      </c>
      <c r="BJ67" s="480"/>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row>
    <row r="68" spans="2:86" x14ac:dyDescent="0.2">
      <c r="B68" s="5"/>
      <c r="C68" s="71"/>
      <c r="D68" s="71"/>
      <c r="E68" s="71"/>
      <c r="F68" s="71"/>
      <c r="G68" s="71"/>
      <c r="H68" s="71"/>
      <c r="I68" s="71"/>
      <c r="J68" s="71"/>
      <c r="K68" s="71"/>
      <c r="L68" s="71"/>
      <c r="P68" s="28"/>
      <c r="Q68" s="28"/>
      <c r="R68" s="26"/>
      <c r="S68" s="26"/>
      <c r="T68" s="26"/>
      <c r="U68" s="26"/>
      <c r="V68" s="26"/>
      <c r="W68" s="26"/>
      <c r="X68" s="26"/>
      <c r="Y68" s="26"/>
      <c r="Z68" s="26"/>
      <c r="AA68" s="26"/>
      <c r="AB68" s="26"/>
      <c r="AC68" s="26"/>
      <c r="AD68" s="26"/>
      <c r="AE68" s="26"/>
      <c r="AF68" s="26"/>
      <c r="AG68" s="26"/>
      <c r="AH68" s="26"/>
      <c r="AI68" s="26"/>
      <c r="AJ68" s="26"/>
      <c r="AK68" s="26"/>
      <c r="AL68" s="26"/>
      <c r="AM68" s="26"/>
      <c r="BJ68" s="480"/>
      <c r="BK68" s="512" t="s">
        <v>8</v>
      </c>
      <c r="BL68" s="512" t="s">
        <v>23</v>
      </c>
      <c r="BM68" s="512" t="s">
        <v>43</v>
      </c>
      <c r="BN68" s="512" t="s">
        <v>51</v>
      </c>
      <c r="BO68" s="518">
        <f t="shared" ref="BO68:CH68" si="70">IF($BJ23,IFERROR(VLOOKUP(BO$22&amp;"Female"&amp;"AllEth"&amp;22&amp;$BM68,Methodstable,9,FALSE),"0.0"),NA())</f>
        <v>44.7</v>
      </c>
      <c r="BP68" s="518">
        <f t="shared" si="70"/>
        <v>79.3</v>
      </c>
      <c r="BQ68" s="518">
        <f t="shared" si="70"/>
        <v>60</v>
      </c>
      <c r="BR68" s="518">
        <f t="shared" si="70"/>
        <v>75.7</v>
      </c>
      <c r="BS68" s="518">
        <f t="shared" si="70"/>
        <v>46.7</v>
      </c>
      <c r="BT68" s="518">
        <f t="shared" si="70"/>
        <v>52.2</v>
      </c>
      <c r="BU68" s="518">
        <f t="shared" si="70"/>
        <v>63.3</v>
      </c>
      <c r="BV68" s="518">
        <f t="shared" si="70"/>
        <v>61.3</v>
      </c>
      <c r="BW68" s="518">
        <f t="shared" si="70"/>
        <v>87.1</v>
      </c>
      <c r="BX68" s="518">
        <f t="shared" si="70"/>
        <v>76</v>
      </c>
      <c r="BY68" s="518">
        <f t="shared" si="70"/>
        <v>79.2</v>
      </c>
      <c r="BZ68" s="518">
        <f t="shared" si="70"/>
        <v>78.3</v>
      </c>
      <c r="CA68" s="518">
        <f t="shared" si="70"/>
        <v>76.3</v>
      </c>
      <c r="CB68" s="518">
        <f t="shared" si="70"/>
        <v>95.2</v>
      </c>
      <c r="CC68" s="518">
        <f t="shared" si="70"/>
        <v>76.5</v>
      </c>
      <c r="CD68" s="518">
        <f t="shared" si="70"/>
        <v>91.2</v>
      </c>
      <c r="CE68" s="518">
        <f t="shared" si="70"/>
        <v>95.1</v>
      </c>
      <c r="CF68" s="518">
        <f t="shared" si="70"/>
        <v>78.900000000000006</v>
      </c>
      <c r="CG68" s="518">
        <f t="shared" si="70"/>
        <v>81.8</v>
      </c>
      <c r="CH68" s="518">
        <f t="shared" si="70"/>
        <v>81</v>
      </c>
    </row>
    <row r="69" spans="2:86" x14ac:dyDescent="0.2">
      <c r="B69" s="5"/>
      <c r="C69" s="71"/>
      <c r="D69" s="71"/>
      <c r="E69" s="71"/>
      <c r="F69" s="71"/>
      <c r="G69" s="71"/>
      <c r="H69" s="71"/>
      <c r="I69" s="71"/>
      <c r="J69" s="71"/>
      <c r="K69" s="71"/>
      <c r="L69" s="71"/>
      <c r="P69" s="25" t="s">
        <v>8</v>
      </c>
      <c r="Q69" s="25" t="s">
        <v>189</v>
      </c>
      <c r="R69" s="24" t="s">
        <v>43</v>
      </c>
      <c r="S69" s="24" t="s">
        <v>366</v>
      </c>
      <c r="T69" s="47">
        <f t="shared" ref="T69:AC76" si="71">IFERROR(VLOOKUP(T$13&amp;"Female"&amp;"AllEth"&amp;22&amp;$R69,Methodstable,9,FALSE),"0.0")</f>
        <v>44.7</v>
      </c>
      <c r="U69" s="47">
        <f t="shared" si="71"/>
        <v>79.3</v>
      </c>
      <c r="V69" s="47">
        <f t="shared" si="71"/>
        <v>60</v>
      </c>
      <c r="W69" s="47">
        <f t="shared" si="71"/>
        <v>75.7</v>
      </c>
      <c r="X69" s="47">
        <f t="shared" si="71"/>
        <v>46.7</v>
      </c>
      <c r="Y69" s="47">
        <f t="shared" si="71"/>
        <v>52.2</v>
      </c>
      <c r="Z69" s="47">
        <f t="shared" si="71"/>
        <v>63.3</v>
      </c>
      <c r="AA69" s="47">
        <f t="shared" si="71"/>
        <v>61.3</v>
      </c>
      <c r="AB69" s="47">
        <f t="shared" si="71"/>
        <v>87.1</v>
      </c>
      <c r="AC69" s="47">
        <f t="shared" si="71"/>
        <v>76</v>
      </c>
      <c r="AD69" s="47">
        <f t="shared" ref="AD69:AM76" si="72">IFERROR(VLOOKUP(AD$13&amp;"Female"&amp;"AllEth"&amp;22&amp;$R69,Methodstable,9,FALSE),"0.0")</f>
        <v>79.2</v>
      </c>
      <c r="AE69" s="47">
        <f t="shared" si="72"/>
        <v>78.3</v>
      </c>
      <c r="AF69" s="47">
        <f t="shared" si="72"/>
        <v>76.3</v>
      </c>
      <c r="AG69" s="47">
        <f t="shared" si="72"/>
        <v>95.2</v>
      </c>
      <c r="AH69" s="47">
        <f t="shared" si="72"/>
        <v>76.5</v>
      </c>
      <c r="AI69" s="47">
        <f t="shared" si="72"/>
        <v>91.2</v>
      </c>
      <c r="AJ69" s="47">
        <f t="shared" si="72"/>
        <v>95.1</v>
      </c>
      <c r="AK69" s="47">
        <f t="shared" si="72"/>
        <v>78.900000000000006</v>
      </c>
      <c r="AL69" s="47">
        <f t="shared" si="72"/>
        <v>81.8</v>
      </c>
      <c r="AM69" s="47">
        <f t="shared" si="72"/>
        <v>81</v>
      </c>
      <c r="BJ69" s="480"/>
      <c r="BK69" s="512"/>
      <c r="BL69" s="512"/>
      <c r="BM69" s="512" t="s">
        <v>46</v>
      </c>
      <c r="BN69" s="512" t="s">
        <v>51</v>
      </c>
      <c r="BO69" s="518">
        <f t="shared" ref="BO69:CH69" si="73">IF($BJ24,IFERROR(VLOOKUP(BO$22&amp;"Female"&amp;"AllEth"&amp;22&amp;$BM69,Methodstable,9,FALSE),"0.0"),NA())</f>
        <v>28.9</v>
      </c>
      <c r="BP69" s="518">
        <f t="shared" si="73"/>
        <v>3.4</v>
      </c>
      <c r="BQ69" s="518">
        <f t="shared" si="73"/>
        <v>5.7</v>
      </c>
      <c r="BR69" s="518">
        <f t="shared" si="73"/>
        <v>10.8</v>
      </c>
      <c r="BS69" s="518">
        <f t="shared" si="73"/>
        <v>26.7</v>
      </c>
      <c r="BT69" s="518">
        <f t="shared" si="73"/>
        <v>8.6999999999999993</v>
      </c>
      <c r="BU69" s="518">
        <f t="shared" si="73"/>
        <v>16.7</v>
      </c>
      <c r="BV69" s="518">
        <f t="shared" si="73"/>
        <v>16.100000000000001</v>
      </c>
      <c r="BW69" s="518">
        <f t="shared" si="73"/>
        <v>6.5</v>
      </c>
      <c r="BX69" s="518">
        <f t="shared" si="73"/>
        <v>4</v>
      </c>
      <c r="BY69" s="518">
        <f t="shared" si="73"/>
        <v>8.3000000000000007</v>
      </c>
      <c r="BZ69" s="518">
        <f t="shared" si="73"/>
        <v>8.6999999999999993</v>
      </c>
      <c r="CA69" s="518">
        <f t="shared" si="73"/>
        <v>2.6</v>
      </c>
      <c r="CB69" s="518" t="str">
        <f t="shared" si="73"/>
        <v>0.0</v>
      </c>
      <c r="CC69" s="518">
        <f t="shared" si="73"/>
        <v>5.9</v>
      </c>
      <c r="CD69" s="518" t="str">
        <f t="shared" si="73"/>
        <v>0.0</v>
      </c>
      <c r="CE69" s="518" t="str">
        <f t="shared" si="73"/>
        <v>0.0</v>
      </c>
      <c r="CF69" s="518" t="str">
        <f t="shared" si="73"/>
        <v>0.0</v>
      </c>
      <c r="CG69" s="518">
        <f t="shared" si="73"/>
        <v>4.5</v>
      </c>
      <c r="CH69" s="518" t="str">
        <f t="shared" si="73"/>
        <v>0.0</v>
      </c>
    </row>
    <row r="70" spans="2:86" x14ac:dyDescent="0.2">
      <c r="B70" s="5"/>
      <c r="C70" s="71"/>
      <c r="D70" s="71"/>
      <c r="E70" s="71"/>
      <c r="F70" s="71"/>
      <c r="G70" s="71"/>
      <c r="H70" s="71"/>
      <c r="I70" s="71"/>
      <c r="J70" s="71"/>
      <c r="K70" s="71"/>
      <c r="L70" s="71"/>
      <c r="P70" s="25"/>
      <c r="Q70" s="25"/>
      <c r="R70" s="24" t="s">
        <v>46</v>
      </c>
      <c r="S70" s="24"/>
      <c r="T70" s="47">
        <f t="shared" si="71"/>
        <v>28.9</v>
      </c>
      <c r="U70" s="47">
        <f t="shared" si="71"/>
        <v>3.4</v>
      </c>
      <c r="V70" s="47">
        <f t="shared" si="71"/>
        <v>5.7</v>
      </c>
      <c r="W70" s="47">
        <f t="shared" si="71"/>
        <v>10.8</v>
      </c>
      <c r="X70" s="47">
        <f t="shared" si="71"/>
        <v>26.7</v>
      </c>
      <c r="Y70" s="47">
        <f t="shared" si="71"/>
        <v>8.6999999999999993</v>
      </c>
      <c r="Z70" s="47">
        <f t="shared" si="71"/>
        <v>16.7</v>
      </c>
      <c r="AA70" s="47">
        <f t="shared" si="71"/>
        <v>16.100000000000001</v>
      </c>
      <c r="AB70" s="47">
        <f t="shared" si="71"/>
        <v>6.5</v>
      </c>
      <c r="AC70" s="47">
        <f t="shared" si="71"/>
        <v>4</v>
      </c>
      <c r="AD70" s="47">
        <f t="shared" si="72"/>
        <v>8.3000000000000007</v>
      </c>
      <c r="AE70" s="47">
        <f t="shared" si="72"/>
        <v>8.6999999999999993</v>
      </c>
      <c r="AF70" s="47">
        <f t="shared" si="72"/>
        <v>2.6</v>
      </c>
      <c r="AG70" s="47" t="str">
        <f t="shared" si="72"/>
        <v>0.0</v>
      </c>
      <c r="AH70" s="47">
        <f t="shared" si="72"/>
        <v>5.9</v>
      </c>
      <c r="AI70" s="47" t="str">
        <f t="shared" si="72"/>
        <v>0.0</v>
      </c>
      <c r="AJ70" s="47" t="str">
        <f t="shared" si="72"/>
        <v>0.0</v>
      </c>
      <c r="AK70" s="47" t="str">
        <f t="shared" si="72"/>
        <v>0.0</v>
      </c>
      <c r="AL70" s="47">
        <f t="shared" si="72"/>
        <v>4.5</v>
      </c>
      <c r="AM70" s="47" t="str">
        <f t="shared" si="72"/>
        <v>0.0</v>
      </c>
      <c r="BJ70" s="480"/>
      <c r="BK70" s="512"/>
      <c r="BL70" s="512"/>
      <c r="BM70" s="512" t="s">
        <v>47</v>
      </c>
      <c r="BN70" s="512" t="s">
        <v>51</v>
      </c>
      <c r="BO70" s="518">
        <f t="shared" ref="BO70:CH70" si="74">IF($BJ25,IFERROR(VLOOKUP(BO$22&amp;"Female"&amp;"AllEth"&amp;22&amp;$BM70,Methodstable,9,FALSE),"0.0"),NA())</f>
        <v>21.1</v>
      </c>
      <c r="BP70" s="518">
        <f t="shared" si="74"/>
        <v>10.3</v>
      </c>
      <c r="BQ70" s="518">
        <f t="shared" si="74"/>
        <v>28.6</v>
      </c>
      <c r="BR70" s="518">
        <f t="shared" si="74"/>
        <v>8.1</v>
      </c>
      <c r="BS70" s="518">
        <f t="shared" si="74"/>
        <v>13.3</v>
      </c>
      <c r="BT70" s="518">
        <f t="shared" si="74"/>
        <v>21.7</v>
      </c>
      <c r="BU70" s="518">
        <f t="shared" si="74"/>
        <v>10</v>
      </c>
      <c r="BV70" s="518">
        <f t="shared" si="74"/>
        <v>9.6999999999999993</v>
      </c>
      <c r="BW70" s="518">
        <f t="shared" si="74"/>
        <v>6.5</v>
      </c>
      <c r="BX70" s="518">
        <f t="shared" si="74"/>
        <v>8</v>
      </c>
      <c r="BY70" s="518">
        <f t="shared" si="74"/>
        <v>8.3000000000000007</v>
      </c>
      <c r="BZ70" s="518">
        <f t="shared" si="74"/>
        <v>8.6999999999999993</v>
      </c>
      <c r="CA70" s="518">
        <f t="shared" si="74"/>
        <v>10.5</v>
      </c>
      <c r="CB70" s="518" t="str">
        <f t="shared" si="74"/>
        <v>0.0</v>
      </c>
      <c r="CC70" s="518">
        <f t="shared" si="74"/>
        <v>8.8000000000000007</v>
      </c>
      <c r="CD70" s="518">
        <f t="shared" si="74"/>
        <v>5.9</v>
      </c>
      <c r="CE70" s="518" t="str">
        <f t="shared" si="74"/>
        <v>0.0</v>
      </c>
      <c r="CF70" s="518">
        <f t="shared" si="74"/>
        <v>10.5</v>
      </c>
      <c r="CG70" s="518">
        <f t="shared" si="74"/>
        <v>4.5</v>
      </c>
      <c r="CH70" s="518">
        <f t="shared" si="74"/>
        <v>9.5</v>
      </c>
    </row>
    <row r="71" spans="2:86" x14ac:dyDescent="0.2">
      <c r="B71" s="5"/>
      <c r="C71" s="71"/>
      <c r="D71" s="71"/>
      <c r="E71" s="71"/>
      <c r="F71" s="71"/>
      <c r="G71" s="71"/>
      <c r="H71" s="71"/>
      <c r="I71" s="71"/>
      <c r="J71" s="71"/>
      <c r="K71" s="71"/>
      <c r="L71" s="71"/>
      <c r="P71" s="25"/>
      <c r="Q71" s="25"/>
      <c r="R71" s="24" t="s">
        <v>47</v>
      </c>
      <c r="S71" s="24"/>
      <c r="T71" s="47">
        <f t="shared" si="71"/>
        <v>21.1</v>
      </c>
      <c r="U71" s="47">
        <f t="shared" si="71"/>
        <v>10.3</v>
      </c>
      <c r="V71" s="47">
        <f t="shared" si="71"/>
        <v>28.6</v>
      </c>
      <c r="W71" s="47">
        <f t="shared" si="71"/>
        <v>8.1</v>
      </c>
      <c r="X71" s="47">
        <f t="shared" si="71"/>
        <v>13.3</v>
      </c>
      <c r="Y71" s="47">
        <f t="shared" si="71"/>
        <v>21.7</v>
      </c>
      <c r="Z71" s="47">
        <f t="shared" si="71"/>
        <v>10</v>
      </c>
      <c r="AA71" s="47">
        <f t="shared" si="71"/>
        <v>9.6999999999999993</v>
      </c>
      <c r="AB71" s="47">
        <f t="shared" si="71"/>
        <v>6.5</v>
      </c>
      <c r="AC71" s="47">
        <f t="shared" si="71"/>
        <v>8</v>
      </c>
      <c r="AD71" s="47">
        <f t="shared" si="72"/>
        <v>8.3000000000000007</v>
      </c>
      <c r="AE71" s="47">
        <f t="shared" si="72"/>
        <v>8.6999999999999993</v>
      </c>
      <c r="AF71" s="47">
        <f t="shared" si="72"/>
        <v>10.5</v>
      </c>
      <c r="AG71" s="47" t="str">
        <f t="shared" si="72"/>
        <v>0.0</v>
      </c>
      <c r="AH71" s="47">
        <f t="shared" si="72"/>
        <v>8.8000000000000007</v>
      </c>
      <c r="AI71" s="47">
        <f t="shared" si="72"/>
        <v>5.9</v>
      </c>
      <c r="AJ71" s="47" t="str">
        <f t="shared" si="72"/>
        <v>0.0</v>
      </c>
      <c r="AK71" s="47">
        <f t="shared" si="72"/>
        <v>10.5</v>
      </c>
      <c r="AL71" s="47">
        <f t="shared" si="72"/>
        <v>4.5</v>
      </c>
      <c r="AM71" s="47">
        <f t="shared" si="72"/>
        <v>9.5</v>
      </c>
      <c r="BJ71" s="480"/>
      <c r="BK71" s="512"/>
      <c r="BL71" s="512"/>
      <c r="BM71" s="512" t="s">
        <v>42</v>
      </c>
      <c r="BN71" s="512" t="s">
        <v>51</v>
      </c>
      <c r="BO71" s="518" t="str">
        <f t="shared" ref="BO71:CH71" si="75">IF($BJ26,IFERROR(VLOOKUP(BO$22&amp;"Female"&amp;"AllEth"&amp;22&amp;$BM71,Methodstable,9,FALSE),"0.0"),NA())</f>
        <v>0.0</v>
      </c>
      <c r="BP71" s="518">
        <f t="shared" si="75"/>
        <v>3.4</v>
      </c>
      <c r="BQ71" s="518" t="str">
        <f t="shared" si="75"/>
        <v>0.0</v>
      </c>
      <c r="BR71" s="518">
        <f t="shared" si="75"/>
        <v>2.7</v>
      </c>
      <c r="BS71" s="518" t="str">
        <f t="shared" si="75"/>
        <v>0.0</v>
      </c>
      <c r="BT71" s="518" t="str">
        <f t="shared" si="75"/>
        <v>0.0</v>
      </c>
      <c r="BU71" s="518">
        <f t="shared" si="75"/>
        <v>3.3</v>
      </c>
      <c r="BV71" s="518">
        <f t="shared" si="75"/>
        <v>3.2</v>
      </c>
      <c r="BW71" s="518" t="str">
        <f t="shared" si="75"/>
        <v>0.0</v>
      </c>
      <c r="BX71" s="518">
        <f t="shared" si="75"/>
        <v>4</v>
      </c>
      <c r="BY71" s="518">
        <f t="shared" si="75"/>
        <v>4.2</v>
      </c>
      <c r="BZ71" s="518" t="str">
        <f t="shared" si="75"/>
        <v>0.0</v>
      </c>
      <c r="CA71" s="518">
        <f t="shared" si="75"/>
        <v>2.6</v>
      </c>
      <c r="CB71" s="518" t="str">
        <f t="shared" si="75"/>
        <v>0.0</v>
      </c>
      <c r="CC71" s="518">
        <f t="shared" si="75"/>
        <v>2.9</v>
      </c>
      <c r="CD71" s="518" t="str">
        <f t="shared" si="75"/>
        <v>0.0</v>
      </c>
      <c r="CE71" s="518" t="str">
        <f t="shared" si="75"/>
        <v>0.0</v>
      </c>
      <c r="CF71" s="518">
        <f t="shared" si="75"/>
        <v>2.6</v>
      </c>
      <c r="CG71" s="518" t="str">
        <f t="shared" si="75"/>
        <v>0.0</v>
      </c>
      <c r="CH71" s="518">
        <f t="shared" si="75"/>
        <v>2.4</v>
      </c>
    </row>
    <row r="72" spans="2:86" x14ac:dyDescent="0.2">
      <c r="B72" s="5"/>
      <c r="C72" s="71"/>
      <c r="D72" s="71"/>
      <c r="E72" s="71"/>
      <c r="F72" s="71"/>
      <c r="G72" s="71"/>
      <c r="H72" s="71"/>
      <c r="I72" s="71"/>
      <c r="J72" s="71"/>
      <c r="K72" s="71"/>
      <c r="L72" s="71"/>
      <c r="P72" s="25"/>
      <c r="Q72" s="25"/>
      <c r="R72" s="24" t="s">
        <v>42</v>
      </c>
      <c r="S72" s="24"/>
      <c r="T72" s="47" t="str">
        <f t="shared" si="71"/>
        <v>0.0</v>
      </c>
      <c r="U72" s="47">
        <f t="shared" si="71"/>
        <v>3.4</v>
      </c>
      <c r="V72" s="47" t="str">
        <f t="shared" si="71"/>
        <v>0.0</v>
      </c>
      <c r="W72" s="47">
        <f t="shared" si="71"/>
        <v>2.7</v>
      </c>
      <c r="X72" s="47" t="str">
        <f t="shared" si="71"/>
        <v>0.0</v>
      </c>
      <c r="Y72" s="47" t="str">
        <f t="shared" si="71"/>
        <v>0.0</v>
      </c>
      <c r="Z72" s="47">
        <f t="shared" si="71"/>
        <v>3.3</v>
      </c>
      <c r="AA72" s="47">
        <f t="shared" si="71"/>
        <v>3.2</v>
      </c>
      <c r="AB72" s="47" t="str">
        <f t="shared" si="71"/>
        <v>0.0</v>
      </c>
      <c r="AC72" s="47">
        <f t="shared" si="71"/>
        <v>4</v>
      </c>
      <c r="AD72" s="47">
        <f t="shared" si="72"/>
        <v>4.2</v>
      </c>
      <c r="AE72" s="47" t="str">
        <f t="shared" si="72"/>
        <v>0.0</v>
      </c>
      <c r="AF72" s="47">
        <f t="shared" si="72"/>
        <v>2.6</v>
      </c>
      <c r="AG72" s="47" t="str">
        <f t="shared" si="72"/>
        <v>0.0</v>
      </c>
      <c r="AH72" s="47">
        <f t="shared" si="72"/>
        <v>2.9</v>
      </c>
      <c r="AI72" s="47" t="str">
        <f t="shared" si="72"/>
        <v>0.0</v>
      </c>
      <c r="AJ72" s="47" t="str">
        <f t="shared" si="72"/>
        <v>0.0</v>
      </c>
      <c r="AK72" s="47">
        <f t="shared" si="72"/>
        <v>2.6</v>
      </c>
      <c r="AL72" s="47" t="str">
        <f t="shared" si="72"/>
        <v>0.0</v>
      </c>
      <c r="AM72" s="47">
        <f t="shared" si="72"/>
        <v>2.4</v>
      </c>
      <c r="BJ72" s="480"/>
      <c r="BK72" s="512"/>
      <c r="BL72" s="512"/>
      <c r="BM72" s="512" t="s">
        <v>44</v>
      </c>
      <c r="BN72" s="512" t="s">
        <v>51</v>
      </c>
      <c r="BO72" s="518" t="e">
        <f t="shared" ref="BO72:CH72" si="76">IF($BJ27,IFERROR(VLOOKUP(BO$22&amp;"Female"&amp;"AllEth"&amp;22&amp;$BM72,Methodstable,9,FALSE),"0.0"),NA())</f>
        <v>#N/A</v>
      </c>
      <c r="BP72" s="518" t="e">
        <f t="shared" si="76"/>
        <v>#N/A</v>
      </c>
      <c r="BQ72" s="518" t="e">
        <f t="shared" si="76"/>
        <v>#N/A</v>
      </c>
      <c r="BR72" s="518" t="e">
        <f t="shared" si="76"/>
        <v>#N/A</v>
      </c>
      <c r="BS72" s="518" t="e">
        <f t="shared" si="76"/>
        <v>#N/A</v>
      </c>
      <c r="BT72" s="518" t="e">
        <f t="shared" si="76"/>
        <v>#N/A</v>
      </c>
      <c r="BU72" s="518" t="e">
        <f t="shared" si="76"/>
        <v>#N/A</v>
      </c>
      <c r="BV72" s="518" t="e">
        <f t="shared" si="76"/>
        <v>#N/A</v>
      </c>
      <c r="BW72" s="518" t="e">
        <f t="shared" si="76"/>
        <v>#N/A</v>
      </c>
      <c r="BX72" s="518" t="e">
        <f t="shared" si="76"/>
        <v>#N/A</v>
      </c>
      <c r="BY72" s="518" t="e">
        <f t="shared" si="76"/>
        <v>#N/A</v>
      </c>
      <c r="BZ72" s="518" t="e">
        <f t="shared" si="76"/>
        <v>#N/A</v>
      </c>
      <c r="CA72" s="518" t="e">
        <f t="shared" si="76"/>
        <v>#N/A</v>
      </c>
      <c r="CB72" s="518" t="e">
        <f t="shared" si="76"/>
        <v>#N/A</v>
      </c>
      <c r="CC72" s="518" t="e">
        <f t="shared" si="76"/>
        <v>#N/A</v>
      </c>
      <c r="CD72" s="518" t="e">
        <f t="shared" si="76"/>
        <v>#N/A</v>
      </c>
      <c r="CE72" s="518" t="e">
        <f t="shared" si="76"/>
        <v>#N/A</v>
      </c>
      <c r="CF72" s="518" t="e">
        <f t="shared" si="76"/>
        <v>#N/A</v>
      </c>
      <c r="CG72" s="518" t="e">
        <f t="shared" si="76"/>
        <v>#N/A</v>
      </c>
      <c r="CH72" s="518" t="e">
        <f t="shared" si="76"/>
        <v>#N/A</v>
      </c>
    </row>
    <row r="73" spans="2:86" x14ac:dyDescent="0.2">
      <c r="B73" s="5"/>
      <c r="C73" s="77"/>
      <c r="D73" s="71"/>
      <c r="E73" s="112" t="s">
        <v>107</v>
      </c>
      <c r="F73" s="71"/>
      <c r="G73" s="71"/>
      <c r="H73" s="71"/>
      <c r="I73" s="112" t="s">
        <v>107</v>
      </c>
      <c r="J73" s="71"/>
      <c r="K73" s="71"/>
      <c r="L73" s="71"/>
      <c r="P73" s="25"/>
      <c r="Q73" s="25"/>
      <c r="R73" s="24" t="s">
        <v>44</v>
      </c>
      <c r="S73" s="24"/>
      <c r="T73" s="47">
        <f t="shared" si="71"/>
        <v>2.6</v>
      </c>
      <c r="U73" s="47" t="str">
        <f t="shared" si="71"/>
        <v>0.0</v>
      </c>
      <c r="V73" s="47" t="str">
        <f t="shared" si="71"/>
        <v>0.0</v>
      </c>
      <c r="W73" s="47">
        <f t="shared" si="71"/>
        <v>2.7</v>
      </c>
      <c r="X73" s="47">
        <f t="shared" si="71"/>
        <v>6.7</v>
      </c>
      <c r="Y73" s="47">
        <f t="shared" si="71"/>
        <v>8.6999999999999993</v>
      </c>
      <c r="Z73" s="47">
        <f t="shared" si="71"/>
        <v>3.3</v>
      </c>
      <c r="AA73" s="47">
        <f t="shared" si="71"/>
        <v>9.6999999999999993</v>
      </c>
      <c r="AB73" s="47" t="str">
        <f t="shared" si="71"/>
        <v>0.0</v>
      </c>
      <c r="AC73" s="47">
        <f t="shared" si="71"/>
        <v>4</v>
      </c>
      <c r="AD73" s="47" t="str">
        <f t="shared" si="72"/>
        <v>0.0</v>
      </c>
      <c r="AE73" s="47" t="str">
        <f t="shared" si="72"/>
        <v>0.0</v>
      </c>
      <c r="AF73" s="47" t="str">
        <f t="shared" si="72"/>
        <v>0.0</v>
      </c>
      <c r="AG73" s="47">
        <f t="shared" si="72"/>
        <v>4.8</v>
      </c>
      <c r="AH73" s="47" t="str">
        <f t="shared" si="72"/>
        <v>0.0</v>
      </c>
      <c r="AI73" s="47" t="str">
        <f t="shared" si="72"/>
        <v>0.0</v>
      </c>
      <c r="AJ73" s="47">
        <f t="shared" si="72"/>
        <v>4.9000000000000004</v>
      </c>
      <c r="AK73" s="47" t="str">
        <f t="shared" si="72"/>
        <v>0.0</v>
      </c>
      <c r="AL73" s="47">
        <f t="shared" si="72"/>
        <v>4.5</v>
      </c>
      <c r="AM73" s="47">
        <f t="shared" si="72"/>
        <v>2.4</v>
      </c>
      <c r="BJ73" s="480"/>
      <c r="BK73" s="512"/>
      <c r="BL73" s="512"/>
      <c r="BM73" s="512" t="s">
        <v>49</v>
      </c>
      <c r="BN73" s="512" t="s">
        <v>51</v>
      </c>
      <c r="BO73" s="518" t="e">
        <f t="shared" ref="BO73:CH73" si="77">IF($BJ28,IFERROR(VLOOKUP(BO$22&amp;"Female"&amp;"AllEth"&amp;22&amp;$BM73,Methodstable,9,FALSE),"0.0"),NA())</f>
        <v>#N/A</v>
      </c>
      <c r="BP73" s="518" t="e">
        <f t="shared" si="77"/>
        <v>#N/A</v>
      </c>
      <c r="BQ73" s="518" t="e">
        <f t="shared" si="77"/>
        <v>#N/A</v>
      </c>
      <c r="BR73" s="518" t="e">
        <f t="shared" si="77"/>
        <v>#N/A</v>
      </c>
      <c r="BS73" s="518" t="e">
        <f t="shared" si="77"/>
        <v>#N/A</v>
      </c>
      <c r="BT73" s="518" t="e">
        <f t="shared" si="77"/>
        <v>#N/A</v>
      </c>
      <c r="BU73" s="518" t="e">
        <f t="shared" si="77"/>
        <v>#N/A</v>
      </c>
      <c r="BV73" s="518" t="e">
        <f t="shared" si="77"/>
        <v>#N/A</v>
      </c>
      <c r="BW73" s="518" t="e">
        <f t="shared" si="77"/>
        <v>#N/A</v>
      </c>
      <c r="BX73" s="518" t="e">
        <f t="shared" si="77"/>
        <v>#N/A</v>
      </c>
      <c r="BY73" s="518" t="e">
        <f t="shared" si="77"/>
        <v>#N/A</v>
      </c>
      <c r="BZ73" s="518" t="e">
        <f t="shared" si="77"/>
        <v>#N/A</v>
      </c>
      <c r="CA73" s="518" t="e">
        <f t="shared" si="77"/>
        <v>#N/A</v>
      </c>
      <c r="CB73" s="518" t="e">
        <f t="shared" si="77"/>
        <v>#N/A</v>
      </c>
      <c r="CC73" s="518" t="e">
        <f t="shared" si="77"/>
        <v>#N/A</v>
      </c>
      <c r="CD73" s="518" t="e">
        <f t="shared" si="77"/>
        <v>#N/A</v>
      </c>
      <c r="CE73" s="518" t="e">
        <f t="shared" si="77"/>
        <v>#N/A</v>
      </c>
      <c r="CF73" s="518" t="e">
        <f t="shared" si="77"/>
        <v>#N/A</v>
      </c>
      <c r="CG73" s="518" t="e">
        <f t="shared" si="77"/>
        <v>#N/A</v>
      </c>
      <c r="CH73" s="518" t="e">
        <f t="shared" si="77"/>
        <v>#N/A</v>
      </c>
    </row>
    <row r="74" spans="2:86" x14ac:dyDescent="0.2">
      <c r="B74" s="5"/>
      <c r="C74" s="71"/>
      <c r="D74" s="71"/>
      <c r="E74" s="71"/>
      <c r="F74" s="71"/>
      <c r="G74" s="71"/>
      <c r="H74" s="71"/>
      <c r="I74" s="71"/>
      <c r="J74" s="71"/>
      <c r="K74" s="71"/>
      <c r="L74" s="71"/>
      <c r="P74" s="25"/>
      <c r="Q74" s="25"/>
      <c r="R74" s="24" t="s">
        <v>49</v>
      </c>
      <c r="S74" s="24"/>
      <c r="T74" s="47" t="str">
        <f t="shared" si="71"/>
        <v>0.0</v>
      </c>
      <c r="U74" s="47" t="str">
        <f t="shared" si="71"/>
        <v>0.0</v>
      </c>
      <c r="V74" s="47" t="str">
        <f t="shared" si="71"/>
        <v>0.0</v>
      </c>
      <c r="W74" s="47" t="str">
        <f t="shared" si="71"/>
        <v>0.0</v>
      </c>
      <c r="X74" s="47">
        <f t="shared" si="71"/>
        <v>6.7</v>
      </c>
      <c r="Y74" s="47">
        <f t="shared" si="71"/>
        <v>4.3</v>
      </c>
      <c r="Z74" s="47">
        <f t="shared" si="71"/>
        <v>3.3</v>
      </c>
      <c r="AA74" s="47" t="str">
        <f t="shared" si="71"/>
        <v>0.0</v>
      </c>
      <c r="AB74" s="47" t="str">
        <f t="shared" si="71"/>
        <v>0.0</v>
      </c>
      <c r="AC74" s="47" t="str">
        <f t="shared" si="71"/>
        <v>0.0</v>
      </c>
      <c r="AD74" s="47" t="str">
        <f t="shared" si="72"/>
        <v>0.0</v>
      </c>
      <c r="AE74" s="47">
        <f t="shared" si="72"/>
        <v>4.3</v>
      </c>
      <c r="AF74" s="47" t="str">
        <f t="shared" si="72"/>
        <v>0.0</v>
      </c>
      <c r="AG74" s="47" t="str">
        <f t="shared" si="72"/>
        <v>0.0</v>
      </c>
      <c r="AH74" s="47">
        <f t="shared" si="72"/>
        <v>2.9</v>
      </c>
      <c r="AI74" s="47">
        <f t="shared" si="72"/>
        <v>2.9</v>
      </c>
      <c r="AJ74" s="47" t="str">
        <f t="shared" si="72"/>
        <v>0.0</v>
      </c>
      <c r="AK74" s="47">
        <f t="shared" si="72"/>
        <v>7.9</v>
      </c>
      <c r="AL74" s="47" t="str">
        <f t="shared" si="72"/>
        <v>0.0</v>
      </c>
      <c r="AM74" s="47" t="str">
        <f t="shared" si="72"/>
        <v>0.0</v>
      </c>
      <c r="BJ74" s="480"/>
      <c r="BK74" s="512"/>
      <c r="BL74" s="512"/>
      <c r="BM74" s="512" t="s">
        <v>48</v>
      </c>
      <c r="BN74" s="512" t="s">
        <v>51</v>
      </c>
      <c r="BO74" s="518" t="e">
        <f t="shared" ref="BO74:CH74" si="78">IF($BJ29,IFERROR(VLOOKUP(BO$22&amp;"Female"&amp;"AllEth"&amp;22&amp;$BM74,Methodstable,9,FALSE),"0.0"),NA())</f>
        <v>#N/A</v>
      </c>
      <c r="BP74" s="518" t="e">
        <f t="shared" si="78"/>
        <v>#N/A</v>
      </c>
      <c r="BQ74" s="518" t="e">
        <f t="shared" si="78"/>
        <v>#N/A</v>
      </c>
      <c r="BR74" s="518" t="e">
        <f t="shared" si="78"/>
        <v>#N/A</v>
      </c>
      <c r="BS74" s="518" t="e">
        <f t="shared" si="78"/>
        <v>#N/A</v>
      </c>
      <c r="BT74" s="518" t="e">
        <f t="shared" si="78"/>
        <v>#N/A</v>
      </c>
      <c r="BU74" s="518" t="e">
        <f t="shared" si="78"/>
        <v>#N/A</v>
      </c>
      <c r="BV74" s="518" t="e">
        <f t="shared" si="78"/>
        <v>#N/A</v>
      </c>
      <c r="BW74" s="518" t="e">
        <f t="shared" si="78"/>
        <v>#N/A</v>
      </c>
      <c r="BX74" s="518" t="e">
        <f t="shared" si="78"/>
        <v>#N/A</v>
      </c>
      <c r="BY74" s="518" t="e">
        <f t="shared" si="78"/>
        <v>#N/A</v>
      </c>
      <c r="BZ74" s="518" t="e">
        <f t="shared" si="78"/>
        <v>#N/A</v>
      </c>
      <c r="CA74" s="518" t="e">
        <f t="shared" si="78"/>
        <v>#N/A</v>
      </c>
      <c r="CB74" s="518" t="e">
        <f t="shared" si="78"/>
        <v>#N/A</v>
      </c>
      <c r="CC74" s="518" t="e">
        <f t="shared" si="78"/>
        <v>#N/A</v>
      </c>
      <c r="CD74" s="518" t="e">
        <f t="shared" si="78"/>
        <v>#N/A</v>
      </c>
      <c r="CE74" s="518" t="e">
        <f t="shared" si="78"/>
        <v>#N/A</v>
      </c>
      <c r="CF74" s="518" t="e">
        <f t="shared" si="78"/>
        <v>#N/A</v>
      </c>
      <c r="CG74" s="518" t="e">
        <f t="shared" si="78"/>
        <v>#N/A</v>
      </c>
      <c r="CH74" s="518" t="e">
        <f t="shared" si="78"/>
        <v>#N/A</v>
      </c>
    </row>
    <row r="75" spans="2:86" x14ac:dyDescent="0.2">
      <c r="B75" s="5"/>
      <c r="C75" s="71"/>
      <c r="D75" s="71"/>
      <c r="E75" s="71"/>
      <c r="F75" s="71"/>
      <c r="G75" s="71"/>
      <c r="H75" s="71"/>
      <c r="I75" s="71"/>
      <c r="J75" s="71"/>
      <c r="K75" s="71"/>
      <c r="L75" s="71"/>
      <c r="P75" s="25"/>
      <c r="Q75" s="25"/>
      <c r="R75" s="24" t="s">
        <v>48</v>
      </c>
      <c r="S75" s="24"/>
      <c r="T75" s="47" t="str">
        <f t="shared" si="71"/>
        <v>0.0</v>
      </c>
      <c r="U75" s="47" t="str">
        <f t="shared" si="71"/>
        <v>0.0</v>
      </c>
      <c r="V75" s="47" t="str">
        <f t="shared" si="71"/>
        <v>0.0</v>
      </c>
      <c r="W75" s="47" t="str">
        <f t="shared" si="71"/>
        <v>0.0</v>
      </c>
      <c r="X75" s="47" t="str">
        <f t="shared" si="71"/>
        <v>0.0</v>
      </c>
      <c r="Y75" s="47" t="str">
        <f t="shared" si="71"/>
        <v>0.0</v>
      </c>
      <c r="Z75" s="47" t="str">
        <f t="shared" si="71"/>
        <v>0.0</v>
      </c>
      <c r="AA75" s="47" t="str">
        <f t="shared" si="71"/>
        <v>0.0</v>
      </c>
      <c r="AB75" s="47" t="str">
        <f t="shared" si="71"/>
        <v>0.0</v>
      </c>
      <c r="AC75" s="47" t="str">
        <f t="shared" si="71"/>
        <v>0.0</v>
      </c>
      <c r="AD75" s="47" t="str">
        <f t="shared" si="72"/>
        <v>0.0</v>
      </c>
      <c r="AE75" s="47" t="str">
        <f t="shared" si="72"/>
        <v>0.0</v>
      </c>
      <c r="AF75" s="47">
        <f t="shared" si="72"/>
        <v>2.6</v>
      </c>
      <c r="AG75" s="47" t="str">
        <f t="shared" si="72"/>
        <v>0.0</v>
      </c>
      <c r="AH75" s="47" t="str">
        <f t="shared" si="72"/>
        <v>0.0</v>
      </c>
      <c r="AI75" s="47" t="str">
        <f t="shared" si="72"/>
        <v>0.0</v>
      </c>
      <c r="AJ75" s="47" t="str">
        <f t="shared" si="72"/>
        <v>0.0</v>
      </c>
      <c r="AK75" s="47" t="str">
        <f t="shared" si="72"/>
        <v>0.0</v>
      </c>
      <c r="AL75" s="47">
        <f t="shared" si="72"/>
        <v>4.5</v>
      </c>
      <c r="AM75" s="47" t="str">
        <f t="shared" si="72"/>
        <v>0.0</v>
      </c>
      <c r="BJ75" s="480"/>
      <c r="BK75" s="512"/>
      <c r="BL75" s="512"/>
      <c r="BM75" s="512" t="s">
        <v>45</v>
      </c>
      <c r="BN75" s="512" t="s">
        <v>51</v>
      </c>
      <c r="BO75" s="518" t="e">
        <f t="shared" ref="BO75:CH75" si="79">IF($BJ30,IFERROR(VLOOKUP(BO$22&amp;"Female"&amp;"AllEth"&amp;22&amp;$BM75,Methodstable,9,FALSE),"0.0"),NA())</f>
        <v>#N/A</v>
      </c>
      <c r="BP75" s="518" t="e">
        <f t="shared" si="79"/>
        <v>#N/A</v>
      </c>
      <c r="BQ75" s="518" t="e">
        <f t="shared" si="79"/>
        <v>#N/A</v>
      </c>
      <c r="BR75" s="518" t="e">
        <f t="shared" si="79"/>
        <v>#N/A</v>
      </c>
      <c r="BS75" s="518" t="e">
        <f t="shared" si="79"/>
        <v>#N/A</v>
      </c>
      <c r="BT75" s="518" t="e">
        <f t="shared" si="79"/>
        <v>#N/A</v>
      </c>
      <c r="BU75" s="518" t="e">
        <f t="shared" si="79"/>
        <v>#N/A</v>
      </c>
      <c r="BV75" s="518" t="e">
        <f t="shared" si="79"/>
        <v>#N/A</v>
      </c>
      <c r="BW75" s="518" t="e">
        <f t="shared" si="79"/>
        <v>#N/A</v>
      </c>
      <c r="BX75" s="518" t="e">
        <f t="shared" si="79"/>
        <v>#N/A</v>
      </c>
      <c r="BY75" s="518" t="e">
        <f t="shared" si="79"/>
        <v>#N/A</v>
      </c>
      <c r="BZ75" s="518" t="e">
        <f t="shared" si="79"/>
        <v>#N/A</v>
      </c>
      <c r="CA75" s="518" t="e">
        <f t="shared" si="79"/>
        <v>#N/A</v>
      </c>
      <c r="CB75" s="518" t="e">
        <f t="shared" si="79"/>
        <v>#N/A</v>
      </c>
      <c r="CC75" s="518" t="e">
        <f t="shared" si="79"/>
        <v>#N/A</v>
      </c>
      <c r="CD75" s="518" t="e">
        <f t="shared" si="79"/>
        <v>#N/A</v>
      </c>
      <c r="CE75" s="518" t="e">
        <f t="shared" si="79"/>
        <v>#N/A</v>
      </c>
      <c r="CF75" s="518" t="e">
        <f t="shared" si="79"/>
        <v>#N/A</v>
      </c>
      <c r="CG75" s="518" t="e">
        <f t="shared" si="79"/>
        <v>#N/A</v>
      </c>
      <c r="CH75" s="518" t="e">
        <f t="shared" si="79"/>
        <v>#N/A</v>
      </c>
    </row>
    <row r="76" spans="2:86" x14ac:dyDescent="0.2">
      <c r="B76" s="5"/>
      <c r="C76" s="71"/>
      <c r="D76" s="71"/>
      <c r="E76" s="71"/>
      <c r="F76" s="71"/>
      <c r="G76" s="71"/>
      <c r="H76" s="71"/>
      <c r="I76" s="71"/>
      <c r="J76" s="71"/>
      <c r="K76" s="71"/>
      <c r="L76" s="71"/>
      <c r="P76" s="25"/>
      <c r="Q76" s="25"/>
      <c r="R76" s="24" t="s">
        <v>45</v>
      </c>
      <c r="S76" s="24"/>
      <c r="T76" s="47">
        <f t="shared" si="71"/>
        <v>2.6</v>
      </c>
      <c r="U76" s="47">
        <f t="shared" si="71"/>
        <v>3.4</v>
      </c>
      <c r="V76" s="47">
        <f t="shared" si="71"/>
        <v>5.7</v>
      </c>
      <c r="W76" s="47" t="str">
        <f t="shared" si="71"/>
        <v>0.0</v>
      </c>
      <c r="X76" s="47" t="str">
        <f t="shared" si="71"/>
        <v>0.0</v>
      </c>
      <c r="Y76" s="47">
        <f t="shared" si="71"/>
        <v>4.3</v>
      </c>
      <c r="Z76" s="47" t="str">
        <f t="shared" si="71"/>
        <v>0.0</v>
      </c>
      <c r="AA76" s="47" t="str">
        <f t="shared" si="71"/>
        <v>0.0</v>
      </c>
      <c r="AB76" s="47" t="str">
        <f t="shared" si="71"/>
        <v>0.0</v>
      </c>
      <c r="AC76" s="47">
        <f t="shared" si="71"/>
        <v>4</v>
      </c>
      <c r="AD76" s="47" t="str">
        <f t="shared" si="72"/>
        <v>0.0</v>
      </c>
      <c r="AE76" s="47" t="str">
        <f t="shared" si="72"/>
        <v>0.0</v>
      </c>
      <c r="AF76" s="47">
        <f t="shared" si="72"/>
        <v>5.3</v>
      </c>
      <c r="AG76" s="47" t="str">
        <f t="shared" si="72"/>
        <v>0.0</v>
      </c>
      <c r="AH76" s="47">
        <f t="shared" si="72"/>
        <v>2.9</v>
      </c>
      <c r="AI76" s="47" t="str">
        <f t="shared" si="72"/>
        <v>0.0</v>
      </c>
      <c r="AJ76" s="47" t="str">
        <f t="shared" si="72"/>
        <v>0.0</v>
      </c>
      <c r="AK76" s="47" t="str">
        <f t="shared" si="72"/>
        <v>0.0</v>
      </c>
      <c r="AL76" s="47" t="str">
        <f t="shared" si="72"/>
        <v>0.0</v>
      </c>
      <c r="AM76" s="47">
        <f t="shared" si="72"/>
        <v>4.8</v>
      </c>
      <c r="BJ76" s="480"/>
      <c r="BK76" s="512"/>
      <c r="BL76" s="512"/>
      <c r="BM76" s="512"/>
      <c r="BN76" s="512"/>
      <c r="BO76" s="512"/>
      <c r="BP76" s="512"/>
      <c r="BQ76" s="512"/>
      <c r="BR76" s="512"/>
      <c r="BS76" s="512"/>
      <c r="BT76" s="512"/>
      <c r="BU76" s="512"/>
      <c r="BV76" s="512"/>
      <c r="BW76" s="512"/>
      <c r="BX76" s="512"/>
      <c r="BY76" s="512"/>
      <c r="BZ76" s="512"/>
      <c r="CA76" s="512"/>
      <c r="CB76" s="512"/>
      <c r="CC76" s="512"/>
      <c r="CD76" s="512"/>
      <c r="CE76" s="512"/>
      <c r="CF76" s="512"/>
      <c r="CG76" s="512"/>
      <c r="CH76" s="512"/>
    </row>
    <row r="77" spans="2:86" x14ac:dyDescent="0.2">
      <c r="B77" s="5"/>
      <c r="C77" s="71"/>
      <c r="D77" s="71"/>
      <c r="E77" s="71"/>
      <c r="F77" s="71"/>
      <c r="G77" s="71"/>
      <c r="H77" s="71"/>
      <c r="I77" s="71"/>
      <c r="J77" s="71"/>
      <c r="K77" s="71"/>
      <c r="L77" s="71"/>
      <c r="P77" s="28"/>
      <c r="Q77" s="28"/>
      <c r="R77" s="26"/>
      <c r="S77" s="26"/>
      <c r="T77" s="128"/>
      <c r="U77" s="128"/>
      <c r="V77" s="128"/>
      <c r="W77" s="128"/>
      <c r="X77" s="128"/>
      <c r="Y77" s="128"/>
      <c r="Z77" s="128"/>
      <c r="AA77" s="128"/>
      <c r="AB77" s="128"/>
      <c r="AC77" s="128"/>
      <c r="AD77" s="128"/>
      <c r="AE77" s="128"/>
      <c r="AF77" s="128"/>
      <c r="AG77" s="128"/>
      <c r="AH77" s="128"/>
      <c r="AI77" s="128"/>
      <c r="AJ77" s="128"/>
      <c r="AK77" s="128"/>
      <c r="AL77" s="128"/>
      <c r="AM77" s="128"/>
      <c r="BJ77" s="480"/>
      <c r="BK77" s="512" t="s">
        <v>8</v>
      </c>
      <c r="BL77" s="512" t="s">
        <v>24</v>
      </c>
      <c r="BM77" s="512" t="s">
        <v>43</v>
      </c>
      <c r="BN77" s="512" t="s">
        <v>51</v>
      </c>
      <c r="BO77" s="518">
        <f t="shared" ref="BO77:CH77" si="80">IF($BJ23,IFERROR(VLOOKUP(BO$22&amp;"Female"&amp;"AllEth"&amp;23&amp;$BM77,Methodstable,9,FALSE),"0.0"),NA())</f>
        <v>32.4</v>
      </c>
      <c r="BP77" s="518">
        <f t="shared" si="80"/>
        <v>23.6</v>
      </c>
      <c r="BQ77" s="518">
        <f t="shared" si="80"/>
        <v>59.3</v>
      </c>
      <c r="BR77" s="518">
        <f t="shared" si="80"/>
        <v>32.700000000000003</v>
      </c>
      <c r="BS77" s="518">
        <f t="shared" si="80"/>
        <v>34.200000000000003</v>
      </c>
      <c r="BT77" s="518">
        <f t="shared" si="80"/>
        <v>40</v>
      </c>
      <c r="BU77" s="518">
        <f t="shared" si="80"/>
        <v>34</v>
      </c>
      <c r="BV77" s="518">
        <f t="shared" si="80"/>
        <v>42.6</v>
      </c>
      <c r="BW77" s="518">
        <f t="shared" si="80"/>
        <v>37.5</v>
      </c>
      <c r="BX77" s="518">
        <f t="shared" si="80"/>
        <v>46.6</v>
      </c>
      <c r="BY77" s="518">
        <f t="shared" si="80"/>
        <v>51.7</v>
      </c>
      <c r="BZ77" s="518">
        <f t="shared" si="80"/>
        <v>35.4</v>
      </c>
      <c r="CA77" s="518">
        <f t="shared" si="80"/>
        <v>59.2</v>
      </c>
      <c r="CB77" s="518">
        <f t="shared" si="80"/>
        <v>43.9</v>
      </c>
      <c r="CC77" s="518">
        <f t="shared" si="80"/>
        <v>52.8</v>
      </c>
      <c r="CD77" s="518">
        <f t="shared" si="80"/>
        <v>60.6</v>
      </c>
      <c r="CE77" s="518">
        <f t="shared" si="80"/>
        <v>48.8</v>
      </c>
      <c r="CF77" s="518">
        <f t="shared" si="80"/>
        <v>63.8</v>
      </c>
      <c r="CG77" s="518">
        <f t="shared" si="80"/>
        <v>75.5</v>
      </c>
      <c r="CH77" s="518">
        <f t="shared" si="80"/>
        <v>71.400000000000006</v>
      </c>
    </row>
    <row r="78" spans="2:86" x14ac:dyDescent="0.2">
      <c r="B78" s="5"/>
      <c r="C78" s="71"/>
      <c r="D78" s="71"/>
      <c r="E78" s="71"/>
      <c r="F78" s="71"/>
      <c r="G78" s="71"/>
      <c r="H78" s="71"/>
      <c r="I78" s="71"/>
      <c r="J78" s="71"/>
      <c r="K78" s="71"/>
      <c r="L78" s="71"/>
      <c r="P78" s="25" t="s">
        <v>8</v>
      </c>
      <c r="Q78" s="25" t="s">
        <v>35</v>
      </c>
      <c r="R78" s="24" t="s">
        <v>43</v>
      </c>
      <c r="S78" s="24" t="s">
        <v>366</v>
      </c>
      <c r="T78" s="47">
        <f t="shared" ref="T78:AM78" si="81">IFERROR(VLOOKUP(T$13&amp;"Female"&amp;"AllEth"&amp;23&amp;$R69,Methodstable,9,FALSE),"0.0")</f>
        <v>32.4</v>
      </c>
      <c r="U78" s="47">
        <f t="shared" si="81"/>
        <v>23.6</v>
      </c>
      <c r="V78" s="47">
        <f t="shared" si="81"/>
        <v>59.3</v>
      </c>
      <c r="W78" s="47">
        <f t="shared" si="81"/>
        <v>32.700000000000003</v>
      </c>
      <c r="X78" s="47">
        <f t="shared" si="81"/>
        <v>34.200000000000003</v>
      </c>
      <c r="Y78" s="47">
        <f t="shared" si="81"/>
        <v>40</v>
      </c>
      <c r="Z78" s="47">
        <f t="shared" si="81"/>
        <v>34</v>
      </c>
      <c r="AA78" s="47">
        <f t="shared" si="81"/>
        <v>42.6</v>
      </c>
      <c r="AB78" s="47">
        <f t="shared" si="81"/>
        <v>37.5</v>
      </c>
      <c r="AC78" s="47">
        <f t="shared" si="81"/>
        <v>46.6</v>
      </c>
      <c r="AD78" s="47">
        <f t="shared" si="81"/>
        <v>51.7</v>
      </c>
      <c r="AE78" s="47">
        <f t="shared" si="81"/>
        <v>35.4</v>
      </c>
      <c r="AF78" s="47">
        <f t="shared" si="81"/>
        <v>59.2</v>
      </c>
      <c r="AG78" s="47">
        <f t="shared" si="81"/>
        <v>43.9</v>
      </c>
      <c r="AH78" s="47">
        <f t="shared" si="81"/>
        <v>52.8</v>
      </c>
      <c r="AI78" s="47">
        <f t="shared" si="81"/>
        <v>60.6</v>
      </c>
      <c r="AJ78" s="47">
        <f t="shared" si="81"/>
        <v>48.8</v>
      </c>
      <c r="AK78" s="47">
        <f t="shared" si="81"/>
        <v>63.8</v>
      </c>
      <c r="AL78" s="47">
        <f t="shared" si="81"/>
        <v>75.5</v>
      </c>
      <c r="AM78" s="47">
        <f t="shared" si="81"/>
        <v>71.400000000000006</v>
      </c>
      <c r="BJ78" s="480"/>
      <c r="BK78" s="512"/>
      <c r="BL78" s="512"/>
      <c r="BM78" s="512" t="s">
        <v>46</v>
      </c>
      <c r="BN78" s="512" t="s">
        <v>51</v>
      </c>
      <c r="BO78" s="518">
        <f t="shared" ref="BO78:CH78" si="82">IF($BJ24,IFERROR(VLOOKUP(BO$22&amp;"Female"&amp;"AllEth"&amp;23&amp;$BM78,Methodstable,9,FALSE),"0.0"),NA())</f>
        <v>32.4</v>
      </c>
      <c r="BP78" s="518">
        <f t="shared" si="82"/>
        <v>32.700000000000003</v>
      </c>
      <c r="BQ78" s="518">
        <f t="shared" si="82"/>
        <v>14.8</v>
      </c>
      <c r="BR78" s="518">
        <f t="shared" si="82"/>
        <v>25.5</v>
      </c>
      <c r="BS78" s="518">
        <f t="shared" si="82"/>
        <v>23.7</v>
      </c>
      <c r="BT78" s="518">
        <f t="shared" si="82"/>
        <v>24</v>
      </c>
      <c r="BU78" s="518">
        <f t="shared" si="82"/>
        <v>25.5</v>
      </c>
      <c r="BV78" s="518">
        <f t="shared" si="82"/>
        <v>24.1</v>
      </c>
      <c r="BW78" s="518">
        <f t="shared" si="82"/>
        <v>22.5</v>
      </c>
      <c r="BX78" s="518">
        <f t="shared" si="82"/>
        <v>19</v>
      </c>
      <c r="BY78" s="518">
        <f t="shared" si="82"/>
        <v>15</v>
      </c>
      <c r="BZ78" s="518">
        <f t="shared" si="82"/>
        <v>20.8</v>
      </c>
      <c r="CA78" s="518">
        <f t="shared" si="82"/>
        <v>12.2</v>
      </c>
      <c r="CB78" s="518">
        <f t="shared" si="82"/>
        <v>14.6</v>
      </c>
      <c r="CC78" s="518">
        <f t="shared" si="82"/>
        <v>9.4</v>
      </c>
      <c r="CD78" s="518">
        <f t="shared" si="82"/>
        <v>9.1</v>
      </c>
      <c r="CE78" s="518">
        <f t="shared" si="82"/>
        <v>7</v>
      </c>
      <c r="CF78" s="518">
        <f t="shared" si="82"/>
        <v>6.4</v>
      </c>
      <c r="CG78" s="518" t="str">
        <f t="shared" si="82"/>
        <v>0.0</v>
      </c>
      <c r="CH78" s="518" t="str">
        <f t="shared" si="82"/>
        <v>0.0</v>
      </c>
    </row>
    <row r="79" spans="2:86" x14ac:dyDescent="0.2">
      <c r="B79" s="5"/>
      <c r="C79" s="71"/>
      <c r="D79" s="71"/>
      <c r="E79" s="71"/>
      <c r="F79" s="71"/>
      <c r="G79" s="71"/>
      <c r="H79" s="71"/>
      <c r="I79" s="71"/>
      <c r="J79" s="71"/>
      <c r="K79" s="71"/>
      <c r="L79" s="71"/>
      <c r="P79" s="25"/>
      <c r="Q79" s="25"/>
      <c r="R79" s="24" t="s">
        <v>46</v>
      </c>
      <c r="S79" s="24"/>
      <c r="T79" s="47">
        <f t="shared" ref="T79:AM79" si="83">IFERROR(VLOOKUP(T$13&amp;"Female"&amp;"AllEth"&amp;23&amp;$R70,Methodstable,9,FALSE),"0.0")</f>
        <v>32.4</v>
      </c>
      <c r="U79" s="47">
        <f t="shared" si="83"/>
        <v>32.700000000000003</v>
      </c>
      <c r="V79" s="47">
        <f t="shared" si="83"/>
        <v>14.8</v>
      </c>
      <c r="W79" s="47">
        <f t="shared" si="83"/>
        <v>25.5</v>
      </c>
      <c r="X79" s="47">
        <f t="shared" si="83"/>
        <v>23.7</v>
      </c>
      <c r="Y79" s="47">
        <f t="shared" si="83"/>
        <v>24</v>
      </c>
      <c r="Z79" s="47">
        <f t="shared" si="83"/>
        <v>25.5</v>
      </c>
      <c r="AA79" s="47">
        <f t="shared" si="83"/>
        <v>24.1</v>
      </c>
      <c r="AB79" s="47">
        <f t="shared" si="83"/>
        <v>22.5</v>
      </c>
      <c r="AC79" s="47">
        <f t="shared" si="83"/>
        <v>19</v>
      </c>
      <c r="AD79" s="47">
        <f t="shared" si="83"/>
        <v>15</v>
      </c>
      <c r="AE79" s="47">
        <f t="shared" si="83"/>
        <v>20.8</v>
      </c>
      <c r="AF79" s="47">
        <f t="shared" si="83"/>
        <v>12.2</v>
      </c>
      <c r="AG79" s="47">
        <f t="shared" si="83"/>
        <v>14.6</v>
      </c>
      <c r="AH79" s="47">
        <f t="shared" si="83"/>
        <v>9.4</v>
      </c>
      <c r="AI79" s="47">
        <f t="shared" si="83"/>
        <v>9.1</v>
      </c>
      <c r="AJ79" s="47">
        <f t="shared" si="83"/>
        <v>7</v>
      </c>
      <c r="AK79" s="47">
        <f t="shared" si="83"/>
        <v>6.4</v>
      </c>
      <c r="AL79" s="47" t="str">
        <f t="shared" si="83"/>
        <v>0.0</v>
      </c>
      <c r="AM79" s="47" t="str">
        <f t="shared" si="83"/>
        <v>0.0</v>
      </c>
      <c r="BJ79" s="480"/>
      <c r="BK79" s="512"/>
      <c r="BL79" s="512"/>
      <c r="BM79" s="512" t="s">
        <v>47</v>
      </c>
      <c r="BN79" s="512" t="s">
        <v>51</v>
      </c>
      <c r="BO79" s="518">
        <f t="shared" ref="BO79:CH79" si="84">IF($BJ25,IFERROR(VLOOKUP(BO$22&amp;"Female"&amp;"AllEth"&amp;23&amp;$BM79,Methodstable,9,FALSE),"0.0"),NA())</f>
        <v>26.5</v>
      </c>
      <c r="BP79" s="518">
        <f t="shared" si="84"/>
        <v>27.3</v>
      </c>
      <c r="BQ79" s="518">
        <f t="shared" si="84"/>
        <v>14.8</v>
      </c>
      <c r="BR79" s="518">
        <f t="shared" si="84"/>
        <v>25.5</v>
      </c>
      <c r="BS79" s="518">
        <f t="shared" si="84"/>
        <v>26.3</v>
      </c>
      <c r="BT79" s="518">
        <f t="shared" si="84"/>
        <v>18</v>
      </c>
      <c r="BU79" s="518">
        <f t="shared" si="84"/>
        <v>21.3</v>
      </c>
      <c r="BV79" s="518">
        <f t="shared" si="84"/>
        <v>20.399999999999999</v>
      </c>
      <c r="BW79" s="518">
        <f t="shared" si="84"/>
        <v>22.5</v>
      </c>
      <c r="BX79" s="518">
        <f t="shared" si="84"/>
        <v>20.7</v>
      </c>
      <c r="BY79" s="518">
        <f t="shared" si="84"/>
        <v>20</v>
      </c>
      <c r="BZ79" s="518">
        <f t="shared" si="84"/>
        <v>27.1</v>
      </c>
      <c r="CA79" s="518">
        <f t="shared" si="84"/>
        <v>22.4</v>
      </c>
      <c r="CB79" s="518">
        <f t="shared" si="84"/>
        <v>24.4</v>
      </c>
      <c r="CC79" s="518">
        <f t="shared" si="84"/>
        <v>26.4</v>
      </c>
      <c r="CD79" s="518">
        <f t="shared" si="84"/>
        <v>12.1</v>
      </c>
      <c r="CE79" s="518">
        <f t="shared" si="84"/>
        <v>30.2</v>
      </c>
      <c r="CF79" s="518">
        <f t="shared" si="84"/>
        <v>19.100000000000001</v>
      </c>
      <c r="CG79" s="518">
        <f t="shared" si="84"/>
        <v>18.399999999999999</v>
      </c>
      <c r="CH79" s="518">
        <f t="shared" si="84"/>
        <v>22.9</v>
      </c>
    </row>
    <row r="80" spans="2:86" x14ac:dyDescent="0.2">
      <c r="B80" s="5"/>
      <c r="C80" s="71"/>
      <c r="D80" s="71"/>
      <c r="E80" s="71"/>
      <c r="F80" s="71"/>
      <c r="G80" s="71"/>
      <c r="H80" s="71"/>
      <c r="I80" s="71"/>
      <c r="J80" s="71"/>
      <c r="K80" s="71"/>
      <c r="L80" s="71"/>
      <c r="P80" s="25"/>
      <c r="Q80" s="25"/>
      <c r="R80" s="24" t="s">
        <v>47</v>
      </c>
      <c r="S80" s="24"/>
      <c r="T80" s="47">
        <f t="shared" ref="T80:AM80" si="85">IFERROR(VLOOKUP(T$13&amp;"Female"&amp;"AllEth"&amp;23&amp;$R71,Methodstable,9,FALSE),"0.0")</f>
        <v>26.5</v>
      </c>
      <c r="U80" s="47">
        <f t="shared" si="85"/>
        <v>27.3</v>
      </c>
      <c r="V80" s="47">
        <f t="shared" si="85"/>
        <v>14.8</v>
      </c>
      <c r="W80" s="47">
        <f t="shared" si="85"/>
        <v>25.5</v>
      </c>
      <c r="X80" s="47">
        <f t="shared" si="85"/>
        <v>26.3</v>
      </c>
      <c r="Y80" s="47">
        <f t="shared" si="85"/>
        <v>18</v>
      </c>
      <c r="Z80" s="47">
        <f t="shared" si="85"/>
        <v>21.3</v>
      </c>
      <c r="AA80" s="47">
        <f t="shared" si="85"/>
        <v>20.399999999999999</v>
      </c>
      <c r="AB80" s="47">
        <f t="shared" si="85"/>
        <v>22.5</v>
      </c>
      <c r="AC80" s="47">
        <f t="shared" si="85"/>
        <v>20.7</v>
      </c>
      <c r="AD80" s="47">
        <f t="shared" si="85"/>
        <v>20</v>
      </c>
      <c r="AE80" s="47">
        <f t="shared" si="85"/>
        <v>27.1</v>
      </c>
      <c r="AF80" s="47">
        <f t="shared" si="85"/>
        <v>22.4</v>
      </c>
      <c r="AG80" s="47">
        <f t="shared" si="85"/>
        <v>24.4</v>
      </c>
      <c r="AH80" s="47">
        <f t="shared" si="85"/>
        <v>26.4</v>
      </c>
      <c r="AI80" s="47">
        <f t="shared" si="85"/>
        <v>12.1</v>
      </c>
      <c r="AJ80" s="47">
        <f t="shared" si="85"/>
        <v>30.2</v>
      </c>
      <c r="AK80" s="47">
        <f t="shared" si="85"/>
        <v>19.100000000000001</v>
      </c>
      <c r="AL80" s="47">
        <f t="shared" si="85"/>
        <v>18.399999999999999</v>
      </c>
      <c r="AM80" s="47">
        <f t="shared" si="85"/>
        <v>22.9</v>
      </c>
      <c r="BJ80" s="480"/>
      <c r="BK80" s="512"/>
      <c r="BL80" s="512"/>
      <c r="BM80" s="512" t="s">
        <v>42</v>
      </c>
      <c r="BN80" s="512" t="s">
        <v>51</v>
      </c>
      <c r="BO80" s="518">
        <f t="shared" ref="BO80:CH80" si="86">IF($BJ26,IFERROR(VLOOKUP(BO$22&amp;"Female"&amp;"AllEth"&amp;23&amp;$BM80,Methodstable,9,FALSE),"0.0"),NA())</f>
        <v>2.9</v>
      </c>
      <c r="BP80" s="518">
        <f t="shared" si="86"/>
        <v>3.6</v>
      </c>
      <c r="BQ80" s="518" t="str">
        <f t="shared" si="86"/>
        <v>0.0</v>
      </c>
      <c r="BR80" s="518">
        <f t="shared" si="86"/>
        <v>3.6</v>
      </c>
      <c r="BS80" s="518">
        <f t="shared" si="86"/>
        <v>2.6</v>
      </c>
      <c r="BT80" s="518">
        <f t="shared" si="86"/>
        <v>2</v>
      </c>
      <c r="BU80" s="518">
        <f t="shared" si="86"/>
        <v>4.3</v>
      </c>
      <c r="BV80" s="518" t="str">
        <f t="shared" si="86"/>
        <v>0.0</v>
      </c>
      <c r="BW80" s="518">
        <f t="shared" si="86"/>
        <v>2.5</v>
      </c>
      <c r="BX80" s="518" t="str">
        <f t="shared" si="86"/>
        <v>0.0</v>
      </c>
      <c r="BY80" s="518">
        <f t="shared" si="86"/>
        <v>3.3</v>
      </c>
      <c r="BZ80" s="518">
        <f t="shared" si="86"/>
        <v>6.2</v>
      </c>
      <c r="CA80" s="518">
        <f t="shared" si="86"/>
        <v>2</v>
      </c>
      <c r="CB80" s="518" t="str">
        <f t="shared" si="86"/>
        <v>0.0</v>
      </c>
      <c r="CC80" s="518">
        <f t="shared" si="86"/>
        <v>1.9</v>
      </c>
      <c r="CD80" s="518" t="str">
        <f t="shared" si="86"/>
        <v>0.0</v>
      </c>
      <c r="CE80" s="518">
        <f t="shared" si="86"/>
        <v>2.2999999999999998</v>
      </c>
      <c r="CF80" s="518" t="str">
        <f t="shared" si="86"/>
        <v>0.0</v>
      </c>
      <c r="CG80" s="518">
        <f t="shared" si="86"/>
        <v>2</v>
      </c>
      <c r="CH80" s="518">
        <f t="shared" si="86"/>
        <v>2.9</v>
      </c>
    </row>
    <row r="81" spans="2:86" x14ac:dyDescent="0.2">
      <c r="B81" s="5"/>
      <c r="C81" s="71"/>
      <c r="D81" s="71"/>
      <c r="E81" s="71"/>
      <c r="F81" s="71"/>
      <c r="G81" s="71"/>
      <c r="H81" s="71"/>
      <c r="I81" s="71"/>
      <c r="J81" s="71"/>
      <c r="K81" s="71"/>
      <c r="L81" s="71"/>
      <c r="P81" s="25"/>
      <c r="Q81" s="25"/>
      <c r="R81" s="24" t="s">
        <v>42</v>
      </c>
      <c r="S81" s="24"/>
      <c r="T81" s="47">
        <f t="shared" ref="T81:AM81" si="87">IFERROR(VLOOKUP(T$13&amp;"Female"&amp;"AllEth"&amp;23&amp;$R72,Methodstable,9,FALSE),"0.0")</f>
        <v>2.9</v>
      </c>
      <c r="U81" s="47">
        <f t="shared" si="87"/>
        <v>3.6</v>
      </c>
      <c r="V81" s="47" t="str">
        <f t="shared" si="87"/>
        <v>0.0</v>
      </c>
      <c r="W81" s="47">
        <f t="shared" si="87"/>
        <v>3.6</v>
      </c>
      <c r="X81" s="47">
        <f t="shared" si="87"/>
        <v>2.6</v>
      </c>
      <c r="Y81" s="47">
        <f t="shared" si="87"/>
        <v>2</v>
      </c>
      <c r="Z81" s="47">
        <f t="shared" si="87"/>
        <v>4.3</v>
      </c>
      <c r="AA81" s="47" t="str">
        <f t="shared" si="87"/>
        <v>0.0</v>
      </c>
      <c r="AB81" s="47">
        <f t="shared" si="87"/>
        <v>2.5</v>
      </c>
      <c r="AC81" s="47" t="str">
        <f t="shared" si="87"/>
        <v>0.0</v>
      </c>
      <c r="AD81" s="47">
        <f t="shared" si="87"/>
        <v>3.3</v>
      </c>
      <c r="AE81" s="47">
        <f t="shared" si="87"/>
        <v>6.2</v>
      </c>
      <c r="AF81" s="47">
        <f t="shared" si="87"/>
        <v>2</v>
      </c>
      <c r="AG81" s="47" t="str">
        <f t="shared" si="87"/>
        <v>0.0</v>
      </c>
      <c r="AH81" s="47">
        <f t="shared" si="87"/>
        <v>1.9</v>
      </c>
      <c r="AI81" s="47" t="str">
        <f t="shared" si="87"/>
        <v>0.0</v>
      </c>
      <c r="AJ81" s="47">
        <f t="shared" si="87"/>
        <v>2.2999999999999998</v>
      </c>
      <c r="AK81" s="47" t="str">
        <f t="shared" si="87"/>
        <v>0.0</v>
      </c>
      <c r="AL81" s="47">
        <f t="shared" si="87"/>
        <v>2</v>
      </c>
      <c r="AM81" s="47">
        <f t="shared" si="87"/>
        <v>2.9</v>
      </c>
      <c r="BJ81" s="480"/>
      <c r="BK81" s="512"/>
      <c r="BL81" s="512"/>
      <c r="BM81" s="512" t="s">
        <v>44</v>
      </c>
      <c r="BN81" s="512" t="s">
        <v>51</v>
      </c>
      <c r="BO81" s="518" t="e">
        <f t="shared" ref="BO81:CH81" si="88">IF($BJ27,IFERROR(VLOOKUP(BO$22&amp;"Female"&amp;"AllEth"&amp;23&amp;$BM81,Methodstable,9,FALSE),"0.0"),NA())</f>
        <v>#N/A</v>
      </c>
      <c r="BP81" s="518" t="e">
        <f t="shared" si="88"/>
        <v>#N/A</v>
      </c>
      <c r="BQ81" s="518" t="e">
        <f t="shared" si="88"/>
        <v>#N/A</v>
      </c>
      <c r="BR81" s="518" t="e">
        <f t="shared" si="88"/>
        <v>#N/A</v>
      </c>
      <c r="BS81" s="518" t="e">
        <f t="shared" si="88"/>
        <v>#N/A</v>
      </c>
      <c r="BT81" s="518" t="e">
        <f t="shared" si="88"/>
        <v>#N/A</v>
      </c>
      <c r="BU81" s="518" t="e">
        <f t="shared" si="88"/>
        <v>#N/A</v>
      </c>
      <c r="BV81" s="518" t="e">
        <f t="shared" si="88"/>
        <v>#N/A</v>
      </c>
      <c r="BW81" s="518" t="e">
        <f t="shared" si="88"/>
        <v>#N/A</v>
      </c>
      <c r="BX81" s="518" t="e">
        <f t="shared" si="88"/>
        <v>#N/A</v>
      </c>
      <c r="BY81" s="518" t="e">
        <f t="shared" si="88"/>
        <v>#N/A</v>
      </c>
      <c r="BZ81" s="518" t="e">
        <f t="shared" si="88"/>
        <v>#N/A</v>
      </c>
      <c r="CA81" s="518" t="e">
        <f t="shared" si="88"/>
        <v>#N/A</v>
      </c>
      <c r="CB81" s="518" t="e">
        <f t="shared" si="88"/>
        <v>#N/A</v>
      </c>
      <c r="CC81" s="518" t="e">
        <f t="shared" si="88"/>
        <v>#N/A</v>
      </c>
      <c r="CD81" s="518" t="e">
        <f t="shared" si="88"/>
        <v>#N/A</v>
      </c>
      <c r="CE81" s="518" t="e">
        <f t="shared" si="88"/>
        <v>#N/A</v>
      </c>
      <c r="CF81" s="518" t="e">
        <f t="shared" si="88"/>
        <v>#N/A</v>
      </c>
      <c r="CG81" s="518" t="e">
        <f t="shared" si="88"/>
        <v>#N/A</v>
      </c>
      <c r="CH81" s="518" t="e">
        <f t="shared" si="88"/>
        <v>#N/A</v>
      </c>
    </row>
    <row r="82" spans="2:86" x14ac:dyDescent="0.2">
      <c r="B82" s="5"/>
      <c r="C82" s="71"/>
      <c r="D82" s="71"/>
      <c r="E82" s="71"/>
      <c r="F82" s="71"/>
      <c r="G82" s="71"/>
      <c r="H82" s="71"/>
      <c r="I82" s="71"/>
      <c r="J82" s="71"/>
      <c r="K82" s="71"/>
      <c r="L82" s="71"/>
      <c r="P82" s="25"/>
      <c r="Q82" s="25"/>
      <c r="R82" s="24" t="s">
        <v>44</v>
      </c>
      <c r="S82" s="24"/>
      <c r="T82" s="47" t="str">
        <f t="shared" ref="T82:AM82" si="89">IFERROR(VLOOKUP(T$13&amp;"Female"&amp;"AllEth"&amp;23&amp;$R73,Methodstable,9,FALSE),"0.0")</f>
        <v>0.0</v>
      </c>
      <c r="U82" s="47">
        <f t="shared" si="89"/>
        <v>3.6</v>
      </c>
      <c r="V82" s="47">
        <f t="shared" si="89"/>
        <v>5.6</v>
      </c>
      <c r="W82" s="47">
        <f t="shared" si="89"/>
        <v>1.8</v>
      </c>
      <c r="X82" s="47">
        <f t="shared" si="89"/>
        <v>2.6</v>
      </c>
      <c r="Y82" s="47">
        <f t="shared" si="89"/>
        <v>8</v>
      </c>
      <c r="Z82" s="47">
        <f t="shared" si="89"/>
        <v>10.6</v>
      </c>
      <c r="AA82" s="47">
        <f t="shared" si="89"/>
        <v>3.7</v>
      </c>
      <c r="AB82" s="47">
        <f t="shared" si="89"/>
        <v>2.5</v>
      </c>
      <c r="AC82" s="47">
        <f t="shared" si="89"/>
        <v>5.2</v>
      </c>
      <c r="AD82" s="47">
        <f t="shared" si="89"/>
        <v>3.3</v>
      </c>
      <c r="AE82" s="47">
        <f t="shared" si="89"/>
        <v>4.2</v>
      </c>
      <c r="AF82" s="47">
        <f t="shared" si="89"/>
        <v>2</v>
      </c>
      <c r="AG82" s="47">
        <f t="shared" si="89"/>
        <v>4.9000000000000004</v>
      </c>
      <c r="AH82" s="47">
        <f t="shared" si="89"/>
        <v>3.8</v>
      </c>
      <c r="AI82" s="47">
        <f t="shared" si="89"/>
        <v>3</v>
      </c>
      <c r="AJ82" s="47">
        <f t="shared" si="89"/>
        <v>4.7</v>
      </c>
      <c r="AK82" s="47">
        <f t="shared" si="89"/>
        <v>2.1</v>
      </c>
      <c r="AL82" s="47" t="str">
        <f t="shared" si="89"/>
        <v>0.0</v>
      </c>
      <c r="AM82" s="47">
        <f t="shared" si="89"/>
        <v>2.9</v>
      </c>
      <c r="BJ82" s="480"/>
      <c r="BK82" s="512"/>
      <c r="BL82" s="512"/>
      <c r="BM82" s="512" t="s">
        <v>49</v>
      </c>
      <c r="BN82" s="512" t="s">
        <v>51</v>
      </c>
      <c r="BO82" s="518" t="e">
        <f t="shared" ref="BO82:CH82" si="90">IF($BJ28,IFERROR(VLOOKUP(BO$22&amp;"Female"&amp;"AllEth"&amp;23&amp;$BM82,Methodstable,9,FALSE),"0.0"),NA())</f>
        <v>#N/A</v>
      </c>
      <c r="BP82" s="518" t="e">
        <f t="shared" si="90"/>
        <v>#N/A</v>
      </c>
      <c r="BQ82" s="518" t="e">
        <f t="shared" si="90"/>
        <v>#N/A</v>
      </c>
      <c r="BR82" s="518" t="e">
        <f t="shared" si="90"/>
        <v>#N/A</v>
      </c>
      <c r="BS82" s="518" t="e">
        <f t="shared" si="90"/>
        <v>#N/A</v>
      </c>
      <c r="BT82" s="518" t="e">
        <f t="shared" si="90"/>
        <v>#N/A</v>
      </c>
      <c r="BU82" s="518" t="e">
        <f t="shared" si="90"/>
        <v>#N/A</v>
      </c>
      <c r="BV82" s="518" t="e">
        <f t="shared" si="90"/>
        <v>#N/A</v>
      </c>
      <c r="BW82" s="518" t="e">
        <f t="shared" si="90"/>
        <v>#N/A</v>
      </c>
      <c r="BX82" s="518" t="e">
        <f t="shared" si="90"/>
        <v>#N/A</v>
      </c>
      <c r="BY82" s="518" t="e">
        <f t="shared" si="90"/>
        <v>#N/A</v>
      </c>
      <c r="BZ82" s="518" t="e">
        <f t="shared" si="90"/>
        <v>#N/A</v>
      </c>
      <c r="CA82" s="518" t="e">
        <f t="shared" si="90"/>
        <v>#N/A</v>
      </c>
      <c r="CB82" s="518" t="e">
        <f t="shared" si="90"/>
        <v>#N/A</v>
      </c>
      <c r="CC82" s="518" t="e">
        <f t="shared" si="90"/>
        <v>#N/A</v>
      </c>
      <c r="CD82" s="518" t="e">
        <f t="shared" si="90"/>
        <v>#N/A</v>
      </c>
      <c r="CE82" s="518" t="e">
        <f t="shared" si="90"/>
        <v>#N/A</v>
      </c>
      <c r="CF82" s="518" t="e">
        <f t="shared" si="90"/>
        <v>#N/A</v>
      </c>
      <c r="CG82" s="518" t="e">
        <f t="shared" si="90"/>
        <v>#N/A</v>
      </c>
      <c r="CH82" s="518" t="e">
        <f t="shared" si="90"/>
        <v>#N/A</v>
      </c>
    </row>
    <row r="83" spans="2:86" x14ac:dyDescent="0.2">
      <c r="B83" s="5"/>
      <c r="C83" s="71"/>
      <c r="D83" s="71"/>
      <c r="E83" s="71"/>
      <c r="F83" s="71"/>
      <c r="G83" s="71"/>
      <c r="H83" s="71"/>
      <c r="I83" s="71"/>
      <c r="J83" s="71"/>
      <c r="K83" s="71"/>
      <c r="L83" s="71"/>
      <c r="P83" s="25"/>
      <c r="Q83" s="25"/>
      <c r="R83" s="24" t="s">
        <v>49</v>
      </c>
      <c r="S83" s="24"/>
      <c r="T83" s="47" t="str">
        <f t="shared" ref="T83:AM83" si="91">IFERROR(VLOOKUP(T$13&amp;"Female"&amp;"AllEth"&amp;23&amp;$R74,Methodstable,9,FALSE),"0.0")</f>
        <v>0.0</v>
      </c>
      <c r="U83" s="47">
        <f t="shared" si="91"/>
        <v>3.6</v>
      </c>
      <c r="V83" s="47">
        <f t="shared" si="91"/>
        <v>1.9</v>
      </c>
      <c r="W83" s="47">
        <f t="shared" si="91"/>
        <v>1.8</v>
      </c>
      <c r="X83" s="47">
        <f t="shared" si="91"/>
        <v>5.3</v>
      </c>
      <c r="Y83" s="47" t="str">
        <f t="shared" si="91"/>
        <v>0.0</v>
      </c>
      <c r="Z83" s="47">
        <f t="shared" si="91"/>
        <v>2.1</v>
      </c>
      <c r="AA83" s="47">
        <f t="shared" si="91"/>
        <v>5.6</v>
      </c>
      <c r="AB83" s="47">
        <f t="shared" si="91"/>
        <v>2.5</v>
      </c>
      <c r="AC83" s="47">
        <f t="shared" si="91"/>
        <v>3.4</v>
      </c>
      <c r="AD83" s="47" t="str">
        <f t="shared" si="91"/>
        <v>0.0</v>
      </c>
      <c r="AE83" s="47">
        <f t="shared" si="91"/>
        <v>6.2</v>
      </c>
      <c r="AF83" s="47">
        <f t="shared" si="91"/>
        <v>2</v>
      </c>
      <c r="AG83" s="47">
        <f t="shared" si="91"/>
        <v>2.4</v>
      </c>
      <c r="AH83" s="47">
        <f t="shared" si="91"/>
        <v>1.9</v>
      </c>
      <c r="AI83" s="47">
        <f t="shared" si="91"/>
        <v>3</v>
      </c>
      <c r="AJ83" s="47">
        <f t="shared" si="91"/>
        <v>2.2999999999999998</v>
      </c>
      <c r="AK83" s="47">
        <f t="shared" si="91"/>
        <v>2.1</v>
      </c>
      <c r="AL83" s="47">
        <f t="shared" si="91"/>
        <v>2</v>
      </c>
      <c r="AM83" s="47" t="str">
        <f t="shared" si="91"/>
        <v>0.0</v>
      </c>
      <c r="BJ83" s="480"/>
      <c r="BK83" s="512"/>
      <c r="BL83" s="512"/>
      <c r="BM83" s="512" t="s">
        <v>48</v>
      </c>
      <c r="BN83" s="512" t="s">
        <v>51</v>
      </c>
      <c r="BO83" s="518" t="e">
        <f t="shared" ref="BO83:CH83" si="92">IF($BJ29,IFERROR(VLOOKUP(BO$22&amp;"Female"&amp;"AllEth"&amp;23&amp;$BM83,Methodstable,9,FALSE),"0.0"),NA())</f>
        <v>#N/A</v>
      </c>
      <c r="BP83" s="518" t="e">
        <f t="shared" si="92"/>
        <v>#N/A</v>
      </c>
      <c r="BQ83" s="518" t="e">
        <f t="shared" si="92"/>
        <v>#N/A</v>
      </c>
      <c r="BR83" s="518" t="e">
        <f t="shared" si="92"/>
        <v>#N/A</v>
      </c>
      <c r="BS83" s="518" t="e">
        <f t="shared" si="92"/>
        <v>#N/A</v>
      </c>
      <c r="BT83" s="518" t="e">
        <f t="shared" si="92"/>
        <v>#N/A</v>
      </c>
      <c r="BU83" s="518" t="e">
        <f t="shared" si="92"/>
        <v>#N/A</v>
      </c>
      <c r="BV83" s="518" t="e">
        <f t="shared" si="92"/>
        <v>#N/A</v>
      </c>
      <c r="BW83" s="518" t="e">
        <f t="shared" si="92"/>
        <v>#N/A</v>
      </c>
      <c r="BX83" s="518" t="e">
        <f t="shared" si="92"/>
        <v>#N/A</v>
      </c>
      <c r="BY83" s="518" t="e">
        <f t="shared" si="92"/>
        <v>#N/A</v>
      </c>
      <c r="BZ83" s="518" t="e">
        <f t="shared" si="92"/>
        <v>#N/A</v>
      </c>
      <c r="CA83" s="518" t="e">
        <f t="shared" si="92"/>
        <v>#N/A</v>
      </c>
      <c r="CB83" s="518" t="e">
        <f t="shared" si="92"/>
        <v>#N/A</v>
      </c>
      <c r="CC83" s="518" t="e">
        <f t="shared" si="92"/>
        <v>#N/A</v>
      </c>
      <c r="CD83" s="518" t="e">
        <f t="shared" si="92"/>
        <v>#N/A</v>
      </c>
      <c r="CE83" s="518" t="e">
        <f t="shared" si="92"/>
        <v>#N/A</v>
      </c>
      <c r="CF83" s="518" t="e">
        <f t="shared" si="92"/>
        <v>#N/A</v>
      </c>
      <c r="CG83" s="518" t="e">
        <f t="shared" si="92"/>
        <v>#N/A</v>
      </c>
      <c r="CH83" s="518" t="e">
        <f t="shared" si="92"/>
        <v>#N/A</v>
      </c>
    </row>
    <row r="84" spans="2:86" x14ac:dyDescent="0.2">
      <c r="B84" s="5"/>
      <c r="C84" s="71"/>
      <c r="D84" s="71"/>
      <c r="E84" s="71"/>
      <c r="F84" s="71"/>
      <c r="G84" s="71"/>
      <c r="H84" s="71"/>
      <c r="I84" s="71"/>
      <c r="J84" s="71"/>
      <c r="K84" s="71"/>
      <c r="L84" s="71"/>
      <c r="P84" s="25"/>
      <c r="Q84" s="25"/>
      <c r="R84" s="24" t="s">
        <v>48</v>
      </c>
      <c r="S84" s="24"/>
      <c r="T84" s="47" t="str">
        <f t="shared" ref="T84:AM84" si="93">IFERROR(VLOOKUP(T$13&amp;"Female"&amp;"AllEth"&amp;23&amp;$R75,Methodstable,9,FALSE),"0.0")</f>
        <v>0.0</v>
      </c>
      <c r="U84" s="47">
        <f t="shared" si="93"/>
        <v>1.8</v>
      </c>
      <c r="V84" s="47" t="str">
        <f t="shared" si="93"/>
        <v>0.0</v>
      </c>
      <c r="W84" s="47">
        <f t="shared" si="93"/>
        <v>3.6</v>
      </c>
      <c r="X84" s="47">
        <f t="shared" si="93"/>
        <v>2.6</v>
      </c>
      <c r="Y84" s="47">
        <f t="shared" si="93"/>
        <v>2</v>
      </c>
      <c r="Z84" s="47" t="str">
        <f t="shared" si="93"/>
        <v>0.0</v>
      </c>
      <c r="AA84" s="47">
        <f t="shared" si="93"/>
        <v>3.7</v>
      </c>
      <c r="AB84" s="47" t="str">
        <f t="shared" si="93"/>
        <v>0.0</v>
      </c>
      <c r="AC84" s="47">
        <f t="shared" si="93"/>
        <v>1.7</v>
      </c>
      <c r="AD84" s="47">
        <f t="shared" si="93"/>
        <v>1.7</v>
      </c>
      <c r="AE84" s="47" t="str">
        <f t="shared" si="93"/>
        <v>0.0</v>
      </c>
      <c r="AF84" s="47" t="str">
        <f t="shared" si="93"/>
        <v>0.0</v>
      </c>
      <c r="AG84" s="47" t="str">
        <f t="shared" si="93"/>
        <v>0.0</v>
      </c>
      <c r="AH84" s="47" t="str">
        <f t="shared" si="93"/>
        <v>0.0</v>
      </c>
      <c r="AI84" s="47">
        <f t="shared" si="93"/>
        <v>3</v>
      </c>
      <c r="AJ84" s="47" t="str">
        <f t="shared" si="93"/>
        <v>0.0</v>
      </c>
      <c r="AK84" s="47" t="str">
        <f t="shared" si="93"/>
        <v>0.0</v>
      </c>
      <c r="AL84" s="47">
        <f t="shared" si="93"/>
        <v>2</v>
      </c>
      <c r="AM84" s="47" t="str">
        <f t="shared" si="93"/>
        <v>0.0</v>
      </c>
      <c r="BJ84" s="480"/>
      <c r="BK84" s="512"/>
      <c r="BL84" s="512"/>
      <c r="BM84" s="512" t="s">
        <v>45</v>
      </c>
      <c r="BN84" s="512" t="s">
        <v>51</v>
      </c>
      <c r="BO84" s="518" t="e">
        <f t="shared" ref="BO84:CH84" si="94">IF($BJ30,IFERROR(VLOOKUP(BO$22&amp;"Female"&amp;"AllEth"&amp;23&amp;$BM84,Methodstable,9,FALSE),"0.0"),NA())</f>
        <v>#N/A</v>
      </c>
      <c r="BP84" s="518" t="e">
        <f t="shared" si="94"/>
        <v>#N/A</v>
      </c>
      <c r="BQ84" s="518" t="e">
        <f t="shared" si="94"/>
        <v>#N/A</v>
      </c>
      <c r="BR84" s="518" t="e">
        <f t="shared" si="94"/>
        <v>#N/A</v>
      </c>
      <c r="BS84" s="518" t="e">
        <f t="shared" si="94"/>
        <v>#N/A</v>
      </c>
      <c r="BT84" s="518" t="e">
        <f t="shared" si="94"/>
        <v>#N/A</v>
      </c>
      <c r="BU84" s="518" t="e">
        <f t="shared" si="94"/>
        <v>#N/A</v>
      </c>
      <c r="BV84" s="518" t="e">
        <f t="shared" si="94"/>
        <v>#N/A</v>
      </c>
      <c r="BW84" s="518" t="e">
        <f t="shared" si="94"/>
        <v>#N/A</v>
      </c>
      <c r="BX84" s="518" t="e">
        <f t="shared" si="94"/>
        <v>#N/A</v>
      </c>
      <c r="BY84" s="518" t="e">
        <f t="shared" si="94"/>
        <v>#N/A</v>
      </c>
      <c r="BZ84" s="518" t="e">
        <f t="shared" si="94"/>
        <v>#N/A</v>
      </c>
      <c r="CA84" s="518" t="e">
        <f t="shared" si="94"/>
        <v>#N/A</v>
      </c>
      <c r="CB84" s="518" t="e">
        <f t="shared" si="94"/>
        <v>#N/A</v>
      </c>
      <c r="CC84" s="518" t="e">
        <f t="shared" si="94"/>
        <v>#N/A</v>
      </c>
      <c r="CD84" s="518" t="e">
        <f t="shared" si="94"/>
        <v>#N/A</v>
      </c>
      <c r="CE84" s="518" t="e">
        <f t="shared" si="94"/>
        <v>#N/A</v>
      </c>
      <c r="CF84" s="518" t="e">
        <f t="shared" si="94"/>
        <v>#N/A</v>
      </c>
      <c r="CG84" s="518" t="e">
        <f t="shared" si="94"/>
        <v>#N/A</v>
      </c>
      <c r="CH84" s="518" t="e">
        <f t="shared" si="94"/>
        <v>#N/A</v>
      </c>
    </row>
    <row r="85" spans="2:86" x14ac:dyDescent="0.2">
      <c r="B85" s="5"/>
      <c r="C85" s="71"/>
      <c r="D85" s="71"/>
      <c r="E85" s="71"/>
      <c r="F85" s="71"/>
      <c r="G85" s="71"/>
      <c r="H85" s="71"/>
      <c r="I85" s="71"/>
      <c r="J85" s="71"/>
      <c r="K85" s="71"/>
      <c r="L85" s="71"/>
      <c r="P85" s="25"/>
      <c r="Q85" s="25"/>
      <c r="R85" s="24" t="s">
        <v>45</v>
      </c>
      <c r="S85" s="24"/>
      <c r="T85" s="47">
        <f t="shared" ref="T85:AM85" si="95">IFERROR(VLOOKUP(T$13&amp;"Female"&amp;"AllEth"&amp;23&amp;$R76,Methodstable,9,FALSE),"0.0")</f>
        <v>5.9</v>
      </c>
      <c r="U85" s="47">
        <f t="shared" si="95"/>
        <v>3.6</v>
      </c>
      <c r="V85" s="47">
        <f t="shared" si="95"/>
        <v>3.7</v>
      </c>
      <c r="W85" s="47">
        <f t="shared" si="95"/>
        <v>5.5</v>
      </c>
      <c r="X85" s="47">
        <f t="shared" si="95"/>
        <v>2.6</v>
      </c>
      <c r="Y85" s="47">
        <f t="shared" si="95"/>
        <v>6</v>
      </c>
      <c r="Z85" s="47">
        <f t="shared" si="95"/>
        <v>2.1</v>
      </c>
      <c r="AA85" s="47" t="str">
        <f t="shared" si="95"/>
        <v>0.0</v>
      </c>
      <c r="AB85" s="47">
        <f t="shared" si="95"/>
        <v>10</v>
      </c>
      <c r="AC85" s="47">
        <f t="shared" si="95"/>
        <v>3.4</v>
      </c>
      <c r="AD85" s="47">
        <f t="shared" si="95"/>
        <v>5</v>
      </c>
      <c r="AE85" s="47" t="str">
        <f t="shared" si="95"/>
        <v>0.0</v>
      </c>
      <c r="AF85" s="47" t="str">
        <f t="shared" si="95"/>
        <v>0.0</v>
      </c>
      <c r="AG85" s="47">
        <f t="shared" si="95"/>
        <v>9.8000000000000007</v>
      </c>
      <c r="AH85" s="47">
        <f t="shared" si="95"/>
        <v>3.8</v>
      </c>
      <c r="AI85" s="47">
        <f t="shared" si="95"/>
        <v>9.1</v>
      </c>
      <c r="AJ85" s="47">
        <f t="shared" si="95"/>
        <v>4.7</v>
      </c>
      <c r="AK85" s="47">
        <f t="shared" si="95"/>
        <v>6.4</v>
      </c>
      <c r="AL85" s="47" t="str">
        <f t="shared" si="95"/>
        <v>0.0</v>
      </c>
      <c r="AM85" s="47" t="str">
        <f t="shared" si="95"/>
        <v>0.0</v>
      </c>
      <c r="BJ85" s="480"/>
      <c r="BK85" s="512"/>
      <c r="BL85" s="512"/>
      <c r="BM85" s="512"/>
      <c r="BN85" s="512"/>
      <c r="BO85" s="512"/>
      <c r="BP85" s="512"/>
      <c r="BQ85" s="512"/>
      <c r="BR85" s="512"/>
      <c r="BS85" s="512"/>
      <c r="BT85" s="512"/>
      <c r="BU85" s="512"/>
      <c r="BV85" s="512"/>
      <c r="BW85" s="512"/>
      <c r="BX85" s="512"/>
      <c r="BY85" s="512"/>
      <c r="BZ85" s="512"/>
      <c r="CA85" s="512"/>
      <c r="CB85" s="512"/>
      <c r="CC85" s="512"/>
      <c r="CD85" s="512"/>
      <c r="CE85" s="512"/>
      <c r="CF85" s="512"/>
      <c r="CG85" s="512"/>
      <c r="CH85" s="512"/>
    </row>
    <row r="86" spans="2:86" x14ac:dyDescent="0.2">
      <c r="B86" s="5"/>
      <c r="C86" s="61" t="s">
        <v>102</v>
      </c>
      <c r="D86" s="5"/>
      <c r="E86" s="5"/>
      <c r="F86" s="5"/>
      <c r="G86" s="5"/>
      <c r="H86" s="5"/>
      <c r="I86" s="5"/>
      <c r="J86" s="5"/>
      <c r="K86" s="5"/>
      <c r="L86" s="5"/>
      <c r="P86" s="28"/>
      <c r="Q86" s="28"/>
      <c r="R86" s="26"/>
      <c r="S86" s="26"/>
      <c r="T86" s="128"/>
      <c r="U86" s="128"/>
      <c r="V86" s="128"/>
      <c r="W86" s="128"/>
      <c r="X86" s="128"/>
      <c r="Y86" s="128"/>
      <c r="Z86" s="128"/>
      <c r="AA86" s="128"/>
      <c r="AB86" s="128"/>
      <c r="AC86" s="128"/>
      <c r="AD86" s="128"/>
      <c r="AE86" s="128"/>
      <c r="AF86" s="128"/>
      <c r="AG86" s="128"/>
      <c r="AH86" s="128"/>
      <c r="AI86" s="128"/>
      <c r="AJ86" s="128"/>
      <c r="AK86" s="128"/>
      <c r="AL86" s="128"/>
      <c r="AM86" s="128"/>
      <c r="BJ86" s="480"/>
      <c r="BK86" s="512" t="s">
        <v>8</v>
      </c>
      <c r="BL86" s="512" t="s">
        <v>25</v>
      </c>
      <c r="BM86" s="512" t="s">
        <v>43</v>
      </c>
      <c r="BN86" s="512" t="s">
        <v>51</v>
      </c>
      <c r="BO86" s="518">
        <f t="shared" ref="BO86:CH86" si="96">IF($BJ23,IFERROR(VLOOKUP(BO$22&amp;"Female"&amp;"AllEth"&amp;24&amp;$BM86,Methodstable,9,FALSE),"0.0"),NA())</f>
        <v>22.7</v>
      </c>
      <c r="BP86" s="518">
        <f t="shared" si="96"/>
        <v>34.6</v>
      </c>
      <c r="BQ86" s="518">
        <f t="shared" si="96"/>
        <v>4.2</v>
      </c>
      <c r="BR86" s="518">
        <f t="shared" si="96"/>
        <v>28.6</v>
      </c>
      <c r="BS86" s="518">
        <f t="shared" si="96"/>
        <v>30.4</v>
      </c>
      <c r="BT86" s="518">
        <f t="shared" si="96"/>
        <v>40.700000000000003</v>
      </c>
      <c r="BU86" s="518">
        <f t="shared" si="96"/>
        <v>52</v>
      </c>
      <c r="BV86" s="518">
        <f t="shared" si="96"/>
        <v>20</v>
      </c>
      <c r="BW86" s="518">
        <f t="shared" si="96"/>
        <v>43.3</v>
      </c>
      <c r="BX86" s="518">
        <f t="shared" si="96"/>
        <v>45.2</v>
      </c>
      <c r="BY86" s="518">
        <f t="shared" si="96"/>
        <v>38.700000000000003</v>
      </c>
      <c r="BZ86" s="518">
        <f t="shared" si="96"/>
        <v>32.5</v>
      </c>
      <c r="CA86" s="518">
        <f t="shared" si="96"/>
        <v>47.1</v>
      </c>
      <c r="CB86" s="518">
        <f t="shared" si="96"/>
        <v>51.3</v>
      </c>
      <c r="CC86" s="518">
        <f t="shared" si="96"/>
        <v>39.5</v>
      </c>
      <c r="CD86" s="518">
        <f t="shared" si="96"/>
        <v>27.3</v>
      </c>
      <c r="CE86" s="518">
        <f t="shared" si="96"/>
        <v>40.5</v>
      </c>
      <c r="CF86" s="518">
        <f t="shared" si="96"/>
        <v>35.799999999999997</v>
      </c>
      <c r="CG86" s="518">
        <f t="shared" si="96"/>
        <v>24.4</v>
      </c>
      <c r="CH86" s="518">
        <f t="shared" si="96"/>
        <v>35.6</v>
      </c>
    </row>
    <row r="87" spans="2:86" x14ac:dyDescent="0.2">
      <c r="B87" s="5"/>
      <c r="C87" s="5"/>
      <c r="D87" s="5"/>
      <c r="E87" s="5"/>
      <c r="F87" s="5"/>
      <c r="G87" s="5"/>
      <c r="H87" s="5"/>
      <c r="I87" s="5"/>
      <c r="J87" s="5"/>
      <c r="K87" s="5"/>
      <c r="L87" s="5"/>
      <c r="P87" s="25" t="s">
        <v>8</v>
      </c>
      <c r="Q87" s="25" t="s">
        <v>36</v>
      </c>
      <c r="R87" s="24" t="s">
        <v>43</v>
      </c>
      <c r="S87" s="24" t="s">
        <v>366</v>
      </c>
      <c r="T87" s="47">
        <f t="shared" ref="T87:AC94" si="97">IFERROR(VLOOKUP(T$13&amp;"Female"&amp;"AllEth"&amp;24&amp;$R87,Methodstable,9,FALSE),"0.0")</f>
        <v>22.7</v>
      </c>
      <c r="U87" s="47">
        <f t="shared" si="97"/>
        <v>34.6</v>
      </c>
      <c r="V87" s="47">
        <f t="shared" si="97"/>
        <v>4.2</v>
      </c>
      <c r="W87" s="47">
        <f t="shared" si="97"/>
        <v>28.6</v>
      </c>
      <c r="X87" s="47">
        <f t="shared" si="97"/>
        <v>30.4</v>
      </c>
      <c r="Y87" s="47">
        <f t="shared" si="97"/>
        <v>40.700000000000003</v>
      </c>
      <c r="Z87" s="47">
        <f t="shared" si="97"/>
        <v>52</v>
      </c>
      <c r="AA87" s="47">
        <f t="shared" si="97"/>
        <v>20</v>
      </c>
      <c r="AB87" s="47">
        <f t="shared" si="97"/>
        <v>43.3</v>
      </c>
      <c r="AC87" s="47">
        <f t="shared" si="97"/>
        <v>45.2</v>
      </c>
      <c r="AD87" s="47">
        <f t="shared" ref="AD87:AM94" si="98">IFERROR(VLOOKUP(AD$13&amp;"Female"&amp;"AllEth"&amp;24&amp;$R87,Methodstable,9,FALSE),"0.0")</f>
        <v>38.700000000000003</v>
      </c>
      <c r="AE87" s="47">
        <f t="shared" si="98"/>
        <v>32.5</v>
      </c>
      <c r="AF87" s="47">
        <f t="shared" si="98"/>
        <v>47.1</v>
      </c>
      <c r="AG87" s="47">
        <f t="shared" si="98"/>
        <v>51.3</v>
      </c>
      <c r="AH87" s="47">
        <f t="shared" si="98"/>
        <v>39.5</v>
      </c>
      <c r="AI87" s="47">
        <f t="shared" si="98"/>
        <v>27.3</v>
      </c>
      <c r="AJ87" s="47">
        <f t="shared" si="98"/>
        <v>40.5</v>
      </c>
      <c r="AK87" s="47">
        <f t="shared" si="98"/>
        <v>35.799999999999997</v>
      </c>
      <c r="AL87" s="47">
        <f t="shared" si="98"/>
        <v>24.4</v>
      </c>
      <c r="AM87" s="47">
        <f t="shared" si="98"/>
        <v>35.6</v>
      </c>
      <c r="BJ87" s="480"/>
      <c r="BK87" s="512"/>
      <c r="BL87" s="512"/>
      <c r="BM87" s="512" t="s">
        <v>46</v>
      </c>
      <c r="BN87" s="512" t="s">
        <v>51</v>
      </c>
      <c r="BO87" s="518">
        <f t="shared" ref="BO87:CH87" si="99">IF($BJ24,IFERROR(VLOOKUP(BO$22&amp;"Female"&amp;"AllEth"&amp;24&amp;$BM87,Methodstable,9,FALSE),"0.0"),NA())</f>
        <v>31.8</v>
      </c>
      <c r="BP87" s="518">
        <f t="shared" si="99"/>
        <v>15.4</v>
      </c>
      <c r="BQ87" s="518">
        <f t="shared" si="99"/>
        <v>29.2</v>
      </c>
      <c r="BR87" s="518">
        <f t="shared" si="99"/>
        <v>9.5</v>
      </c>
      <c r="BS87" s="518">
        <f t="shared" si="99"/>
        <v>43.5</v>
      </c>
      <c r="BT87" s="518">
        <f t="shared" si="99"/>
        <v>22.2</v>
      </c>
      <c r="BU87" s="518">
        <f t="shared" si="99"/>
        <v>8</v>
      </c>
      <c r="BV87" s="518">
        <f t="shared" si="99"/>
        <v>22.9</v>
      </c>
      <c r="BW87" s="518">
        <f t="shared" si="99"/>
        <v>6.7</v>
      </c>
      <c r="BX87" s="518">
        <f t="shared" si="99"/>
        <v>22.6</v>
      </c>
      <c r="BY87" s="518">
        <f t="shared" si="99"/>
        <v>19.399999999999999</v>
      </c>
      <c r="BZ87" s="518">
        <f t="shared" si="99"/>
        <v>17.5</v>
      </c>
      <c r="CA87" s="518">
        <f t="shared" si="99"/>
        <v>8.8000000000000007</v>
      </c>
      <c r="CB87" s="518">
        <f t="shared" si="99"/>
        <v>2.6</v>
      </c>
      <c r="CC87" s="518">
        <f t="shared" si="99"/>
        <v>4.7</v>
      </c>
      <c r="CD87" s="518">
        <f t="shared" si="99"/>
        <v>6.1</v>
      </c>
      <c r="CE87" s="518">
        <f t="shared" si="99"/>
        <v>4.8</v>
      </c>
      <c r="CF87" s="518">
        <f t="shared" si="99"/>
        <v>5.7</v>
      </c>
      <c r="CG87" s="518">
        <f t="shared" si="99"/>
        <v>17.8</v>
      </c>
      <c r="CH87" s="518">
        <f t="shared" si="99"/>
        <v>13.3</v>
      </c>
    </row>
    <row r="88" spans="2:86" x14ac:dyDescent="0.2">
      <c r="P88" s="25"/>
      <c r="Q88" s="25"/>
      <c r="R88" s="24" t="s">
        <v>46</v>
      </c>
      <c r="S88" s="24"/>
      <c r="T88" s="47">
        <f t="shared" si="97"/>
        <v>31.8</v>
      </c>
      <c r="U88" s="47">
        <f t="shared" si="97"/>
        <v>15.4</v>
      </c>
      <c r="V88" s="47">
        <f t="shared" si="97"/>
        <v>29.2</v>
      </c>
      <c r="W88" s="47">
        <f t="shared" si="97"/>
        <v>9.5</v>
      </c>
      <c r="X88" s="47">
        <f t="shared" si="97"/>
        <v>43.5</v>
      </c>
      <c r="Y88" s="47">
        <f t="shared" si="97"/>
        <v>22.2</v>
      </c>
      <c r="Z88" s="47">
        <f t="shared" si="97"/>
        <v>8</v>
      </c>
      <c r="AA88" s="47">
        <f t="shared" si="97"/>
        <v>22.9</v>
      </c>
      <c r="AB88" s="47">
        <f t="shared" si="97"/>
        <v>6.7</v>
      </c>
      <c r="AC88" s="47">
        <f t="shared" si="97"/>
        <v>22.6</v>
      </c>
      <c r="AD88" s="47">
        <f t="shared" si="98"/>
        <v>19.399999999999999</v>
      </c>
      <c r="AE88" s="47">
        <f t="shared" si="98"/>
        <v>17.5</v>
      </c>
      <c r="AF88" s="47">
        <f t="shared" si="98"/>
        <v>8.8000000000000007</v>
      </c>
      <c r="AG88" s="47">
        <f t="shared" si="98"/>
        <v>2.6</v>
      </c>
      <c r="AH88" s="47">
        <f t="shared" si="98"/>
        <v>4.7</v>
      </c>
      <c r="AI88" s="47">
        <f t="shared" si="98"/>
        <v>6.1</v>
      </c>
      <c r="AJ88" s="47">
        <f t="shared" si="98"/>
        <v>4.8</v>
      </c>
      <c r="AK88" s="47">
        <f t="shared" si="98"/>
        <v>5.7</v>
      </c>
      <c r="AL88" s="47">
        <f t="shared" si="98"/>
        <v>17.8</v>
      </c>
      <c r="AM88" s="47">
        <f t="shared" si="98"/>
        <v>13.3</v>
      </c>
      <c r="BJ88" s="480"/>
      <c r="BK88" s="512"/>
      <c r="BL88" s="512"/>
      <c r="BM88" s="512" t="s">
        <v>47</v>
      </c>
      <c r="BN88" s="512" t="s">
        <v>51</v>
      </c>
      <c r="BO88" s="518">
        <f t="shared" ref="BO88:CH88" si="100">IF($BJ25,IFERROR(VLOOKUP(BO$22&amp;"Female"&amp;"AllEth"&amp;24&amp;$BM88,Methodstable,9,FALSE),"0.0"),NA())</f>
        <v>27.3</v>
      </c>
      <c r="BP88" s="518">
        <f t="shared" si="100"/>
        <v>38.5</v>
      </c>
      <c r="BQ88" s="518">
        <f t="shared" si="100"/>
        <v>45.8</v>
      </c>
      <c r="BR88" s="518">
        <f t="shared" si="100"/>
        <v>42.9</v>
      </c>
      <c r="BS88" s="518">
        <f t="shared" si="100"/>
        <v>4.3</v>
      </c>
      <c r="BT88" s="518">
        <f t="shared" si="100"/>
        <v>18.5</v>
      </c>
      <c r="BU88" s="518">
        <f t="shared" si="100"/>
        <v>28</v>
      </c>
      <c r="BV88" s="518">
        <f t="shared" si="100"/>
        <v>25.7</v>
      </c>
      <c r="BW88" s="518">
        <f t="shared" si="100"/>
        <v>26.7</v>
      </c>
      <c r="BX88" s="518">
        <f t="shared" si="100"/>
        <v>19.399999999999999</v>
      </c>
      <c r="BY88" s="518">
        <f t="shared" si="100"/>
        <v>25.8</v>
      </c>
      <c r="BZ88" s="518">
        <f t="shared" si="100"/>
        <v>30</v>
      </c>
      <c r="CA88" s="518">
        <f t="shared" si="100"/>
        <v>32.4</v>
      </c>
      <c r="CB88" s="518">
        <f t="shared" si="100"/>
        <v>30.8</v>
      </c>
      <c r="CC88" s="518">
        <f t="shared" si="100"/>
        <v>37.200000000000003</v>
      </c>
      <c r="CD88" s="518">
        <f t="shared" si="100"/>
        <v>39.4</v>
      </c>
      <c r="CE88" s="518">
        <f t="shared" si="100"/>
        <v>40.5</v>
      </c>
      <c r="CF88" s="518">
        <f t="shared" si="100"/>
        <v>35.799999999999997</v>
      </c>
      <c r="CG88" s="518">
        <f t="shared" si="100"/>
        <v>37.799999999999997</v>
      </c>
      <c r="CH88" s="518">
        <f t="shared" si="100"/>
        <v>33.299999999999997</v>
      </c>
    </row>
    <row r="89" spans="2:86" x14ac:dyDescent="0.2">
      <c r="P89" s="25"/>
      <c r="Q89" s="25"/>
      <c r="R89" s="24" t="s">
        <v>47</v>
      </c>
      <c r="S89" s="24"/>
      <c r="T89" s="47">
        <f t="shared" si="97"/>
        <v>27.3</v>
      </c>
      <c r="U89" s="47">
        <f t="shared" si="97"/>
        <v>38.5</v>
      </c>
      <c r="V89" s="47">
        <f t="shared" si="97"/>
        <v>45.8</v>
      </c>
      <c r="W89" s="47">
        <f t="shared" si="97"/>
        <v>42.9</v>
      </c>
      <c r="X89" s="47">
        <f t="shared" si="97"/>
        <v>4.3</v>
      </c>
      <c r="Y89" s="47">
        <f t="shared" si="97"/>
        <v>18.5</v>
      </c>
      <c r="Z89" s="47">
        <f t="shared" si="97"/>
        <v>28</v>
      </c>
      <c r="AA89" s="47">
        <f t="shared" si="97"/>
        <v>25.7</v>
      </c>
      <c r="AB89" s="47">
        <f t="shared" si="97"/>
        <v>26.7</v>
      </c>
      <c r="AC89" s="47">
        <f t="shared" si="97"/>
        <v>19.399999999999999</v>
      </c>
      <c r="AD89" s="47">
        <f t="shared" si="98"/>
        <v>25.8</v>
      </c>
      <c r="AE89" s="47">
        <f t="shared" si="98"/>
        <v>30</v>
      </c>
      <c r="AF89" s="47">
        <f t="shared" si="98"/>
        <v>32.4</v>
      </c>
      <c r="AG89" s="47">
        <f t="shared" si="98"/>
        <v>30.8</v>
      </c>
      <c r="AH89" s="47">
        <f t="shared" si="98"/>
        <v>37.200000000000003</v>
      </c>
      <c r="AI89" s="47">
        <f t="shared" si="98"/>
        <v>39.4</v>
      </c>
      <c r="AJ89" s="47">
        <f t="shared" si="98"/>
        <v>40.5</v>
      </c>
      <c r="AK89" s="47">
        <f t="shared" si="98"/>
        <v>35.799999999999997</v>
      </c>
      <c r="AL89" s="47">
        <f t="shared" si="98"/>
        <v>37.799999999999997</v>
      </c>
      <c r="AM89" s="47">
        <f t="shared" si="98"/>
        <v>33.299999999999997</v>
      </c>
      <c r="BJ89" s="480"/>
      <c r="BK89" s="512"/>
      <c r="BL89" s="512"/>
      <c r="BM89" s="512" t="s">
        <v>42</v>
      </c>
      <c r="BN89" s="512" t="s">
        <v>51</v>
      </c>
      <c r="BO89" s="518" t="str">
        <f t="shared" ref="BO89:CH89" si="101">IF($BJ26,IFERROR(VLOOKUP(BO$22&amp;"Female"&amp;"AllEth"&amp;24&amp;$BM89,Methodstable,9,FALSE),"0.0"),NA())</f>
        <v>0.0</v>
      </c>
      <c r="BP89" s="518" t="str">
        <f t="shared" si="101"/>
        <v>0.0</v>
      </c>
      <c r="BQ89" s="518">
        <f t="shared" si="101"/>
        <v>4.2</v>
      </c>
      <c r="BR89" s="518" t="str">
        <f t="shared" si="101"/>
        <v>0.0</v>
      </c>
      <c r="BS89" s="518">
        <f t="shared" si="101"/>
        <v>4.3</v>
      </c>
      <c r="BT89" s="518" t="str">
        <f t="shared" si="101"/>
        <v>0.0</v>
      </c>
      <c r="BU89" s="518" t="str">
        <f t="shared" si="101"/>
        <v>0.0</v>
      </c>
      <c r="BV89" s="518">
        <f t="shared" si="101"/>
        <v>2.9</v>
      </c>
      <c r="BW89" s="518">
        <f t="shared" si="101"/>
        <v>3.3</v>
      </c>
      <c r="BX89" s="518" t="str">
        <f t="shared" si="101"/>
        <v>0.0</v>
      </c>
      <c r="BY89" s="518">
        <f t="shared" si="101"/>
        <v>9.6999999999999993</v>
      </c>
      <c r="BZ89" s="518">
        <f t="shared" si="101"/>
        <v>2.5</v>
      </c>
      <c r="CA89" s="518" t="str">
        <f t="shared" si="101"/>
        <v>0.0</v>
      </c>
      <c r="CB89" s="518" t="str">
        <f t="shared" si="101"/>
        <v>0.0</v>
      </c>
      <c r="CC89" s="518" t="str">
        <f t="shared" si="101"/>
        <v>0.0</v>
      </c>
      <c r="CD89" s="518">
        <f t="shared" si="101"/>
        <v>6.1</v>
      </c>
      <c r="CE89" s="518">
        <f t="shared" si="101"/>
        <v>2.4</v>
      </c>
      <c r="CF89" s="518">
        <f t="shared" si="101"/>
        <v>1.9</v>
      </c>
      <c r="CG89" s="518">
        <f t="shared" si="101"/>
        <v>2.2000000000000002</v>
      </c>
      <c r="CH89" s="518">
        <f t="shared" si="101"/>
        <v>2.2000000000000002</v>
      </c>
    </row>
    <row r="90" spans="2:86" x14ac:dyDescent="0.2">
      <c r="P90" s="25"/>
      <c r="Q90" s="25"/>
      <c r="R90" s="24" t="s">
        <v>42</v>
      </c>
      <c r="S90" s="24"/>
      <c r="T90" s="47" t="str">
        <f t="shared" si="97"/>
        <v>0.0</v>
      </c>
      <c r="U90" s="47" t="str">
        <f t="shared" si="97"/>
        <v>0.0</v>
      </c>
      <c r="V90" s="47">
        <f t="shared" si="97"/>
        <v>4.2</v>
      </c>
      <c r="W90" s="47" t="str">
        <f t="shared" si="97"/>
        <v>0.0</v>
      </c>
      <c r="X90" s="47">
        <f t="shared" si="97"/>
        <v>4.3</v>
      </c>
      <c r="Y90" s="47" t="str">
        <f t="shared" si="97"/>
        <v>0.0</v>
      </c>
      <c r="Z90" s="47" t="str">
        <f t="shared" si="97"/>
        <v>0.0</v>
      </c>
      <c r="AA90" s="47">
        <f t="shared" si="97"/>
        <v>2.9</v>
      </c>
      <c r="AB90" s="47">
        <f t="shared" si="97"/>
        <v>3.3</v>
      </c>
      <c r="AC90" s="47" t="str">
        <f t="shared" si="97"/>
        <v>0.0</v>
      </c>
      <c r="AD90" s="47">
        <f t="shared" si="98"/>
        <v>9.6999999999999993</v>
      </c>
      <c r="AE90" s="47">
        <f t="shared" si="98"/>
        <v>2.5</v>
      </c>
      <c r="AF90" s="47" t="str">
        <f t="shared" si="98"/>
        <v>0.0</v>
      </c>
      <c r="AG90" s="47" t="str">
        <f t="shared" si="98"/>
        <v>0.0</v>
      </c>
      <c r="AH90" s="47" t="str">
        <f t="shared" si="98"/>
        <v>0.0</v>
      </c>
      <c r="AI90" s="47">
        <f t="shared" si="98"/>
        <v>6.1</v>
      </c>
      <c r="AJ90" s="47">
        <f t="shared" si="98"/>
        <v>2.4</v>
      </c>
      <c r="AK90" s="47">
        <f t="shared" si="98"/>
        <v>1.9</v>
      </c>
      <c r="AL90" s="47">
        <f t="shared" si="98"/>
        <v>2.2000000000000002</v>
      </c>
      <c r="AM90" s="47">
        <f t="shared" si="98"/>
        <v>2.2000000000000002</v>
      </c>
      <c r="BJ90" s="480"/>
      <c r="BK90" s="512"/>
      <c r="BL90" s="512"/>
      <c r="BM90" s="512" t="s">
        <v>44</v>
      </c>
      <c r="BN90" s="512" t="s">
        <v>51</v>
      </c>
      <c r="BO90" s="518" t="e">
        <f t="shared" ref="BO90:CH90" si="102">IF($BJ27,IFERROR(VLOOKUP(BO$22&amp;"Female"&amp;"AllEth"&amp;24&amp;$BM90,Methodstable,9,FALSE),"0.0"),NA())</f>
        <v>#N/A</v>
      </c>
      <c r="BP90" s="518" t="e">
        <f t="shared" si="102"/>
        <v>#N/A</v>
      </c>
      <c r="BQ90" s="518" t="e">
        <f t="shared" si="102"/>
        <v>#N/A</v>
      </c>
      <c r="BR90" s="518" t="e">
        <f t="shared" si="102"/>
        <v>#N/A</v>
      </c>
      <c r="BS90" s="518" t="e">
        <f t="shared" si="102"/>
        <v>#N/A</v>
      </c>
      <c r="BT90" s="518" t="e">
        <f t="shared" si="102"/>
        <v>#N/A</v>
      </c>
      <c r="BU90" s="518" t="e">
        <f t="shared" si="102"/>
        <v>#N/A</v>
      </c>
      <c r="BV90" s="518" t="e">
        <f t="shared" si="102"/>
        <v>#N/A</v>
      </c>
      <c r="BW90" s="518" t="e">
        <f t="shared" si="102"/>
        <v>#N/A</v>
      </c>
      <c r="BX90" s="518" t="e">
        <f t="shared" si="102"/>
        <v>#N/A</v>
      </c>
      <c r="BY90" s="518" t="e">
        <f t="shared" si="102"/>
        <v>#N/A</v>
      </c>
      <c r="BZ90" s="518" t="e">
        <f t="shared" si="102"/>
        <v>#N/A</v>
      </c>
      <c r="CA90" s="518" t="e">
        <f t="shared" si="102"/>
        <v>#N/A</v>
      </c>
      <c r="CB90" s="518" t="e">
        <f t="shared" si="102"/>
        <v>#N/A</v>
      </c>
      <c r="CC90" s="518" t="e">
        <f t="shared" si="102"/>
        <v>#N/A</v>
      </c>
      <c r="CD90" s="518" t="e">
        <f t="shared" si="102"/>
        <v>#N/A</v>
      </c>
      <c r="CE90" s="518" t="e">
        <f t="shared" si="102"/>
        <v>#N/A</v>
      </c>
      <c r="CF90" s="518" t="e">
        <f t="shared" si="102"/>
        <v>#N/A</v>
      </c>
      <c r="CG90" s="518" t="e">
        <f t="shared" si="102"/>
        <v>#N/A</v>
      </c>
      <c r="CH90" s="518" t="e">
        <f t="shared" si="102"/>
        <v>#N/A</v>
      </c>
    </row>
    <row r="91" spans="2:86" x14ac:dyDescent="0.2">
      <c r="P91" s="25"/>
      <c r="Q91" s="25"/>
      <c r="R91" s="24" t="s">
        <v>44</v>
      </c>
      <c r="S91" s="24"/>
      <c r="T91" s="47" t="str">
        <f t="shared" si="97"/>
        <v>0.0</v>
      </c>
      <c r="U91" s="47" t="str">
        <f t="shared" si="97"/>
        <v>0.0</v>
      </c>
      <c r="V91" s="47">
        <f t="shared" si="97"/>
        <v>4.2</v>
      </c>
      <c r="W91" s="47" t="str">
        <f t="shared" si="97"/>
        <v>0.0</v>
      </c>
      <c r="X91" s="47">
        <f t="shared" si="97"/>
        <v>13</v>
      </c>
      <c r="Y91" s="47">
        <f t="shared" si="97"/>
        <v>3.7</v>
      </c>
      <c r="Z91" s="47">
        <f t="shared" si="97"/>
        <v>4</v>
      </c>
      <c r="AA91" s="47">
        <f t="shared" si="97"/>
        <v>8.6</v>
      </c>
      <c r="AB91" s="47">
        <f t="shared" si="97"/>
        <v>6.7</v>
      </c>
      <c r="AC91" s="47" t="str">
        <f t="shared" si="97"/>
        <v>0.0</v>
      </c>
      <c r="AD91" s="47" t="str">
        <f t="shared" si="98"/>
        <v>0.0</v>
      </c>
      <c r="AE91" s="47">
        <f t="shared" si="98"/>
        <v>2.5</v>
      </c>
      <c r="AF91" s="47">
        <f t="shared" si="98"/>
        <v>2.9</v>
      </c>
      <c r="AG91" s="47">
        <f t="shared" si="98"/>
        <v>5.0999999999999996</v>
      </c>
      <c r="AH91" s="47">
        <f t="shared" si="98"/>
        <v>2.2999999999999998</v>
      </c>
      <c r="AI91" s="47">
        <f t="shared" si="98"/>
        <v>6.1</v>
      </c>
      <c r="AJ91" s="47">
        <f t="shared" si="98"/>
        <v>4.8</v>
      </c>
      <c r="AK91" s="47">
        <f t="shared" si="98"/>
        <v>7.5</v>
      </c>
      <c r="AL91" s="47">
        <f t="shared" si="98"/>
        <v>6.7</v>
      </c>
      <c r="AM91" s="47">
        <f t="shared" si="98"/>
        <v>2.2000000000000002</v>
      </c>
      <c r="BJ91" s="480"/>
      <c r="BK91" s="512"/>
      <c r="BL91" s="512"/>
      <c r="BM91" s="512" t="s">
        <v>49</v>
      </c>
      <c r="BN91" s="512" t="s">
        <v>51</v>
      </c>
      <c r="BO91" s="518" t="e">
        <f t="shared" ref="BO91:CH91" si="103">IF($BJ28,IFERROR(VLOOKUP(BO$22&amp;"Female"&amp;"AllEth"&amp;24&amp;$BM91,Methodstable,9,FALSE),"0.0"),NA())</f>
        <v>#N/A</v>
      </c>
      <c r="BP91" s="518" t="e">
        <f t="shared" si="103"/>
        <v>#N/A</v>
      </c>
      <c r="BQ91" s="518" t="e">
        <f t="shared" si="103"/>
        <v>#N/A</v>
      </c>
      <c r="BR91" s="518" t="e">
        <f t="shared" si="103"/>
        <v>#N/A</v>
      </c>
      <c r="BS91" s="518" t="e">
        <f t="shared" si="103"/>
        <v>#N/A</v>
      </c>
      <c r="BT91" s="518" t="e">
        <f t="shared" si="103"/>
        <v>#N/A</v>
      </c>
      <c r="BU91" s="518" t="e">
        <f t="shared" si="103"/>
        <v>#N/A</v>
      </c>
      <c r="BV91" s="518" t="e">
        <f t="shared" si="103"/>
        <v>#N/A</v>
      </c>
      <c r="BW91" s="518" t="e">
        <f t="shared" si="103"/>
        <v>#N/A</v>
      </c>
      <c r="BX91" s="518" t="e">
        <f t="shared" si="103"/>
        <v>#N/A</v>
      </c>
      <c r="BY91" s="518" t="e">
        <f t="shared" si="103"/>
        <v>#N/A</v>
      </c>
      <c r="BZ91" s="518" t="e">
        <f t="shared" si="103"/>
        <v>#N/A</v>
      </c>
      <c r="CA91" s="518" t="e">
        <f t="shared" si="103"/>
        <v>#N/A</v>
      </c>
      <c r="CB91" s="518" t="e">
        <f t="shared" si="103"/>
        <v>#N/A</v>
      </c>
      <c r="CC91" s="518" t="e">
        <f t="shared" si="103"/>
        <v>#N/A</v>
      </c>
      <c r="CD91" s="518" t="e">
        <f t="shared" si="103"/>
        <v>#N/A</v>
      </c>
      <c r="CE91" s="518" t="e">
        <f t="shared" si="103"/>
        <v>#N/A</v>
      </c>
      <c r="CF91" s="518" t="e">
        <f t="shared" si="103"/>
        <v>#N/A</v>
      </c>
      <c r="CG91" s="518" t="e">
        <f t="shared" si="103"/>
        <v>#N/A</v>
      </c>
      <c r="CH91" s="518" t="e">
        <f t="shared" si="103"/>
        <v>#N/A</v>
      </c>
    </row>
    <row r="92" spans="2:86" x14ac:dyDescent="0.2">
      <c r="P92" s="25"/>
      <c r="Q92" s="25"/>
      <c r="R92" s="24" t="s">
        <v>49</v>
      </c>
      <c r="S92" s="24"/>
      <c r="T92" s="47">
        <f t="shared" si="97"/>
        <v>9.1</v>
      </c>
      <c r="U92" s="47">
        <f t="shared" si="97"/>
        <v>7.7</v>
      </c>
      <c r="V92" s="47">
        <f t="shared" si="97"/>
        <v>4.2</v>
      </c>
      <c r="W92" s="47">
        <f t="shared" si="97"/>
        <v>14.3</v>
      </c>
      <c r="X92" s="47" t="str">
        <f t="shared" si="97"/>
        <v>0.0</v>
      </c>
      <c r="Y92" s="47">
        <f t="shared" si="97"/>
        <v>11.1</v>
      </c>
      <c r="Z92" s="47" t="str">
        <f t="shared" si="97"/>
        <v>0.0</v>
      </c>
      <c r="AA92" s="47">
        <f t="shared" si="97"/>
        <v>8.6</v>
      </c>
      <c r="AB92" s="47">
        <f t="shared" si="97"/>
        <v>3.3</v>
      </c>
      <c r="AC92" s="47">
        <f t="shared" si="97"/>
        <v>6.5</v>
      </c>
      <c r="AD92" s="47">
        <f t="shared" si="98"/>
        <v>3.2</v>
      </c>
      <c r="AE92" s="47">
        <f t="shared" si="98"/>
        <v>2.5</v>
      </c>
      <c r="AF92" s="47" t="str">
        <f t="shared" si="98"/>
        <v>0.0</v>
      </c>
      <c r="AG92" s="47">
        <f t="shared" si="98"/>
        <v>5.0999999999999996</v>
      </c>
      <c r="AH92" s="47">
        <f t="shared" si="98"/>
        <v>7</v>
      </c>
      <c r="AI92" s="47">
        <f t="shared" si="98"/>
        <v>9.1</v>
      </c>
      <c r="AJ92" s="47" t="str">
        <f t="shared" si="98"/>
        <v>0.0</v>
      </c>
      <c r="AK92" s="47">
        <f t="shared" si="98"/>
        <v>7.5</v>
      </c>
      <c r="AL92" s="47">
        <f t="shared" si="98"/>
        <v>2.2000000000000002</v>
      </c>
      <c r="AM92" s="47">
        <f t="shared" si="98"/>
        <v>4.4000000000000004</v>
      </c>
      <c r="BJ92" s="480"/>
      <c r="BK92" s="512"/>
      <c r="BL92" s="512"/>
      <c r="BM92" s="512" t="s">
        <v>48</v>
      </c>
      <c r="BN92" s="512" t="s">
        <v>51</v>
      </c>
      <c r="BO92" s="518" t="e">
        <f t="shared" ref="BO92:CH92" si="104">IF($BJ29,IFERROR(VLOOKUP(BO$22&amp;"Female"&amp;"AllEth"&amp;24&amp;$BM92,Methodstable,9,FALSE),"0.0"),NA())</f>
        <v>#N/A</v>
      </c>
      <c r="BP92" s="518" t="e">
        <f t="shared" si="104"/>
        <v>#N/A</v>
      </c>
      <c r="BQ92" s="518" t="e">
        <f t="shared" si="104"/>
        <v>#N/A</v>
      </c>
      <c r="BR92" s="518" t="e">
        <f t="shared" si="104"/>
        <v>#N/A</v>
      </c>
      <c r="BS92" s="518" t="e">
        <f t="shared" si="104"/>
        <v>#N/A</v>
      </c>
      <c r="BT92" s="518" t="e">
        <f t="shared" si="104"/>
        <v>#N/A</v>
      </c>
      <c r="BU92" s="518" t="e">
        <f t="shared" si="104"/>
        <v>#N/A</v>
      </c>
      <c r="BV92" s="518" t="e">
        <f t="shared" si="104"/>
        <v>#N/A</v>
      </c>
      <c r="BW92" s="518" t="e">
        <f t="shared" si="104"/>
        <v>#N/A</v>
      </c>
      <c r="BX92" s="518" t="e">
        <f t="shared" si="104"/>
        <v>#N/A</v>
      </c>
      <c r="BY92" s="518" t="e">
        <f t="shared" si="104"/>
        <v>#N/A</v>
      </c>
      <c r="BZ92" s="518" t="e">
        <f t="shared" si="104"/>
        <v>#N/A</v>
      </c>
      <c r="CA92" s="518" t="e">
        <f t="shared" si="104"/>
        <v>#N/A</v>
      </c>
      <c r="CB92" s="518" t="e">
        <f t="shared" si="104"/>
        <v>#N/A</v>
      </c>
      <c r="CC92" s="518" t="e">
        <f t="shared" si="104"/>
        <v>#N/A</v>
      </c>
      <c r="CD92" s="518" t="e">
        <f t="shared" si="104"/>
        <v>#N/A</v>
      </c>
      <c r="CE92" s="518" t="e">
        <f t="shared" si="104"/>
        <v>#N/A</v>
      </c>
      <c r="CF92" s="518" t="e">
        <f t="shared" si="104"/>
        <v>#N/A</v>
      </c>
      <c r="CG92" s="518" t="e">
        <f t="shared" si="104"/>
        <v>#N/A</v>
      </c>
      <c r="CH92" s="518" t="e">
        <f t="shared" si="104"/>
        <v>#N/A</v>
      </c>
    </row>
    <row r="93" spans="2:86" x14ac:dyDescent="0.2">
      <c r="P93" s="25"/>
      <c r="Q93" s="25"/>
      <c r="R93" s="24" t="s">
        <v>48</v>
      </c>
      <c r="S93" s="24"/>
      <c r="T93" s="47">
        <f t="shared" si="97"/>
        <v>9.1</v>
      </c>
      <c r="U93" s="47">
        <f t="shared" si="97"/>
        <v>3.8</v>
      </c>
      <c r="V93" s="47">
        <f t="shared" si="97"/>
        <v>4.2</v>
      </c>
      <c r="W93" s="47" t="str">
        <f t="shared" si="97"/>
        <v>0.0</v>
      </c>
      <c r="X93" s="47" t="str">
        <f t="shared" si="97"/>
        <v>0.0</v>
      </c>
      <c r="Y93" s="47" t="str">
        <f t="shared" si="97"/>
        <v>0.0</v>
      </c>
      <c r="Z93" s="47" t="str">
        <f t="shared" si="97"/>
        <v>0.0</v>
      </c>
      <c r="AA93" s="47">
        <f t="shared" si="97"/>
        <v>5.7</v>
      </c>
      <c r="AB93" s="47">
        <f t="shared" si="97"/>
        <v>6.7</v>
      </c>
      <c r="AC93" s="47">
        <f t="shared" si="97"/>
        <v>6.5</v>
      </c>
      <c r="AD93" s="47" t="str">
        <f t="shared" si="98"/>
        <v>0.0</v>
      </c>
      <c r="AE93" s="47" t="str">
        <f t="shared" si="98"/>
        <v>0.0</v>
      </c>
      <c r="AF93" s="47" t="str">
        <f t="shared" si="98"/>
        <v>0.0</v>
      </c>
      <c r="AG93" s="47">
        <f t="shared" si="98"/>
        <v>5.0999999999999996</v>
      </c>
      <c r="AH93" s="47">
        <f t="shared" si="98"/>
        <v>4.7</v>
      </c>
      <c r="AI93" s="47" t="str">
        <f t="shared" si="98"/>
        <v>0.0</v>
      </c>
      <c r="AJ93" s="47" t="str">
        <f t="shared" si="98"/>
        <v>0.0</v>
      </c>
      <c r="AK93" s="47">
        <f t="shared" si="98"/>
        <v>1.9</v>
      </c>
      <c r="AL93" s="47">
        <f t="shared" si="98"/>
        <v>6.7</v>
      </c>
      <c r="AM93" s="47" t="str">
        <f t="shared" si="98"/>
        <v>0.0</v>
      </c>
      <c r="BJ93" s="480"/>
      <c r="BK93" s="512"/>
      <c r="BL93" s="512"/>
      <c r="BM93" s="512" t="s">
        <v>45</v>
      </c>
      <c r="BN93" s="512" t="s">
        <v>51</v>
      </c>
      <c r="BO93" s="518" t="e">
        <f t="shared" ref="BO93:CH93" si="105">IF($BJ30,IFERROR(VLOOKUP(BO$22&amp;"Female"&amp;"AllEth"&amp;24&amp;$BM93,Methodstable,9,FALSE),"0.0"),NA())</f>
        <v>#N/A</v>
      </c>
      <c r="BP93" s="518" t="e">
        <f t="shared" si="105"/>
        <v>#N/A</v>
      </c>
      <c r="BQ93" s="518" t="e">
        <f t="shared" si="105"/>
        <v>#N/A</v>
      </c>
      <c r="BR93" s="518" t="e">
        <f t="shared" si="105"/>
        <v>#N/A</v>
      </c>
      <c r="BS93" s="518" t="e">
        <f t="shared" si="105"/>
        <v>#N/A</v>
      </c>
      <c r="BT93" s="518" t="e">
        <f t="shared" si="105"/>
        <v>#N/A</v>
      </c>
      <c r="BU93" s="518" t="e">
        <f t="shared" si="105"/>
        <v>#N/A</v>
      </c>
      <c r="BV93" s="518" t="e">
        <f t="shared" si="105"/>
        <v>#N/A</v>
      </c>
      <c r="BW93" s="518" t="e">
        <f t="shared" si="105"/>
        <v>#N/A</v>
      </c>
      <c r="BX93" s="518" t="e">
        <f t="shared" si="105"/>
        <v>#N/A</v>
      </c>
      <c r="BY93" s="518" t="e">
        <f t="shared" si="105"/>
        <v>#N/A</v>
      </c>
      <c r="BZ93" s="518" t="e">
        <f t="shared" si="105"/>
        <v>#N/A</v>
      </c>
      <c r="CA93" s="518" t="e">
        <f t="shared" si="105"/>
        <v>#N/A</v>
      </c>
      <c r="CB93" s="518" t="e">
        <f t="shared" si="105"/>
        <v>#N/A</v>
      </c>
      <c r="CC93" s="518" t="e">
        <f t="shared" si="105"/>
        <v>#N/A</v>
      </c>
      <c r="CD93" s="518" t="e">
        <f t="shared" si="105"/>
        <v>#N/A</v>
      </c>
      <c r="CE93" s="518" t="e">
        <f t="shared" si="105"/>
        <v>#N/A</v>
      </c>
      <c r="CF93" s="518" t="e">
        <f t="shared" si="105"/>
        <v>#N/A</v>
      </c>
      <c r="CG93" s="518" t="e">
        <f t="shared" si="105"/>
        <v>#N/A</v>
      </c>
      <c r="CH93" s="518" t="e">
        <f t="shared" si="105"/>
        <v>#N/A</v>
      </c>
    </row>
    <row r="94" spans="2:86" x14ac:dyDescent="0.2">
      <c r="P94" s="25"/>
      <c r="Q94" s="25"/>
      <c r="R94" s="24" t="s">
        <v>45</v>
      </c>
      <c r="S94" s="24"/>
      <c r="T94" s="47" t="str">
        <f t="shared" si="97"/>
        <v>0.0</v>
      </c>
      <c r="U94" s="47" t="str">
        <f t="shared" si="97"/>
        <v>0.0</v>
      </c>
      <c r="V94" s="47">
        <f t="shared" si="97"/>
        <v>4.2</v>
      </c>
      <c r="W94" s="47">
        <f t="shared" si="97"/>
        <v>4.8</v>
      </c>
      <c r="X94" s="47">
        <f t="shared" si="97"/>
        <v>4.3</v>
      </c>
      <c r="Y94" s="47">
        <f t="shared" si="97"/>
        <v>3.7</v>
      </c>
      <c r="Z94" s="47">
        <f t="shared" si="97"/>
        <v>8</v>
      </c>
      <c r="AA94" s="47">
        <f t="shared" si="97"/>
        <v>5.7</v>
      </c>
      <c r="AB94" s="47">
        <f t="shared" si="97"/>
        <v>3.3</v>
      </c>
      <c r="AC94" s="47" t="str">
        <f t="shared" si="97"/>
        <v>0.0</v>
      </c>
      <c r="AD94" s="47">
        <f t="shared" si="98"/>
        <v>3.2</v>
      </c>
      <c r="AE94" s="47">
        <f t="shared" si="98"/>
        <v>12.5</v>
      </c>
      <c r="AF94" s="47">
        <f t="shared" si="98"/>
        <v>8.8000000000000007</v>
      </c>
      <c r="AG94" s="47" t="str">
        <f t="shared" si="98"/>
        <v>0.0</v>
      </c>
      <c r="AH94" s="47">
        <f t="shared" si="98"/>
        <v>4.7</v>
      </c>
      <c r="AI94" s="47">
        <f t="shared" si="98"/>
        <v>6.1</v>
      </c>
      <c r="AJ94" s="47">
        <f t="shared" si="98"/>
        <v>7.1</v>
      </c>
      <c r="AK94" s="47">
        <f t="shared" si="98"/>
        <v>3.8</v>
      </c>
      <c r="AL94" s="47">
        <f t="shared" si="98"/>
        <v>2.2000000000000002</v>
      </c>
      <c r="AM94" s="47">
        <f t="shared" si="98"/>
        <v>8.9</v>
      </c>
      <c r="BJ94" s="480"/>
      <c r="BK94" s="512"/>
      <c r="BL94" s="512"/>
      <c r="BM94" s="512"/>
      <c r="BN94" s="512"/>
      <c r="BO94" s="512"/>
      <c r="BP94" s="512"/>
      <c r="BQ94" s="512"/>
      <c r="BR94" s="512"/>
      <c r="BS94" s="512"/>
      <c r="BT94" s="512"/>
      <c r="BU94" s="512"/>
      <c r="BV94" s="512"/>
      <c r="BW94" s="512"/>
      <c r="BX94" s="512"/>
      <c r="BY94" s="512"/>
      <c r="BZ94" s="512"/>
      <c r="CA94" s="512"/>
      <c r="CB94" s="512"/>
      <c r="CC94" s="512"/>
      <c r="CD94" s="512"/>
      <c r="CE94" s="512"/>
      <c r="CF94" s="512"/>
      <c r="CG94" s="512"/>
      <c r="CH94" s="512"/>
    </row>
    <row r="95" spans="2:86" x14ac:dyDescent="0.2">
      <c r="P95" s="28"/>
      <c r="Q95" s="28"/>
      <c r="R95" s="26"/>
      <c r="S95" s="26"/>
      <c r="T95" s="38"/>
      <c r="U95" s="38"/>
      <c r="V95" s="38"/>
      <c r="W95" s="38"/>
      <c r="X95" s="38"/>
      <c r="Y95" s="38"/>
      <c r="Z95" s="38"/>
      <c r="AA95" s="38"/>
      <c r="AB95" s="38"/>
      <c r="AC95" s="38"/>
      <c r="AD95" s="38"/>
      <c r="AE95" s="38"/>
      <c r="AF95" s="38"/>
      <c r="AG95" s="38"/>
      <c r="AH95" s="38"/>
      <c r="AI95" s="38"/>
      <c r="AJ95" s="38"/>
      <c r="AK95" s="38"/>
      <c r="AL95" s="38"/>
      <c r="AM95" s="38"/>
      <c r="BJ95" s="480"/>
      <c r="BK95" s="512" t="s">
        <v>8</v>
      </c>
      <c r="BL95" s="512" t="s">
        <v>26</v>
      </c>
      <c r="BM95" s="512" t="s">
        <v>43</v>
      </c>
      <c r="BN95" s="512" t="s">
        <v>51</v>
      </c>
      <c r="BO95" s="518">
        <f t="shared" ref="BO95:CH95" si="106">IF($BJ23,IFERROR(VLOOKUP(BO$22&amp;"Female"&amp;"AllEth"&amp;25&amp;$BM95,Methodstable,9,FALSE),"0.0"),NA())</f>
        <v>30.8</v>
      </c>
      <c r="BP95" s="518">
        <f t="shared" si="106"/>
        <v>12.5</v>
      </c>
      <c r="BQ95" s="518">
        <f t="shared" si="106"/>
        <v>25</v>
      </c>
      <c r="BR95" s="518">
        <f t="shared" si="106"/>
        <v>37.5</v>
      </c>
      <c r="BS95" s="518">
        <f t="shared" si="106"/>
        <v>16.7</v>
      </c>
      <c r="BT95" s="518">
        <f t="shared" si="106"/>
        <v>43.8</v>
      </c>
      <c r="BU95" s="518">
        <f t="shared" si="106"/>
        <v>25</v>
      </c>
      <c r="BV95" s="518">
        <f t="shared" si="106"/>
        <v>57.1</v>
      </c>
      <c r="BW95" s="518">
        <f t="shared" si="106"/>
        <v>22.2</v>
      </c>
      <c r="BX95" s="518">
        <f t="shared" si="106"/>
        <v>6.2</v>
      </c>
      <c r="BY95" s="518">
        <f t="shared" si="106"/>
        <v>44.4</v>
      </c>
      <c r="BZ95" s="518">
        <f t="shared" si="106"/>
        <v>62.5</v>
      </c>
      <c r="CA95" s="518">
        <f t="shared" si="106"/>
        <v>20</v>
      </c>
      <c r="CB95" s="518">
        <f t="shared" si="106"/>
        <v>30.8</v>
      </c>
      <c r="CC95" s="518">
        <f t="shared" si="106"/>
        <v>42.9</v>
      </c>
      <c r="CD95" s="518">
        <f t="shared" si="106"/>
        <v>42.9</v>
      </c>
      <c r="CE95" s="518">
        <f t="shared" si="106"/>
        <v>42.9</v>
      </c>
      <c r="CF95" s="518">
        <f t="shared" si="106"/>
        <v>25</v>
      </c>
      <c r="CG95" s="518">
        <f t="shared" si="106"/>
        <v>18.2</v>
      </c>
      <c r="CH95" s="518">
        <f t="shared" si="106"/>
        <v>31.2</v>
      </c>
    </row>
    <row r="96" spans="2:86" x14ac:dyDescent="0.2">
      <c r="P96" s="25" t="s">
        <v>8</v>
      </c>
      <c r="Q96" s="25" t="s">
        <v>26</v>
      </c>
      <c r="R96" s="24" t="s">
        <v>43</v>
      </c>
      <c r="S96" s="24" t="s">
        <v>366</v>
      </c>
      <c r="T96" s="36">
        <f t="shared" ref="T96:AC103" si="107">IFERROR(VLOOKUP(T$13&amp;"Female"&amp;"AllEth"&amp;25&amp;$R96,Methodstable,9,FALSE),"0.0")</f>
        <v>30.8</v>
      </c>
      <c r="U96" s="36">
        <f t="shared" si="107"/>
        <v>12.5</v>
      </c>
      <c r="V96" s="36">
        <f t="shared" si="107"/>
        <v>25</v>
      </c>
      <c r="W96" s="36">
        <f t="shared" si="107"/>
        <v>37.5</v>
      </c>
      <c r="X96" s="36">
        <f t="shared" si="107"/>
        <v>16.7</v>
      </c>
      <c r="Y96" s="36">
        <f t="shared" si="107"/>
        <v>43.8</v>
      </c>
      <c r="Z96" s="36">
        <f t="shared" si="107"/>
        <v>25</v>
      </c>
      <c r="AA96" s="36">
        <f t="shared" si="107"/>
        <v>57.1</v>
      </c>
      <c r="AB96" s="36">
        <f t="shared" si="107"/>
        <v>22.2</v>
      </c>
      <c r="AC96" s="36">
        <f t="shared" si="107"/>
        <v>6.2</v>
      </c>
      <c r="AD96" s="36">
        <f t="shared" ref="AD96:AM103" si="108">IFERROR(VLOOKUP(AD$13&amp;"Female"&amp;"AllEth"&amp;25&amp;$R96,Methodstable,9,FALSE),"0.0")</f>
        <v>44.4</v>
      </c>
      <c r="AE96" s="36">
        <f t="shared" si="108"/>
        <v>62.5</v>
      </c>
      <c r="AF96" s="36">
        <f t="shared" si="108"/>
        <v>20</v>
      </c>
      <c r="AG96" s="36">
        <f t="shared" si="108"/>
        <v>30.8</v>
      </c>
      <c r="AH96" s="36">
        <f t="shared" si="108"/>
        <v>42.9</v>
      </c>
      <c r="AI96" s="36">
        <f t="shared" si="108"/>
        <v>42.9</v>
      </c>
      <c r="AJ96" s="36">
        <f t="shared" si="108"/>
        <v>42.9</v>
      </c>
      <c r="AK96" s="36">
        <f t="shared" si="108"/>
        <v>25</v>
      </c>
      <c r="AL96" s="36">
        <f t="shared" si="108"/>
        <v>18.2</v>
      </c>
      <c r="AM96" s="36">
        <f t="shared" si="108"/>
        <v>31.2</v>
      </c>
      <c r="BJ96" s="480"/>
      <c r="BK96" s="512"/>
      <c r="BL96" s="512"/>
      <c r="BM96" s="512" t="s">
        <v>46</v>
      </c>
      <c r="BN96" s="512" t="s">
        <v>51</v>
      </c>
      <c r="BO96" s="518">
        <f t="shared" ref="BO96:CH96" si="109">IF($BJ24,IFERROR(VLOOKUP(BO$22&amp;"Female"&amp;"AllEth"&amp;25&amp;$BM96,Methodstable,9,FALSE),"0.0"),NA())</f>
        <v>15.4</v>
      </c>
      <c r="BP96" s="518" t="str">
        <f t="shared" si="109"/>
        <v>0.0</v>
      </c>
      <c r="BQ96" s="518">
        <f t="shared" si="109"/>
        <v>37.5</v>
      </c>
      <c r="BR96" s="518">
        <f t="shared" si="109"/>
        <v>12.5</v>
      </c>
      <c r="BS96" s="518">
        <f t="shared" si="109"/>
        <v>16.7</v>
      </c>
      <c r="BT96" s="518" t="str">
        <f t="shared" si="109"/>
        <v>0.0</v>
      </c>
      <c r="BU96" s="518">
        <f t="shared" si="109"/>
        <v>16.7</v>
      </c>
      <c r="BV96" s="518">
        <f t="shared" si="109"/>
        <v>14.3</v>
      </c>
      <c r="BW96" s="518">
        <f t="shared" si="109"/>
        <v>11.1</v>
      </c>
      <c r="BX96" s="518">
        <f t="shared" si="109"/>
        <v>18.8</v>
      </c>
      <c r="BY96" s="518">
        <f t="shared" si="109"/>
        <v>16.7</v>
      </c>
      <c r="BZ96" s="518">
        <f t="shared" si="109"/>
        <v>12.5</v>
      </c>
      <c r="CA96" s="518" t="str">
        <f t="shared" si="109"/>
        <v>0.0</v>
      </c>
      <c r="CB96" s="518">
        <f t="shared" si="109"/>
        <v>30.8</v>
      </c>
      <c r="CC96" s="518">
        <f t="shared" si="109"/>
        <v>7.1</v>
      </c>
      <c r="CD96" s="518" t="str">
        <f t="shared" si="109"/>
        <v>0.0</v>
      </c>
      <c r="CE96" s="518">
        <f t="shared" si="109"/>
        <v>7.1</v>
      </c>
      <c r="CF96" s="518" t="str">
        <f t="shared" si="109"/>
        <v>0.0</v>
      </c>
      <c r="CG96" s="518" t="str">
        <f t="shared" si="109"/>
        <v>0.0</v>
      </c>
      <c r="CH96" s="518">
        <f t="shared" si="109"/>
        <v>12.5</v>
      </c>
    </row>
    <row r="97" spans="16:86" x14ac:dyDescent="0.2">
      <c r="P97" s="25"/>
      <c r="Q97" s="25"/>
      <c r="R97" s="24" t="s">
        <v>46</v>
      </c>
      <c r="S97" s="24"/>
      <c r="T97" s="36">
        <f t="shared" si="107"/>
        <v>15.4</v>
      </c>
      <c r="U97" s="36" t="str">
        <f t="shared" si="107"/>
        <v>0.0</v>
      </c>
      <c r="V97" s="36">
        <f t="shared" si="107"/>
        <v>37.5</v>
      </c>
      <c r="W97" s="36">
        <f t="shared" si="107"/>
        <v>12.5</v>
      </c>
      <c r="X97" s="36">
        <f t="shared" si="107"/>
        <v>16.7</v>
      </c>
      <c r="Y97" s="36" t="str">
        <f t="shared" si="107"/>
        <v>0.0</v>
      </c>
      <c r="Z97" s="36">
        <f t="shared" si="107"/>
        <v>16.7</v>
      </c>
      <c r="AA97" s="36">
        <f t="shared" si="107"/>
        <v>14.3</v>
      </c>
      <c r="AB97" s="36">
        <f t="shared" si="107"/>
        <v>11.1</v>
      </c>
      <c r="AC97" s="36">
        <f t="shared" si="107"/>
        <v>18.8</v>
      </c>
      <c r="AD97" s="36">
        <f t="shared" si="108"/>
        <v>16.7</v>
      </c>
      <c r="AE97" s="36">
        <f t="shared" si="108"/>
        <v>12.5</v>
      </c>
      <c r="AF97" s="36" t="str">
        <f t="shared" si="108"/>
        <v>0.0</v>
      </c>
      <c r="AG97" s="36">
        <f t="shared" si="108"/>
        <v>30.8</v>
      </c>
      <c r="AH97" s="36">
        <f t="shared" si="108"/>
        <v>7.1</v>
      </c>
      <c r="AI97" s="36" t="str">
        <f t="shared" si="108"/>
        <v>0.0</v>
      </c>
      <c r="AJ97" s="36">
        <f t="shared" si="108"/>
        <v>7.1</v>
      </c>
      <c r="AK97" s="36" t="str">
        <f t="shared" si="108"/>
        <v>0.0</v>
      </c>
      <c r="AL97" s="36" t="str">
        <f t="shared" si="108"/>
        <v>0.0</v>
      </c>
      <c r="AM97" s="36">
        <f t="shared" si="108"/>
        <v>12.5</v>
      </c>
      <c r="BJ97" s="480"/>
      <c r="BK97" s="512"/>
      <c r="BL97" s="512"/>
      <c r="BM97" s="512" t="s">
        <v>47</v>
      </c>
      <c r="BN97" s="512" t="s">
        <v>51</v>
      </c>
      <c r="BO97" s="518">
        <f t="shared" ref="BO97:CH97" si="110">IF($BJ25,IFERROR(VLOOKUP(BO$22&amp;"Female"&amp;"AllEth"&amp;25&amp;$BM97,Methodstable,9,FALSE),"0.0"),NA())</f>
        <v>38.5</v>
      </c>
      <c r="BP97" s="518">
        <f t="shared" si="110"/>
        <v>50</v>
      </c>
      <c r="BQ97" s="518">
        <f t="shared" si="110"/>
        <v>18.8</v>
      </c>
      <c r="BR97" s="518">
        <f t="shared" si="110"/>
        <v>25</v>
      </c>
      <c r="BS97" s="518">
        <f t="shared" si="110"/>
        <v>50</v>
      </c>
      <c r="BT97" s="518">
        <f t="shared" si="110"/>
        <v>37.5</v>
      </c>
      <c r="BU97" s="518">
        <f t="shared" si="110"/>
        <v>25</v>
      </c>
      <c r="BV97" s="518">
        <f t="shared" si="110"/>
        <v>14.3</v>
      </c>
      <c r="BW97" s="518">
        <f t="shared" si="110"/>
        <v>55.6</v>
      </c>
      <c r="BX97" s="518">
        <f t="shared" si="110"/>
        <v>25</v>
      </c>
      <c r="BY97" s="518">
        <f t="shared" si="110"/>
        <v>16.7</v>
      </c>
      <c r="BZ97" s="518">
        <f t="shared" si="110"/>
        <v>12.5</v>
      </c>
      <c r="CA97" s="518">
        <f t="shared" si="110"/>
        <v>53.3</v>
      </c>
      <c r="CB97" s="518">
        <f t="shared" si="110"/>
        <v>30.8</v>
      </c>
      <c r="CC97" s="518">
        <f t="shared" si="110"/>
        <v>42.9</v>
      </c>
      <c r="CD97" s="518">
        <f t="shared" si="110"/>
        <v>42.9</v>
      </c>
      <c r="CE97" s="518">
        <f t="shared" si="110"/>
        <v>35.700000000000003</v>
      </c>
      <c r="CF97" s="518">
        <f t="shared" si="110"/>
        <v>75</v>
      </c>
      <c r="CG97" s="518">
        <f t="shared" si="110"/>
        <v>63.6</v>
      </c>
      <c r="CH97" s="518">
        <f t="shared" si="110"/>
        <v>37.5</v>
      </c>
    </row>
    <row r="98" spans="16:86" x14ac:dyDescent="0.2">
      <c r="P98" s="25"/>
      <c r="Q98" s="25"/>
      <c r="R98" s="24" t="s">
        <v>47</v>
      </c>
      <c r="S98" s="24"/>
      <c r="T98" s="36">
        <f t="shared" si="107"/>
        <v>38.5</v>
      </c>
      <c r="U98" s="36">
        <f t="shared" si="107"/>
        <v>50</v>
      </c>
      <c r="V98" s="36">
        <f t="shared" si="107"/>
        <v>18.8</v>
      </c>
      <c r="W98" s="36">
        <f t="shared" si="107"/>
        <v>25</v>
      </c>
      <c r="X98" s="36">
        <f t="shared" si="107"/>
        <v>50</v>
      </c>
      <c r="Y98" s="36">
        <f t="shared" si="107"/>
        <v>37.5</v>
      </c>
      <c r="Z98" s="36">
        <f t="shared" si="107"/>
        <v>25</v>
      </c>
      <c r="AA98" s="36">
        <f t="shared" si="107"/>
        <v>14.3</v>
      </c>
      <c r="AB98" s="36">
        <f t="shared" si="107"/>
        <v>55.6</v>
      </c>
      <c r="AC98" s="36">
        <f t="shared" si="107"/>
        <v>25</v>
      </c>
      <c r="AD98" s="36">
        <f t="shared" si="108"/>
        <v>16.7</v>
      </c>
      <c r="AE98" s="36">
        <f t="shared" si="108"/>
        <v>12.5</v>
      </c>
      <c r="AF98" s="36">
        <f t="shared" si="108"/>
        <v>53.3</v>
      </c>
      <c r="AG98" s="36">
        <f t="shared" si="108"/>
        <v>30.8</v>
      </c>
      <c r="AH98" s="36">
        <f t="shared" si="108"/>
        <v>42.9</v>
      </c>
      <c r="AI98" s="36">
        <f t="shared" si="108"/>
        <v>42.9</v>
      </c>
      <c r="AJ98" s="36">
        <f t="shared" si="108"/>
        <v>35.700000000000003</v>
      </c>
      <c r="AK98" s="36">
        <f t="shared" si="108"/>
        <v>75</v>
      </c>
      <c r="AL98" s="36">
        <f t="shared" si="108"/>
        <v>63.6</v>
      </c>
      <c r="AM98" s="36">
        <f t="shared" si="108"/>
        <v>37.5</v>
      </c>
      <c r="BJ98" s="480"/>
      <c r="BK98" s="512"/>
      <c r="BL98" s="512"/>
      <c r="BM98" s="512" t="s">
        <v>42</v>
      </c>
      <c r="BN98" s="512" t="s">
        <v>51</v>
      </c>
      <c r="BO98" s="518" t="str">
        <f t="shared" ref="BO98:CH98" si="111">IF($BJ26,IFERROR(VLOOKUP(BO$22&amp;"Female"&amp;"AllEth"&amp;25&amp;$BM98,Methodstable,9,FALSE),"0.0"),NA())</f>
        <v>0.0</v>
      </c>
      <c r="BP98" s="518" t="str">
        <f t="shared" si="111"/>
        <v>0.0</v>
      </c>
      <c r="BQ98" s="518" t="str">
        <f t="shared" si="111"/>
        <v>0.0</v>
      </c>
      <c r="BR98" s="518">
        <f t="shared" si="111"/>
        <v>6.2</v>
      </c>
      <c r="BS98" s="518" t="str">
        <f t="shared" si="111"/>
        <v>0.0</v>
      </c>
      <c r="BT98" s="518" t="str">
        <f t="shared" si="111"/>
        <v>0.0</v>
      </c>
      <c r="BU98" s="518" t="str">
        <f t="shared" si="111"/>
        <v>0.0</v>
      </c>
      <c r="BV98" s="518">
        <f t="shared" si="111"/>
        <v>9.5</v>
      </c>
      <c r="BW98" s="518" t="str">
        <f t="shared" si="111"/>
        <v>0.0</v>
      </c>
      <c r="BX98" s="518">
        <f t="shared" si="111"/>
        <v>6.2</v>
      </c>
      <c r="BY98" s="518" t="str">
        <f t="shared" si="111"/>
        <v>0.0</v>
      </c>
      <c r="BZ98" s="518" t="str">
        <f t="shared" si="111"/>
        <v>0.0</v>
      </c>
      <c r="CA98" s="518" t="str">
        <f t="shared" si="111"/>
        <v>0.0</v>
      </c>
      <c r="CB98" s="518" t="str">
        <f t="shared" si="111"/>
        <v>0.0</v>
      </c>
      <c r="CC98" s="518" t="str">
        <f t="shared" si="111"/>
        <v>0.0</v>
      </c>
      <c r="CD98" s="518" t="str">
        <f t="shared" si="111"/>
        <v>0.0</v>
      </c>
      <c r="CE98" s="518" t="str">
        <f t="shared" si="111"/>
        <v>0.0</v>
      </c>
      <c r="CF98" s="518" t="str">
        <f t="shared" si="111"/>
        <v>0.0</v>
      </c>
      <c r="CG98" s="518" t="str">
        <f t="shared" si="111"/>
        <v>0.0</v>
      </c>
      <c r="CH98" s="518" t="str">
        <f t="shared" si="111"/>
        <v>0.0</v>
      </c>
    </row>
    <row r="99" spans="16:86" x14ac:dyDescent="0.2">
      <c r="P99" s="25"/>
      <c r="Q99" s="25"/>
      <c r="R99" s="24" t="s">
        <v>42</v>
      </c>
      <c r="S99" s="24"/>
      <c r="T99" s="36" t="str">
        <f t="shared" si="107"/>
        <v>0.0</v>
      </c>
      <c r="U99" s="36" t="str">
        <f t="shared" si="107"/>
        <v>0.0</v>
      </c>
      <c r="V99" s="36" t="str">
        <f t="shared" si="107"/>
        <v>0.0</v>
      </c>
      <c r="W99" s="36">
        <f t="shared" si="107"/>
        <v>6.2</v>
      </c>
      <c r="X99" s="36" t="str">
        <f t="shared" si="107"/>
        <v>0.0</v>
      </c>
      <c r="Y99" s="36" t="str">
        <f t="shared" si="107"/>
        <v>0.0</v>
      </c>
      <c r="Z99" s="36" t="str">
        <f t="shared" si="107"/>
        <v>0.0</v>
      </c>
      <c r="AA99" s="36">
        <f t="shared" si="107"/>
        <v>9.5</v>
      </c>
      <c r="AB99" s="36" t="str">
        <f t="shared" si="107"/>
        <v>0.0</v>
      </c>
      <c r="AC99" s="36">
        <f t="shared" si="107"/>
        <v>6.2</v>
      </c>
      <c r="AD99" s="36" t="str">
        <f t="shared" si="108"/>
        <v>0.0</v>
      </c>
      <c r="AE99" s="36" t="str">
        <f t="shared" si="108"/>
        <v>0.0</v>
      </c>
      <c r="AF99" s="36" t="str">
        <f t="shared" si="108"/>
        <v>0.0</v>
      </c>
      <c r="AG99" s="36" t="str">
        <f t="shared" si="108"/>
        <v>0.0</v>
      </c>
      <c r="AH99" s="36" t="str">
        <f t="shared" si="108"/>
        <v>0.0</v>
      </c>
      <c r="AI99" s="36" t="str">
        <f t="shared" si="108"/>
        <v>0.0</v>
      </c>
      <c r="AJ99" s="36" t="str">
        <f t="shared" si="108"/>
        <v>0.0</v>
      </c>
      <c r="AK99" s="36" t="str">
        <f t="shared" si="108"/>
        <v>0.0</v>
      </c>
      <c r="AL99" s="36" t="str">
        <f t="shared" si="108"/>
        <v>0.0</v>
      </c>
      <c r="AM99" s="36" t="str">
        <f t="shared" si="108"/>
        <v>0.0</v>
      </c>
      <c r="BJ99" s="480"/>
      <c r="BK99" s="512"/>
      <c r="BL99" s="512"/>
      <c r="BM99" s="512" t="s">
        <v>44</v>
      </c>
      <c r="BN99" s="512" t="s">
        <v>51</v>
      </c>
      <c r="BO99" s="518" t="e">
        <f t="shared" ref="BO99:CH99" si="112">IF($BJ27,IFERROR(VLOOKUP(BO$22&amp;"Female"&amp;"AllEth"&amp;25&amp;$BM99,Methodstable,9,FALSE),"0.0"),NA())</f>
        <v>#N/A</v>
      </c>
      <c r="BP99" s="518" t="e">
        <f t="shared" si="112"/>
        <v>#N/A</v>
      </c>
      <c r="BQ99" s="518" t="e">
        <f t="shared" si="112"/>
        <v>#N/A</v>
      </c>
      <c r="BR99" s="518" t="e">
        <f t="shared" si="112"/>
        <v>#N/A</v>
      </c>
      <c r="BS99" s="518" t="e">
        <f t="shared" si="112"/>
        <v>#N/A</v>
      </c>
      <c r="BT99" s="518" t="e">
        <f t="shared" si="112"/>
        <v>#N/A</v>
      </c>
      <c r="BU99" s="518" t="e">
        <f t="shared" si="112"/>
        <v>#N/A</v>
      </c>
      <c r="BV99" s="518" t="e">
        <f t="shared" si="112"/>
        <v>#N/A</v>
      </c>
      <c r="BW99" s="518" t="e">
        <f t="shared" si="112"/>
        <v>#N/A</v>
      </c>
      <c r="BX99" s="518" t="e">
        <f t="shared" si="112"/>
        <v>#N/A</v>
      </c>
      <c r="BY99" s="518" t="e">
        <f t="shared" si="112"/>
        <v>#N/A</v>
      </c>
      <c r="BZ99" s="518" t="e">
        <f t="shared" si="112"/>
        <v>#N/A</v>
      </c>
      <c r="CA99" s="518" t="e">
        <f t="shared" si="112"/>
        <v>#N/A</v>
      </c>
      <c r="CB99" s="518" t="e">
        <f t="shared" si="112"/>
        <v>#N/A</v>
      </c>
      <c r="CC99" s="518" t="e">
        <f t="shared" si="112"/>
        <v>#N/A</v>
      </c>
      <c r="CD99" s="518" t="e">
        <f t="shared" si="112"/>
        <v>#N/A</v>
      </c>
      <c r="CE99" s="518" t="e">
        <f t="shared" si="112"/>
        <v>#N/A</v>
      </c>
      <c r="CF99" s="518" t="e">
        <f t="shared" si="112"/>
        <v>#N/A</v>
      </c>
      <c r="CG99" s="518" t="e">
        <f t="shared" si="112"/>
        <v>#N/A</v>
      </c>
      <c r="CH99" s="518" t="e">
        <f t="shared" si="112"/>
        <v>#N/A</v>
      </c>
    </row>
    <row r="100" spans="16:86" x14ac:dyDescent="0.2">
      <c r="P100" s="25"/>
      <c r="Q100" s="25"/>
      <c r="R100" s="24" t="s">
        <v>44</v>
      </c>
      <c r="S100" s="24"/>
      <c r="T100" s="36" t="str">
        <f t="shared" si="107"/>
        <v>0.0</v>
      </c>
      <c r="U100" s="36" t="str">
        <f t="shared" si="107"/>
        <v>0.0</v>
      </c>
      <c r="V100" s="36">
        <f t="shared" si="107"/>
        <v>6.2</v>
      </c>
      <c r="W100" s="36">
        <f t="shared" si="107"/>
        <v>12.5</v>
      </c>
      <c r="X100" s="36" t="str">
        <f t="shared" si="107"/>
        <v>0.0</v>
      </c>
      <c r="Y100" s="36">
        <f t="shared" si="107"/>
        <v>12.5</v>
      </c>
      <c r="Z100" s="36" t="str">
        <f t="shared" si="107"/>
        <v>0.0</v>
      </c>
      <c r="AA100" s="36" t="str">
        <f t="shared" si="107"/>
        <v>0.0</v>
      </c>
      <c r="AB100" s="36" t="str">
        <f t="shared" si="107"/>
        <v>0.0</v>
      </c>
      <c r="AC100" s="36" t="str">
        <f t="shared" si="107"/>
        <v>0.0</v>
      </c>
      <c r="AD100" s="36">
        <f t="shared" si="108"/>
        <v>11.1</v>
      </c>
      <c r="AE100" s="36" t="str">
        <f t="shared" si="108"/>
        <v>0.0</v>
      </c>
      <c r="AF100" s="36" t="str">
        <f t="shared" si="108"/>
        <v>0.0</v>
      </c>
      <c r="AG100" s="36" t="str">
        <f t="shared" si="108"/>
        <v>0.0</v>
      </c>
      <c r="AH100" s="36" t="str">
        <f t="shared" si="108"/>
        <v>0.0</v>
      </c>
      <c r="AI100" s="36" t="str">
        <f t="shared" si="108"/>
        <v>0.0</v>
      </c>
      <c r="AJ100" s="36">
        <f t="shared" si="108"/>
        <v>7.1</v>
      </c>
      <c r="AK100" s="36" t="str">
        <f t="shared" si="108"/>
        <v>0.0</v>
      </c>
      <c r="AL100" s="36">
        <f t="shared" si="108"/>
        <v>9.1</v>
      </c>
      <c r="AM100" s="36" t="str">
        <f t="shared" si="108"/>
        <v>0.0</v>
      </c>
      <c r="BJ100" s="480"/>
      <c r="BK100" s="512"/>
      <c r="BL100" s="512"/>
      <c r="BM100" s="512" t="s">
        <v>49</v>
      </c>
      <c r="BN100" s="512" t="s">
        <v>51</v>
      </c>
      <c r="BO100" s="518" t="e">
        <f t="shared" ref="BO100:CH100" si="113">IF($BJ28,IFERROR(VLOOKUP(BO$22&amp;"Female"&amp;"AllEth"&amp;25&amp;$BM100,Methodstable,9,FALSE),"0.0"),NA())</f>
        <v>#N/A</v>
      </c>
      <c r="BP100" s="518" t="e">
        <f t="shared" si="113"/>
        <v>#N/A</v>
      </c>
      <c r="BQ100" s="518" t="e">
        <f t="shared" si="113"/>
        <v>#N/A</v>
      </c>
      <c r="BR100" s="518" t="e">
        <f t="shared" si="113"/>
        <v>#N/A</v>
      </c>
      <c r="BS100" s="518" t="e">
        <f t="shared" si="113"/>
        <v>#N/A</v>
      </c>
      <c r="BT100" s="518" t="e">
        <f t="shared" si="113"/>
        <v>#N/A</v>
      </c>
      <c r="BU100" s="518" t="e">
        <f t="shared" si="113"/>
        <v>#N/A</v>
      </c>
      <c r="BV100" s="518" t="e">
        <f t="shared" si="113"/>
        <v>#N/A</v>
      </c>
      <c r="BW100" s="518" t="e">
        <f t="shared" si="113"/>
        <v>#N/A</v>
      </c>
      <c r="BX100" s="518" t="e">
        <f t="shared" si="113"/>
        <v>#N/A</v>
      </c>
      <c r="BY100" s="518" t="e">
        <f t="shared" si="113"/>
        <v>#N/A</v>
      </c>
      <c r="BZ100" s="518" t="e">
        <f t="shared" si="113"/>
        <v>#N/A</v>
      </c>
      <c r="CA100" s="518" t="e">
        <f t="shared" si="113"/>
        <v>#N/A</v>
      </c>
      <c r="CB100" s="518" t="e">
        <f t="shared" si="113"/>
        <v>#N/A</v>
      </c>
      <c r="CC100" s="518" t="e">
        <f t="shared" si="113"/>
        <v>#N/A</v>
      </c>
      <c r="CD100" s="518" t="e">
        <f t="shared" si="113"/>
        <v>#N/A</v>
      </c>
      <c r="CE100" s="518" t="e">
        <f t="shared" si="113"/>
        <v>#N/A</v>
      </c>
      <c r="CF100" s="518" t="e">
        <f t="shared" si="113"/>
        <v>#N/A</v>
      </c>
      <c r="CG100" s="518" t="e">
        <f t="shared" si="113"/>
        <v>#N/A</v>
      </c>
      <c r="CH100" s="518" t="e">
        <f t="shared" si="113"/>
        <v>#N/A</v>
      </c>
    </row>
    <row r="101" spans="16:86" x14ac:dyDescent="0.2">
      <c r="P101" s="25"/>
      <c r="Q101" s="25"/>
      <c r="R101" s="24" t="s">
        <v>49</v>
      </c>
      <c r="S101" s="24"/>
      <c r="T101" s="36">
        <f t="shared" si="107"/>
        <v>7.7</v>
      </c>
      <c r="U101" s="36">
        <f t="shared" si="107"/>
        <v>25</v>
      </c>
      <c r="V101" s="36">
        <f t="shared" si="107"/>
        <v>6.2</v>
      </c>
      <c r="W101" s="36">
        <f t="shared" si="107"/>
        <v>6.2</v>
      </c>
      <c r="X101" s="36" t="str">
        <f t="shared" si="107"/>
        <v>0.0</v>
      </c>
      <c r="Y101" s="36">
        <f t="shared" si="107"/>
        <v>6.2</v>
      </c>
      <c r="Z101" s="36">
        <f t="shared" si="107"/>
        <v>25</v>
      </c>
      <c r="AA101" s="36">
        <f t="shared" si="107"/>
        <v>4.8</v>
      </c>
      <c r="AB101" s="36" t="str">
        <f t="shared" si="107"/>
        <v>0.0</v>
      </c>
      <c r="AC101" s="36">
        <f t="shared" si="107"/>
        <v>31.2</v>
      </c>
      <c r="AD101" s="36">
        <f t="shared" si="108"/>
        <v>5.6</v>
      </c>
      <c r="AE101" s="36">
        <f t="shared" si="108"/>
        <v>12.5</v>
      </c>
      <c r="AF101" s="36">
        <f t="shared" si="108"/>
        <v>13.3</v>
      </c>
      <c r="AG101" s="36" t="str">
        <f t="shared" si="108"/>
        <v>0.0</v>
      </c>
      <c r="AH101" s="36" t="str">
        <f t="shared" si="108"/>
        <v>0.0</v>
      </c>
      <c r="AI101" s="36">
        <f t="shared" si="108"/>
        <v>14.3</v>
      </c>
      <c r="AJ101" s="36">
        <f t="shared" si="108"/>
        <v>7.1</v>
      </c>
      <c r="AK101" s="36" t="str">
        <f t="shared" si="108"/>
        <v>0.0</v>
      </c>
      <c r="AL101" s="36" t="str">
        <f t="shared" si="108"/>
        <v>0.0</v>
      </c>
      <c r="AM101" s="36">
        <f t="shared" si="108"/>
        <v>6.2</v>
      </c>
      <c r="BJ101" s="480"/>
      <c r="BK101" s="512"/>
      <c r="BL101" s="512"/>
      <c r="BM101" s="512" t="s">
        <v>48</v>
      </c>
      <c r="BN101" s="512" t="s">
        <v>51</v>
      </c>
      <c r="BO101" s="518" t="e">
        <f t="shared" ref="BO101:CH101" si="114">IF($BJ29,IFERROR(VLOOKUP(BO$22&amp;"Female"&amp;"AllEth"&amp;25&amp;$BM101,Methodstable,9,FALSE),"0.0"),NA())</f>
        <v>#N/A</v>
      </c>
      <c r="BP101" s="518" t="e">
        <f t="shared" si="114"/>
        <v>#N/A</v>
      </c>
      <c r="BQ101" s="518" t="e">
        <f t="shared" si="114"/>
        <v>#N/A</v>
      </c>
      <c r="BR101" s="518" t="e">
        <f t="shared" si="114"/>
        <v>#N/A</v>
      </c>
      <c r="BS101" s="518" t="e">
        <f t="shared" si="114"/>
        <v>#N/A</v>
      </c>
      <c r="BT101" s="518" t="e">
        <f t="shared" si="114"/>
        <v>#N/A</v>
      </c>
      <c r="BU101" s="518" t="e">
        <f t="shared" si="114"/>
        <v>#N/A</v>
      </c>
      <c r="BV101" s="518" t="e">
        <f t="shared" si="114"/>
        <v>#N/A</v>
      </c>
      <c r="BW101" s="518" t="e">
        <f t="shared" si="114"/>
        <v>#N/A</v>
      </c>
      <c r="BX101" s="518" t="e">
        <f t="shared" si="114"/>
        <v>#N/A</v>
      </c>
      <c r="BY101" s="518" t="e">
        <f t="shared" si="114"/>
        <v>#N/A</v>
      </c>
      <c r="BZ101" s="518" t="e">
        <f t="shared" si="114"/>
        <v>#N/A</v>
      </c>
      <c r="CA101" s="518" t="e">
        <f t="shared" si="114"/>
        <v>#N/A</v>
      </c>
      <c r="CB101" s="518" t="e">
        <f t="shared" si="114"/>
        <v>#N/A</v>
      </c>
      <c r="CC101" s="518" t="e">
        <f t="shared" si="114"/>
        <v>#N/A</v>
      </c>
      <c r="CD101" s="518" t="e">
        <f t="shared" si="114"/>
        <v>#N/A</v>
      </c>
      <c r="CE101" s="518" t="e">
        <f t="shared" si="114"/>
        <v>#N/A</v>
      </c>
      <c r="CF101" s="518" t="e">
        <f t="shared" si="114"/>
        <v>#N/A</v>
      </c>
      <c r="CG101" s="518" t="e">
        <f t="shared" si="114"/>
        <v>#N/A</v>
      </c>
      <c r="CH101" s="518" t="e">
        <f t="shared" si="114"/>
        <v>#N/A</v>
      </c>
    </row>
    <row r="102" spans="16:86" x14ac:dyDescent="0.2">
      <c r="P102" s="25"/>
      <c r="Q102" s="25"/>
      <c r="R102" s="24" t="s">
        <v>48</v>
      </c>
      <c r="S102" s="24"/>
      <c r="T102" s="36" t="str">
        <f t="shared" si="107"/>
        <v>0.0</v>
      </c>
      <c r="U102" s="36">
        <f t="shared" si="107"/>
        <v>12.5</v>
      </c>
      <c r="V102" s="36" t="str">
        <f t="shared" si="107"/>
        <v>0.0</v>
      </c>
      <c r="W102" s="36" t="str">
        <f t="shared" si="107"/>
        <v>0.0</v>
      </c>
      <c r="X102" s="36">
        <f t="shared" si="107"/>
        <v>16.7</v>
      </c>
      <c r="Y102" s="36" t="str">
        <f t="shared" si="107"/>
        <v>0.0</v>
      </c>
      <c r="Z102" s="36" t="str">
        <f t="shared" si="107"/>
        <v>0.0</v>
      </c>
      <c r="AA102" s="36" t="str">
        <f t="shared" si="107"/>
        <v>0.0</v>
      </c>
      <c r="AB102" s="36" t="str">
        <f t="shared" si="107"/>
        <v>0.0</v>
      </c>
      <c r="AC102" s="36" t="str">
        <f t="shared" si="107"/>
        <v>0.0</v>
      </c>
      <c r="AD102" s="36" t="str">
        <f t="shared" si="108"/>
        <v>0.0</v>
      </c>
      <c r="AE102" s="36" t="str">
        <f t="shared" si="108"/>
        <v>0.0</v>
      </c>
      <c r="AF102" s="36">
        <f t="shared" si="108"/>
        <v>6.7</v>
      </c>
      <c r="AG102" s="36" t="str">
        <f t="shared" si="108"/>
        <v>0.0</v>
      </c>
      <c r="AH102" s="36" t="str">
        <f t="shared" si="108"/>
        <v>0.0</v>
      </c>
      <c r="AI102" s="36" t="str">
        <f t="shared" si="108"/>
        <v>0.0</v>
      </c>
      <c r="AJ102" s="36" t="str">
        <f t="shared" si="108"/>
        <v>0.0</v>
      </c>
      <c r="AK102" s="36" t="str">
        <f t="shared" si="108"/>
        <v>0.0</v>
      </c>
      <c r="AL102" s="36">
        <f t="shared" si="108"/>
        <v>9.1</v>
      </c>
      <c r="AM102" s="36" t="str">
        <f t="shared" si="108"/>
        <v>0.0</v>
      </c>
      <c r="BJ102" s="480"/>
      <c r="BK102" s="512"/>
      <c r="BL102" s="512"/>
      <c r="BM102" s="512" t="s">
        <v>45</v>
      </c>
      <c r="BN102" s="512" t="s">
        <v>51</v>
      </c>
      <c r="BO102" s="518" t="e">
        <f t="shared" ref="BO102:CH102" si="115">IF($BJ30,IFERROR(VLOOKUP(BO$22&amp;"Female"&amp;"AllEth"&amp;25&amp;$BM102,Methodstable,9,FALSE),"0.0"),NA())</f>
        <v>#N/A</v>
      </c>
      <c r="BP102" s="518" t="e">
        <f t="shared" si="115"/>
        <v>#N/A</v>
      </c>
      <c r="BQ102" s="518" t="e">
        <f t="shared" si="115"/>
        <v>#N/A</v>
      </c>
      <c r="BR102" s="518" t="e">
        <f t="shared" si="115"/>
        <v>#N/A</v>
      </c>
      <c r="BS102" s="518" t="e">
        <f t="shared" si="115"/>
        <v>#N/A</v>
      </c>
      <c r="BT102" s="518" t="e">
        <f t="shared" si="115"/>
        <v>#N/A</v>
      </c>
      <c r="BU102" s="518" t="e">
        <f t="shared" si="115"/>
        <v>#N/A</v>
      </c>
      <c r="BV102" s="518" t="e">
        <f t="shared" si="115"/>
        <v>#N/A</v>
      </c>
      <c r="BW102" s="518" t="e">
        <f t="shared" si="115"/>
        <v>#N/A</v>
      </c>
      <c r="BX102" s="518" t="e">
        <f t="shared" si="115"/>
        <v>#N/A</v>
      </c>
      <c r="BY102" s="518" t="e">
        <f t="shared" si="115"/>
        <v>#N/A</v>
      </c>
      <c r="BZ102" s="518" t="e">
        <f t="shared" si="115"/>
        <v>#N/A</v>
      </c>
      <c r="CA102" s="518" t="e">
        <f t="shared" si="115"/>
        <v>#N/A</v>
      </c>
      <c r="CB102" s="518" t="e">
        <f t="shared" si="115"/>
        <v>#N/A</v>
      </c>
      <c r="CC102" s="518" t="e">
        <f t="shared" si="115"/>
        <v>#N/A</v>
      </c>
      <c r="CD102" s="518" t="e">
        <f t="shared" si="115"/>
        <v>#N/A</v>
      </c>
      <c r="CE102" s="518" t="e">
        <f t="shared" si="115"/>
        <v>#N/A</v>
      </c>
      <c r="CF102" s="518" t="e">
        <f t="shared" si="115"/>
        <v>#N/A</v>
      </c>
      <c r="CG102" s="518" t="e">
        <f t="shared" si="115"/>
        <v>#N/A</v>
      </c>
      <c r="CH102" s="518" t="e">
        <f t="shared" si="115"/>
        <v>#N/A</v>
      </c>
    </row>
    <row r="103" spans="16:86" x14ac:dyDescent="0.2">
      <c r="P103" s="25"/>
      <c r="Q103" s="25"/>
      <c r="R103" s="24" t="s">
        <v>45</v>
      </c>
      <c r="S103" s="24"/>
      <c r="T103" s="36">
        <f t="shared" si="107"/>
        <v>7.7</v>
      </c>
      <c r="U103" s="36" t="str">
        <f t="shared" si="107"/>
        <v>0.0</v>
      </c>
      <c r="V103" s="36">
        <f t="shared" si="107"/>
        <v>6.2</v>
      </c>
      <c r="W103" s="36" t="str">
        <f t="shared" si="107"/>
        <v>0.0</v>
      </c>
      <c r="X103" s="36" t="str">
        <f t="shared" si="107"/>
        <v>0.0</v>
      </c>
      <c r="Y103" s="36" t="str">
        <f t="shared" si="107"/>
        <v>0.0</v>
      </c>
      <c r="Z103" s="36">
        <f t="shared" si="107"/>
        <v>8.3000000000000007</v>
      </c>
      <c r="AA103" s="36" t="str">
        <f t="shared" si="107"/>
        <v>0.0</v>
      </c>
      <c r="AB103" s="36">
        <f t="shared" si="107"/>
        <v>11.1</v>
      </c>
      <c r="AC103" s="36">
        <f t="shared" si="107"/>
        <v>12.5</v>
      </c>
      <c r="AD103" s="36">
        <f t="shared" si="108"/>
        <v>5.6</v>
      </c>
      <c r="AE103" s="36" t="str">
        <f t="shared" si="108"/>
        <v>0.0</v>
      </c>
      <c r="AF103" s="36">
        <f t="shared" si="108"/>
        <v>6.7</v>
      </c>
      <c r="AG103" s="36">
        <f t="shared" si="108"/>
        <v>7.7</v>
      </c>
      <c r="AH103" s="36">
        <f t="shared" si="108"/>
        <v>7.1</v>
      </c>
      <c r="AI103" s="36" t="str">
        <f t="shared" si="108"/>
        <v>0.0</v>
      </c>
      <c r="AJ103" s="36" t="str">
        <f t="shared" si="108"/>
        <v>0.0</v>
      </c>
      <c r="AK103" s="36" t="str">
        <f t="shared" si="108"/>
        <v>0.0</v>
      </c>
      <c r="AL103" s="36" t="str">
        <f t="shared" si="108"/>
        <v>0.0</v>
      </c>
      <c r="AM103" s="36">
        <f t="shared" si="108"/>
        <v>12.5</v>
      </c>
      <c r="BJ103" s="480"/>
      <c r="BK103" s="512"/>
      <c r="BL103" s="512"/>
      <c r="BM103" s="512"/>
      <c r="BN103" s="512"/>
      <c r="BO103" s="512"/>
      <c r="BP103" s="512"/>
      <c r="BQ103" s="512"/>
      <c r="BR103" s="512"/>
      <c r="BS103" s="512"/>
      <c r="BT103" s="512"/>
      <c r="BU103" s="512"/>
      <c r="BV103" s="512"/>
      <c r="BW103" s="512"/>
      <c r="BX103" s="512"/>
      <c r="BY103" s="512"/>
      <c r="BZ103" s="512"/>
      <c r="CA103" s="512"/>
      <c r="CB103" s="512"/>
      <c r="CC103" s="512"/>
      <c r="CD103" s="512"/>
      <c r="CE103" s="512"/>
      <c r="CF103" s="512"/>
      <c r="CG103" s="512"/>
      <c r="CH103" s="512"/>
    </row>
    <row r="104" spans="16:86" x14ac:dyDescent="0.2">
      <c r="P104" s="45"/>
      <c r="Q104" s="45"/>
      <c r="T104" s="42"/>
      <c r="U104" s="42"/>
      <c r="V104" s="42"/>
      <c r="W104" s="42"/>
      <c r="X104" s="42"/>
      <c r="Y104" s="42"/>
      <c r="Z104" s="42"/>
      <c r="AA104" s="42"/>
      <c r="AB104" s="42"/>
      <c r="AC104" s="42"/>
      <c r="AD104" s="42"/>
      <c r="AE104" s="42"/>
      <c r="AF104" s="42"/>
      <c r="AG104" s="42"/>
      <c r="AH104" s="42"/>
      <c r="AI104" s="42"/>
      <c r="AJ104" s="42"/>
      <c r="AK104" s="42"/>
      <c r="AL104" s="42"/>
      <c r="AM104" s="42"/>
    </row>
    <row r="105" spans="16:86" x14ac:dyDescent="0.2">
      <c r="P105" s="51" t="s">
        <v>102</v>
      </c>
      <c r="T105" s="42"/>
      <c r="U105" s="42"/>
      <c r="V105" s="42"/>
      <c r="W105" s="42"/>
      <c r="X105" s="42"/>
      <c r="Y105" s="42"/>
      <c r="Z105" s="42"/>
      <c r="AA105" s="42"/>
      <c r="AB105" s="42"/>
      <c r="AC105" s="42"/>
      <c r="AD105" s="42"/>
      <c r="AE105" s="42"/>
      <c r="AF105" s="42"/>
      <c r="AG105" s="42"/>
      <c r="AH105" s="42"/>
      <c r="AI105" s="42"/>
      <c r="AJ105" s="42"/>
      <c r="AK105" s="42"/>
      <c r="AL105" s="42"/>
      <c r="AM105" s="42"/>
    </row>
    <row r="106" spans="16:86" x14ac:dyDescent="0.2">
      <c r="P106" s="20"/>
      <c r="Q106" s="20"/>
      <c r="R106" s="20"/>
      <c r="S106" s="20"/>
      <c r="T106" s="136"/>
      <c r="U106" s="136"/>
      <c r="V106" s="136"/>
      <c r="W106" s="136"/>
      <c r="X106" s="136"/>
      <c r="Y106" s="136"/>
      <c r="Z106" s="136"/>
      <c r="AA106" s="136"/>
      <c r="AB106" s="136"/>
      <c r="AC106" s="136"/>
      <c r="AD106" s="136"/>
      <c r="AE106" s="136"/>
      <c r="AF106" s="136"/>
      <c r="AG106" s="136"/>
      <c r="AH106" s="136"/>
      <c r="AI106" s="136"/>
      <c r="AJ106" s="136"/>
      <c r="AK106" s="136"/>
      <c r="AL106" s="136"/>
      <c r="AM106" s="136"/>
    </row>
    <row r="107" spans="16:86" x14ac:dyDescent="0.2">
      <c r="T107" s="42"/>
      <c r="U107" s="42"/>
      <c r="V107" s="42"/>
      <c r="W107" s="42"/>
      <c r="X107" s="42"/>
      <c r="Y107" s="42"/>
      <c r="Z107" s="42"/>
      <c r="AA107" s="42"/>
      <c r="AB107" s="42"/>
      <c r="AC107" s="42"/>
      <c r="AD107" s="42"/>
      <c r="AE107" s="42"/>
      <c r="AF107" s="42"/>
      <c r="AG107" s="42"/>
      <c r="AH107" s="42"/>
      <c r="AI107" s="42"/>
      <c r="AJ107" s="42"/>
      <c r="AK107" s="42"/>
      <c r="AL107" s="42"/>
      <c r="AM107" s="42"/>
    </row>
    <row r="108" spans="16:86" x14ac:dyDescent="0.2">
      <c r="T108" s="42"/>
      <c r="U108" s="42"/>
      <c r="V108" s="42"/>
      <c r="W108" s="42"/>
      <c r="X108" s="42"/>
      <c r="Y108" s="42"/>
      <c r="Z108" s="42"/>
      <c r="AA108" s="42"/>
      <c r="AB108" s="42"/>
      <c r="AC108" s="42"/>
      <c r="AD108" s="42"/>
      <c r="AE108" s="42"/>
      <c r="AF108" s="42"/>
      <c r="AG108" s="42"/>
      <c r="AH108" s="42"/>
      <c r="AI108" s="42"/>
      <c r="AJ108" s="42"/>
      <c r="AK108" s="42"/>
      <c r="AL108" s="42"/>
      <c r="AM108" s="42"/>
    </row>
    <row r="109" spans="16:86" x14ac:dyDescent="0.2">
      <c r="T109" s="42"/>
      <c r="U109" s="42"/>
      <c r="V109" s="42"/>
      <c r="W109" s="42"/>
      <c r="X109" s="42"/>
      <c r="Y109" s="42"/>
      <c r="Z109" s="42"/>
      <c r="AA109" s="42"/>
      <c r="AB109" s="42"/>
      <c r="AC109" s="42"/>
      <c r="AD109" s="42"/>
      <c r="AE109" s="42"/>
      <c r="AF109" s="42"/>
      <c r="AG109" s="42"/>
      <c r="AH109" s="42"/>
      <c r="AI109" s="42"/>
      <c r="AJ109" s="42"/>
      <c r="AK109" s="42"/>
      <c r="AL109" s="42"/>
      <c r="AM109" s="42"/>
    </row>
    <row r="110" spans="16:86" x14ac:dyDescent="0.2">
      <c r="T110" s="42"/>
      <c r="U110" s="42"/>
      <c r="V110" s="42"/>
      <c r="W110" s="42"/>
      <c r="X110" s="42"/>
      <c r="Y110" s="42"/>
      <c r="Z110" s="42"/>
      <c r="AA110" s="42"/>
      <c r="AB110" s="42"/>
      <c r="AC110" s="42"/>
      <c r="AD110" s="42"/>
      <c r="AE110" s="42"/>
      <c r="AF110" s="42"/>
      <c r="AG110" s="42"/>
      <c r="AH110" s="42"/>
      <c r="AI110" s="42"/>
      <c r="AJ110" s="42"/>
      <c r="AK110" s="42"/>
      <c r="AL110" s="42"/>
      <c r="AM110" s="42"/>
    </row>
    <row r="111" spans="16:86" x14ac:dyDescent="0.2">
      <c r="T111" s="42"/>
      <c r="U111" s="42"/>
      <c r="V111" s="42"/>
      <c r="W111" s="42"/>
      <c r="X111" s="42"/>
      <c r="Y111" s="42"/>
      <c r="Z111" s="42"/>
      <c r="AA111" s="42"/>
      <c r="AB111" s="42"/>
      <c r="AC111" s="42"/>
      <c r="AD111" s="42"/>
      <c r="AE111" s="42"/>
      <c r="AF111" s="42"/>
      <c r="AG111" s="42"/>
      <c r="AH111" s="42"/>
      <c r="AI111" s="42"/>
      <c r="AJ111" s="42"/>
      <c r="AK111" s="42"/>
      <c r="AL111" s="42"/>
      <c r="AM111" s="42"/>
    </row>
    <row r="112" spans="16:86" x14ac:dyDescent="0.2">
      <c r="T112" s="42"/>
      <c r="U112" s="42"/>
      <c r="V112" s="42"/>
      <c r="W112" s="42"/>
      <c r="X112" s="42"/>
      <c r="Y112" s="42"/>
      <c r="Z112" s="42"/>
      <c r="AA112" s="42"/>
      <c r="AB112" s="42"/>
      <c r="AC112" s="42"/>
      <c r="AD112" s="42"/>
      <c r="AE112" s="42"/>
      <c r="AF112" s="42"/>
      <c r="AG112" s="42"/>
      <c r="AH112" s="42"/>
      <c r="AI112" s="42"/>
      <c r="AJ112" s="42"/>
      <c r="AK112" s="42"/>
      <c r="AL112" s="42"/>
      <c r="AM112" s="42"/>
    </row>
    <row r="113" spans="20:39" x14ac:dyDescent="0.2">
      <c r="T113" s="42"/>
      <c r="U113" s="42"/>
      <c r="V113" s="42"/>
      <c r="W113" s="42"/>
      <c r="X113" s="42"/>
      <c r="Y113" s="42"/>
      <c r="Z113" s="42"/>
      <c r="AA113" s="42"/>
      <c r="AB113" s="42"/>
      <c r="AC113" s="42"/>
      <c r="AD113" s="42"/>
      <c r="AE113" s="42"/>
      <c r="AF113" s="42"/>
      <c r="AG113" s="42"/>
      <c r="AH113" s="42"/>
      <c r="AI113" s="42"/>
      <c r="AJ113" s="42"/>
      <c r="AK113" s="42"/>
      <c r="AL113" s="42"/>
      <c r="AM113" s="42"/>
    </row>
    <row r="114" spans="20:39" x14ac:dyDescent="0.2">
      <c r="T114" s="42"/>
      <c r="U114" s="42"/>
      <c r="V114" s="42"/>
      <c r="W114" s="42"/>
      <c r="X114" s="42"/>
      <c r="Y114" s="42"/>
      <c r="Z114" s="42"/>
      <c r="AA114" s="42"/>
      <c r="AB114" s="42"/>
      <c r="AC114" s="42"/>
      <c r="AD114" s="42"/>
      <c r="AE114" s="42"/>
      <c r="AF114" s="42"/>
      <c r="AG114" s="42"/>
      <c r="AH114" s="42"/>
      <c r="AI114" s="42"/>
      <c r="AJ114" s="42"/>
      <c r="AK114" s="42"/>
      <c r="AL114" s="42"/>
      <c r="AM114" s="42"/>
    </row>
    <row r="115" spans="20:39" x14ac:dyDescent="0.2">
      <c r="T115" s="42"/>
      <c r="U115" s="42"/>
      <c r="V115" s="42"/>
      <c r="W115" s="42"/>
      <c r="X115" s="42"/>
      <c r="Y115" s="42"/>
      <c r="Z115" s="42"/>
      <c r="AA115" s="42"/>
      <c r="AB115" s="42"/>
      <c r="AC115" s="42"/>
      <c r="AD115" s="42"/>
      <c r="AE115" s="42"/>
      <c r="AF115" s="42"/>
      <c r="AG115" s="42"/>
      <c r="AH115" s="42"/>
      <c r="AI115" s="42"/>
      <c r="AJ115" s="42"/>
      <c r="AK115" s="42"/>
      <c r="AL115" s="42"/>
      <c r="AM115" s="42"/>
    </row>
    <row r="116" spans="20:39" x14ac:dyDescent="0.2">
      <c r="T116" s="42"/>
      <c r="U116" s="42"/>
      <c r="V116" s="42"/>
      <c r="W116" s="42"/>
      <c r="X116" s="42"/>
      <c r="Y116" s="42"/>
      <c r="Z116" s="42"/>
      <c r="AA116" s="42"/>
      <c r="AB116" s="42"/>
      <c r="AC116" s="42"/>
      <c r="AD116" s="42"/>
      <c r="AE116" s="42"/>
      <c r="AF116" s="42"/>
      <c r="AG116" s="42"/>
      <c r="AH116" s="42"/>
      <c r="AI116" s="42"/>
      <c r="AJ116" s="42"/>
      <c r="AK116" s="42"/>
      <c r="AL116" s="42"/>
      <c r="AM116" s="42"/>
    </row>
    <row r="117" spans="20:39" x14ac:dyDescent="0.2">
      <c r="T117" s="42"/>
      <c r="U117" s="42"/>
      <c r="V117" s="42"/>
      <c r="W117" s="42"/>
      <c r="X117" s="42"/>
      <c r="Y117" s="42"/>
      <c r="Z117" s="42"/>
      <c r="AA117" s="42"/>
      <c r="AB117" s="42"/>
      <c r="AC117" s="42"/>
      <c r="AD117" s="42"/>
      <c r="AE117" s="42"/>
      <c r="AF117" s="42"/>
      <c r="AG117" s="42"/>
      <c r="AH117" s="42"/>
      <c r="AI117" s="42"/>
      <c r="AJ117" s="42"/>
      <c r="AK117" s="42"/>
      <c r="AL117" s="42"/>
      <c r="AM117" s="42"/>
    </row>
    <row r="118" spans="20:39" x14ac:dyDescent="0.2">
      <c r="T118" s="42"/>
      <c r="U118" s="42"/>
      <c r="V118" s="42"/>
      <c r="W118" s="42"/>
      <c r="X118" s="42"/>
      <c r="Y118" s="42"/>
      <c r="Z118" s="42"/>
      <c r="AA118" s="42"/>
      <c r="AB118" s="42"/>
      <c r="AC118" s="42"/>
      <c r="AD118" s="42"/>
      <c r="AE118" s="42"/>
      <c r="AF118" s="42"/>
      <c r="AG118" s="42"/>
      <c r="AH118" s="42"/>
      <c r="AI118" s="42"/>
      <c r="AJ118" s="42"/>
      <c r="AK118" s="42"/>
      <c r="AL118" s="42"/>
      <c r="AM118" s="42"/>
    </row>
    <row r="119" spans="20:39" x14ac:dyDescent="0.2">
      <c r="T119" s="42"/>
      <c r="U119" s="42"/>
      <c r="V119" s="42"/>
      <c r="W119" s="42"/>
      <c r="X119" s="42"/>
      <c r="Y119" s="42"/>
      <c r="Z119" s="42"/>
      <c r="AA119" s="42"/>
      <c r="AB119" s="42"/>
      <c r="AC119" s="42"/>
      <c r="AD119" s="42"/>
      <c r="AE119" s="42"/>
      <c r="AF119" s="42"/>
      <c r="AG119" s="42"/>
      <c r="AH119" s="42"/>
      <c r="AI119" s="42"/>
      <c r="AJ119" s="42"/>
      <c r="AK119" s="42"/>
      <c r="AL119" s="42"/>
      <c r="AM119" s="42"/>
    </row>
    <row r="120" spans="20:39" x14ac:dyDescent="0.2">
      <c r="T120" s="42"/>
      <c r="U120" s="42"/>
      <c r="V120" s="42"/>
      <c r="W120" s="42"/>
      <c r="X120" s="42"/>
      <c r="Y120" s="42"/>
      <c r="Z120" s="42"/>
      <c r="AA120" s="42"/>
      <c r="AB120" s="42"/>
      <c r="AC120" s="42"/>
      <c r="AD120" s="42"/>
      <c r="AE120" s="42"/>
      <c r="AF120" s="42"/>
      <c r="AG120" s="42"/>
      <c r="AH120" s="42"/>
      <c r="AI120" s="42"/>
      <c r="AJ120" s="42"/>
      <c r="AK120" s="42"/>
      <c r="AL120" s="42"/>
      <c r="AM120" s="42"/>
    </row>
  </sheetData>
  <hyperlinks>
    <hyperlink ref="P1" location="'Key findings'!A1" display="Back to Key Findings"/>
    <hyperlink ref="P2" location="'MĀORI NON-MĀORI'!A200" display="See distribution of methods used by Māori and non-Māori"/>
    <hyperlink ref="N62" location="'MĀORI NON-MĀORI'!A200" display="See distribution of methods used by Māori and non-Māori"/>
    <hyperlink ref="P4" location="'Ethnic group'!A150" display="See distribution of methods used by ethnic groups"/>
  </hyperlinks>
  <pageMargins left="0.25" right="0.25" top="0.75" bottom="0.75" header="0.3" footer="0.3"/>
  <pageSetup paperSize="9" scale="34" orientation="landscape" r:id="rId1"/>
  <rowBreaks count="1" manualBreakCount="1">
    <brk id="31"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12</xdr:col>
                    <xdr:colOff>238125</xdr:colOff>
                    <xdr:row>10</xdr:row>
                    <xdr:rowOff>104775</xdr:rowOff>
                  </from>
                  <to>
                    <xdr:col>12</xdr:col>
                    <xdr:colOff>542925</xdr:colOff>
                    <xdr:row>12</xdr:row>
                    <xdr:rowOff>28575</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12</xdr:col>
                    <xdr:colOff>238125</xdr:colOff>
                    <xdr:row>12</xdr:row>
                    <xdr:rowOff>19050</xdr:rowOff>
                  </from>
                  <to>
                    <xdr:col>12</xdr:col>
                    <xdr:colOff>419100</xdr:colOff>
                    <xdr:row>13</xdr:row>
                    <xdr:rowOff>85725</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12</xdr:col>
                    <xdr:colOff>238125</xdr:colOff>
                    <xdr:row>13</xdr:row>
                    <xdr:rowOff>66675</xdr:rowOff>
                  </from>
                  <to>
                    <xdr:col>12</xdr:col>
                    <xdr:colOff>466725</xdr:colOff>
                    <xdr:row>14</xdr:row>
                    <xdr:rowOff>95250</xdr:rowOff>
                  </to>
                </anchor>
              </controlPr>
            </control>
          </mc:Choice>
        </mc:AlternateContent>
        <mc:AlternateContent xmlns:mc="http://schemas.openxmlformats.org/markup-compatibility/2006">
          <mc:Choice Requires="x14">
            <control shapeId="3079" r:id="rId7" name="Check Box 7">
              <controlPr defaultSize="0" autoFill="0" autoLine="0" autoPict="0">
                <anchor moveWithCells="1">
                  <from>
                    <xdr:col>12</xdr:col>
                    <xdr:colOff>238125</xdr:colOff>
                    <xdr:row>14</xdr:row>
                    <xdr:rowOff>85725</xdr:rowOff>
                  </from>
                  <to>
                    <xdr:col>12</xdr:col>
                    <xdr:colOff>447675</xdr:colOff>
                    <xdr:row>15</xdr:row>
                    <xdr:rowOff>123825</xdr:rowOff>
                  </to>
                </anchor>
              </controlPr>
            </control>
          </mc:Choice>
        </mc:AlternateContent>
        <mc:AlternateContent xmlns:mc="http://schemas.openxmlformats.org/markup-compatibility/2006">
          <mc:Choice Requires="x14">
            <control shapeId="3080" r:id="rId8" name="Check Box 8">
              <controlPr defaultSize="0" autoFill="0" autoLine="0" autoPict="0">
                <anchor moveWithCells="1">
                  <from>
                    <xdr:col>12</xdr:col>
                    <xdr:colOff>238125</xdr:colOff>
                    <xdr:row>15</xdr:row>
                    <xdr:rowOff>95250</xdr:rowOff>
                  </from>
                  <to>
                    <xdr:col>12</xdr:col>
                    <xdr:colOff>438150</xdr:colOff>
                    <xdr:row>17</xdr:row>
                    <xdr:rowOff>28575</xdr:rowOff>
                  </to>
                </anchor>
              </controlPr>
            </control>
          </mc:Choice>
        </mc:AlternateContent>
        <mc:AlternateContent xmlns:mc="http://schemas.openxmlformats.org/markup-compatibility/2006">
          <mc:Choice Requires="x14">
            <control shapeId="3081" r:id="rId9" name="Check Box 9">
              <controlPr defaultSize="0" autoFill="0" autoLine="0" autoPict="0">
                <anchor moveWithCells="1">
                  <from>
                    <xdr:col>12</xdr:col>
                    <xdr:colOff>238125</xdr:colOff>
                    <xdr:row>16</xdr:row>
                    <xdr:rowOff>152400</xdr:rowOff>
                  </from>
                  <to>
                    <xdr:col>12</xdr:col>
                    <xdr:colOff>438150</xdr:colOff>
                    <xdr:row>18</xdr:row>
                    <xdr:rowOff>47625</xdr:rowOff>
                  </to>
                </anchor>
              </controlPr>
            </control>
          </mc:Choice>
        </mc:AlternateContent>
        <mc:AlternateContent xmlns:mc="http://schemas.openxmlformats.org/markup-compatibility/2006">
          <mc:Choice Requires="x14">
            <control shapeId="3083" r:id="rId10" name="Check Box 11">
              <controlPr defaultSize="0" autoFill="0" autoLine="0" autoPict="0">
                <anchor moveWithCells="1">
                  <from>
                    <xdr:col>12</xdr:col>
                    <xdr:colOff>238125</xdr:colOff>
                    <xdr:row>19</xdr:row>
                    <xdr:rowOff>95250</xdr:rowOff>
                  </from>
                  <to>
                    <xdr:col>12</xdr:col>
                    <xdr:colOff>447675</xdr:colOff>
                    <xdr:row>21</xdr:row>
                    <xdr:rowOff>0</xdr:rowOff>
                  </to>
                </anchor>
              </controlPr>
            </control>
          </mc:Choice>
        </mc:AlternateContent>
        <mc:AlternateContent xmlns:mc="http://schemas.openxmlformats.org/markup-compatibility/2006">
          <mc:Choice Requires="x14">
            <control shapeId="3084" r:id="rId11" name="Check Box 12">
              <controlPr defaultSize="0" autoFill="0" autoLine="0" autoPict="0">
                <anchor moveWithCells="1">
                  <from>
                    <xdr:col>12</xdr:col>
                    <xdr:colOff>238125</xdr:colOff>
                    <xdr:row>18</xdr:row>
                    <xdr:rowOff>38100</xdr:rowOff>
                  </from>
                  <to>
                    <xdr:col>12</xdr:col>
                    <xdr:colOff>447675</xdr:colOff>
                    <xdr:row>19</xdr:row>
                    <xdr:rowOff>104775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H133"/>
  <sheetViews>
    <sheetView showGridLines="0" zoomScaleNormal="100" workbookViewId="0">
      <selection activeCell="Z76" sqref="Z76"/>
    </sheetView>
  </sheetViews>
  <sheetFormatPr defaultRowHeight="12.75" x14ac:dyDescent="0.2"/>
  <cols>
    <col min="1" max="1" width="9.140625" style="180"/>
    <col min="2" max="2" width="2.5703125" style="180" customWidth="1"/>
    <col min="3" max="3" width="9.140625" style="180" customWidth="1"/>
    <col min="4" max="18" width="9.140625" style="180"/>
    <col min="19" max="19" width="2.85546875" style="180" customWidth="1"/>
    <col min="20" max="20" width="3.42578125" style="180" customWidth="1"/>
    <col min="21" max="21" width="7.7109375" style="180" customWidth="1"/>
    <col min="22" max="22" width="6.7109375" style="180" customWidth="1"/>
    <col min="23" max="23" width="9.140625" style="181"/>
    <col min="24" max="24" width="19.7109375" style="180" customWidth="1"/>
    <col min="25" max="25" width="23.28515625" style="180" customWidth="1"/>
    <col min="26" max="26" width="9.85546875" style="180" customWidth="1"/>
    <col min="27" max="27" width="10.7109375" style="180" customWidth="1"/>
    <col min="28" max="28" width="10.28515625" style="180" customWidth="1"/>
    <col min="29" max="16384" width="9.140625" style="180"/>
  </cols>
  <sheetData>
    <row r="1" spans="2:47" x14ac:dyDescent="0.2">
      <c r="W1" s="186" t="s">
        <v>505</v>
      </c>
    </row>
    <row r="2" spans="2:47" ht="23.25" x14ac:dyDescent="0.2">
      <c r="C2" s="185" t="s">
        <v>343</v>
      </c>
      <c r="D2" s="177"/>
      <c r="E2" s="177"/>
      <c r="F2" s="177"/>
      <c r="G2" s="177"/>
      <c r="H2" s="177"/>
      <c r="I2" s="177"/>
      <c r="J2" s="177"/>
      <c r="K2" s="177"/>
      <c r="L2" s="177"/>
    </row>
    <row r="3" spans="2:47" x14ac:dyDescent="0.2">
      <c r="M3" s="177"/>
    </row>
    <row r="4" spans="2:47" x14ac:dyDescent="0.2">
      <c r="C4" s="177"/>
      <c r="D4" s="177"/>
      <c r="E4" s="177"/>
      <c r="F4" s="177"/>
      <c r="G4" s="177"/>
      <c r="H4" s="177"/>
      <c r="I4" s="177"/>
      <c r="J4" s="177"/>
      <c r="K4" s="177"/>
      <c r="L4" s="177"/>
      <c r="M4" s="177"/>
      <c r="N4" s="177"/>
      <c r="V4" s="407"/>
      <c r="W4" s="472"/>
      <c r="X4" s="407"/>
      <c r="Y4" s="407"/>
    </row>
    <row r="5" spans="2:47" ht="16.5" customHeight="1" x14ac:dyDescent="0.2">
      <c r="C5" s="549" t="s">
        <v>615</v>
      </c>
      <c r="D5" s="570"/>
      <c r="E5" s="570"/>
      <c r="F5" s="570"/>
      <c r="G5" s="570"/>
      <c r="H5" s="570"/>
      <c r="I5" s="570"/>
      <c r="J5" s="570"/>
      <c r="K5" s="570"/>
      <c r="L5" s="570"/>
      <c r="M5" s="570"/>
      <c r="N5" s="570"/>
      <c r="O5" s="571"/>
      <c r="P5" s="571"/>
      <c r="Q5" s="571"/>
      <c r="R5" s="571"/>
      <c r="V5" s="407"/>
      <c r="W5" s="472"/>
      <c r="X5" s="407"/>
      <c r="Y5" s="407"/>
    </row>
    <row r="6" spans="2:47" ht="30" customHeight="1" x14ac:dyDescent="0.2">
      <c r="C6" s="549" t="s">
        <v>616</v>
      </c>
      <c r="D6" s="571"/>
      <c r="E6" s="571"/>
      <c r="F6" s="571"/>
      <c r="G6" s="571"/>
      <c r="H6" s="571"/>
      <c r="I6" s="571"/>
      <c r="J6" s="571"/>
      <c r="K6" s="571"/>
      <c r="L6" s="571"/>
      <c r="M6" s="571"/>
      <c r="N6" s="571"/>
      <c r="O6" s="571"/>
      <c r="P6" s="571"/>
      <c r="Q6" s="571"/>
      <c r="R6" s="571"/>
      <c r="V6" s="407"/>
      <c r="W6" s="472"/>
      <c r="X6" s="407"/>
      <c r="Y6" s="407"/>
    </row>
    <row r="7" spans="2:47" ht="30" customHeight="1" x14ac:dyDescent="0.2">
      <c r="C7" s="549" t="s">
        <v>636</v>
      </c>
      <c r="D7" s="571"/>
      <c r="E7" s="571"/>
      <c r="F7" s="571"/>
      <c r="G7" s="571"/>
      <c r="H7" s="571"/>
      <c r="I7" s="571"/>
      <c r="J7" s="571"/>
      <c r="K7" s="571"/>
      <c r="L7" s="571"/>
      <c r="M7" s="571"/>
      <c r="N7" s="571"/>
      <c r="O7" s="571"/>
      <c r="P7" s="571"/>
      <c r="Q7" s="571"/>
      <c r="R7" s="571"/>
      <c r="V7" s="407"/>
      <c r="W7" s="472"/>
      <c r="X7" s="407"/>
      <c r="Y7" s="407"/>
    </row>
    <row r="8" spans="2:47" ht="50.25" customHeight="1" x14ac:dyDescent="0.2">
      <c r="C8" s="549" t="s">
        <v>645</v>
      </c>
      <c r="D8" s="571"/>
      <c r="E8" s="571"/>
      <c r="F8" s="571"/>
      <c r="G8" s="571"/>
      <c r="H8" s="571"/>
      <c r="I8" s="571"/>
      <c r="J8" s="571"/>
      <c r="K8" s="571"/>
      <c r="L8" s="571"/>
      <c r="M8" s="571"/>
      <c r="N8" s="571"/>
      <c r="O8" s="571"/>
      <c r="P8" s="571"/>
      <c r="Q8" s="571"/>
      <c r="R8" s="571"/>
      <c r="V8" s="407"/>
      <c r="W8" s="472"/>
      <c r="X8" s="407"/>
      <c r="Y8" s="407"/>
    </row>
    <row r="9" spans="2:47" ht="14.25" customHeight="1" x14ac:dyDescent="0.2">
      <c r="B9" s="71"/>
      <c r="C9" s="162"/>
      <c r="D9" s="175"/>
      <c r="E9" s="175"/>
      <c r="F9" s="175"/>
      <c r="G9" s="175"/>
      <c r="H9" s="175"/>
      <c r="I9" s="175"/>
      <c r="J9" s="175"/>
      <c r="K9" s="175"/>
      <c r="L9" s="175"/>
      <c r="M9" s="175"/>
      <c r="N9" s="175"/>
      <c r="O9" s="321"/>
      <c r="P9" s="321"/>
      <c r="Q9" s="321"/>
      <c r="R9" s="321"/>
      <c r="S9" s="71"/>
      <c r="W9" s="565" t="s">
        <v>609</v>
      </c>
      <c r="X9" s="525"/>
      <c r="Y9" s="525"/>
      <c r="Z9" s="525"/>
      <c r="AA9" s="525"/>
      <c r="AB9" s="525"/>
      <c r="AC9" s="201"/>
      <c r="AD9" s="201"/>
      <c r="AE9" s="201"/>
      <c r="AF9" s="201"/>
      <c r="AG9" s="201"/>
      <c r="AH9" s="201"/>
      <c r="AI9" s="201"/>
      <c r="AJ9" s="201"/>
      <c r="AK9" s="201"/>
      <c r="AL9" s="201"/>
      <c r="AM9" s="201"/>
      <c r="AN9" s="201"/>
      <c r="AO9" s="201"/>
      <c r="AP9" s="201"/>
      <c r="AQ9" s="201"/>
      <c r="AR9" s="201"/>
      <c r="AS9" s="201"/>
      <c r="AT9" s="201"/>
      <c r="AU9" s="201"/>
    </row>
    <row r="10" spans="2:47" ht="24" customHeight="1" x14ac:dyDescent="0.2">
      <c r="B10" s="71"/>
      <c r="C10" s="555" t="s">
        <v>610</v>
      </c>
      <c r="D10" s="525"/>
      <c r="E10" s="525"/>
      <c r="F10" s="525"/>
      <c r="G10" s="525"/>
      <c r="H10" s="525"/>
      <c r="I10" s="525"/>
      <c r="J10" s="525"/>
      <c r="K10" s="525"/>
      <c r="L10" s="525"/>
      <c r="M10" s="525"/>
      <c r="N10" s="525"/>
      <c r="O10" s="525"/>
      <c r="P10" s="525"/>
      <c r="Q10" s="71"/>
      <c r="R10" s="71"/>
      <c r="S10" s="71"/>
      <c r="W10" s="525"/>
      <c r="X10" s="525"/>
      <c r="Y10" s="525"/>
      <c r="Z10" s="525"/>
      <c r="AA10" s="525"/>
      <c r="AB10" s="525"/>
      <c r="AD10" s="407"/>
      <c r="AE10" s="407"/>
      <c r="AF10" s="407"/>
      <c r="AG10" s="407"/>
      <c r="AH10" s="407"/>
      <c r="AI10" s="407"/>
      <c r="AJ10" s="407"/>
      <c r="AK10" s="407"/>
      <c r="AL10" s="407"/>
      <c r="AM10" s="407"/>
      <c r="AN10" s="407"/>
      <c r="AO10" s="407"/>
      <c r="AP10" s="407"/>
      <c r="AQ10" s="407"/>
    </row>
    <row r="11" spans="2:47" ht="13.5" customHeight="1" x14ac:dyDescent="0.2">
      <c r="B11" s="71"/>
      <c r="C11" s="71"/>
      <c r="D11" s="71"/>
      <c r="E11" s="71"/>
      <c r="F11" s="71"/>
      <c r="G11" s="71"/>
      <c r="H11" s="71"/>
      <c r="I11" s="71"/>
      <c r="J11" s="71"/>
      <c r="K11" s="71"/>
      <c r="L11" s="71"/>
      <c r="M11" s="71"/>
      <c r="N11" s="71"/>
      <c r="O11" s="71"/>
      <c r="P11" s="71"/>
      <c r="Q11" s="71"/>
      <c r="R11" s="71"/>
      <c r="S11" s="71"/>
      <c r="AD11" s="407"/>
      <c r="AE11" s="407"/>
      <c r="AF11" s="407"/>
      <c r="AG11" s="407"/>
      <c r="AH11" s="407"/>
      <c r="AI11" s="407"/>
      <c r="AJ11" s="407"/>
      <c r="AK11" s="407"/>
      <c r="AL11" s="407"/>
      <c r="AM11" s="407"/>
      <c r="AN11" s="407"/>
      <c r="AO11" s="407"/>
      <c r="AP11" s="407"/>
      <c r="AQ11" s="407"/>
    </row>
    <row r="12" spans="2:47" ht="12.75" customHeight="1" x14ac:dyDescent="0.2">
      <c r="B12" s="71"/>
      <c r="C12" s="71"/>
      <c r="D12" s="71"/>
      <c r="E12" s="71"/>
      <c r="F12" s="71"/>
      <c r="G12" s="71"/>
      <c r="H12" s="71"/>
      <c r="I12" s="71"/>
      <c r="J12" s="71"/>
      <c r="K12" s="71"/>
      <c r="L12" s="71"/>
      <c r="M12" s="71"/>
      <c r="N12" s="71"/>
      <c r="O12" s="71"/>
      <c r="P12" s="71"/>
      <c r="Q12" s="71"/>
      <c r="R12" s="71"/>
      <c r="S12" s="71"/>
      <c r="W12" s="266" t="s">
        <v>9</v>
      </c>
      <c r="X12" s="266" t="s">
        <v>7</v>
      </c>
      <c r="Y12" s="286"/>
      <c r="Z12" s="389" t="s">
        <v>339</v>
      </c>
      <c r="AA12" s="389" t="s">
        <v>340</v>
      </c>
      <c r="AB12" s="389" t="s">
        <v>341</v>
      </c>
      <c r="AD12" s="407"/>
      <c r="AE12" s="407"/>
      <c r="AF12" s="407"/>
      <c r="AG12" s="407"/>
      <c r="AH12" s="407"/>
      <c r="AI12" s="407"/>
      <c r="AJ12" s="407"/>
      <c r="AK12" s="407"/>
      <c r="AL12" s="407"/>
      <c r="AM12" s="407"/>
      <c r="AN12" s="407"/>
      <c r="AO12" s="407"/>
      <c r="AP12" s="407"/>
      <c r="AQ12" s="407"/>
    </row>
    <row r="13" spans="2:47" x14ac:dyDescent="0.2">
      <c r="B13" s="71"/>
      <c r="C13" s="71"/>
      <c r="D13" s="71"/>
      <c r="E13" s="71"/>
      <c r="F13" s="71"/>
      <c r="G13" s="71"/>
      <c r="H13" s="71"/>
      <c r="I13" s="71"/>
      <c r="J13" s="71"/>
      <c r="K13" s="71"/>
      <c r="L13" s="71"/>
      <c r="M13" s="71"/>
      <c r="N13" s="71"/>
      <c r="O13" s="71"/>
      <c r="P13" s="71"/>
      <c r="Q13" s="71"/>
      <c r="R13" s="71"/>
      <c r="S13" s="71"/>
      <c r="W13" s="266"/>
      <c r="X13" s="286" t="s">
        <v>74</v>
      </c>
      <c r="Y13" s="286" t="s">
        <v>569</v>
      </c>
      <c r="Z13" s="390">
        <v>2509</v>
      </c>
      <c r="AA13" s="390">
        <v>2589</v>
      </c>
      <c r="AB13" s="390">
        <v>2592</v>
      </c>
    </row>
    <row r="14" spans="2:47" x14ac:dyDescent="0.2">
      <c r="B14" s="71"/>
      <c r="C14" s="71"/>
      <c r="D14" s="71"/>
      <c r="E14" s="71"/>
      <c r="F14" s="71"/>
      <c r="G14" s="71"/>
      <c r="H14" s="71"/>
      <c r="I14" s="71"/>
      <c r="J14" s="71"/>
      <c r="K14" s="71"/>
      <c r="L14" s="71"/>
      <c r="M14" s="71"/>
      <c r="N14" s="71"/>
      <c r="O14" s="71"/>
      <c r="P14" s="71"/>
      <c r="Q14" s="71"/>
      <c r="R14" s="71"/>
      <c r="S14" s="71"/>
      <c r="W14" s="391"/>
      <c r="X14" s="286" t="s">
        <v>54</v>
      </c>
      <c r="Y14" s="390"/>
      <c r="Z14" s="390">
        <f>VLOOKUP(200105&amp;"AllSex"&amp;"AllEth"&amp;19&amp;ref!Z2,DHB5yr,7,FALSE)</f>
        <v>101</v>
      </c>
      <c r="AA14" s="392">
        <f>VLOOKUP(200610&amp;"AllSex"&amp;"AllEth"&amp;19&amp;ref!Z2,DHB5yr,7,FALSE)</f>
        <v>100</v>
      </c>
      <c r="AB14" s="390">
        <f>VLOOKUP(201115&amp;"AllSex"&amp;"AllEth"&amp;19&amp;ref!Z2,DHB5yr,7,FALSE)</f>
        <v>109</v>
      </c>
    </row>
    <row r="15" spans="2:47" x14ac:dyDescent="0.2">
      <c r="B15" s="71"/>
      <c r="C15" s="71"/>
      <c r="D15" s="71"/>
      <c r="E15" s="71"/>
      <c r="F15" s="71"/>
      <c r="G15" s="71"/>
      <c r="H15" s="71"/>
      <c r="I15" s="71"/>
      <c r="J15" s="71"/>
      <c r="K15" s="71"/>
      <c r="L15" s="71"/>
      <c r="M15" s="71"/>
      <c r="N15" s="71"/>
      <c r="O15" s="71"/>
      <c r="P15" s="71"/>
      <c r="Q15" s="71"/>
      <c r="R15" s="71"/>
      <c r="S15" s="71"/>
      <c r="W15" s="391"/>
      <c r="X15" s="286" t="s">
        <v>55</v>
      </c>
      <c r="Y15" s="286"/>
      <c r="Z15" s="390">
        <f>VLOOKUP(200105&amp;"AllSex"&amp;"AllEth"&amp;19&amp;ref!Z3,DHB5yr,7,FALSE)</f>
        <v>259</v>
      </c>
      <c r="AA15" s="392">
        <f>VLOOKUP(200610&amp;"AllSex"&amp;"AllEth"&amp;19&amp;ref!Z3,DHB5yr,7,FALSE)</f>
        <v>259</v>
      </c>
      <c r="AB15" s="390">
        <f>VLOOKUP(201115&amp;"AllSex"&amp;"AllEth"&amp;19&amp;ref!Z3,DHB5yr,7,FALSE)</f>
        <v>268</v>
      </c>
    </row>
    <row r="16" spans="2:47" x14ac:dyDescent="0.2">
      <c r="B16" s="71"/>
      <c r="C16" s="71"/>
      <c r="D16" s="71"/>
      <c r="E16" s="71"/>
      <c r="F16" s="71"/>
      <c r="G16" s="71"/>
      <c r="H16" s="71"/>
      <c r="I16" s="71"/>
      <c r="J16" s="71"/>
      <c r="K16" s="71"/>
      <c r="L16" s="71"/>
      <c r="M16" s="71"/>
      <c r="N16" s="71"/>
      <c r="O16" s="71"/>
      <c r="P16" s="71"/>
      <c r="Q16" s="71"/>
      <c r="R16" s="71"/>
      <c r="S16" s="71"/>
      <c r="W16" s="391"/>
      <c r="X16" s="286" t="s">
        <v>56</v>
      </c>
      <c r="Y16" s="286"/>
      <c r="Z16" s="390">
        <f>VLOOKUP(200105&amp;"AllSex"&amp;"AllEth"&amp;19&amp;ref!Z4,DHB5yr,7,FALSE)</f>
        <v>199</v>
      </c>
      <c r="AA16" s="392">
        <f>VLOOKUP(200610&amp;"AllSex"&amp;"AllEth"&amp;19&amp;ref!Z4,DHB5yr,7,FALSE)</f>
        <v>231</v>
      </c>
      <c r="AB16" s="390">
        <f>VLOOKUP(201115&amp;"AllSex"&amp;"AllEth"&amp;19&amp;ref!Z4,DHB5yr,7,FALSE)</f>
        <v>203</v>
      </c>
    </row>
    <row r="17" spans="2:60" x14ac:dyDescent="0.2">
      <c r="B17" s="71"/>
      <c r="C17" s="71"/>
      <c r="D17" s="71"/>
      <c r="E17" s="71"/>
      <c r="F17" s="71"/>
      <c r="G17" s="71"/>
      <c r="H17" s="71"/>
      <c r="I17" s="71"/>
      <c r="J17" s="71"/>
      <c r="K17" s="71"/>
      <c r="L17" s="71"/>
      <c r="M17" s="71"/>
      <c r="N17" s="71"/>
      <c r="O17" s="71"/>
      <c r="P17" s="71"/>
      <c r="Q17" s="71"/>
      <c r="R17" s="71"/>
      <c r="S17" s="71"/>
      <c r="W17" s="391"/>
      <c r="X17" s="286" t="s">
        <v>57</v>
      </c>
      <c r="Y17" s="286"/>
      <c r="Z17" s="390">
        <f>VLOOKUP(200105&amp;"AllSex"&amp;"AllEth"&amp;19&amp;ref!Z5,DHB5yr,7,FALSE)</f>
        <v>245</v>
      </c>
      <c r="AA17" s="392">
        <f>VLOOKUP(200610&amp;"AllSex"&amp;"AllEth"&amp;19&amp;ref!Z5,DHB5yr,7,FALSE)</f>
        <v>246</v>
      </c>
      <c r="AB17" s="390">
        <f>VLOOKUP(201115&amp;"AllSex"&amp;"AllEth"&amp;19&amp;ref!Z5,DHB5yr,7,FALSE)</f>
        <v>247</v>
      </c>
    </row>
    <row r="18" spans="2:60" x14ac:dyDescent="0.2">
      <c r="B18" s="71"/>
      <c r="C18" s="71"/>
      <c r="D18" s="71"/>
      <c r="E18" s="71"/>
      <c r="F18" s="71"/>
      <c r="G18" s="71"/>
      <c r="H18" s="71"/>
      <c r="I18" s="71"/>
      <c r="J18" s="71"/>
      <c r="K18" s="71"/>
      <c r="L18" s="71"/>
      <c r="M18" s="71"/>
      <c r="N18" s="71"/>
      <c r="O18" s="71"/>
      <c r="P18" s="71"/>
      <c r="Q18" s="71"/>
      <c r="R18" s="71"/>
      <c r="S18" s="71"/>
      <c r="W18" s="391"/>
      <c r="X18" s="286" t="s">
        <v>58</v>
      </c>
      <c r="Y18" s="286"/>
      <c r="Z18" s="390">
        <f>VLOOKUP(200105&amp;"AllSex"&amp;"AllEth"&amp;19&amp;ref!Z6,DHB5yr,7,FALSE)</f>
        <v>196</v>
      </c>
      <c r="AA18" s="392">
        <f>VLOOKUP(200610&amp;"AllSex"&amp;"AllEth"&amp;19&amp;ref!Z6,DHB5yr,7,FALSE)</f>
        <v>210</v>
      </c>
      <c r="AB18" s="390">
        <f>VLOOKUP(201115&amp;"AllSex"&amp;"AllEth"&amp;19&amp;ref!Z6,DHB5yr,7,FALSE)</f>
        <v>215</v>
      </c>
    </row>
    <row r="19" spans="2:60" x14ac:dyDescent="0.2">
      <c r="B19" s="71"/>
      <c r="C19" s="71"/>
      <c r="D19" s="71"/>
      <c r="E19" s="71"/>
      <c r="F19" s="71"/>
      <c r="G19" s="71"/>
      <c r="H19" s="71"/>
      <c r="I19" s="71"/>
      <c r="J19" s="71"/>
      <c r="K19" s="71"/>
      <c r="L19" s="71"/>
      <c r="M19" s="71"/>
      <c r="N19" s="71"/>
      <c r="O19" s="71"/>
      <c r="P19" s="71"/>
      <c r="Q19" s="71"/>
      <c r="R19" s="71"/>
      <c r="S19" s="71"/>
      <c r="W19" s="391"/>
      <c r="X19" s="286" t="s">
        <v>59</v>
      </c>
      <c r="Y19" s="286"/>
      <c r="Z19" s="390">
        <f>VLOOKUP(200105&amp;"AllSex"&amp;"AllEth"&amp;19&amp;ref!Z7,DHB5yr,7,FALSE)</f>
        <v>61</v>
      </c>
      <c r="AA19" s="392">
        <f>VLOOKUP(200610&amp;"AllSex"&amp;"AllEth"&amp;19&amp;ref!Z7,DHB5yr,7,FALSE)</f>
        <v>82</v>
      </c>
      <c r="AB19" s="390">
        <f>VLOOKUP(201115&amp;"AllSex"&amp;"AllEth"&amp;19&amp;ref!Z7,DHB5yr,7,FALSE)</f>
        <v>77</v>
      </c>
    </row>
    <row r="20" spans="2:60" x14ac:dyDescent="0.2">
      <c r="B20" s="71"/>
      <c r="C20" s="71"/>
      <c r="D20" s="71"/>
      <c r="E20" s="71"/>
      <c r="F20" s="71"/>
      <c r="G20" s="71"/>
      <c r="H20" s="71"/>
      <c r="I20" s="71"/>
      <c r="J20" s="71"/>
      <c r="K20" s="71"/>
      <c r="L20" s="71"/>
      <c r="M20" s="71"/>
      <c r="N20" s="71"/>
      <c r="O20" s="71"/>
      <c r="P20" s="71"/>
      <c r="Q20" s="71"/>
      <c r="R20" s="71"/>
      <c r="S20" s="71"/>
      <c r="W20" s="391"/>
      <c r="X20" s="286" t="s">
        <v>60</v>
      </c>
      <c r="Y20" s="286"/>
      <c r="Z20" s="390">
        <f>VLOOKUP(200105&amp;"AllSex"&amp;"AllEth"&amp;19&amp;ref!Z8,DHB5yr,7,FALSE)</f>
        <v>144</v>
      </c>
      <c r="AA20" s="392">
        <f>VLOOKUP(200610&amp;"AllSex"&amp;"AllEth"&amp;19&amp;ref!Z8,DHB5yr,7,FALSE)</f>
        <v>146</v>
      </c>
      <c r="AB20" s="390">
        <f>VLOOKUP(201115&amp;"AllSex"&amp;"AllEth"&amp;19&amp;ref!Z8,DHB5yr,7,FALSE)</f>
        <v>157</v>
      </c>
    </row>
    <row r="21" spans="2:60" x14ac:dyDescent="0.2">
      <c r="B21" s="71"/>
      <c r="C21" s="71"/>
      <c r="D21" s="71"/>
      <c r="E21" s="71"/>
      <c r="F21" s="71"/>
      <c r="G21" s="71"/>
      <c r="H21" s="71"/>
      <c r="I21" s="71"/>
      <c r="J21" s="71"/>
      <c r="K21" s="71"/>
      <c r="L21" s="71"/>
      <c r="M21" s="71"/>
      <c r="N21" s="71"/>
      <c r="O21" s="71"/>
      <c r="P21" s="71"/>
      <c r="Q21" s="71"/>
      <c r="R21" s="71"/>
      <c r="S21" s="71"/>
      <c r="W21" s="391"/>
      <c r="X21" s="286" t="s">
        <v>115</v>
      </c>
      <c r="Y21" s="286"/>
      <c r="Z21" s="390">
        <f>VLOOKUP(200105&amp;"AllSex"&amp;"AllEth"&amp;19&amp;ref!Z9,DHB5yr,7,FALSE)</f>
        <v>34</v>
      </c>
      <c r="AA21" s="392">
        <f>VLOOKUP(200610&amp;"AllSex"&amp;"AllEth"&amp;19&amp;ref!Z9,DHB5yr,7,FALSE)</f>
        <v>44</v>
      </c>
      <c r="AB21" s="390">
        <f>VLOOKUP(201115&amp;"AllSex"&amp;"AllEth"&amp;19&amp;ref!Z9,DHB5yr,7,FALSE)</f>
        <v>31</v>
      </c>
    </row>
    <row r="22" spans="2:60" x14ac:dyDescent="0.2">
      <c r="B22" s="71"/>
      <c r="C22" s="71"/>
      <c r="D22" s="71"/>
      <c r="E22" s="71"/>
      <c r="F22" s="71"/>
      <c r="G22" s="71"/>
      <c r="H22" s="71"/>
      <c r="I22" s="71"/>
      <c r="J22" s="71"/>
      <c r="K22" s="71"/>
      <c r="L22" s="71"/>
      <c r="M22" s="71"/>
      <c r="N22" s="71"/>
      <c r="O22" s="71"/>
      <c r="P22" s="71"/>
      <c r="Q22" s="71"/>
      <c r="R22" s="71"/>
      <c r="S22" s="71"/>
      <c r="W22" s="391"/>
      <c r="X22" s="286" t="s">
        <v>62</v>
      </c>
      <c r="Y22" s="286"/>
      <c r="Z22" s="390">
        <f>VLOOKUP(200105&amp;"AllSex"&amp;"AllEth"&amp;19&amp;ref!Z10,DHB5yr,7,FALSE)</f>
        <v>125</v>
      </c>
      <c r="AA22" s="392">
        <f>VLOOKUP(200610&amp;"AllSex"&amp;"AllEth"&amp;19&amp;ref!Z10,DHB5yr,7,FALSE)</f>
        <v>110</v>
      </c>
      <c r="AB22" s="390">
        <f>VLOOKUP(201115&amp;"AllSex"&amp;"AllEth"&amp;19&amp;ref!Z10,DHB5yr,7,FALSE)</f>
        <v>111</v>
      </c>
    </row>
    <row r="23" spans="2:60" x14ac:dyDescent="0.2">
      <c r="B23" s="71"/>
      <c r="C23" s="71"/>
      <c r="D23" s="71"/>
      <c r="E23" s="71"/>
      <c r="F23" s="71"/>
      <c r="G23" s="71"/>
      <c r="H23" s="71"/>
      <c r="I23" s="71"/>
      <c r="J23" s="71"/>
      <c r="K23" s="71"/>
      <c r="L23" s="71"/>
      <c r="M23" s="71"/>
      <c r="N23" s="71"/>
      <c r="O23" s="71"/>
      <c r="P23" s="71"/>
      <c r="Q23" s="71"/>
      <c r="R23" s="71"/>
      <c r="S23" s="71"/>
      <c r="W23" s="391"/>
      <c r="X23" s="286" t="s">
        <v>63</v>
      </c>
      <c r="Y23" s="286"/>
      <c r="Z23" s="390">
        <f>VLOOKUP(200105&amp;"AllSex"&amp;"AllEth"&amp;19&amp;ref!Z11,DHB5yr,7,FALSE)</f>
        <v>65</v>
      </c>
      <c r="AA23" s="392">
        <f>VLOOKUP(200610&amp;"AllSex"&amp;"AllEth"&amp;19&amp;ref!Z11,DHB5yr,7,FALSE)</f>
        <v>74</v>
      </c>
      <c r="AB23" s="390">
        <f>VLOOKUP(201115&amp;"AllSex"&amp;"AllEth"&amp;19&amp;ref!Z11,DHB5yr,7,FALSE)</f>
        <v>71</v>
      </c>
    </row>
    <row r="24" spans="2:60" x14ac:dyDescent="0.2">
      <c r="B24" s="71"/>
      <c r="C24" s="71"/>
      <c r="D24" s="71"/>
      <c r="E24" s="71"/>
      <c r="F24" s="71"/>
      <c r="G24" s="71"/>
      <c r="H24" s="71"/>
      <c r="I24" s="71"/>
      <c r="J24" s="71"/>
      <c r="K24" s="71"/>
      <c r="L24" s="71"/>
      <c r="M24" s="71"/>
      <c r="N24" s="71"/>
      <c r="O24" s="71"/>
      <c r="P24" s="71"/>
      <c r="Q24" s="71"/>
      <c r="R24" s="71"/>
      <c r="S24" s="71"/>
      <c r="W24" s="391"/>
      <c r="X24" s="286" t="s">
        <v>64</v>
      </c>
      <c r="Y24" s="286"/>
      <c r="Z24" s="390">
        <f>VLOOKUP(200105&amp;"AllSex"&amp;"AllEth"&amp;19&amp;ref!Z12,DHB5yr,7,FALSE)</f>
        <v>125</v>
      </c>
      <c r="AA24" s="392">
        <f>VLOOKUP(200610&amp;"AllSex"&amp;"AllEth"&amp;19&amp;ref!Z12,DHB5yr,7,FALSE)</f>
        <v>121</v>
      </c>
      <c r="AB24" s="390">
        <f>VLOOKUP(201115&amp;"AllSex"&amp;"AllEth"&amp;19&amp;ref!Z12,DHB5yr,7,FALSE)</f>
        <v>140</v>
      </c>
    </row>
    <row r="25" spans="2:60" x14ac:dyDescent="0.2">
      <c r="B25" s="71"/>
      <c r="C25" s="71"/>
      <c r="D25" s="71"/>
      <c r="E25" s="71"/>
      <c r="F25" s="71"/>
      <c r="G25" s="71"/>
      <c r="H25" s="71"/>
      <c r="I25" s="71"/>
      <c r="J25" s="71"/>
      <c r="K25" s="71"/>
      <c r="L25" s="71"/>
      <c r="M25" s="71"/>
      <c r="N25" s="71"/>
      <c r="O25" s="71"/>
      <c r="P25" s="71"/>
      <c r="Q25" s="71"/>
      <c r="R25" s="71"/>
      <c r="S25" s="71"/>
      <c r="W25" s="391"/>
      <c r="X25" s="286" t="s">
        <v>65</v>
      </c>
      <c r="Y25" s="286"/>
      <c r="Z25" s="390">
        <f>VLOOKUP(200105&amp;"AllSex"&amp;"AllEth"&amp;19&amp;ref!Z13,DHB5yr,7,FALSE)</f>
        <v>53</v>
      </c>
      <c r="AA25" s="392">
        <f>VLOOKUP(200610&amp;"AllSex"&amp;"AllEth"&amp;19&amp;ref!Z13,DHB5yr,7,FALSE)</f>
        <v>51</v>
      </c>
      <c r="AB25" s="390">
        <f>VLOOKUP(201115&amp;"AllSex"&amp;"AllEth"&amp;19&amp;ref!Z13,DHB5yr,7,FALSE)</f>
        <v>38</v>
      </c>
    </row>
    <row r="26" spans="2:60" x14ac:dyDescent="0.2">
      <c r="B26" s="71"/>
      <c r="C26" s="71"/>
      <c r="D26" s="71"/>
      <c r="E26" s="71"/>
      <c r="F26" s="71"/>
      <c r="G26" s="71"/>
      <c r="H26" s="71"/>
      <c r="I26" s="71"/>
      <c r="J26" s="71"/>
      <c r="K26" s="71"/>
      <c r="L26" s="71"/>
      <c r="M26" s="71"/>
      <c r="N26" s="71"/>
      <c r="O26" s="71"/>
      <c r="P26" s="71"/>
      <c r="Q26" s="71"/>
      <c r="R26" s="71"/>
      <c r="S26" s="71"/>
      <c r="W26" s="391"/>
      <c r="X26" s="286" t="s">
        <v>66</v>
      </c>
      <c r="Y26" s="286"/>
      <c r="Z26" s="390">
        <f>VLOOKUP(200105&amp;"AllSex"&amp;"AllEth"&amp;19&amp;ref!Z14,DHB5yr,7,FALSE)</f>
        <v>145</v>
      </c>
      <c r="AA26" s="392">
        <f>VLOOKUP(200610&amp;"AllSex"&amp;"AllEth"&amp;19&amp;ref!Z14,DHB5yr,7,FALSE)</f>
        <v>121</v>
      </c>
      <c r="AB26" s="390">
        <f>VLOOKUP(201115&amp;"AllSex"&amp;"AllEth"&amp;19&amp;ref!Z14,DHB5yr,7,FALSE)</f>
        <v>131</v>
      </c>
    </row>
    <row r="27" spans="2:60" x14ac:dyDescent="0.2">
      <c r="B27" s="71"/>
      <c r="C27" s="71"/>
      <c r="D27" s="71"/>
      <c r="E27" s="71"/>
      <c r="F27" s="71"/>
      <c r="G27" s="71"/>
      <c r="H27" s="71"/>
      <c r="I27" s="71"/>
      <c r="J27" s="71"/>
      <c r="K27" s="71"/>
      <c r="L27" s="71"/>
      <c r="M27" s="71"/>
      <c r="N27" s="71"/>
      <c r="O27" s="71"/>
      <c r="P27" s="71"/>
      <c r="Q27" s="71"/>
      <c r="R27" s="71"/>
      <c r="S27" s="71"/>
      <c r="W27" s="391"/>
      <c r="X27" s="286" t="s">
        <v>67</v>
      </c>
      <c r="Y27" s="286"/>
      <c r="Z27" s="390">
        <f>VLOOKUP(200105&amp;"AllSex"&amp;"AllEth"&amp;19&amp;ref!Z15,DHB5yr,7,FALSE)</f>
        <v>68</v>
      </c>
      <c r="AA27" s="392">
        <f>VLOOKUP(200610&amp;"AllSex"&amp;"AllEth"&amp;19&amp;ref!Z15,DHB5yr,7,FALSE)</f>
        <v>74</v>
      </c>
      <c r="AB27" s="390">
        <f>VLOOKUP(201115&amp;"AllSex"&amp;"AllEth"&amp;19&amp;ref!Z15,DHB5yr,7,FALSE)</f>
        <v>89</v>
      </c>
    </row>
    <row r="28" spans="2:60" x14ac:dyDescent="0.2">
      <c r="B28" s="71"/>
      <c r="C28" s="71"/>
      <c r="D28" s="71"/>
      <c r="E28" s="71"/>
      <c r="F28" s="71"/>
      <c r="G28" s="71"/>
      <c r="H28" s="71"/>
      <c r="I28" s="71"/>
      <c r="J28" s="71"/>
      <c r="K28" s="71"/>
      <c r="L28" s="71"/>
      <c r="M28" s="71"/>
      <c r="N28" s="71"/>
      <c r="O28" s="71"/>
      <c r="P28" s="71"/>
      <c r="Q28" s="71"/>
      <c r="R28" s="71"/>
      <c r="S28" s="71"/>
      <c r="W28" s="391"/>
      <c r="X28" s="286" t="s">
        <v>68</v>
      </c>
      <c r="Y28" s="286"/>
      <c r="Z28" s="390">
        <f>VLOOKUP(200105&amp;"AllSex"&amp;"AllEth"&amp;19&amp;ref!Z16,DHB5yr,7,FALSE)</f>
        <v>35</v>
      </c>
      <c r="AA28" s="392">
        <f>VLOOKUP(200610&amp;"AllSex"&amp;"AllEth"&amp;19&amp;ref!Z16,DHB5yr,7,FALSE)</f>
        <v>26</v>
      </c>
      <c r="AB28" s="390">
        <f>VLOOKUP(201115&amp;"AllSex"&amp;"AllEth"&amp;19&amp;ref!Z16,DHB5yr,7,FALSE)</f>
        <v>35</v>
      </c>
    </row>
    <row r="29" spans="2:60" x14ac:dyDescent="0.2">
      <c r="B29" s="71"/>
      <c r="C29" s="71"/>
      <c r="D29" s="71"/>
      <c r="E29" s="71"/>
      <c r="F29" s="71"/>
      <c r="G29" s="71"/>
      <c r="H29" s="71"/>
      <c r="I29" s="71"/>
      <c r="J29" s="71"/>
      <c r="K29" s="71"/>
      <c r="L29" s="71"/>
      <c r="M29" s="71"/>
      <c r="N29" s="71"/>
      <c r="O29" s="71"/>
      <c r="P29" s="71"/>
      <c r="Q29" s="71"/>
      <c r="R29" s="71"/>
      <c r="S29" s="71"/>
      <c r="W29" s="391"/>
      <c r="X29" s="286" t="s">
        <v>69</v>
      </c>
      <c r="Y29" s="286"/>
      <c r="Z29" s="390">
        <f>VLOOKUP(200105&amp;"AllSex"&amp;"AllEth"&amp;19&amp;ref!Z17,DHB5yr,7,FALSE)</f>
        <v>83</v>
      </c>
      <c r="AA29" s="392">
        <f>VLOOKUP(200610&amp;"AllSex"&amp;"AllEth"&amp;19&amp;ref!Z17,DHB5yr,7,FALSE)</f>
        <v>85</v>
      </c>
      <c r="AB29" s="390">
        <f>VLOOKUP(201115&amp;"AllSex"&amp;"AllEth"&amp;19&amp;ref!Z17,DHB5yr,7,FALSE)</f>
        <v>81</v>
      </c>
    </row>
    <row r="30" spans="2:60" x14ac:dyDescent="0.2">
      <c r="B30" s="71"/>
      <c r="C30" s="71"/>
      <c r="D30" s="71"/>
      <c r="E30" s="71"/>
      <c r="F30" s="71"/>
      <c r="G30" s="71"/>
      <c r="H30" s="71"/>
      <c r="I30" s="71"/>
      <c r="J30" s="71"/>
      <c r="K30" s="71"/>
      <c r="L30" s="71"/>
      <c r="M30" s="71"/>
      <c r="N30" s="71"/>
      <c r="O30" s="71"/>
      <c r="P30" s="71"/>
      <c r="Q30" s="71"/>
      <c r="R30" s="71"/>
      <c r="S30" s="71"/>
      <c r="W30" s="391"/>
      <c r="X30" s="286" t="s">
        <v>70</v>
      </c>
      <c r="Y30" s="286"/>
      <c r="Z30" s="390">
        <f>VLOOKUP(200105&amp;"AllSex"&amp;"AllEth"&amp;19&amp;ref!Z18,DHB5yr,7,FALSE)</f>
        <v>21</v>
      </c>
      <c r="AA30" s="392">
        <f>VLOOKUP(200610&amp;"AllSex"&amp;"AllEth"&amp;19&amp;ref!Z18,DHB5yr,7,FALSE)</f>
        <v>28</v>
      </c>
      <c r="AB30" s="390">
        <f>VLOOKUP(201115&amp;"AllSex"&amp;"AllEth"&amp;19&amp;ref!Z18,DHB5yr,7,FALSE)</f>
        <v>31</v>
      </c>
      <c r="BA30" s="480"/>
      <c r="BB30" s="480" t="s">
        <v>16</v>
      </c>
      <c r="BC30" s="480"/>
      <c r="BD30" s="480"/>
      <c r="BE30" s="480"/>
      <c r="BF30" s="480" t="s">
        <v>566</v>
      </c>
      <c r="BG30" s="480"/>
      <c r="BH30" s="480"/>
    </row>
    <row r="31" spans="2:60" x14ac:dyDescent="0.2">
      <c r="B31" s="71"/>
      <c r="C31" s="71"/>
      <c r="D31" s="71"/>
      <c r="E31" s="71"/>
      <c r="F31" s="71"/>
      <c r="G31" s="71"/>
      <c r="H31" s="71"/>
      <c r="I31" s="71"/>
      <c r="J31" s="71"/>
      <c r="K31" s="71"/>
      <c r="L31" s="71"/>
      <c r="M31" s="71"/>
      <c r="N31" s="71"/>
      <c r="O31" s="71"/>
      <c r="P31" s="71"/>
      <c r="Q31" s="71"/>
      <c r="R31" s="71"/>
      <c r="S31" s="71"/>
      <c r="W31" s="391"/>
      <c r="X31" s="286" t="s">
        <v>71</v>
      </c>
      <c r="Y31" s="286"/>
      <c r="Z31" s="390">
        <f>VLOOKUP(200105&amp;"AllSex"&amp;"AllEth"&amp;19&amp;ref!Z19,DHB5yr,7,FALSE)</f>
        <v>323</v>
      </c>
      <c r="AA31" s="392">
        <f>VLOOKUP(200610&amp;"AllSex"&amp;"AllEth"&amp;19&amp;ref!Z19,DHB5yr,7,FALSE)</f>
        <v>316</v>
      </c>
      <c r="AB31" s="390">
        <f>VLOOKUP(201115&amp;"AllSex"&amp;"AllEth"&amp;19&amp;ref!Z19,DHB5yr,7,FALSE)</f>
        <v>299</v>
      </c>
      <c r="BA31" s="480"/>
      <c r="BB31" s="480" t="s">
        <v>339</v>
      </c>
      <c r="BC31" s="480" t="s">
        <v>340</v>
      </c>
      <c r="BD31" s="480" t="s">
        <v>341</v>
      </c>
      <c r="BE31" s="480"/>
      <c r="BF31" s="480" t="s">
        <v>339</v>
      </c>
      <c r="BG31" s="480" t="s">
        <v>340</v>
      </c>
      <c r="BH31" s="480" t="s">
        <v>341</v>
      </c>
    </row>
    <row r="32" spans="2:60" x14ac:dyDescent="0.2">
      <c r="B32" s="71"/>
      <c r="C32" s="71"/>
      <c r="D32" s="71"/>
      <c r="E32" s="71"/>
      <c r="F32" s="71"/>
      <c r="G32" s="71"/>
      <c r="H32" s="71"/>
      <c r="I32" s="71"/>
      <c r="J32" s="71"/>
      <c r="K32" s="71"/>
      <c r="L32" s="71"/>
      <c r="M32" s="71"/>
      <c r="N32" s="71"/>
      <c r="O32" s="71"/>
      <c r="P32" s="71"/>
      <c r="Q32" s="71"/>
      <c r="R32" s="71"/>
      <c r="S32" s="71"/>
      <c r="W32" s="391"/>
      <c r="X32" s="286" t="s">
        <v>72</v>
      </c>
      <c r="Y32" s="286"/>
      <c r="Z32" s="390">
        <f>VLOOKUP(200105&amp;"AllSex"&amp;"AllEth"&amp;19&amp;ref!Z20,DHB5yr,7,FALSE)</f>
        <v>31</v>
      </c>
      <c r="AA32" s="392">
        <f>VLOOKUP(200610&amp;"AllSex"&amp;"AllEth"&amp;19&amp;ref!Z20,DHB5yr,7,FALSE)</f>
        <v>36</v>
      </c>
      <c r="AB32" s="390">
        <f>VLOOKUP(201115&amp;"AllSex"&amp;"AllEth"&amp;19&amp;ref!Z20,DHB5yr,7,FALSE)</f>
        <v>47</v>
      </c>
      <c r="BA32" s="512" t="s">
        <v>54</v>
      </c>
      <c r="BB32" s="480">
        <f>VLOOKUP(201115&amp;"AllSex"&amp;"AllEth"&amp;19&amp;ref!Z2,DHB5yr,9,FALSE)</f>
        <v>3.5</v>
      </c>
      <c r="BC32" s="480">
        <f>VLOOKUP(200610&amp;"AllSex"&amp;"AllEth"&amp;19&amp;ref!Z2,DHB5yr,9,FALSE)</f>
        <v>3.6</v>
      </c>
      <c r="BD32" s="480">
        <f>VLOOKUP(201115&amp;"AllSex"&amp;"AllEth"&amp;19&amp;ref!Z2,DHB5yr,9,FALSE)</f>
        <v>3.5</v>
      </c>
      <c r="BE32" s="480"/>
      <c r="BF32" s="513">
        <f t="shared" ref="BF32:BF51" si="0">BB32/Z38*100</f>
        <v>23.459202701365566</v>
      </c>
      <c r="BG32" s="513">
        <f t="shared" ref="BG32:BG51" si="1">BC32/AA38*100</f>
        <v>25.613917326848235</v>
      </c>
      <c r="BH32" s="513">
        <f t="shared" ref="BH32:BH51" si="2">BD32/AB38*100</f>
        <v>24.496725915499251</v>
      </c>
    </row>
    <row r="33" spans="2:60" x14ac:dyDescent="0.2">
      <c r="B33" s="71"/>
      <c r="C33" s="71"/>
      <c r="D33" s="71"/>
      <c r="E33" s="71"/>
      <c r="F33" s="71"/>
      <c r="G33" s="71"/>
      <c r="H33" s="71"/>
      <c r="I33" s="71"/>
      <c r="J33" s="71"/>
      <c r="K33" s="71"/>
      <c r="L33" s="71"/>
      <c r="M33" s="71"/>
      <c r="N33" s="71"/>
      <c r="O33" s="71"/>
      <c r="P33" s="71"/>
      <c r="Q33" s="71"/>
      <c r="R33" s="71"/>
      <c r="S33" s="71"/>
      <c r="W33" s="391"/>
      <c r="X33" s="286" t="s">
        <v>73</v>
      </c>
      <c r="Y33" s="286"/>
      <c r="Z33" s="390">
        <f>VLOOKUP(200105&amp;"AllSex"&amp;"AllEth"&amp;19&amp;ref!Z21,DHB5yr,7,FALSE)</f>
        <v>185</v>
      </c>
      <c r="AA33" s="392">
        <f>VLOOKUP(200610&amp;"AllSex"&amp;"AllEth"&amp;19&amp;ref!Z21,DHB5yr,7,FALSE)</f>
        <v>212</v>
      </c>
      <c r="AB33" s="390">
        <f>VLOOKUP(201115&amp;"AllSex"&amp;"AllEth"&amp;19&amp;ref!Z21,DHB5yr,7,FALSE)</f>
        <v>202</v>
      </c>
      <c r="BA33" s="512" t="s">
        <v>55</v>
      </c>
      <c r="BB33" s="480">
        <f>VLOOKUP(201115&amp;"AllSex"&amp;"AllEth"&amp;19&amp;ref!Z3,DHB5yr,9,FALSE)</f>
        <v>1.4</v>
      </c>
      <c r="BC33" s="480">
        <f>VLOOKUP(200610&amp;"AllSex"&amp;"AllEth"&amp;19&amp;ref!Z3,DHB5yr,9,FALSE)</f>
        <v>1.5</v>
      </c>
      <c r="BD33" s="480">
        <f>VLOOKUP(201115&amp;"AllSex"&amp;"AllEth"&amp;19&amp;ref!Z3,DHB5yr,9,FALSE)</f>
        <v>1.4</v>
      </c>
      <c r="BE33" s="480"/>
      <c r="BF33" s="513">
        <f t="shared" si="0"/>
        <v>13.210306140903889</v>
      </c>
      <c r="BG33" s="513">
        <f t="shared" si="1"/>
        <v>15.860435883882534</v>
      </c>
      <c r="BH33" s="513">
        <f t="shared" si="2"/>
        <v>15.671807765145088</v>
      </c>
    </row>
    <row r="34" spans="2:60" x14ac:dyDescent="0.2">
      <c r="B34" s="71"/>
      <c r="C34" s="71"/>
      <c r="D34" s="71"/>
      <c r="E34" s="71"/>
      <c r="F34" s="71"/>
      <c r="G34" s="71"/>
      <c r="H34" s="71"/>
      <c r="I34" s="71"/>
      <c r="J34" s="71"/>
      <c r="K34" s="71"/>
      <c r="L34" s="71"/>
      <c r="M34" s="71"/>
      <c r="N34" s="71"/>
      <c r="O34" s="71"/>
      <c r="P34" s="71"/>
      <c r="Q34" s="71"/>
      <c r="R34" s="71"/>
      <c r="S34" s="71"/>
      <c r="W34" s="391"/>
      <c r="X34" s="286" t="s">
        <v>75</v>
      </c>
      <c r="Y34" s="286"/>
      <c r="Z34" s="390">
        <f>VLOOKUP(200105&amp;"AllSex"&amp;"AllEth"&amp;19&amp;ref!Z22,DHB5yr,7,FALSE)</f>
        <v>11</v>
      </c>
      <c r="AA34" s="392">
        <f>VLOOKUP(200610&amp;"AllSex"&amp;"AllEth"&amp;19&amp;ref!Z22,DHB5yr,7,FALSE)</f>
        <v>17</v>
      </c>
      <c r="AB34" s="390">
        <f>VLOOKUP(201115&amp;"AllSex"&amp;"AllEth"&amp;19&amp;ref!Z22,DHB5yr,7,FALSE)</f>
        <v>10</v>
      </c>
      <c r="BA34" s="512" t="s">
        <v>56</v>
      </c>
      <c r="BB34" s="480">
        <f>VLOOKUP(201115&amp;"AllSex"&amp;"AllEth"&amp;19&amp;ref!Z4,DHB5yr,9,FALSE)</f>
        <v>1.4</v>
      </c>
      <c r="BC34" s="480">
        <f>VLOOKUP(200610&amp;"AllSex"&amp;"AllEth"&amp;19&amp;ref!Z4,DHB5yr,9,FALSE)</f>
        <v>1.6</v>
      </c>
      <c r="BD34" s="480">
        <f>VLOOKUP(201115&amp;"AllSex"&amp;"AllEth"&amp;19&amp;ref!Z4,DHB5yr,9,FALSE)</f>
        <v>1.4</v>
      </c>
      <c r="BE34" s="480"/>
      <c r="BF34" s="513">
        <f t="shared" si="0"/>
        <v>16.132920384021336</v>
      </c>
      <c r="BG34" s="513">
        <f t="shared" si="1"/>
        <v>16.508495146428526</v>
      </c>
      <c r="BH34" s="513">
        <f t="shared" si="2"/>
        <v>17.638110475399003</v>
      </c>
    </row>
    <row r="35" spans="2:60" x14ac:dyDescent="0.2">
      <c r="B35" s="71"/>
      <c r="C35" s="71"/>
      <c r="D35" s="71"/>
      <c r="E35" s="71"/>
      <c r="F35" s="71"/>
      <c r="G35" s="71"/>
      <c r="H35" s="71"/>
      <c r="I35" s="71"/>
      <c r="J35" s="71"/>
      <c r="K35" s="71"/>
      <c r="L35" s="71"/>
      <c r="M35" s="71"/>
      <c r="N35" s="71"/>
      <c r="O35" s="71"/>
      <c r="P35" s="71"/>
      <c r="Q35" s="71"/>
      <c r="R35" s="71"/>
      <c r="S35" s="71"/>
      <c r="W35" s="182"/>
      <c r="X35" s="183"/>
      <c r="Y35" s="183"/>
      <c r="Z35" s="183"/>
      <c r="AA35" s="183"/>
      <c r="AB35" s="183"/>
      <c r="BA35" s="512" t="s">
        <v>57</v>
      </c>
      <c r="BB35" s="480">
        <f>VLOOKUP(201115&amp;"AllSex"&amp;"AllEth"&amp;19&amp;ref!Z5,DHB5yr,9,FALSE)</f>
        <v>1.6</v>
      </c>
      <c r="BC35" s="480">
        <f>VLOOKUP(200610&amp;"AllSex"&amp;"AllEth"&amp;19&amp;ref!Z5,DHB5yr,9,FALSE)</f>
        <v>1.8</v>
      </c>
      <c r="BD35" s="480">
        <f>VLOOKUP(201115&amp;"AllSex"&amp;"AllEth"&amp;19&amp;ref!Z5,DHB5yr,9,FALSE)</f>
        <v>1.6</v>
      </c>
      <c r="BE35" s="480"/>
      <c r="BF35" s="513">
        <f t="shared" si="0"/>
        <v>13.423700452321127</v>
      </c>
      <c r="BG35" s="513">
        <f t="shared" si="1"/>
        <v>16.888594432246588</v>
      </c>
      <c r="BH35" s="513">
        <f t="shared" si="2"/>
        <v>16.164134678256911</v>
      </c>
    </row>
    <row r="36" spans="2:60" x14ac:dyDescent="0.2">
      <c r="B36" s="71"/>
      <c r="C36" s="71"/>
      <c r="D36" s="71"/>
      <c r="E36" s="71"/>
      <c r="F36" s="71"/>
      <c r="G36" s="71"/>
      <c r="H36" s="71"/>
      <c r="I36" s="71"/>
      <c r="J36" s="71"/>
      <c r="K36" s="71"/>
      <c r="L36" s="71"/>
      <c r="M36" s="71"/>
      <c r="N36" s="71"/>
      <c r="O36" s="71"/>
      <c r="P36" s="71"/>
      <c r="Q36" s="71"/>
      <c r="R36" s="71"/>
      <c r="S36" s="71"/>
      <c r="W36" s="393" t="s">
        <v>9</v>
      </c>
      <c r="X36" s="394"/>
      <c r="Y36" s="286"/>
      <c r="Z36" s="389" t="s">
        <v>339</v>
      </c>
      <c r="AA36" s="389" t="s">
        <v>340</v>
      </c>
      <c r="AB36" s="389" t="s">
        <v>341</v>
      </c>
      <c r="BA36" s="512" t="s">
        <v>58</v>
      </c>
      <c r="BB36" s="480">
        <f>VLOOKUP(201115&amp;"AllSex"&amp;"AllEth"&amp;19&amp;ref!Z6,DHB5yr,9,FALSE)</f>
        <v>2</v>
      </c>
      <c r="BC36" s="480">
        <f>VLOOKUP(200610&amp;"AllSex"&amp;"AllEth"&amp;19&amp;ref!Z6,DHB5yr,9,FALSE)</f>
        <v>2</v>
      </c>
      <c r="BD36" s="480">
        <f>VLOOKUP(201115&amp;"AllSex"&amp;"AllEth"&amp;19&amp;ref!Z6,DHB5yr,9,FALSE)</f>
        <v>2</v>
      </c>
      <c r="BE36" s="480"/>
      <c r="BF36" s="513">
        <f t="shared" si="0"/>
        <v>17.116576127114786</v>
      </c>
      <c r="BG36" s="513">
        <f t="shared" si="1"/>
        <v>17.458429530002029</v>
      </c>
      <c r="BH36" s="513">
        <f t="shared" si="2"/>
        <v>17.673177254368479</v>
      </c>
    </row>
    <row r="37" spans="2:60" x14ac:dyDescent="0.2">
      <c r="B37" s="71"/>
      <c r="C37" s="71"/>
      <c r="D37" s="71"/>
      <c r="E37" s="71"/>
      <c r="F37" s="71"/>
      <c r="G37" s="71"/>
      <c r="H37" s="71"/>
      <c r="I37" s="71"/>
      <c r="J37" s="71"/>
      <c r="K37" s="71"/>
      <c r="L37" s="71"/>
      <c r="M37" s="71"/>
      <c r="N37" s="71"/>
      <c r="O37" s="71"/>
      <c r="P37" s="71"/>
      <c r="Q37" s="71"/>
      <c r="R37" s="71"/>
      <c r="S37" s="71"/>
      <c r="W37" s="391"/>
      <c r="X37" s="286" t="s">
        <v>74</v>
      </c>
      <c r="Y37" s="286" t="s">
        <v>542</v>
      </c>
      <c r="Z37" s="395">
        <f>SUM('Age Sex'!W14:AA14)/5</f>
        <v>12.20108133911698</v>
      </c>
      <c r="AA37" s="395">
        <f>SUM('Age Sex'!AB14:AF14)/5</f>
        <v>11.755657480827461</v>
      </c>
      <c r="AB37" s="395">
        <f>SUM('Age Sex'!AG14:AK14)/5</f>
        <v>11.261699848804099</v>
      </c>
      <c r="BA37" s="512" t="s">
        <v>59</v>
      </c>
      <c r="BB37" s="480">
        <f>VLOOKUP(201115&amp;"AllSex"&amp;"AllEth"&amp;19&amp;ref!Z7,DHB5yr,9,FALSE)</f>
        <v>4.7</v>
      </c>
      <c r="BC37" s="480">
        <f>VLOOKUP(200610&amp;"AllSex"&amp;"AllEth"&amp;19&amp;ref!Z7,DHB5yr,9,FALSE)</f>
        <v>4.5999999999999996</v>
      </c>
      <c r="BD37" s="480">
        <f>VLOOKUP(201115&amp;"AllSex"&amp;"AllEth"&amp;19&amp;ref!Z7,DHB5yr,9,FALSE)</f>
        <v>4.7</v>
      </c>
      <c r="BE37" s="480"/>
      <c r="BF37" s="513">
        <f t="shared" si="0"/>
        <v>36.349696245984468</v>
      </c>
      <c r="BG37" s="513">
        <f t="shared" si="1"/>
        <v>28.60468214041428</v>
      </c>
      <c r="BH37" s="513">
        <f t="shared" si="2"/>
        <v>29.395081630875165</v>
      </c>
    </row>
    <row r="38" spans="2:60" x14ac:dyDescent="0.2">
      <c r="B38" s="71"/>
      <c r="C38" s="71"/>
      <c r="D38" s="71"/>
      <c r="E38" s="71"/>
      <c r="F38" s="71"/>
      <c r="G38" s="71"/>
      <c r="H38" s="71"/>
      <c r="I38" s="71"/>
      <c r="J38" s="71"/>
      <c r="K38" s="71"/>
      <c r="L38" s="71"/>
      <c r="M38" s="71"/>
      <c r="N38" s="71"/>
      <c r="O38" s="71"/>
      <c r="P38" s="71"/>
      <c r="Q38" s="71"/>
      <c r="R38" s="71"/>
      <c r="S38" s="71"/>
      <c r="W38" s="391"/>
      <c r="X38" s="286" t="s">
        <v>54</v>
      </c>
      <c r="Y38" s="286"/>
      <c r="Z38" s="395">
        <f>IF(Z14&lt;5,"-",VLOOKUP(200105&amp;"AllSex"&amp;"AllEth"&amp;19&amp;ref!Z2,DHB5yr,8,FALSE))</f>
        <v>14.919518129217</v>
      </c>
      <c r="AA38" s="395">
        <f>IF(AA14&lt;5,"-",VLOOKUP(200610&amp;"AllSex"&amp;"AllEth"&amp;19&amp;ref!Z2,DHB5yr,8,FALSE))</f>
        <v>14.054859137952</v>
      </c>
      <c r="AB38" s="395">
        <f>IF(AB14&lt;5,"-",VLOOKUP(201115&amp;"AllSex"&amp;"AllEth"&amp;19&amp;ref!Z2,DHB5yr,8,FALSE))</f>
        <v>14.2876236280438</v>
      </c>
      <c r="BA38" s="512" t="s">
        <v>60</v>
      </c>
      <c r="BB38" s="480">
        <f>VLOOKUP(201115&amp;"AllSex"&amp;"AllEth"&amp;19&amp;ref!Z8,DHB5yr,9,FALSE)</f>
        <v>3.2</v>
      </c>
      <c r="BC38" s="480">
        <f>VLOOKUP(200610&amp;"AllSex"&amp;"AllEth"&amp;19&amp;ref!Z8,DHB5yr,9,FALSE)</f>
        <v>3.1</v>
      </c>
      <c r="BD38" s="480">
        <f>VLOOKUP(201115&amp;"AllSex"&amp;"AllEth"&amp;19&amp;ref!Z8,DHB5yr,9,FALSE)</f>
        <v>3.2</v>
      </c>
      <c r="BE38" s="480"/>
      <c r="BF38" s="513">
        <f t="shared" si="0"/>
        <v>20.973892575788831</v>
      </c>
      <c r="BG38" s="513">
        <f t="shared" si="1"/>
        <v>21.042384019431594</v>
      </c>
      <c r="BH38" s="513">
        <f t="shared" si="2"/>
        <v>20.544810820217101</v>
      </c>
    </row>
    <row r="39" spans="2:60" x14ac:dyDescent="0.2">
      <c r="B39" s="71"/>
      <c r="C39" s="71"/>
      <c r="D39" s="71"/>
      <c r="E39" s="71"/>
      <c r="F39" s="71"/>
      <c r="G39" s="71"/>
      <c r="H39" s="71"/>
      <c r="I39" s="71"/>
      <c r="J39" s="71"/>
      <c r="K39" s="71"/>
      <c r="L39" s="71"/>
      <c r="M39" s="71"/>
      <c r="N39" s="71"/>
      <c r="O39" s="71"/>
      <c r="P39" s="71"/>
      <c r="Q39" s="71"/>
      <c r="R39" s="71"/>
      <c r="S39" s="71"/>
      <c r="W39" s="391"/>
      <c r="X39" s="286" t="s">
        <v>55</v>
      </c>
      <c r="Y39" s="286"/>
      <c r="Z39" s="395">
        <f>IF(Z15&lt;5,"-",VLOOKUP(200105&amp;"AllSex"&amp;"AllEth"&amp;19&amp;ref!Z3,DHB5yr,8,FALSE))</f>
        <v>10.5977861910792</v>
      </c>
      <c r="AA39" s="395">
        <f>IF(AA15&lt;5,"-",VLOOKUP(200610&amp;"AllSex"&amp;"AllEth"&amp;19&amp;ref!Z3,DHB5yr,8,FALSE))</f>
        <v>9.4574954369590092</v>
      </c>
      <c r="AB39" s="395">
        <f>IF(AB15&lt;5,"-",VLOOKUP(201115&amp;"AllSex"&amp;"AllEth"&amp;19&amp;ref!Z3,DHB5yr,8,FALSE))</f>
        <v>8.9332387238291204</v>
      </c>
      <c r="BA39" s="512" t="s">
        <v>115</v>
      </c>
      <c r="BB39" s="480">
        <f>VLOOKUP(201115&amp;"AllSex"&amp;"AllEth"&amp;19&amp;ref!Z9,DHB5yr,9,FALSE)</f>
        <v>6.2</v>
      </c>
      <c r="BC39" s="480">
        <f>VLOOKUP(200610&amp;"AllSex"&amp;"AllEth"&amp;19&amp;ref!Z9,DHB5yr,9,FALSE)</f>
        <v>8</v>
      </c>
      <c r="BD39" s="480">
        <f>VLOOKUP(201115&amp;"AllSex"&amp;"AllEth"&amp;19&amp;ref!Z9,DHB5yr,9,FALSE)</f>
        <v>6.2</v>
      </c>
      <c r="BE39" s="480"/>
      <c r="BF39" s="513">
        <f t="shared" si="0"/>
        <v>40.603852799438208</v>
      </c>
      <c r="BG39" s="513">
        <f t="shared" si="1"/>
        <v>38.811966062025164</v>
      </c>
      <c r="BH39" s="513">
        <f t="shared" si="2"/>
        <v>46.171389308337837</v>
      </c>
    </row>
    <row r="40" spans="2:60" x14ac:dyDescent="0.2">
      <c r="B40" s="71"/>
      <c r="C40" s="71"/>
      <c r="D40" s="71"/>
      <c r="E40" s="71"/>
      <c r="F40" s="71"/>
      <c r="G40" s="71"/>
      <c r="H40" s="71"/>
      <c r="I40" s="71"/>
      <c r="J40" s="71"/>
      <c r="K40" s="71"/>
      <c r="L40" s="71"/>
      <c r="M40" s="71"/>
      <c r="N40" s="71"/>
      <c r="O40" s="71"/>
      <c r="P40" s="71"/>
      <c r="Q40" s="71"/>
      <c r="R40" s="71"/>
      <c r="S40" s="71"/>
      <c r="W40" s="391"/>
      <c r="X40" s="286" t="s">
        <v>56</v>
      </c>
      <c r="Y40" s="286"/>
      <c r="Z40" s="395">
        <f>IF(Z16&lt;5,"-",VLOOKUP(200105&amp;"AllSex"&amp;"AllEth"&amp;19&amp;ref!Z4,DHB5yr,8,FALSE))</f>
        <v>8.6779080704235891</v>
      </c>
      <c r="AA40" s="395">
        <f>IF(AA16&lt;5,"-",VLOOKUP(200610&amp;"AllSex"&amp;"AllEth"&amp;19&amp;ref!Z4,DHB5yr,8,FALSE))</f>
        <v>9.6919797098898304</v>
      </c>
      <c r="AB40" s="395">
        <f>IF(AB16&lt;5,"-",VLOOKUP(201115&amp;"AllSex"&amp;"AllEth"&amp;19&amp;ref!Z4,DHB5yr,8,FALSE))</f>
        <v>7.9373581538264499</v>
      </c>
      <c r="BA40" s="512" t="s">
        <v>62</v>
      </c>
      <c r="BB40" s="480">
        <f>VLOOKUP(201115&amp;"AllSex"&amp;"AllEth"&amp;19&amp;ref!Z10,DHB5yr,9,FALSE)</f>
        <v>3.7</v>
      </c>
      <c r="BC40" s="480">
        <f>VLOOKUP(200610&amp;"AllSex"&amp;"AllEth"&amp;19&amp;ref!Z10,DHB5yr,9,FALSE)</f>
        <v>3.6</v>
      </c>
      <c r="BD40" s="480">
        <f>VLOOKUP(201115&amp;"AllSex"&amp;"AllEth"&amp;19&amp;ref!Z10,DHB5yr,9,FALSE)</f>
        <v>3.7</v>
      </c>
      <c r="BE40" s="480"/>
      <c r="BF40" s="513">
        <f t="shared" si="0"/>
        <v>20.865214165763792</v>
      </c>
      <c r="BG40" s="513">
        <f t="shared" si="1"/>
        <v>24.578858758579461</v>
      </c>
      <c r="BH40" s="513">
        <f t="shared" si="2"/>
        <v>24.279018754431423</v>
      </c>
    </row>
    <row r="41" spans="2:60" x14ac:dyDescent="0.2">
      <c r="B41" s="71"/>
      <c r="C41" s="71"/>
      <c r="D41" s="71"/>
      <c r="E41" s="71"/>
      <c r="F41" s="71"/>
      <c r="G41" s="71"/>
      <c r="H41" s="71"/>
      <c r="I41" s="71"/>
      <c r="J41" s="71"/>
      <c r="K41" s="71"/>
      <c r="L41" s="71"/>
      <c r="M41" s="71"/>
      <c r="N41" s="71"/>
      <c r="O41" s="71"/>
      <c r="P41" s="71"/>
      <c r="Q41" s="71"/>
      <c r="R41" s="71"/>
      <c r="S41" s="71"/>
      <c r="W41" s="391"/>
      <c r="X41" s="286" t="s">
        <v>57</v>
      </c>
      <c r="Y41" s="286"/>
      <c r="Z41" s="395">
        <f>IF(Z17&lt;5,"-",VLOOKUP(200105&amp;"AllSex"&amp;"AllEth"&amp;19&amp;ref!Z5,DHB5yr,8,FALSE))</f>
        <v>11.919217101744399</v>
      </c>
      <c r="AA41" s="395">
        <f>IF(AA17&lt;5,"-",VLOOKUP(200610&amp;"AllSex"&amp;"AllEth"&amp;19&amp;ref!Z5,DHB5yr,8,FALSE))</f>
        <v>10.6580805597601</v>
      </c>
      <c r="AB41" s="395">
        <f>IF(AB17&lt;5,"-",VLOOKUP(201115&amp;"AllSex"&amp;"AllEth"&amp;19&amp;ref!Z5,DHB5yr,8,FALSE))</f>
        <v>9.8984574915243098</v>
      </c>
      <c r="BA41" s="512" t="s">
        <v>63</v>
      </c>
      <c r="BB41" s="480">
        <f>VLOOKUP(201115&amp;"AllSex"&amp;"AllEth"&amp;19&amp;ref!Z11,DHB5yr,9,FALSE)</f>
        <v>3.8</v>
      </c>
      <c r="BC41" s="480">
        <f>VLOOKUP(200610&amp;"AllSex"&amp;"AllEth"&amp;19&amp;ref!Z11,DHB5yr,9,FALSE)</f>
        <v>4.0999999999999996</v>
      </c>
      <c r="BD41" s="480">
        <f>VLOOKUP(201115&amp;"AllSex"&amp;"AllEth"&amp;19&amp;ref!Z11,DHB5yr,9,FALSE)</f>
        <v>3.8</v>
      </c>
      <c r="BE41" s="480"/>
      <c r="BF41" s="513">
        <f t="shared" si="0"/>
        <v>30.207931299961661</v>
      </c>
      <c r="BG41" s="513">
        <f t="shared" si="1"/>
        <v>30.261860051622619</v>
      </c>
      <c r="BH41" s="513">
        <f t="shared" si="2"/>
        <v>30.38886671825901</v>
      </c>
    </row>
    <row r="42" spans="2:60" x14ac:dyDescent="0.2">
      <c r="B42" s="71"/>
      <c r="C42" s="71"/>
      <c r="D42" s="71"/>
      <c r="E42" s="71"/>
      <c r="F42" s="71"/>
      <c r="G42" s="71"/>
      <c r="H42" s="71"/>
      <c r="I42" s="71"/>
      <c r="J42" s="71"/>
      <c r="K42" s="71"/>
      <c r="L42" s="71"/>
      <c r="M42" s="71"/>
      <c r="N42" s="71"/>
      <c r="O42" s="71"/>
      <c r="P42" s="71"/>
      <c r="Q42" s="71"/>
      <c r="R42" s="71"/>
      <c r="S42" s="71"/>
      <c r="W42" s="391"/>
      <c r="X42" s="286" t="s">
        <v>58</v>
      </c>
      <c r="Y42" s="286"/>
      <c r="Z42" s="395">
        <f>IF(Z18&lt;5,"-",VLOOKUP(200105&amp;"AllSex"&amp;"AllEth"&amp;19&amp;ref!Z6,DHB5yr,8,FALSE))</f>
        <v>11.684579819861</v>
      </c>
      <c r="AA42" s="395">
        <f>IF(AA18&lt;5,"-",VLOOKUP(200610&amp;"AllSex"&amp;"AllEth"&amp;19&amp;ref!Z6,DHB5yr,8,FALSE))</f>
        <v>11.455784133177801</v>
      </c>
      <c r="AB42" s="395">
        <f>IF(AB18&lt;5,"-",VLOOKUP(201115&amp;"AllSex"&amp;"AllEth"&amp;19&amp;ref!Z6,DHB5yr,8,FALSE))</f>
        <v>11.316584285972899</v>
      </c>
      <c r="BA42" s="512" t="s">
        <v>64</v>
      </c>
      <c r="BB42" s="480">
        <f>VLOOKUP(201115&amp;"AllSex"&amp;"AllEth"&amp;19&amp;ref!Z12,DHB5yr,9,FALSE)</f>
        <v>3.5</v>
      </c>
      <c r="BC42" s="480">
        <f>VLOOKUP(200610&amp;"AllSex"&amp;"AllEth"&amp;19&amp;ref!Z12,DHB5yr,9,FALSE)</f>
        <v>3.4</v>
      </c>
      <c r="BD42" s="480">
        <f>VLOOKUP(201115&amp;"AllSex"&amp;"AllEth"&amp;19&amp;ref!Z12,DHB5yr,9,FALSE)</f>
        <v>3.5</v>
      </c>
      <c r="BE42" s="480"/>
      <c r="BF42" s="513">
        <f t="shared" si="0"/>
        <v>22.973067866852347</v>
      </c>
      <c r="BG42" s="513">
        <f t="shared" si="1"/>
        <v>23.646568218160098</v>
      </c>
      <c r="BH42" s="513">
        <f t="shared" si="2"/>
        <v>21.495282377872517</v>
      </c>
    </row>
    <row r="43" spans="2:60" x14ac:dyDescent="0.2">
      <c r="B43" s="71"/>
      <c r="C43" s="71"/>
      <c r="D43" s="71"/>
      <c r="E43" s="71"/>
      <c r="F43" s="71"/>
      <c r="G43" s="71"/>
      <c r="H43" s="71"/>
      <c r="I43" s="71"/>
      <c r="J43" s="71"/>
      <c r="K43" s="71"/>
      <c r="L43" s="71"/>
      <c r="M43" s="71"/>
      <c r="N43" s="71"/>
      <c r="O43" s="71"/>
      <c r="P43" s="71"/>
      <c r="Q43" s="71"/>
      <c r="R43" s="71"/>
      <c r="S43" s="71"/>
      <c r="W43" s="391"/>
      <c r="X43" s="286" t="s">
        <v>59</v>
      </c>
      <c r="Y43" s="286"/>
      <c r="Z43" s="395">
        <f>IF(Z19&lt;5,"-",VLOOKUP(200105&amp;"AllSex"&amp;"AllEth"&amp;19&amp;ref!Z7,DHB5yr,8,FALSE))</f>
        <v>12.9299567407505</v>
      </c>
      <c r="AA43" s="395">
        <f>IF(AA19&lt;5,"-",VLOOKUP(200610&amp;"AllSex"&amp;"AllEth"&amp;19&amp;ref!Z7,DHB5yr,8,FALSE))</f>
        <v>16.081283397660499</v>
      </c>
      <c r="AB43" s="395">
        <f>IF(AB19&lt;5,"-",VLOOKUP(201115&amp;"AllSex"&amp;"AllEth"&amp;19&amp;ref!Z7,DHB5yr,8,FALSE))</f>
        <v>15.9890693926951</v>
      </c>
      <c r="BA43" s="512" t="s">
        <v>65</v>
      </c>
      <c r="BB43" s="480">
        <f>VLOOKUP(201115&amp;"AllSex"&amp;"AllEth"&amp;19&amp;ref!Z13,DHB5yr,9,FALSE)</f>
        <v>5.5</v>
      </c>
      <c r="BC43" s="480">
        <f>VLOOKUP(200610&amp;"AllSex"&amp;"AllEth"&amp;19&amp;ref!Z13,DHB5yr,9,FALSE)</f>
        <v>6.1</v>
      </c>
      <c r="BD43" s="480">
        <f>VLOOKUP(201115&amp;"AllSex"&amp;"AllEth"&amp;19&amp;ref!Z13,DHB5yr,9,FALSE)</f>
        <v>5.5</v>
      </c>
      <c r="BE43" s="480"/>
      <c r="BF43" s="513">
        <f t="shared" si="0"/>
        <v>32.885394287366907</v>
      </c>
      <c r="BG43" s="513">
        <f t="shared" si="1"/>
        <v>35.837486631821314</v>
      </c>
      <c r="BH43" s="513">
        <f t="shared" si="2"/>
        <v>41.864067498280207</v>
      </c>
    </row>
    <row r="44" spans="2:60" x14ac:dyDescent="0.2">
      <c r="B44" s="71"/>
      <c r="C44" s="71"/>
      <c r="D44" s="71"/>
      <c r="E44" s="71"/>
      <c r="F44" s="71"/>
      <c r="G44" s="71"/>
      <c r="H44" s="71"/>
      <c r="I44" s="71"/>
      <c r="J44" s="71"/>
      <c r="K44" s="71"/>
      <c r="L44" s="71"/>
      <c r="M44" s="71"/>
      <c r="N44" s="71"/>
      <c r="O44" s="71"/>
      <c r="P44" s="71"/>
      <c r="Q44" s="71"/>
      <c r="R44" s="71"/>
      <c r="S44" s="71"/>
      <c r="W44" s="391"/>
      <c r="X44" s="286" t="s">
        <v>60</v>
      </c>
      <c r="Y44" s="286"/>
      <c r="Z44" s="395">
        <f>IF(Z20&lt;5,"-",VLOOKUP(200105&amp;"AllSex"&amp;"AllEth"&amp;19&amp;ref!Z8,DHB5yr,8,FALSE))</f>
        <v>15.257062981689501</v>
      </c>
      <c r="AA44" s="395">
        <f>IF(AA20&lt;5,"-",VLOOKUP(200610&amp;"AllSex"&amp;"AllEth"&amp;19&amp;ref!Z8,DHB5yr,8,FALSE))</f>
        <v>14.7321710179669</v>
      </c>
      <c r="AB44" s="395">
        <f>IF(AB20&lt;5,"-",VLOOKUP(201115&amp;"AllSex"&amp;"AllEth"&amp;19&amp;ref!Z8,DHB5yr,8,FALSE))</f>
        <v>15.575709253312001</v>
      </c>
      <c r="BA44" s="512" t="s">
        <v>66</v>
      </c>
      <c r="BB44" s="480">
        <f>VLOOKUP(201115&amp;"AllSex"&amp;"AllEth"&amp;19&amp;ref!Z14,DHB5yr,9,FALSE)</f>
        <v>1.8</v>
      </c>
      <c r="BC44" s="480">
        <f>VLOOKUP(200610&amp;"AllSex"&amp;"AllEth"&amp;19&amp;ref!Z14,DHB5yr,9,FALSE)</f>
        <v>1.9</v>
      </c>
      <c r="BD44" s="480">
        <f>VLOOKUP(201115&amp;"AllSex"&amp;"AllEth"&amp;19&amp;ref!Z14,DHB5yr,9,FALSE)</f>
        <v>1.8</v>
      </c>
      <c r="BE44" s="480"/>
      <c r="BF44" s="513">
        <f t="shared" si="0"/>
        <v>17.629652316739509</v>
      </c>
      <c r="BG44" s="513">
        <f t="shared" si="1"/>
        <v>23.54616853155418</v>
      </c>
      <c r="BH44" s="513">
        <f t="shared" si="2"/>
        <v>21.911685238824287</v>
      </c>
    </row>
    <row r="45" spans="2:60" x14ac:dyDescent="0.2">
      <c r="B45" s="71"/>
      <c r="C45" s="71"/>
      <c r="D45" s="71"/>
      <c r="E45" s="71"/>
      <c r="F45" s="71"/>
      <c r="G45" s="71"/>
      <c r="H45" s="71"/>
      <c r="I45" s="71"/>
      <c r="J45" s="71"/>
      <c r="K45" s="71"/>
      <c r="L45" s="71"/>
      <c r="M45" s="71"/>
      <c r="N45" s="71"/>
      <c r="O45" s="71"/>
      <c r="P45" s="71"/>
      <c r="Q45" s="71"/>
      <c r="R45" s="71"/>
      <c r="S45" s="71"/>
      <c r="W45" s="391"/>
      <c r="X45" s="286" t="s">
        <v>115</v>
      </c>
      <c r="Y45" s="286"/>
      <c r="Z45" s="395">
        <f>IF(Z21&lt;5,"-",VLOOKUP(200105&amp;"AllSex"&amp;"AllEth"&amp;19&amp;ref!Z9,DHB5yr,8,FALSE))</f>
        <v>15.269486939145301</v>
      </c>
      <c r="AA45" s="395">
        <f>IF(AA21&lt;5,"-",VLOOKUP(200610&amp;"AllSex"&amp;"AllEth"&amp;19&amp;ref!Z9,DHB5yr,8,FALSE))</f>
        <v>20.612199823155699</v>
      </c>
      <c r="AB45" s="395">
        <f>IF(AB21&lt;5,"-",VLOOKUP(201115&amp;"AllSex"&amp;"AllEth"&amp;19&amp;ref!Z9,DHB5yr,8,FALSE))</f>
        <v>13.428229240830699</v>
      </c>
      <c r="BA45" s="512" t="s">
        <v>67</v>
      </c>
      <c r="BB45" s="480">
        <f>VLOOKUP(201115&amp;"AllSex"&amp;"AllEth"&amp;19&amp;ref!Z15,DHB5yr,9,FALSE)</f>
        <v>3.3</v>
      </c>
      <c r="BC45" s="480">
        <f>VLOOKUP(200610&amp;"AllSex"&amp;"AllEth"&amp;19&amp;ref!Z15,DHB5yr,9,FALSE)</f>
        <v>3</v>
      </c>
      <c r="BD45" s="480">
        <f>VLOOKUP(201115&amp;"AllSex"&amp;"AllEth"&amp;19&amp;ref!Z15,DHB5yr,9,FALSE)</f>
        <v>3.3</v>
      </c>
      <c r="BE45" s="480"/>
      <c r="BF45" s="513">
        <f t="shared" si="0"/>
        <v>32.866882786158584</v>
      </c>
      <c r="BG45" s="513">
        <f t="shared" si="1"/>
        <v>30.358521877751738</v>
      </c>
      <c r="BH45" s="513">
        <f t="shared" si="2"/>
        <v>27.491882497850956</v>
      </c>
    </row>
    <row r="46" spans="2:60" x14ac:dyDescent="0.2">
      <c r="B46" s="71"/>
      <c r="C46" s="71"/>
      <c r="D46" s="71"/>
      <c r="E46" s="71"/>
      <c r="F46" s="71"/>
      <c r="G46" s="71"/>
      <c r="H46" s="71"/>
      <c r="I46" s="71"/>
      <c r="J46" s="71"/>
      <c r="K46" s="71"/>
      <c r="L46" s="71"/>
      <c r="M46" s="71"/>
      <c r="N46" s="71"/>
      <c r="O46" s="71"/>
      <c r="P46" s="71"/>
      <c r="Q46" s="71"/>
      <c r="R46" s="71"/>
      <c r="S46" s="71"/>
      <c r="W46" s="391"/>
      <c r="X46" s="286" t="s">
        <v>62</v>
      </c>
      <c r="Y46" s="286"/>
      <c r="Z46" s="395">
        <f>IF(Z22&lt;5,"-",VLOOKUP(200105&amp;"AllSex"&amp;"AllEth"&amp;19&amp;ref!Z10,DHB5yr,8,FALSE))</f>
        <v>17.732863754023001</v>
      </c>
      <c r="AA46" s="395">
        <f>IF(AA22&lt;5,"-",VLOOKUP(200610&amp;"AllSex"&amp;"AllEth"&amp;19&amp;ref!Z10,DHB5yr,8,FALSE))</f>
        <v>14.6467337452899</v>
      </c>
      <c r="AB46" s="395">
        <f>IF(AB22&lt;5,"-",VLOOKUP(201115&amp;"AllSex"&amp;"AllEth"&amp;19&amp;ref!Z10,DHB5yr,8,FALSE))</f>
        <v>15.239495621398101</v>
      </c>
      <c r="BA46" s="512" t="s">
        <v>68</v>
      </c>
      <c r="BB46" s="480">
        <f>VLOOKUP(201115&amp;"AllSex"&amp;"AllEth"&amp;19&amp;ref!Z16,DHB5yr,9,FALSE)</f>
        <v>8</v>
      </c>
      <c r="BC46" s="480">
        <f>VLOOKUP(200610&amp;"AllSex"&amp;"AllEth"&amp;19&amp;ref!Z16,DHB5yr,9,FALSE)</f>
        <v>7.6</v>
      </c>
      <c r="BD46" s="480">
        <f>VLOOKUP(201115&amp;"AllSex"&amp;"AllEth"&amp;19&amp;ref!Z16,DHB5yr,9,FALSE)</f>
        <v>8</v>
      </c>
      <c r="BE46" s="480"/>
      <c r="BF46" s="513">
        <f t="shared" si="0"/>
        <v>42.342067049623893</v>
      </c>
      <c r="BG46" s="513">
        <f t="shared" si="1"/>
        <v>50.647159555228669</v>
      </c>
      <c r="BH46" s="513">
        <f t="shared" si="2"/>
        <v>43.51120081282842</v>
      </c>
    </row>
    <row r="47" spans="2:60" x14ac:dyDescent="0.2">
      <c r="B47" s="71"/>
      <c r="C47" s="71"/>
      <c r="D47" s="71"/>
      <c r="E47" s="71"/>
      <c r="F47" s="71"/>
      <c r="G47" s="71"/>
      <c r="H47" s="71"/>
      <c r="I47" s="71"/>
      <c r="J47" s="71"/>
      <c r="K47" s="71"/>
      <c r="L47" s="71"/>
      <c r="M47" s="71"/>
      <c r="N47" s="71"/>
      <c r="O47" s="71"/>
      <c r="P47" s="71"/>
      <c r="Q47" s="71"/>
      <c r="R47" s="71"/>
      <c r="S47" s="71"/>
      <c r="W47" s="391"/>
      <c r="X47" s="286" t="s">
        <v>63</v>
      </c>
      <c r="Y47" s="286"/>
      <c r="Z47" s="395">
        <f>IF(Z23&lt;5,"-",VLOOKUP(200105&amp;"AllSex"&amp;"AllEth"&amp;19&amp;ref!Z11,DHB5yr,8,FALSE))</f>
        <v>12.5794777612091</v>
      </c>
      <c r="AA47" s="395">
        <f>IF(AA23&lt;5,"-",VLOOKUP(200610&amp;"AllSex"&amp;"AllEth"&amp;19&amp;ref!Z11,DHB5yr,8,FALSE))</f>
        <v>13.548407113792599</v>
      </c>
      <c r="AB47" s="395">
        <f>IF(AB23&lt;5,"-",VLOOKUP(201115&amp;"AllSex"&amp;"AllEth"&amp;19&amp;ref!Z11,DHB5yr,8,FALSE))</f>
        <v>12.5045795067994</v>
      </c>
      <c r="BA47" s="512" t="s">
        <v>69</v>
      </c>
      <c r="BB47" s="480">
        <f>VLOOKUP(201115&amp;"AllSex"&amp;"AllEth"&amp;19&amp;ref!Z17,DHB5yr,9,FALSE)</f>
        <v>3</v>
      </c>
      <c r="BC47" s="480">
        <f>VLOOKUP(200610&amp;"AllSex"&amp;"AllEth"&amp;19&amp;ref!Z17,DHB5yr,9,FALSE)</f>
        <v>3.5</v>
      </c>
      <c r="BD47" s="480">
        <f>VLOOKUP(201115&amp;"AllSex"&amp;"AllEth"&amp;19&amp;ref!Z17,DHB5yr,9,FALSE)</f>
        <v>3</v>
      </c>
      <c r="BE47" s="480"/>
      <c r="BF47" s="513">
        <f t="shared" si="0"/>
        <v>23.33332863430407</v>
      </c>
      <c r="BG47" s="513">
        <f t="shared" si="1"/>
        <v>27.990621682276984</v>
      </c>
      <c r="BH47" s="513">
        <f t="shared" si="2"/>
        <v>28.767522955415419</v>
      </c>
    </row>
    <row r="48" spans="2:60" x14ac:dyDescent="0.2">
      <c r="B48" s="71"/>
      <c r="C48" s="71"/>
      <c r="D48" s="71"/>
      <c r="E48" s="71"/>
      <c r="F48" s="71"/>
      <c r="G48" s="71"/>
      <c r="H48" s="71"/>
      <c r="I48" s="71"/>
      <c r="J48" s="71"/>
      <c r="K48" s="71"/>
      <c r="L48" s="71"/>
      <c r="M48" s="71"/>
      <c r="N48" s="71"/>
      <c r="O48" s="71"/>
      <c r="P48" s="71"/>
      <c r="Q48" s="71"/>
      <c r="R48" s="71"/>
      <c r="S48" s="71"/>
      <c r="W48" s="391"/>
      <c r="X48" s="286" t="s">
        <v>64</v>
      </c>
      <c r="Y48" s="286"/>
      <c r="Z48" s="395">
        <f>IF(Z24&lt;5,"-",VLOOKUP(200105&amp;"AllSex"&amp;"AllEth"&amp;19&amp;ref!Z12,DHB5yr,8,FALSE))</f>
        <v>15.2352311858623</v>
      </c>
      <c r="AA48" s="395">
        <f>IF(AA24&lt;5,"-",VLOOKUP(200610&amp;"AllSex"&amp;"AllEth"&amp;19&amp;ref!Z12,DHB5yr,8,FALSE))</f>
        <v>14.3784077614648</v>
      </c>
      <c r="AB48" s="395">
        <f>IF(AB24&lt;5,"-",VLOOKUP(201115&amp;"AllSex"&amp;"AllEth"&amp;19&amp;ref!Z12,DHB5yr,8,FALSE))</f>
        <v>16.282642574646701</v>
      </c>
      <c r="BA48" s="512" t="s">
        <v>70</v>
      </c>
      <c r="BB48" s="480">
        <f>VLOOKUP(201115&amp;"AllSex"&amp;"AllEth"&amp;19&amp;ref!Z18,DHB5yr,9,FALSE)</f>
        <v>9.6</v>
      </c>
      <c r="BC48" s="480">
        <f>VLOOKUP(200610&amp;"AllSex"&amp;"AllEth"&amp;19&amp;ref!Z18,DHB5yr,9,FALSE)</f>
        <v>7.9</v>
      </c>
      <c r="BD48" s="480">
        <f>VLOOKUP(201115&amp;"AllSex"&amp;"AllEth"&amp;19&amp;ref!Z18,DHB5yr,9,FALSE)</f>
        <v>9.6</v>
      </c>
      <c r="BE48" s="480"/>
      <c r="BF48" s="513">
        <f t="shared" si="0"/>
        <v>81.436116518931428</v>
      </c>
      <c r="BG48" s="513">
        <f t="shared" si="1"/>
        <v>48.418120934099065</v>
      </c>
      <c r="BH48" s="513">
        <f t="shared" si="2"/>
        <v>46.075254835755523</v>
      </c>
    </row>
    <row r="49" spans="2:60" x14ac:dyDescent="0.2">
      <c r="B49" s="71"/>
      <c r="C49" s="71"/>
      <c r="D49" s="71"/>
      <c r="E49" s="71"/>
      <c r="F49" s="71"/>
      <c r="G49" s="71"/>
      <c r="H49" s="71"/>
      <c r="I49" s="71"/>
      <c r="J49" s="71"/>
      <c r="K49" s="71"/>
      <c r="L49" s="71"/>
      <c r="M49" s="71"/>
      <c r="N49" s="71"/>
      <c r="O49" s="71"/>
      <c r="P49" s="71"/>
      <c r="Q49" s="71"/>
      <c r="R49" s="71"/>
      <c r="S49" s="71"/>
      <c r="W49" s="391"/>
      <c r="X49" s="286" t="s">
        <v>65</v>
      </c>
      <c r="Y49" s="286"/>
      <c r="Z49" s="395">
        <f>IF(Z25&lt;5,"-",VLOOKUP(200105&amp;"AllSex"&amp;"AllEth"&amp;19&amp;ref!Z13,DHB5yr,8,FALSE))</f>
        <v>16.724750057544099</v>
      </c>
      <c r="AA49" s="395">
        <f>IF(AA25&lt;5,"-",VLOOKUP(200610&amp;"AllSex"&amp;"AllEth"&amp;19&amp;ref!Z13,DHB5yr,8,FALSE))</f>
        <v>17.021282945058999</v>
      </c>
      <c r="AB49" s="395">
        <f>IF(AB25&lt;5,"-",VLOOKUP(201115&amp;"AllSex"&amp;"AllEth"&amp;19&amp;ref!Z13,DHB5yr,8,FALSE))</f>
        <v>13.137758294093</v>
      </c>
      <c r="BA49" s="512" t="s">
        <v>71</v>
      </c>
      <c r="BB49" s="480">
        <f>VLOOKUP(201115&amp;"AllSex"&amp;"AllEth"&amp;19&amp;ref!Z19,DHB5yr,9,FALSE)</f>
        <v>1.7</v>
      </c>
      <c r="BC49" s="480">
        <f>VLOOKUP(200610&amp;"AllSex"&amp;"AllEth"&amp;19&amp;ref!Z19,DHB5yr,9,FALSE)</f>
        <v>1.7</v>
      </c>
      <c r="BD49" s="480">
        <f>VLOOKUP(201115&amp;"AllSex"&amp;"AllEth"&amp;19&amp;ref!Z19,DHB5yr,9,FALSE)</f>
        <v>1.7</v>
      </c>
      <c r="BE49" s="480"/>
      <c r="BF49" s="513">
        <f t="shared" si="0"/>
        <v>12.88786853833914</v>
      </c>
      <c r="BG49" s="513">
        <f t="shared" si="1"/>
        <v>14.279579239633255</v>
      </c>
      <c r="BH49" s="513">
        <f t="shared" si="2"/>
        <v>15.217277414479325</v>
      </c>
    </row>
    <row r="50" spans="2:60" x14ac:dyDescent="0.2">
      <c r="B50" s="71"/>
      <c r="C50" s="71"/>
      <c r="D50" s="71"/>
      <c r="E50" s="71"/>
      <c r="F50" s="71"/>
      <c r="G50" s="71"/>
      <c r="H50" s="71"/>
      <c r="I50" s="71"/>
      <c r="J50" s="71"/>
      <c r="K50" s="71"/>
      <c r="L50" s="71"/>
      <c r="M50" s="71"/>
      <c r="N50" s="71"/>
      <c r="O50" s="71"/>
      <c r="P50" s="71"/>
      <c r="Q50" s="71"/>
      <c r="R50" s="71"/>
      <c r="S50" s="71"/>
      <c r="W50" s="391"/>
      <c r="X50" s="286" t="s">
        <v>66</v>
      </c>
      <c r="Y50" s="286"/>
      <c r="Z50" s="395">
        <f>IF(Z26&lt;5,"-",VLOOKUP(200105&amp;"AllSex"&amp;"AllEth"&amp;19&amp;ref!Z14,DHB5yr,8,FALSE))</f>
        <v>10.2100708945399</v>
      </c>
      <c r="AA50" s="395">
        <f>IF(AA26&lt;5,"-",VLOOKUP(200610&amp;"AllSex"&amp;"AllEth"&amp;19&amp;ref!Z14,DHB5yr,8,FALSE))</f>
        <v>8.0692533796053194</v>
      </c>
      <c r="AB50" s="395">
        <f>IF(AB26&lt;5,"-",VLOOKUP(201115&amp;"AllSex"&amp;"AllEth"&amp;19&amp;ref!Z14,DHB5yr,8,FALSE))</f>
        <v>8.2147948931406898</v>
      </c>
      <c r="BA50" s="512" t="s">
        <v>72</v>
      </c>
      <c r="BB50" s="480">
        <f>VLOOKUP(201115&amp;"AllSex"&amp;"AllEth"&amp;19&amp;ref!Z20,DHB5yr,9,FALSE)</f>
        <v>7.3</v>
      </c>
      <c r="BC50" s="480">
        <f>VLOOKUP(200610&amp;"AllSex"&amp;"AllEth"&amp;19&amp;ref!Z20,DHB5yr,9,FALSE)</f>
        <v>6.4</v>
      </c>
      <c r="BD50" s="480">
        <f>VLOOKUP(201115&amp;"AllSex"&amp;"AllEth"&amp;19&amp;ref!Z20,DHB5yr,9,FALSE)</f>
        <v>7.3</v>
      </c>
      <c r="BE50" s="480"/>
      <c r="BF50" s="513">
        <f t="shared" si="0"/>
        <v>62.995089192931886</v>
      </c>
      <c r="BG50" s="513">
        <f t="shared" si="1"/>
        <v>43.250109431843811</v>
      </c>
      <c r="BH50" s="513">
        <f t="shared" si="2"/>
        <v>37.630992643784367</v>
      </c>
    </row>
    <row r="51" spans="2:60" x14ac:dyDescent="0.2">
      <c r="B51" s="71"/>
      <c r="C51" s="71"/>
      <c r="D51" s="71"/>
      <c r="E51" s="71"/>
      <c r="F51" s="71"/>
      <c r="G51" s="71"/>
      <c r="H51" s="71"/>
      <c r="I51" s="71"/>
      <c r="J51" s="71"/>
      <c r="K51" s="71"/>
      <c r="L51" s="71"/>
      <c r="M51" s="71"/>
      <c r="N51" s="71"/>
      <c r="O51" s="71"/>
      <c r="P51" s="71"/>
      <c r="Q51" s="71"/>
      <c r="R51" s="71"/>
      <c r="S51" s="71"/>
      <c r="W51" s="391"/>
      <c r="X51" s="286" t="s">
        <v>67</v>
      </c>
      <c r="Y51" s="286"/>
      <c r="Z51" s="395">
        <f>IF(Z27&lt;5,"-",VLOOKUP(200105&amp;"AllSex"&amp;"AllEth"&amp;19&amp;ref!Z15,DHB5yr,8,FALSE))</f>
        <v>10.0405019285545</v>
      </c>
      <c r="AA51" s="395">
        <f>IF(AA27&lt;5,"-",VLOOKUP(200610&amp;"AllSex"&amp;"AllEth"&amp;19&amp;ref!Z15,DHB5yr,8,FALSE))</f>
        <v>9.8819040402574796</v>
      </c>
      <c r="AB51" s="395">
        <f>IF(AB27&lt;5,"-",VLOOKUP(201115&amp;"AllSex"&amp;"AllEth"&amp;19&amp;ref!Z15,DHB5yr,8,FALSE))</f>
        <v>12.0035432286529</v>
      </c>
      <c r="BA51" s="512" t="s">
        <v>73</v>
      </c>
      <c r="BB51" s="480">
        <f>VLOOKUP(201115&amp;"AllSex"&amp;"AllEth"&amp;19&amp;ref!Z21,DHB5yr,9,FALSE)</f>
        <v>2.2999999999999998</v>
      </c>
      <c r="BC51" s="480">
        <f>VLOOKUP(200610&amp;"AllSex"&amp;"AllEth"&amp;19&amp;ref!Z21,DHB5yr,9,FALSE)</f>
        <v>2.5</v>
      </c>
      <c r="BD51" s="480">
        <f>VLOOKUP(201115&amp;"AllSex"&amp;"AllEth"&amp;19&amp;ref!Z21,DHB5yr,9,FALSE)</f>
        <v>2.2999999999999998</v>
      </c>
      <c r="BE51" s="480"/>
      <c r="BF51" s="513">
        <f t="shared" si="0"/>
        <v>18.371848091395428</v>
      </c>
      <c r="BG51" s="513">
        <f t="shared" si="1"/>
        <v>17.909261702409491</v>
      </c>
      <c r="BH51" s="513">
        <f t="shared" si="2"/>
        <v>17.755810653105051</v>
      </c>
    </row>
    <row r="52" spans="2:60" x14ac:dyDescent="0.2">
      <c r="B52" s="71"/>
      <c r="C52" s="71"/>
      <c r="D52" s="71"/>
      <c r="E52" s="71"/>
      <c r="F52" s="71"/>
      <c r="G52" s="71"/>
      <c r="H52" s="71"/>
      <c r="I52" s="71"/>
      <c r="J52" s="71"/>
      <c r="K52" s="71"/>
      <c r="L52" s="71"/>
      <c r="M52" s="71"/>
      <c r="N52" s="71"/>
      <c r="O52" s="71"/>
      <c r="P52" s="71"/>
      <c r="Q52" s="71"/>
      <c r="R52" s="71"/>
      <c r="S52" s="71"/>
      <c r="W52" s="391"/>
      <c r="X52" s="286" t="s">
        <v>68</v>
      </c>
      <c r="Y52" s="286"/>
      <c r="Z52" s="395">
        <f>IF(Z28&lt;5,"-",VLOOKUP(200105&amp;"AllSex"&amp;"AllEth"&amp;19&amp;ref!Z16,DHB5yr,8,FALSE))</f>
        <v>18.893739860702102</v>
      </c>
      <c r="AA52" s="395">
        <f>IF(AA28&lt;5,"-",VLOOKUP(200610&amp;"AllSex"&amp;"AllEth"&amp;19&amp;ref!Z16,DHB5yr,8,FALSE))</f>
        <v>15.005777356008499</v>
      </c>
      <c r="AB52" s="395">
        <f>IF(AB28&lt;5,"-",VLOOKUP(201115&amp;"AllSex"&amp;"AllEth"&amp;19&amp;ref!Z16,DHB5yr,8,FALSE))</f>
        <v>18.386070369359601</v>
      </c>
      <c r="BA52" s="480"/>
      <c r="BB52" s="480"/>
      <c r="BC52" s="480"/>
      <c r="BD52" s="480"/>
      <c r="BE52" s="480"/>
      <c r="BF52" s="480"/>
      <c r="BG52" s="480"/>
      <c r="BH52" s="480"/>
    </row>
    <row r="53" spans="2:60" x14ac:dyDescent="0.2">
      <c r="B53" s="71"/>
      <c r="C53" s="71"/>
      <c r="D53" s="71"/>
      <c r="E53" s="71"/>
      <c r="F53" s="71"/>
      <c r="G53" s="71"/>
      <c r="H53" s="71"/>
      <c r="I53" s="71"/>
      <c r="J53" s="71"/>
      <c r="K53" s="71"/>
      <c r="L53" s="71"/>
      <c r="M53" s="71"/>
      <c r="N53" s="71"/>
      <c r="O53" s="71"/>
      <c r="P53" s="71"/>
      <c r="Q53" s="71"/>
      <c r="R53" s="71"/>
      <c r="S53" s="71"/>
      <c r="W53" s="391"/>
      <c r="X53" s="286" t="s">
        <v>69</v>
      </c>
      <c r="Y53" s="286"/>
      <c r="Z53" s="395">
        <f>IF(Z29&lt;5,"-",VLOOKUP(200105&amp;"AllSex"&amp;"AllEth"&amp;19&amp;ref!Z17,DHB5yr,8,FALSE))</f>
        <v>12.857145446404401</v>
      </c>
      <c r="AA53" s="395">
        <f>IF(AA29&lt;5,"-",VLOOKUP(200610&amp;"AllSex"&amp;"AllEth"&amp;19&amp;ref!Z17,DHB5yr,8,FALSE))</f>
        <v>12.504188151762699</v>
      </c>
      <c r="AB53" s="395">
        <f>IF(AB29&lt;5,"-",VLOOKUP(201115&amp;"AllSex"&amp;"AllEth"&amp;19&amp;ref!Z17,DHB5yr,8,FALSE))</f>
        <v>10.42842654423</v>
      </c>
    </row>
    <row r="54" spans="2:60" x14ac:dyDescent="0.2">
      <c r="B54" s="71"/>
      <c r="C54" s="71"/>
      <c r="D54" s="71"/>
      <c r="E54" s="71"/>
      <c r="F54" s="71"/>
      <c r="G54" s="71"/>
      <c r="H54" s="71"/>
      <c r="I54" s="71"/>
      <c r="J54" s="71"/>
      <c r="K54" s="71"/>
      <c r="L54" s="71"/>
      <c r="M54" s="71"/>
      <c r="N54" s="71"/>
      <c r="O54" s="71"/>
      <c r="P54" s="71"/>
      <c r="Q54" s="71"/>
      <c r="R54" s="71"/>
      <c r="S54" s="71"/>
      <c r="W54" s="391"/>
      <c r="X54" s="286" t="s">
        <v>70</v>
      </c>
      <c r="Y54" s="286"/>
      <c r="Z54" s="396">
        <f>IF(Z30&lt;5,"-",VLOOKUP(200105&amp;"AllSex"&amp;"AllEth"&amp;19&amp;ref!Z18,DHB5yr,8,FALSE))</f>
        <v>11.7883813845277</v>
      </c>
      <c r="AA54" s="395">
        <f>IF(AA30&lt;5,"-",VLOOKUP(200610&amp;"AllSex"&amp;"AllEth"&amp;19&amp;ref!Z18,DHB5yr,8,FALSE))</f>
        <v>16.316205271064799</v>
      </c>
      <c r="AB54" s="395">
        <f>IF(AB30&lt;5,"-",VLOOKUP(201115&amp;"AllSex"&amp;"AllEth"&amp;19&amp;ref!Z18,DHB5yr,8,FALSE))</f>
        <v>20.8354789012478</v>
      </c>
    </row>
    <row r="55" spans="2:60" ht="13.5" customHeight="1" x14ac:dyDescent="0.2">
      <c r="B55" s="71"/>
      <c r="C55" s="71"/>
      <c r="D55" s="71"/>
      <c r="E55" s="71"/>
      <c r="F55" s="71"/>
      <c r="G55" s="71"/>
      <c r="H55" s="71"/>
      <c r="I55" s="71"/>
      <c r="J55" s="71"/>
      <c r="K55" s="71"/>
      <c r="L55" s="71"/>
      <c r="M55" s="71"/>
      <c r="N55" s="71"/>
      <c r="O55" s="71"/>
      <c r="P55" s="71"/>
      <c r="Q55" s="71"/>
      <c r="R55" s="71"/>
      <c r="S55" s="71"/>
      <c r="W55" s="391"/>
      <c r="X55" s="286" t="s">
        <v>71</v>
      </c>
      <c r="Y55" s="286"/>
      <c r="Z55" s="395">
        <f>IF(Z31&lt;5,"-",VLOOKUP(200105&amp;"AllSex"&amp;"AllEth"&amp;19&amp;ref!Z19,DHB5yr,8,FALSE))</f>
        <v>13.1906994158328</v>
      </c>
      <c r="AA55" s="395">
        <f>IF(AA31&lt;5,"-",VLOOKUP(200610&amp;"AllSex"&amp;"AllEth"&amp;19&amp;ref!Z19,DHB5yr,8,FALSE))</f>
        <v>11.9051126890463</v>
      </c>
      <c r="AB55" s="395">
        <f>IF(AB31&lt;5,"-",VLOOKUP(201115&amp;"AllSex"&amp;"AllEth"&amp;19&amp;ref!Z19,DHB5yr,8,FALSE))</f>
        <v>11.1715121811635</v>
      </c>
    </row>
    <row r="56" spans="2:60" x14ac:dyDescent="0.2">
      <c r="B56" s="71"/>
      <c r="C56" s="71"/>
      <c r="D56" s="71"/>
      <c r="E56" s="71"/>
      <c r="F56" s="71"/>
      <c r="G56" s="71"/>
      <c r="H56" s="71"/>
      <c r="I56" s="71"/>
      <c r="J56" s="71"/>
      <c r="K56" s="71"/>
      <c r="L56" s="71"/>
      <c r="M56" s="71"/>
      <c r="N56" s="71"/>
      <c r="O56" s="71"/>
      <c r="P56" s="71"/>
      <c r="Q56" s="71"/>
      <c r="R56" s="71"/>
      <c r="S56" s="71"/>
      <c r="W56" s="391"/>
      <c r="X56" s="286" t="s">
        <v>72</v>
      </c>
      <c r="Y56" s="286"/>
      <c r="Z56" s="395">
        <f>IF(Z32&lt;5,"-",VLOOKUP(200105&amp;"AllSex"&amp;"AllEth"&amp;19&amp;ref!Z20,DHB5yr,8,FALSE))</f>
        <v>11.5882048799751</v>
      </c>
      <c r="AA56" s="395">
        <f>IF(AA32&lt;5,"-",VLOOKUP(200610&amp;"AllSex"&amp;"AllEth"&amp;19&amp;ref!Z20,DHB5yr,8,FALSE))</f>
        <v>14.797650420019201</v>
      </c>
      <c r="AB56" s="395">
        <f>IF(AB32&lt;5,"-",VLOOKUP(201115&amp;"AllSex"&amp;"AllEth"&amp;19&amp;ref!Z20,DHB5yr,8,FALSE))</f>
        <v>19.398903635367599</v>
      </c>
    </row>
    <row r="57" spans="2:60" x14ac:dyDescent="0.2">
      <c r="B57" s="71"/>
      <c r="C57" s="71"/>
      <c r="D57" s="71"/>
      <c r="E57" s="71"/>
      <c r="F57" s="71"/>
      <c r="G57" s="71"/>
      <c r="H57" s="71"/>
      <c r="I57" s="71"/>
      <c r="J57" s="71"/>
      <c r="K57" s="71"/>
      <c r="L57" s="71"/>
      <c r="M57" s="71"/>
      <c r="N57" s="71"/>
      <c r="O57" s="71"/>
      <c r="P57" s="71"/>
      <c r="Q57" s="71"/>
      <c r="R57" s="71"/>
      <c r="S57" s="71"/>
      <c r="W57" s="391"/>
      <c r="X57" s="286" t="s">
        <v>73</v>
      </c>
      <c r="Y57" s="286"/>
      <c r="Z57" s="395">
        <f>IF(Z33&lt;5,"-",VLOOKUP(200105&amp;"AllSex"&amp;"AllEth"&amp;19&amp;ref!Z21,DHB5yr,8,FALSE))</f>
        <v>12.5191542438086</v>
      </c>
      <c r="AA57" s="395">
        <f>IF(AA33&lt;5,"-",VLOOKUP(200610&amp;"AllSex"&amp;"AllEth"&amp;19&amp;ref!Z21,DHB5yr,8,FALSE))</f>
        <v>13.9592577379315</v>
      </c>
      <c r="AB57" s="395">
        <f>IF(AB33&lt;5,"-",VLOOKUP(201115&amp;"AllSex"&amp;"AllEth"&amp;19&amp;ref!Z21,DHB5yr,8,FALSE))</f>
        <v>12.953506009582201</v>
      </c>
    </row>
    <row r="58" spans="2:60" x14ac:dyDescent="0.2">
      <c r="B58" s="71"/>
      <c r="C58" s="556" t="s">
        <v>342</v>
      </c>
      <c r="D58" s="567"/>
      <c r="E58" s="567"/>
      <c r="F58" s="567"/>
      <c r="G58" s="567"/>
      <c r="H58" s="567"/>
      <c r="I58" s="567"/>
      <c r="J58" s="567"/>
      <c r="K58" s="567"/>
      <c r="L58" s="567"/>
      <c r="M58" s="567"/>
      <c r="N58" s="567"/>
      <c r="O58" s="567"/>
      <c r="P58" s="567"/>
      <c r="Q58" s="567"/>
      <c r="R58" s="567"/>
      <c r="S58" s="71"/>
      <c r="Z58" s="184"/>
      <c r="AA58" s="184"/>
      <c r="AB58" s="184"/>
    </row>
    <row r="59" spans="2:60" x14ac:dyDescent="0.2">
      <c r="B59" s="71"/>
      <c r="C59" s="556" t="s">
        <v>468</v>
      </c>
      <c r="D59" s="567"/>
      <c r="E59" s="567"/>
      <c r="F59" s="567"/>
      <c r="G59" s="567"/>
      <c r="H59" s="567"/>
      <c r="I59" s="567"/>
      <c r="J59" s="567"/>
      <c r="K59" s="567"/>
      <c r="L59" s="567"/>
      <c r="M59" s="567"/>
      <c r="N59" s="567"/>
      <c r="O59" s="567"/>
      <c r="P59" s="567"/>
      <c r="Q59" s="567"/>
      <c r="R59" s="567"/>
      <c r="S59" s="71"/>
      <c r="X59" s="564" t="s">
        <v>145</v>
      </c>
      <c r="Y59" s="532"/>
      <c r="Z59" s="532"/>
      <c r="AA59" s="532"/>
      <c r="AB59" s="532"/>
    </row>
    <row r="60" spans="2:60" x14ac:dyDescent="0.2">
      <c r="B60" s="71"/>
      <c r="C60" s="84" t="s">
        <v>541</v>
      </c>
      <c r="D60" s="71"/>
      <c r="E60" s="71"/>
      <c r="F60" s="71"/>
      <c r="G60" s="253"/>
      <c r="H60" s="188"/>
      <c r="I60" s="188"/>
      <c r="J60" s="188"/>
      <c r="K60" s="188"/>
      <c r="L60" s="188"/>
      <c r="M60" s="188"/>
      <c r="N60" s="188"/>
      <c r="O60" s="188"/>
      <c r="P60" s="188"/>
      <c r="Q60" s="188"/>
      <c r="R60" s="188"/>
      <c r="S60" s="71"/>
      <c r="X60" s="457" t="s">
        <v>570</v>
      </c>
    </row>
    <row r="61" spans="2:60" ht="12.75" customHeight="1" x14ac:dyDescent="0.2">
      <c r="B61" s="146"/>
      <c r="C61" s="188" t="s">
        <v>597</v>
      </c>
      <c r="D61" s="188"/>
      <c r="E61" s="188"/>
      <c r="F61" s="188"/>
      <c r="G61" s="188"/>
      <c r="H61" s="188"/>
      <c r="I61" s="188"/>
      <c r="J61" s="188"/>
      <c r="K61" s="188"/>
      <c r="L61" s="188"/>
      <c r="M61" s="188"/>
      <c r="N61" s="188"/>
      <c r="O61" s="188"/>
      <c r="P61" s="188"/>
      <c r="Q61" s="188"/>
      <c r="R61" s="188"/>
      <c r="S61" s="146"/>
      <c r="X61" s="196" t="s">
        <v>567</v>
      </c>
      <c r="AC61" s="193"/>
    </row>
    <row r="62" spans="2:60" ht="12" customHeight="1" x14ac:dyDescent="0.2">
      <c r="B62" s="71"/>
      <c r="C62" s="188" t="s">
        <v>617</v>
      </c>
      <c r="D62" s="188"/>
      <c r="E62" s="188"/>
      <c r="F62" s="188"/>
      <c r="G62" s="188"/>
      <c r="H62" s="188"/>
      <c r="I62" s="188"/>
      <c r="J62" s="188"/>
      <c r="K62" s="188"/>
      <c r="L62" s="188"/>
      <c r="M62" s="188"/>
      <c r="N62" s="188"/>
      <c r="O62" s="188"/>
      <c r="P62" s="188"/>
      <c r="Q62" s="188"/>
      <c r="R62" s="188"/>
      <c r="S62" s="71"/>
      <c r="X62" s="194" t="s">
        <v>102</v>
      </c>
      <c r="Y62" s="189"/>
      <c r="AD62" s="193"/>
    </row>
    <row r="63" spans="2:60" s="189" customFormat="1" x14ac:dyDescent="0.2">
      <c r="B63" s="71"/>
      <c r="C63" s="188" t="s">
        <v>102</v>
      </c>
      <c r="D63" s="188"/>
      <c r="E63" s="188"/>
      <c r="F63" s="188"/>
      <c r="G63" s="188"/>
      <c r="H63" s="188"/>
      <c r="I63" s="188"/>
      <c r="J63" s="188"/>
      <c r="K63" s="188"/>
      <c r="L63" s="188"/>
      <c r="M63" s="188"/>
      <c r="N63" s="188"/>
      <c r="O63" s="188"/>
      <c r="P63" s="188"/>
      <c r="Q63" s="188"/>
      <c r="R63" s="188"/>
      <c r="S63" s="71"/>
      <c r="W63" s="182"/>
      <c r="X63" s="183"/>
      <c r="Y63" s="183"/>
      <c r="Z63" s="183"/>
      <c r="AA63" s="183"/>
      <c r="AB63" s="183"/>
      <c r="AG63" s="504"/>
      <c r="AH63" s="504"/>
      <c r="AI63" s="504"/>
      <c r="AJ63" s="504"/>
      <c r="AK63" s="504"/>
      <c r="AL63" s="504"/>
      <c r="AM63" s="504"/>
      <c r="AN63" s="504"/>
      <c r="AO63" s="504"/>
      <c r="AP63" s="504"/>
      <c r="AQ63" s="504"/>
      <c r="AS63" s="504"/>
      <c r="AT63" s="504"/>
      <c r="AU63" s="504"/>
    </row>
    <row r="64" spans="2:60" ht="11.25" customHeight="1" x14ac:dyDescent="0.2">
      <c r="B64" s="71"/>
      <c r="C64" s="71"/>
      <c r="D64" s="188"/>
      <c r="E64" s="188"/>
      <c r="F64" s="188"/>
      <c r="G64" s="71"/>
      <c r="H64" s="71"/>
      <c r="I64" s="71"/>
      <c r="J64" s="71"/>
      <c r="K64" s="71"/>
      <c r="L64" s="71"/>
      <c r="M64" s="71"/>
      <c r="N64" s="71"/>
      <c r="O64" s="71"/>
      <c r="P64" s="71"/>
      <c r="Q64" s="71"/>
      <c r="R64" s="71"/>
      <c r="S64" s="71"/>
    </row>
    <row r="65" spans="2:58" x14ac:dyDescent="0.2">
      <c r="B65" s="407"/>
      <c r="C65" s="407"/>
      <c r="D65" s="407"/>
      <c r="E65" s="407"/>
      <c r="F65" s="407"/>
      <c r="G65" s="407"/>
      <c r="H65" s="407"/>
      <c r="I65" s="407"/>
      <c r="J65" s="407"/>
      <c r="K65" s="407"/>
      <c r="L65" s="407"/>
      <c r="M65" s="407"/>
      <c r="N65" s="407"/>
      <c r="O65" s="407"/>
      <c r="P65" s="407"/>
      <c r="Q65" s="407"/>
      <c r="R65" s="407"/>
      <c r="S65" s="407"/>
      <c r="W65" s="180"/>
      <c r="AC65" s="193"/>
      <c r="AD65" s="193"/>
    </row>
    <row r="66" spans="2:58" x14ac:dyDescent="0.2">
      <c r="W66" s="180"/>
      <c r="AA66" s="181"/>
    </row>
    <row r="68" spans="2:58" ht="15.75" x14ac:dyDescent="0.25">
      <c r="C68" s="263" t="s">
        <v>619</v>
      </c>
    </row>
    <row r="70" spans="2:58" x14ac:dyDescent="0.2">
      <c r="B70" s="71"/>
      <c r="C70" s="71"/>
      <c r="D70" s="71"/>
      <c r="E70" s="71"/>
      <c r="F70" s="71"/>
      <c r="G70" s="71"/>
      <c r="H70" s="71"/>
      <c r="I70" s="71"/>
      <c r="J70" s="71"/>
      <c r="K70" s="71"/>
      <c r="L70" s="71"/>
      <c r="M70" s="71"/>
      <c r="N70" s="71"/>
      <c r="O70" s="71"/>
    </row>
    <row r="71" spans="2:58" ht="24" customHeight="1" x14ac:dyDescent="0.2">
      <c r="B71" s="71"/>
      <c r="C71" s="248" t="s">
        <v>618</v>
      </c>
      <c r="D71" s="71"/>
      <c r="E71" s="71"/>
      <c r="F71" s="71"/>
      <c r="G71" s="71"/>
      <c r="H71" s="71"/>
      <c r="I71" s="71"/>
      <c r="J71" s="71"/>
      <c r="K71" s="71"/>
      <c r="L71" s="71"/>
      <c r="M71" s="71"/>
      <c r="N71" s="71"/>
      <c r="O71" s="71"/>
      <c r="W71" s="569" t="s">
        <v>620</v>
      </c>
      <c r="X71" s="525"/>
      <c r="Y71" s="525"/>
      <c r="Z71" s="525"/>
      <c r="AA71" s="525"/>
    </row>
    <row r="72" spans="2:58" x14ac:dyDescent="0.2">
      <c r="B72" s="71"/>
      <c r="C72" s="71"/>
      <c r="D72" s="71"/>
      <c r="E72" s="71"/>
      <c r="F72" s="71"/>
      <c r="G72" s="71"/>
      <c r="H72" s="71"/>
      <c r="I72" s="71"/>
      <c r="J72" s="71"/>
      <c r="K72" s="71"/>
      <c r="L72" s="71"/>
      <c r="M72" s="71"/>
      <c r="N72" s="71"/>
      <c r="O72" s="71"/>
    </row>
    <row r="73" spans="2:58" x14ac:dyDescent="0.2">
      <c r="B73" s="71"/>
      <c r="C73" s="71"/>
      <c r="D73" s="71"/>
      <c r="E73" s="71"/>
      <c r="F73" s="71"/>
      <c r="G73" s="71"/>
      <c r="H73" s="71"/>
      <c r="I73" s="71"/>
      <c r="J73" s="71"/>
      <c r="K73" s="71"/>
      <c r="L73" s="71"/>
      <c r="M73" s="71"/>
      <c r="N73" s="71"/>
      <c r="O73" s="71"/>
      <c r="X73" s="181" t="s">
        <v>7</v>
      </c>
      <c r="Z73" s="261" t="s">
        <v>457</v>
      </c>
      <c r="AA73" s="261" t="s">
        <v>22</v>
      </c>
      <c r="AD73" s="407"/>
    </row>
    <row r="74" spans="2:58" x14ac:dyDescent="0.2">
      <c r="B74" s="71"/>
      <c r="C74" s="71"/>
      <c r="D74" s="71"/>
      <c r="E74" s="71"/>
      <c r="F74" s="71"/>
      <c r="G74" s="71"/>
      <c r="H74" s="71"/>
      <c r="I74" s="71"/>
      <c r="J74" s="71"/>
      <c r="K74" s="71"/>
      <c r="L74" s="71"/>
      <c r="M74" s="71"/>
      <c r="N74" s="71"/>
      <c r="O74" s="71"/>
      <c r="BA74" s="480"/>
      <c r="BB74" s="480"/>
      <c r="BC74" s="480"/>
      <c r="BD74" s="480"/>
      <c r="BE74" s="480"/>
      <c r="BF74" s="480"/>
    </row>
    <row r="75" spans="2:58" x14ac:dyDescent="0.2">
      <c r="B75" s="71"/>
      <c r="C75" s="71"/>
      <c r="D75" s="71"/>
      <c r="E75" s="71"/>
      <c r="F75" s="71"/>
      <c r="G75" s="71"/>
      <c r="H75" s="71"/>
      <c r="I75" s="71"/>
      <c r="J75" s="71"/>
      <c r="K75" s="71"/>
      <c r="L75" s="71"/>
      <c r="M75" s="71"/>
      <c r="N75" s="71"/>
      <c r="O75" s="71"/>
      <c r="W75" s="391" t="s">
        <v>142</v>
      </c>
      <c r="X75" s="286" t="s">
        <v>74</v>
      </c>
      <c r="Y75" s="286"/>
      <c r="Z75" s="286">
        <v>2592</v>
      </c>
      <c r="AA75" s="286">
        <v>11.3</v>
      </c>
      <c r="BA75" s="480" t="s">
        <v>117</v>
      </c>
      <c r="BB75" s="480" t="s">
        <v>391</v>
      </c>
      <c r="BC75" s="480"/>
      <c r="BD75" s="480" t="s">
        <v>565</v>
      </c>
      <c r="BE75" s="480"/>
      <c r="BF75" s="480"/>
    </row>
    <row r="76" spans="2:58" x14ac:dyDescent="0.2">
      <c r="B76" s="71"/>
      <c r="C76" s="71"/>
      <c r="D76" s="71"/>
      <c r="E76" s="71"/>
      <c r="F76" s="71"/>
      <c r="G76" s="71"/>
      <c r="H76" s="71"/>
      <c r="I76" s="71"/>
      <c r="J76" s="71"/>
      <c r="K76" s="71"/>
      <c r="L76" s="71"/>
      <c r="M76" s="71"/>
      <c r="N76" s="71"/>
      <c r="O76" s="71"/>
      <c r="W76" s="391"/>
      <c r="X76" s="286" t="s">
        <v>54</v>
      </c>
      <c r="Y76" s="286"/>
      <c r="Z76" s="397">
        <f>VLOOKUP("201115"&amp;"AllSex"&amp;"AllEth"&amp;19&amp;ref!Z2,DHB5yr,7,FALSE)</f>
        <v>109</v>
      </c>
      <c r="AA76" s="395">
        <f>IF(Z76&lt;5,"-",VLOOKUP("201115"&amp;"AllSex"&amp;"AllEth"&amp;19&amp;ref!Z2,DHB5yr,8,FALSE))</f>
        <v>14.2876236280438</v>
      </c>
      <c r="BA76" s="480" t="s">
        <v>54</v>
      </c>
      <c r="BB76" s="486">
        <f>VLOOKUP("201115"&amp;"AllSex"&amp;"AllEth"&amp;19&amp;ref!Z2,DHB5yr,9,FALSE)</f>
        <v>3.5</v>
      </c>
      <c r="BC76" s="480"/>
      <c r="BD76" s="486">
        <f t="shared" ref="BD76:BD95" si="3">BB76/AA76*100</f>
        <v>24.496725915499251</v>
      </c>
      <c r="BE76" s="480"/>
      <c r="BF76" s="480"/>
    </row>
    <row r="77" spans="2:58" x14ac:dyDescent="0.2">
      <c r="B77" s="71"/>
      <c r="C77" s="71"/>
      <c r="D77" s="71"/>
      <c r="E77" s="71"/>
      <c r="F77" s="71"/>
      <c r="G77" s="71"/>
      <c r="H77" s="71"/>
      <c r="I77" s="71"/>
      <c r="J77" s="71"/>
      <c r="K77" s="71"/>
      <c r="L77" s="71"/>
      <c r="M77" s="71"/>
      <c r="N77" s="71"/>
      <c r="O77" s="71"/>
      <c r="W77" s="391"/>
      <c r="X77" s="286" t="s">
        <v>55</v>
      </c>
      <c r="Y77" s="286"/>
      <c r="Z77" s="397">
        <f>VLOOKUP("201115"&amp;"AllSex"&amp;"AllEth"&amp;19&amp;ref!Z3,DHB5yr,7,FALSE)</f>
        <v>268</v>
      </c>
      <c r="AA77" s="395">
        <f>IF(Z77&lt;5,"-",VLOOKUP("201115"&amp;"AllSex"&amp;"AllEth"&amp;19&amp;ref!Z3,DHB5yr,8,FALSE))</f>
        <v>8.9332387238291204</v>
      </c>
      <c r="BA77" s="480" t="s">
        <v>55</v>
      </c>
      <c r="BB77" s="486">
        <f>VLOOKUP("201115"&amp;"AllSex"&amp;"AllEth"&amp;19&amp;ref!Z3,DHB5yr,9,FALSE)</f>
        <v>1.4</v>
      </c>
      <c r="BC77" s="480"/>
      <c r="BD77" s="486">
        <f t="shared" si="3"/>
        <v>15.671807765145088</v>
      </c>
      <c r="BE77" s="480"/>
      <c r="BF77" s="480"/>
    </row>
    <row r="78" spans="2:58" x14ac:dyDescent="0.2">
      <c r="B78" s="71"/>
      <c r="C78" s="71"/>
      <c r="D78" s="71"/>
      <c r="E78" s="71"/>
      <c r="F78" s="71"/>
      <c r="G78" s="71"/>
      <c r="H78" s="71"/>
      <c r="I78" s="71"/>
      <c r="J78" s="71"/>
      <c r="K78" s="71"/>
      <c r="L78" s="71"/>
      <c r="M78" s="71"/>
      <c r="N78" s="71"/>
      <c r="O78" s="71"/>
      <c r="W78" s="391"/>
      <c r="X78" s="286" t="s">
        <v>56</v>
      </c>
      <c r="Y78" s="286"/>
      <c r="Z78" s="397">
        <f>VLOOKUP("201115"&amp;"AllSex"&amp;"AllEth"&amp;19&amp;ref!Z4,DHB5yr,7,FALSE)</f>
        <v>203</v>
      </c>
      <c r="AA78" s="395">
        <f>IF(Z78&lt;5,"-",VLOOKUP("201115"&amp;"AllSex"&amp;"AllEth"&amp;19&amp;ref!Z4,DHB5yr,8,FALSE))</f>
        <v>7.9373581538264499</v>
      </c>
      <c r="BA78" s="480" t="s">
        <v>56</v>
      </c>
      <c r="BB78" s="486">
        <f>VLOOKUP("201115"&amp;"AllSex"&amp;"AllEth"&amp;19&amp;ref!Z4,DHB5yr,9,FALSE)</f>
        <v>1.4</v>
      </c>
      <c r="BC78" s="480"/>
      <c r="BD78" s="486">
        <f t="shared" si="3"/>
        <v>17.638110475399003</v>
      </c>
      <c r="BE78" s="480"/>
      <c r="BF78" s="480"/>
    </row>
    <row r="79" spans="2:58" x14ac:dyDescent="0.2">
      <c r="B79" s="71"/>
      <c r="C79" s="71"/>
      <c r="D79" s="71"/>
      <c r="E79" s="71"/>
      <c r="F79" s="71"/>
      <c r="G79" s="71"/>
      <c r="H79" s="71"/>
      <c r="I79" s="71"/>
      <c r="J79" s="71"/>
      <c r="K79" s="71"/>
      <c r="L79" s="71"/>
      <c r="M79" s="71"/>
      <c r="N79" s="71"/>
      <c r="O79" s="71"/>
      <c r="W79" s="391"/>
      <c r="X79" s="286" t="s">
        <v>57</v>
      </c>
      <c r="Y79" s="286"/>
      <c r="Z79" s="397">
        <f>VLOOKUP("201115"&amp;"AllSex"&amp;"AllEth"&amp;19&amp;ref!Z5,DHB5yr,7,FALSE)</f>
        <v>247</v>
      </c>
      <c r="AA79" s="395">
        <f>IF(Z79&lt;5,"-",VLOOKUP("201115"&amp;"AllSex"&amp;"AllEth"&amp;19&amp;ref!Z5,DHB5yr,8,FALSE))</f>
        <v>9.8984574915243098</v>
      </c>
      <c r="BA79" s="480" t="s">
        <v>57</v>
      </c>
      <c r="BB79" s="486">
        <f>VLOOKUP("201115"&amp;"AllSex"&amp;"AllEth"&amp;19&amp;ref!Z5,DHB5yr,9,FALSE)</f>
        <v>1.6</v>
      </c>
      <c r="BC79" s="480"/>
      <c r="BD79" s="486">
        <f t="shared" si="3"/>
        <v>16.164134678256911</v>
      </c>
      <c r="BE79" s="480"/>
      <c r="BF79" s="480"/>
    </row>
    <row r="80" spans="2:58" x14ac:dyDescent="0.2">
      <c r="B80" s="71"/>
      <c r="C80" s="71"/>
      <c r="D80" s="71"/>
      <c r="E80" s="71"/>
      <c r="F80" s="71"/>
      <c r="G80" s="71"/>
      <c r="H80" s="71"/>
      <c r="I80" s="71"/>
      <c r="J80" s="71"/>
      <c r="K80" s="71"/>
      <c r="L80" s="71"/>
      <c r="M80" s="71"/>
      <c r="N80" s="71"/>
      <c r="O80" s="71"/>
      <c r="W80" s="391"/>
      <c r="X80" s="286" t="s">
        <v>58</v>
      </c>
      <c r="Y80" s="286"/>
      <c r="Z80" s="397">
        <f>VLOOKUP("201115"&amp;"AllSex"&amp;"AllEth"&amp;19&amp;ref!Z6,DHB5yr,7,FALSE)</f>
        <v>215</v>
      </c>
      <c r="AA80" s="395">
        <f>IF(Z80&lt;5,"-",VLOOKUP("201115"&amp;"AllSex"&amp;"AllEth"&amp;19&amp;ref!Z6,DHB5yr,8,FALSE))</f>
        <v>11.316584285972899</v>
      </c>
      <c r="BA80" s="480" t="s">
        <v>58</v>
      </c>
      <c r="BB80" s="486">
        <f>VLOOKUP("201115"&amp;"AllSex"&amp;"AllEth"&amp;19&amp;ref!Z6,DHB5yr,9,FALSE)</f>
        <v>2</v>
      </c>
      <c r="BC80" s="480"/>
      <c r="BD80" s="486">
        <f t="shared" si="3"/>
        <v>17.673177254368479</v>
      </c>
      <c r="BE80" s="480"/>
      <c r="BF80" s="480"/>
    </row>
    <row r="81" spans="2:58" x14ac:dyDescent="0.2">
      <c r="B81" s="71"/>
      <c r="C81" s="71"/>
      <c r="D81" s="71"/>
      <c r="E81" s="71"/>
      <c r="F81" s="71"/>
      <c r="G81" s="71"/>
      <c r="H81" s="71"/>
      <c r="I81" s="71"/>
      <c r="J81" s="71"/>
      <c r="K81" s="71"/>
      <c r="L81" s="71"/>
      <c r="M81" s="71"/>
      <c r="N81" s="71"/>
      <c r="O81" s="71"/>
      <c r="W81" s="391"/>
      <c r="X81" s="286" t="s">
        <v>59</v>
      </c>
      <c r="Y81" s="286"/>
      <c r="Z81" s="397">
        <f>VLOOKUP("201115"&amp;"AllSex"&amp;"AllEth"&amp;19&amp;ref!Z7,DHB5yr,7,FALSE)</f>
        <v>77</v>
      </c>
      <c r="AA81" s="395">
        <f>IF(Z81&lt;5,"-",VLOOKUP("201115"&amp;"AllSex"&amp;"AllEth"&amp;19&amp;ref!Z7,DHB5yr,8,FALSE))</f>
        <v>15.9890693926951</v>
      </c>
      <c r="BA81" s="480" t="s">
        <v>59</v>
      </c>
      <c r="BB81" s="486">
        <f>VLOOKUP("201115"&amp;"AllSex"&amp;"AllEth"&amp;19&amp;ref!Z7,DHB5yr,9,FALSE)</f>
        <v>4.7</v>
      </c>
      <c r="BC81" s="480"/>
      <c r="BD81" s="486">
        <f t="shared" si="3"/>
        <v>29.395081630875165</v>
      </c>
      <c r="BE81" s="480"/>
      <c r="BF81" s="480"/>
    </row>
    <row r="82" spans="2:58" x14ac:dyDescent="0.2">
      <c r="B82" s="71"/>
      <c r="C82" s="71"/>
      <c r="D82" s="71"/>
      <c r="E82" s="71"/>
      <c r="F82" s="71"/>
      <c r="G82" s="71"/>
      <c r="H82" s="71"/>
      <c r="I82" s="71"/>
      <c r="J82" s="71"/>
      <c r="K82" s="71"/>
      <c r="L82" s="71"/>
      <c r="M82" s="71"/>
      <c r="N82" s="71"/>
      <c r="O82" s="71"/>
      <c r="W82" s="391"/>
      <c r="X82" s="286" t="s">
        <v>60</v>
      </c>
      <c r="Y82" s="286"/>
      <c r="Z82" s="397">
        <f>VLOOKUP("201115"&amp;"AllSex"&amp;"AllEth"&amp;19&amp;ref!Z8,DHB5yr,7,FALSE)</f>
        <v>157</v>
      </c>
      <c r="AA82" s="395">
        <f>IF(Z82&lt;5,"-",VLOOKUP("201115"&amp;"AllSex"&amp;"AllEth"&amp;19&amp;ref!Z8,DHB5yr,8,FALSE))</f>
        <v>15.575709253312001</v>
      </c>
      <c r="BA82" s="480" t="s">
        <v>60</v>
      </c>
      <c r="BB82" s="486">
        <f>VLOOKUP("201115"&amp;"AllSex"&amp;"AllEth"&amp;19&amp;ref!Z8,DHB5yr,9,FALSE)</f>
        <v>3.2</v>
      </c>
      <c r="BC82" s="480"/>
      <c r="BD82" s="486">
        <f t="shared" si="3"/>
        <v>20.544810820217101</v>
      </c>
      <c r="BE82" s="480"/>
      <c r="BF82" s="480"/>
    </row>
    <row r="83" spans="2:58" x14ac:dyDescent="0.2">
      <c r="B83" s="71"/>
      <c r="C83" s="71"/>
      <c r="D83" s="71"/>
      <c r="E83" s="71"/>
      <c r="F83" s="71"/>
      <c r="G83" s="71"/>
      <c r="H83" s="71"/>
      <c r="I83" s="71"/>
      <c r="J83" s="71"/>
      <c r="K83" s="71"/>
      <c r="L83" s="71"/>
      <c r="M83" s="71"/>
      <c r="N83" s="71"/>
      <c r="O83" s="71"/>
      <c r="W83" s="391"/>
      <c r="X83" s="286" t="s">
        <v>115</v>
      </c>
      <c r="Y83" s="286"/>
      <c r="Z83" s="397">
        <f>VLOOKUP("201115"&amp;"AllSex"&amp;"AllEth"&amp;19&amp;ref!Z9,DHB5yr,7,FALSE)</f>
        <v>31</v>
      </c>
      <c r="AA83" s="395">
        <f>IF(Z83&lt;5,"-",VLOOKUP("201115"&amp;"AllSex"&amp;"AllEth"&amp;19&amp;ref!Z9,DHB5yr,8,FALSE))</f>
        <v>13.428229240830699</v>
      </c>
      <c r="BA83" s="480" t="s">
        <v>61</v>
      </c>
      <c r="BB83" s="486">
        <f>VLOOKUP("201115"&amp;"AllSex"&amp;"AllEth"&amp;19&amp;ref!Z9,DHB5yr,9,FALSE)</f>
        <v>6.2</v>
      </c>
      <c r="BC83" s="480"/>
      <c r="BD83" s="486">
        <f t="shared" si="3"/>
        <v>46.171389308337837</v>
      </c>
      <c r="BE83" s="480"/>
      <c r="BF83" s="480"/>
    </row>
    <row r="84" spans="2:58" x14ac:dyDescent="0.2">
      <c r="B84" s="71"/>
      <c r="C84" s="71"/>
      <c r="D84" s="71"/>
      <c r="E84" s="71"/>
      <c r="F84" s="71"/>
      <c r="G84" s="71"/>
      <c r="H84" s="71"/>
      <c r="I84" s="71"/>
      <c r="J84" s="71"/>
      <c r="K84" s="71"/>
      <c r="L84" s="71"/>
      <c r="M84" s="71"/>
      <c r="N84" s="71"/>
      <c r="O84" s="71"/>
      <c r="W84" s="391"/>
      <c r="X84" s="286" t="s">
        <v>62</v>
      </c>
      <c r="Y84" s="286"/>
      <c r="Z84" s="397">
        <f>VLOOKUP("201115"&amp;"AllSex"&amp;"AllEth"&amp;19&amp;ref!Z10,DHB5yr,7,FALSE)</f>
        <v>111</v>
      </c>
      <c r="AA84" s="395">
        <f>IF(Z84&lt;5,"-",VLOOKUP("201115"&amp;"AllSex"&amp;"AllEth"&amp;19&amp;ref!Z10,DHB5yr,8,FALSE))</f>
        <v>15.239495621398101</v>
      </c>
      <c r="BA84" s="480" t="s">
        <v>62</v>
      </c>
      <c r="BB84" s="486">
        <f>VLOOKUP("201115"&amp;"AllSex"&amp;"AllEth"&amp;19&amp;ref!Z10,DHB5yr,9,FALSE)</f>
        <v>3.7</v>
      </c>
      <c r="BC84" s="480"/>
      <c r="BD84" s="486">
        <f t="shared" si="3"/>
        <v>24.279018754431423</v>
      </c>
      <c r="BE84" s="480"/>
      <c r="BF84" s="480"/>
    </row>
    <row r="85" spans="2:58" x14ac:dyDescent="0.2">
      <c r="B85" s="71"/>
      <c r="C85" s="71"/>
      <c r="D85" s="71"/>
      <c r="E85" s="71"/>
      <c r="F85" s="71"/>
      <c r="G85" s="71"/>
      <c r="H85" s="71"/>
      <c r="I85" s="71"/>
      <c r="J85" s="71"/>
      <c r="K85" s="71"/>
      <c r="L85" s="71"/>
      <c r="M85" s="71"/>
      <c r="N85" s="71"/>
      <c r="O85" s="71"/>
      <c r="W85" s="391"/>
      <c r="X85" s="286" t="s">
        <v>63</v>
      </c>
      <c r="Y85" s="286"/>
      <c r="Z85" s="397">
        <f>VLOOKUP("201115"&amp;"AllSex"&amp;"AllEth"&amp;19&amp;ref!Z11,DHB5yr,7,FALSE)</f>
        <v>71</v>
      </c>
      <c r="AA85" s="395">
        <f>IF(Z85&lt;5,"-",VLOOKUP("201115"&amp;"AllSex"&amp;"AllEth"&amp;19&amp;ref!Z11,DHB5yr,8,FALSE))</f>
        <v>12.5045795067994</v>
      </c>
      <c r="BA85" s="480" t="s">
        <v>63</v>
      </c>
      <c r="BB85" s="486">
        <f>VLOOKUP("201115"&amp;"AllSex"&amp;"AllEth"&amp;19&amp;ref!Z11,DHB5yr,9,FALSE)</f>
        <v>3.8</v>
      </c>
      <c r="BC85" s="480"/>
      <c r="BD85" s="486">
        <f t="shared" si="3"/>
        <v>30.38886671825901</v>
      </c>
      <c r="BE85" s="480"/>
      <c r="BF85" s="480"/>
    </row>
    <row r="86" spans="2:58" x14ac:dyDescent="0.2">
      <c r="B86" s="71"/>
      <c r="C86" s="71"/>
      <c r="D86" s="71"/>
      <c r="E86" s="71"/>
      <c r="F86" s="71"/>
      <c r="G86" s="71"/>
      <c r="H86" s="71"/>
      <c r="I86" s="71"/>
      <c r="J86" s="71"/>
      <c r="K86" s="71"/>
      <c r="L86" s="71"/>
      <c r="M86" s="71"/>
      <c r="N86" s="71"/>
      <c r="O86" s="71"/>
      <c r="W86" s="391"/>
      <c r="X86" s="286" t="s">
        <v>116</v>
      </c>
      <c r="Y86" s="286"/>
      <c r="Z86" s="397">
        <f>VLOOKUP("201115"&amp;"AllSex"&amp;"AllEth"&amp;19&amp;ref!Z12,DHB5yr,7,FALSE)</f>
        <v>140</v>
      </c>
      <c r="AA86" s="395">
        <f>IF(Z86&lt;5,"-",VLOOKUP("201115"&amp;"AllSex"&amp;"AllEth"&amp;19&amp;ref!Z12,DHB5yr,8,FALSE))</f>
        <v>16.282642574646701</v>
      </c>
      <c r="BA86" s="480" t="s">
        <v>64</v>
      </c>
      <c r="BB86" s="486">
        <f>VLOOKUP("201115"&amp;"AllSex"&amp;"AllEth"&amp;19&amp;ref!Z12,DHB5yr,9,FALSE)</f>
        <v>3.5</v>
      </c>
      <c r="BC86" s="480"/>
      <c r="BD86" s="486">
        <f t="shared" si="3"/>
        <v>21.495282377872517</v>
      </c>
      <c r="BE86" s="480"/>
      <c r="BF86" s="480"/>
    </row>
    <row r="87" spans="2:58" x14ac:dyDescent="0.2">
      <c r="B87" s="71"/>
      <c r="C87" s="71"/>
      <c r="D87" s="71"/>
      <c r="E87" s="71"/>
      <c r="F87" s="71"/>
      <c r="G87" s="71"/>
      <c r="H87" s="71"/>
      <c r="I87" s="71"/>
      <c r="J87" s="71"/>
      <c r="K87" s="71"/>
      <c r="L87" s="71"/>
      <c r="M87" s="71"/>
      <c r="N87" s="71"/>
      <c r="O87" s="71"/>
      <c r="W87" s="391"/>
      <c r="X87" s="286" t="s">
        <v>65</v>
      </c>
      <c r="Y87" s="286"/>
      <c r="Z87" s="397">
        <f>VLOOKUP("201115"&amp;"AllSex"&amp;"AllEth"&amp;19&amp;ref!Z13,DHB5yr,7,FALSE)</f>
        <v>38</v>
      </c>
      <c r="AA87" s="395">
        <f>IF(Z87&lt;5,"-",VLOOKUP("201115"&amp;"AllSex"&amp;"AllEth"&amp;19&amp;ref!Z13,DHB5yr,8,FALSE))</f>
        <v>13.137758294093</v>
      </c>
      <c r="BA87" s="480" t="s">
        <v>65</v>
      </c>
      <c r="BB87" s="486">
        <f>VLOOKUP("201115"&amp;"AllSex"&amp;"AllEth"&amp;19&amp;ref!Z13,DHB5yr,9,FALSE)</f>
        <v>5.5</v>
      </c>
      <c r="BC87" s="480"/>
      <c r="BD87" s="486">
        <f t="shared" si="3"/>
        <v>41.864067498280207</v>
      </c>
      <c r="BE87" s="480"/>
      <c r="BF87" s="480"/>
    </row>
    <row r="88" spans="2:58" x14ac:dyDescent="0.2">
      <c r="B88" s="71"/>
      <c r="C88" s="71"/>
      <c r="D88" s="71"/>
      <c r="E88" s="71"/>
      <c r="F88" s="71"/>
      <c r="G88" s="71"/>
      <c r="H88" s="71"/>
      <c r="I88" s="71"/>
      <c r="J88" s="71"/>
      <c r="K88" s="71"/>
      <c r="L88" s="71"/>
      <c r="M88" s="71"/>
      <c r="N88" s="71"/>
      <c r="O88" s="71"/>
      <c r="W88" s="391"/>
      <c r="X88" s="286" t="s">
        <v>66</v>
      </c>
      <c r="Y88" s="286"/>
      <c r="Z88" s="397">
        <f>VLOOKUP("201115"&amp;"AllSex"&amp;"AllEth"&amp;19&amp;ref!Z14,DHB5yr,7,FALSE)</f>
        <v>131</v>
      </c>
      <c r="AA88" s="395">
        <f>IF(Z88&lt;5,"-",VLOOKUP("201115"&amp;"AllSex"&amp;"AllEth"&amp;19&amp;ref!Z14,DHB5yr,8,FALSE))</f>
        <v>8.2147948931406898</v>
      </c>
      <c r="BA88" s="480" t="s">
        <v>66</v>
      </c>
      <c r="BB88" s="486">
        <f>VLOOKUP("201115"&amp;"AllSex"&amp;"AllEth"&amp;19&amp;ref!Z14,DHB5yr,9,FALSE)</f>
        <v>1.8</v>
      </c>
      <c r="BC88" s="480"/>
      <c r="BD88" s="486">
        <f t="shared" si="3"/>
        <v>21.911685238824287</v>
      </c>
      <c r="BE88" s="480"/>
      <c r="BF88" s="480"/>
    </row>
    <row r="89" spans="2:58" x14ac:dyDescent="0.2">
      <c r="B89" s="71"/>
      <c r="C89" s="71"/>
      <c r="D89" s="71"/>
      <c r="E89" s="71"/>
      <c r="F89" s="71"/>
      <c r="G89" s="71"/>
      <c r="H89" s="71"/>
      <c r="I89" s="71"/>
      <c r="J89" s="71"/>
      <c r="K89" s="71"/>
      <c r="L89" s="71"/>
      <c r="M89" s="71"/>
      <c r="N89" s="71"/>
      <c r="O89" s="71"/>
      <c r="W89" s="391"/>
      <c r="X89" s="286" t="s">
        <v>67</v>
      </c>
      <c r="Y89" s="286"/>
      <c r="Z89" s="397">
        <f>VLOOKUP("201115"&amp;"AllSex"&amp;"AllEth"&amp;19&amp;ref!Z15,DHB5yr,7,FALSE)</f>
        <v>89</v>
      </c>
      <c r="AA89" s="395">
        <f>IF(Z89&lt;5,"-",VLOOKUP("201115"&amp;"AllSex"&amp;"AllEth"&amp;19&amp;ref!Z15,DHB5yr,8,FALSE))</f>
        <v>12.0035432286529</v>
      </c>
      <c r="BA89" s="480" t="s">
        <v>67</v>
      </c>
      <c r="BB89" s="486">
        <f>VLOOKUP("201115"&amp;"AllSex"&amp;"AllEth"&amp;19&amp;ref!Z15,DHB5yr,9,FALSE)</f>
        <v>3.3</v>
      </c>
      <c r="BC89" s="480"/>
      <c r="BD89" s="486">
        <f t="shared" si="3"/>
        <v>27.491882497850956</v>
      </c>
      <c r="BE89" s="480"/>
      <c r="BF89" s="480"/>
    </row>
    <row r="90" spans="2:58" x14ac:dyDescent="0.2">
      <c r="B90" s="71"/>
      <c r="C90" s="71"/>
      <c r="D90" s="71"/>
      <c r="E90" s="71"/>
      <c r="F90" s="71"/>
      <c r="G90" s="71"/>
      <c r="H90" s="71"/>
      <c r="I90" s="71"/>
      <c r="J90" s="71"/>
      <c r="K90" s="71"/>
      <c r="L90" s="71"/>
      <c r="M90" s="71"/>
      <c r="N90" s="71"/>
      <c r="O90" s="71"/>
      <c r="W90" s="391"/>
      <c r="X90" s="286" t="s">
        <v>68</v>
      </c>
      <c r="Y90" s="286"/>
      <c r="Z90" s="397">
        <f>VLOOKUP("201115"&amp;"AllSex"&amp;"AllEth"&amp;19&amp;ref!Z16,DHB5yr,7,FALSE)</f>
        <v>35</v>
      </c>
      <c r="AA90" s="395">
        <f>IF(Z90&lt;5,"-",VLOOKUP("201115"&amp;"AllSex"&amp;"AllEth"&amp;19&amp;ref!Z16,DHB5yr,8,FALSE))</f>
        <v>18.386070369359601</v>
      </c>
      <c r="BA90" s="480" t="s">
        <v>68</v>
      </c>
      <c r="BB90" s="486">
        <f>VLOOKUP("201115"&amp;"AllSex"&amp;"AllEth"&amp;19&amp;ref!Z16,DHB5yr,9,FALSE)</f>
        <v>8</v>
      </c>
      <c r="BC90" s="480"/>
      <c r="BD90" s="486">
        <f t="shared" si="3"/>
        <v>43.51120081282842</v>
      </c>
      <c r="BE90" s="480"/>
      <c r="BF90" s="480"/>
    </row>
    <row r="91" spans="2:58" x14ac:dyDescent="0.2">
      <c r="B91" s="71"/>
      <c r="C91" s="71"/>
      <c r="D91" s="71"/>
      <c r="E91" s="71"/>
      <c r="F91" s="71"/>
      <c r="G91" s="71"/>
      <c r="H91" s="71"/>
      <c r="I91" s="71"/>
      <c r="J91" s="71"/>
      <c r="K91" s="71"/>
      <c r="L91" s="71"/>
      <c r="M91" s="71"/>
      <c r="N91" s="71"/>
      <c r="O91" s="71"/>
      <c r="W91" s="391"/>
      <c r="X91" s="286" t="s">
        <v>69</v>
      </c>
      <c r="Y91" s="286"/>
      <c r="Z91" s="397">
        <f>VLOOKUP("201115"&amp;"AllSex"&amp;"AllEth"&amp;19&amp;ref!Z17,DHB5yr,7,FALSE)</f>
        <v>81</v>
      </c>
      <c r="AA91" s="395">
        <f>IF(Z91&lt;5,"-",VLOOKUP("201115"&amp;"AllSex"&amp;"AllEth"&amp;19&amp;ref!Z17,DHB5yr,8,FALSE))</f>
        <v>10.42842654423</v>
      </c>
      <c r="BA91" s="480" t="s">
        <v>69</v>
      </c>
      <c r="BB91" s="486">
        <f>VLOOKUP("201115"&amp;"AllSex"&amp;"AllEth"&amp;19&amp;ref!Z17,DHB5yr,9,FALSE)</f>
        <v>3</v>
      </c>
      <c r="BC91" s="480"/>
      <c r="BD91" s="486">
        <f t="shared" si="3"/>
        <v>28.767522955415419</v>
      </c>
      <c r="BE91" s="480"/>
      <c r="BF91" s="480"/>
    </row>
    <row r="92" spans="2:58" x14ac:dyDescent="0.2">
      <c r="B92" s="71"/>
      <c r="C92" s="71"/>
      <c r="D92" s="71"/>
      <c r="E92" s="71"/>
      <c r="F92" s="71"/>
      <c r="G92" s="71"/>
      <c r="H92" s="71"/>
      <c r="I92" s="71"/>
      <c r="J92" s="71"/>
      <c r="K92" s="71"/>
      <c r="L92" s="71"/>
      <c r="M92" s="71"/>
      <c r="N92" s="71"/>
      <c r="O92" s="71"/>
      <c r="W92" s="391"/>
      <c r="X92" s="286" t="s">
        <v>70</v>
      </c>
      <c r="Y92" s="286"/>
      <c r="Z92" s="397">
        <f>VLOOKUP("201115"&amp;"AllSex"&amp;"AllEth"&amp;19&amp;ref!Z18,DHB5yr,7,FALSE)</f>
        <v>31</v>
      </c>
      <c r="AA92" s="395">
        <f>IF(Z92&lt;5,"-",VLOOKUP("201115"&amp;"AllSex"&amp;"AllEth"&amp;19&amp;ref!Z18,DHB5yr,8,FALSE))</f>
        <v>20.8354789012478</v>
      </c>
      <c r="BA92" s="480" t="s">
        <v>70</v>
      </c>
      <c r="BB92" s="486">
        <f>VLOOKUP("201115"&amp;"AllSex"&amp;"AllEth"&amp;19&amp;ref!Z18,DHB5yr,9,FALSE)</f>
        <v>9.6</v>
      </c>
      <c r="BC92" s="480"/>
      <c r="BD92" s="486">
        <f t="shared" si="3"/>
        <v>46.075254835755523</v>
      </c>
      <c r="BE92" s="480"/>
      <c r="BF92" s="480"/>
    </row>
    <row r="93" spans="2:58" x14ac:dyDescent="0.2">
      <c r="B93" s="71"/>
      <c r="C93" s="71"/>
      <c r="D93" s="71"/>
      <c r="E93" s="71"/>
      <c r="F93" s="71"/>
      <c r="G93" s="71"/>
      <c r="H93" s="71"/>
      <c r="I93" s="71"/>
      <c r="J93" s="71"/>
      <c r="K93" s="71"/>
      <c r="L93" s="71"/>
      <c r="M93" s="71"/>
      <c r="N93" s="71"/>
      <c r="O93" s="71"/>
      <c r="W93" s="391"/>
      <c r="X93" s="286" t="s">
        <v>71</v>
      </c>
      <c r="Y93" s="286"/>
      <c r="Z93" s="397">
        <f>VLOOKUP("201115"&amp;"AllSex"&amp;"AllEth"&amp;19&amp;ref!Z19,DHB5yr,7,FALSE)</f>
        <v>299</v>
      </c>
      <c r="AA93" s="395">
        <f>IF(Z93&lt;5,"-",VLOOKUP("201115"&amp;"AllSex"&amp;"AllEth"&amp;19&amp;ref!Z19,DHB5yr,8,FALSE))</f>
        <v>11.1715121811635</v>
      </c>
      <c r="BA93" s="480" t="s">
        <v>71</v>
      </c>
      <c r="BB93" s="486">
        <f>VLOOKUP("201115"&amp;"AllSex"&amp;"AllEth"&amp;19&amp;ref!Z19,DHB5yr,9,FALSE)</f>
        <v>1.7</v>
      </c>
      <c r="BC93" s="480"/>
      <c r="BD93" s="486">
        <f t="shared" si="3"/>
        <v>15.217277414479325</v>
      </c>
      <c r="BE93" s="480"/>
      <c r="BF93" s="480"/>
    </row>
    <row r="94" spans="2:58" x14ac:dyDescent="0.2">
      <c r="B94" s="71"/>
      <c r="C94" s="71"/>
      <c r="D94" s="71"/>
      <c r="E94" s="71"/>
      <c r="F94" s="71"/>
      <c r="G94" s="71"/>
      <c r="H94" s="71"/>
      <c r="I94" s="71"/>
      <c r="J94" s="71"/>
      <c r="K94" s="71"/>
      <c r="L94" s="71"/>
      <c r="M94" s="71"/>
      <c r="N94" s="71"/>
      <c r="O94" s="71"/>
      <c r="W94" s="391"/>
      <c r="X94" s="286" t="s">
        <v>72</v>
      </c>
      <c r="Y94" s="286"/>
      <c r="Z94" s="397">
        <f>VLOOKUP("201115"&amp;"AllSex"&amp;"AllEth"&amp;19&amp;ref!Z20,DHB5yr,7,FALSE)</f>
        <v>47</v>
      </c>
      <c r="AA94" s="395">
        <f>IF(Z94&lt;5,"-",VLOOKUP("201115"&amp;"AllSex"&amp;"AllEth"&amp;19&amp;ref!Z20,DHB5yr,8,FALSE))</f>
        <v>19.398903635367599</v>
      </c>
      <c r="BA94" s="480" t="s">
        <v>72</v>
      </c>
      <c r="BB94" s="486">
        <f>VLOOKUP("201115"&amp;"AllSex"&amp;"AllEth"&amp;19&amp;ref!Z20,DHB5yr,9,FALSE)</f>
        <v>7.3</v>
      </c>
      <c r="BC94" s="480"/>
      <c r="BD94" s="486">
        <f t="shared" si="3"/>
        <v>37.630992643784367</v>
      </c>
      <c r="BE94" s="480"/>
      <c r="BF94" s="480"/>
    </row>
    <row r="95" spans="2:58" x14ac:dyDescent="0.2">
      <c r="B95" s="71"/>
      <c r="C95" s="71"/>
      <c r="D95" s="71"/>
      <c r="E95" s="71"/>
      <c r="F95" s="71"/>
      <c r="G95" s="71"/>
      <c r="H95" s="71"/>
      <c r="I95" s="71"/>
      <c r="J95" s="71"/>
      <c r="K95" s="71"/>
      <c r="L95" s="71"/>
      <c r="M95" s="71"/>
      <c r="N95" s="71"/>
      <c r="O95" s="71"/>
      <c r="W95" s="391"/>
      <c r="X95" s="286" t="s">
        <v>73</v>
      </c>
      <c r="Y95" s="286"/>
      <c r="Z95" s="397">
        <f>VLOOKUP("201115"&amp;"AllSex"&amp;"AllEth"&amp;19&amp;ref!Z21,DHB5yr,7,FALSE)</f>
        <v>202</v>
      </c>
      <c r="AA95" s="395">
        <f>IF(Z95&lt;5,"-",VLOOKUP("201115"&amp;"AllSex"&amp;"AllEth"&amp;19&amp;ref!Z21,DHB5yr,8,FALSE))</f>
        <v>12.953506009582201</v>
      </c>
      <c r="BA95" s="480" t="s">
        <v>73</v>
      </c>
      <c r="BB95" s="486">
        <f>VLOOKUP("201115"&amp;"AllSex"&amp;"AllEth"&amp;19&amp;ref!Z21,DHB5yr,9,FALSE)</f>
        <v>2.2999999999999998</v>
      </c>
      <c r="BC95" s="480"/>
      <c r="BD95" s="486">
        <f t="shared" si="3"/>
        <v>17.755810653105051</v>
      </c>
      <c r="BE95" s="480"/>
      <c r="BF95" s="480"/>
    </row>
    <row r="96" spans="2:58" x14ac:dyDescent="0.2">
      <c r="B96" s="71"/>
      <c r="C96" s="71"/>
      <c r="D96" s="71"/>
      <c r="E96" s="71"/>
      <c r="F96" s="71"/>
      <c r="G96" s="71"/>
      <c r="H96" s="71"/>
      <c r="I96" s="71"/>
      <c r="J96" s="71"/>
      <c r="K96" s="71"/>
      <c r="L96" s="71"/>
      <c r="M96" s="71"/>
      <c r="N96" s="71"/>
      <c r="O96" s="71"/>
      <c r="W96" s="391"/>
      <c r="X96" s="286" t="s">
        <v>75</v>
      </c>
      <c r="Y96" s="286"/>
      <c r="Z96" s="397">
        <f>VLOOKUP("201115"&amp;"AllSex"&amp;"AllEth"&amp;19&amp;ref!Z22,DHB5yr,7,FALSE)</f>
        <v>10</v>
      </c>
      <c r="AA96" s="398" t="s">
        <v>85</v>
      </c>
      <c r="BA96" s="480"/>
      <c r="BB96" s="480"/>
      <c r="BC96" s="480"/>
      <c r="BD96" s="480"/>
      <c r="BE96" s="480"/>
      <c r="BF96" s="480"/>
    </row>
    <row r="97" spans="2:58" x14ac:dyDescent="0.2">
      <c r="B97" s="71"/>
      <c r="C97" s="71"/>
      <c r="D97" s="71"/>
      <c r="E97" s="71"/>
      <c r="F97" s="71"/>
      <c r="G97" s="71"/>
      <c r="H97" s="71"/>
      <c r="I97" s="71"/>
      <c r="J97" s="71"/>
      <c r="K97" s="71"/>
      <c r="L97" s="71"/>
      <c r="M97" s="71"/>
      <c r="N97" s="71"/>
      <c r="O97" s="71"/>
      <c r="W97" s="399"/>
      <c r="X97" s="316"/>
      <c r="Y97" s="316"/>
      <c r="Z97" s="316"/>
      <c r="AA97" s="316"/>
      <c r="BA97" s="480"/>
      <c r="BB97" s="511"/>
      <c r="BC97" s="480"/>
      <c r="BD97" s="480"/>
      <c r="BE97" s="480"/>
      <c r="BF97" s="480"/>
    </row>
    <row r="98" spans="2:58" x14ac:dyDescent="0.2">
      <c r="B98" s="71"/>
      <c r="C98" s="556" t="s">
        <v>101</v>
      </c>
      <c r="D98" s="567"/>
      <c r="E98" s="567"/>
      <c r="F98" s="567"/>
      <c r="G98" s="567"/>
      <c r="H98" s="567"/>
      <c r="I98" s="567"/>
      <c r="J98" s="567"/>
      <c r="K98" s="567"/>
      <c r="L98" s="567"/>
      <c r="M98" s="567"/>
      <c r="N98" s="567"/>
      <c r="O98" s="567"/>
      <c r="W98" s="391" t="s">
        <v>197</v>
      </c>
      <c r="X98" s="286" t="s">
        <v>74</v>
      </c>
      <c r="Y98" s="286"/>
      <c r="Z98" s="286">
        <v>591</v>
      </c>
      <c r="AA98" s="473" t="s">
        <v>85</v>
      </c>
      <c r="BA98" s="480"/>
      <c r="BB98" s="480"/>
      <c r="BC98" s="480"/>
      <c r="BD98" s="480"/>
      <c r="BE98" s="480"/>
      <c r="BF98" s="480"/>
    </row>
    <row r="99" spans="2:58" x14ac:dyDescent="0.2">
      <c r="B99" s="71"/>
      <c r="C99" s="559" t="s">
        <v>469</v>
      </c>
      <c r="D99" s="559"/>
      <c r="E99" s="559"/>
      <c r="F99" s="559"/>
      <c r="G99" s="559"/>
      <c r="H99" s="559"/>
      <c r="I99" s="559"/>
      <c r="J99" s="559"/>
      <c r="K99" s="559"/>
      <c r="L99" s="559"/>
      <c r="M99" s="559"/>
      <c r="N99" s="559"/>
      <c r="O99" s="71"/>
      <c r="W99" s="391"/>
      <c r="X99" s="286" t="s">
        <v>54</v>
      </c>
      <c r="Y99" s="286"/>
      <c r="Z99" s="286">
        <f>VLOOKUP("201115"&amp;"AllSex"&amp;"AllEth"&amp;22&amp;ref!Z2,DHB5yr,7,FALSE)</f>
        <v>30</v>
      </c>
      <c r="AA99" s="473" t="s">
        <v>85</v>
      </c>
      <c r="BA99" s="480"/>
      <c r="BB99" s="480"/>
      <c r="BC99" s="480"/>
      <c r="BD99" s="480"/>
      <c r="BE99" s="480"/>
      <c r="BF99" s="480"/>
    </row>
    <row r="100" spans="2:58" x14ac:dyDescent="0.2">
      <c r="B100" s="71"/>
      <c r="C100" s="84" t="s">
        <v>598</v>
      </c>
      <c r="D100" s="462"/>
      <c r="E100" s="462"/>
      <c r="F100" s="462"/>
      <c r="G100" s="462"/>
      <c r="H100" s="462"/>
      <c r="I100" s="462"/>
      <c r="J100" s="462"/>
      <c r="K100" s="462"/>
      <c r="L100" s="462"/>
      <c r="M100" s="462"/>
      <c r="N100" s="461"/>
      <c r="O100" s="461"/>
      <c r="W100" s="391"/>
      <c r="X100" s="286" t="s">
        <v>55</v>
      </c>
      <c r="Y100" s="286"/>
      <c r="Z100" s="286">
        <f>VLOOKUP("201115"&amp;"AllSex"&amp;"AllEth"&amp;22&amp;ref!Z3,DHB5yr,7,FALSE)</f>
        <v>52</v>
      </c>
      <c r="AA100" s="473" t="s">
        <v>85</v>
      </c>
      <c r="BA100" s="480"/>
      <c r="BB100" s="480"/>
      <c r="BC100" s="480"/>
      <c r="BD100" s="480"/>
      <c r="BE100" s="480"/>
      <c r="BF100" s="480"/>
    </row>
    <row r="101" spans="2:58" x14ac:dyDescent="0.2">
      <c r="B101" s="71"/>
      <c r="C101" s="84" t="s">
        <v>608</v>
      </c>
      <c r="D101" s="462"/>
      <c r="E101" s="462"/>
      <c r="F101" s="462"/>
      <c r="G101" s="462"/>
      <c r="H101" s="462"/>
      <c r="I101" s="462"/>
      <c r="J101" s="462"/>
      <c r="K101" s="462"/>
      <c r="L101" s="462"/>
      <c r="M101" s="462"/>
      <c r="N101" s="461"/>
      <c r="O101" s="461"/>
      <c r="W101" s="391"/>
      <c r="X101" s="286" t="s">
        <v>56</v>
      </c>
      <c r="Y101" s="286"/>
      <c r="Z101" s="286">
        <f>VLOOKUP("201115"&amp;"AllSex"&amp;"AllEth"&amp;22&amp;ref!Z4,DHB5yr,7,FALSE)</f>
        <v>46</v>
      </c>
      <c r="AA101" s="473" t="s">
        <v>85</v>
      </c>
      <c r="BA101" s="480"/>
      <c r="BB101" s="480" t="s">
        <v>118</v>
      </c>
      <c r="BC101" s="480"/>
      <c r="BD101" s="480"/>
      <c r="BE101" s="480"/>
      <c r="BF101" s="480"/>
    </row>
    <row r="102" spans="2:58" x14ac:dyDescent="0.2">
      <c r="B102" s="71"/>
      <c r="C102" s="84" t="s">
        <v>139</v>
      </c>
      <c r="D102" s="71"/>
      <c r="E102" s="71"/>
      <c r="F102" s="71"/>
      <c r="G102" s="71"/>
      <c r="H102" s="71"/>
      <c r="I102" s="71"/>
      <c r="J102" s="71"/>
      <c r="K102" s="71"/>
      <c r="L102" s="283"/>
      <c r="M102" s="71"/>
      <c r="N102" s="71"/>
      <c r="O102" s="71"/>
      <c r="W102" s="391"/>
      <c r="X102" s="286" t="s">
        <v>57</v>
      </c>
      <c r="Y102" s="286"/>
      <c r="Z102" s="286">
        <f>VLOOKUP("201115"&amp;"AllSex"&amp;"AllEth"&amp;22&amp;ref!Z5,DHB5yr,7,FALSE)</f>
        <v>78</v>
      </c>
      <c r="AA102" s="473" t="s">
        <v>85</v>
      </c>
      <c r="BA102" s="480"/>
      <c r="BB102" s="480"/>
      <c r="BC102" s="480"/>
      <c r="BD102" s="480"/>
      <c r="BE102" s="480"/>
      <c r="BF102" s="480"/>
    </row>
    <row r="103" spans="2:58" x14ac:dyDescent="0.2">
      <c r="B103" s="71"/>
      <c r="C103" s="71"/>
      <c r="D103" s="71"/>
      <c r="E103" s="71"/>
      <c r="F103" s="71"/>
      <c r="G103" s="71"/>
      <c r="H103" s="71"/>
      <c r="I103" s="71"/>
      <c r="J103" s="71"/>
      <c r="K103" s="71"/>
      <c r="L103" s="283"/>
      <c r="M103" s="71"/>
      <c r="N103" s="71"/>
      <c r="O103" s="71"/>
      <c r="W103" s="391"/>
      <c r="X103" s="286" t="s">
        <v>58</v>
      </c>
      <c r="Y103" s="286"/>
      <c r="Z103" s="286">
        <f>VLOOKUP("201115"&amp;"AllSex"&amp;"AllEth"&amp;22&amp;ref!Z6,DHB5yr,7,FALSE)</f>
        <v>48</v>
      </c>
      <c r="AA103" s="473" t="s">
        <v>85</v>
      </c>
      <c r="BA103" s="480"/>
      <c r="BB103" s="480" t="s">
        <v>86</v>
      </c>
      <c r="BC103" s="480" t="s">
        <v>87</v>
      </c>
      <c r="BD103" s="480"/>
      <c r="BE103" s="480"/>
      <c r="BF103" s="480"/>
    </row>
    <row r="104" spans="2:58" x14ac:dyDescent="0.2">
      <c r="B104" s="407"/>
      <c r="C104" s="407"/>
      <c r="D104" s="407"/>
      <c r="E104" s="407"/>
      <c r="F104" s="407"/>
      <c r="G104" s="407"/>
      <c r="H104" s="407"/>
      <c r="I104" s="407"/>
      <c r="J104" s="407"/>
      <c r="K104" s="407"/>
      <c r="L104" s="407"/>
      <c r="M104" s="407"/>
      <c r="N104" s="407"/>
      <c r="O104" s="407"/>
      <c r="W104" s="391"/>
      <c r="X104" s="286" t="s">
        <v>59</v>
      </c>
      <c r="Y104" s="286"/>
      <c r="Z104" s="286">
        <f>VLOOKUP("201115"&amp;"AllSex"&amp;"AllEth"&amp;22&amp;ref!Z7,DHB5yr,7,FALSE)</f>
        <v>23</v>
      </c>
      <c r="AA104" s="473" t="s">
        <v>85</v>
      </c>
      <c r="BA104" s="480"/>
      <c r="BB104" s="480">
        <v>0</v>
      </c>
      <c r="BC104" s="480">
        <f>AA75</f>
        <v>11.3</v>
      </c>
      <c r="BD104" s="480"/>
      <c r="BE104" s="480"/>
      <c r="BF104" s="480"/>
    </row>
    <row r="105" spans="2:58" x14ac:dyDescent="0.2">
      <c r="B105" s="407"/>
      <c r="C105" s="407"/>
      <c r="D105" s="407"/>
      <c r="E105" s="407"/>
      <c r="F105" s="407"/>
      <c r="G105" s="407"/>
      <c r="H105" s="407"/>
      <c r="I105" s="407"/>
      <c r="J105" s="407"/>
      <c r="K105" s="407"/>
      <c r="L105" s="407"/>
      <c r="M105" s="407"/>
      <c r="N105" s="407"/>
      <c r="O105" s="407"/>
      <c r="W105" s="391"/>
      <c r="X105" s="286" t="s">
        <v>60</v>
      </c>
      <c r="Y105" s="286"/>
      <c r="Z105" s="286">
        <f>VLOOKUP("201115"&amp;"AllSex"&amp;"AllEth"&amp;22&amp;ref!Z8,DHB5yr,7,FALSE)</f>
        <v>33</v>
      </c>
      <c r="AA105" s="473" t="s">
        <v>85</v>
      </c>
      <c r="BA105" s="480"/>
      <c r="BB105" s="480">
        <v>1</v>
      </c>
      <c r="BC105" s="480">
        <f>AA75</f>
        <v>11.3</v>
      </c>
      <c r="BD105" s="480"/>
      <c r="BE105" s="480"/>
      <c r="BF105" s="480"/>
    </row>
    <row r="106" spans="2:58" x14ac:dyDescent="0.2">
      <c r="B106" s="407"/>
      <c r="C106" s="407"/>
      <c r="D106" s="407"/>
      <c r="E106" s="407"/>
      <c r="F106" s="407"/>
      <c r="G106" s="407"/>
      <c r="H106" s="407"/>
      <c r="I106" s="407"/>
      <c r="J106" s="407"/>
      <c r="K106" s="407"/>
      <c r="L106" s="407"/>
      <c r="M106" s="407"/>
      <c r="N106" s="407"/>
      <c r="O106" s="407"/>
      <c r="W106" s="391"/>
      <c r="X106" s="286" t="s">
        <v>115</v>
      </c>
      <c r="Y106" s="286"/>
      <c r="Z106" s="286">
        <f>VLOOKUP("201115"&amp;"AllSex"&amp;"AllEth"&amp;22&amp;ref!Z9,DHB5yr,7,FALSE)</f>
        <v>6</v>
      </c>
      <c r="AA106" s="473" t="s">
        <v>85</v>
      </c>
    </row>
    <row r="107" spans="2:58" x14ac:dyDescent="0.2">
      <c r="B107" s="407"/>
      <c r="C107" s="407"/>
      <c r="D107" s="407"/>
      <c r="E107" s="407"/>
      <c r="F107" s="407"/>
      <c r="G107" s="407"/>
      <c r="H107" s="407"/>
      <c r="I107" s="407"/>
      <c r="J107" s="407"/>
      <c r="K107" s="407"/>
      <c r="L107" s="407"/>
      <c r="M107" s="407"/>
      <c r="N107" s="407"/>
      <c r="O107" s="407"/>
      <c r="W107" s="391"/>
      <c r="X107" s="286" t="s">
        <v>62</v>
      </c>
      <c r="Y107" s="286"/>
      <c r="Z107" s="286">
        <f>VLOOKUP("201115"&amp;"AllSex"&amp;"AllEth"&amp;22&amp;ref!Z10,DHB5yr,7,FALSE)</f>
        <v>27</v>
      </c>
      <c r="AA107" s="473" t="s">
        <v>85</v>
      </c>
      <c r="BD107" s="469"/>
    </row>
    <row r="108" spans="2:58" x14ac:dyDescent="0.2">
      <c r="B108" s="407"/>
      <c r="C108" s="407"/>
      <c r="D108" s="407"/>
      <c r="E108" s="407"/>
      <c r="F108" s="407"/>
      <c r="G108" s="407"/>
      <c r="H108" s="407"/>
      <c r="I108" s="407"/>
      <c r="J108" s="407"/>
      <c r="K108" s="407"/>
      <c r="L108" s="407"/>
      <c r="M108" s="407"/>
      <c r="N108" s="407"/>
      <c r="O108" s="407"/>
      <c r="W108" s="391"/>
      <c r="X108" s="286" t="s">
        <v>63</v>
      </c>
      <c r="Y108" s="286"/>
      <c r="Z108" s="286">
        <f>VLOOKUP("201115"&amp;"AllSex"&amp;"AllEth"&amp;22&amp;ref!Z11,DHB5yr,7,FALSE)</f>
        <v>11</v>
      </c>
      <c r="AA108" s="473" t="s">
        <v>85</v>
      </c>
      <c r="BD108" s="469"/>
    </row>
    <row r="109" spans="2:58" x14ac:dyDescent="0.2">
      <c r="B109" s="407"/>
      <c r="C109" s="407"/>
      <c r="D109" s="407"/>
      <c r="E109" s="407"/>
      <c r="F109" s="407"/>
      <c r="G109" s="407"/>
      <c r="H109" s="407"/>
      <c r="I109" s="407"/>
      <c r="J109" s="407"/>
      <c r="K109" s="407"/>
      <c r="L109" s="407"/>
      <c r="M109" s="407"/>
      <c r="N109" s="407"/>
      <c r="O109" s="407"/>
      <c r="W109" s="391"/>
      <c r="X109" s="286" t="s">
        <v>116</v>
      </c>
      <c r="Y109" s="286"/>
      <c r="Z109" s="286">
        <f>VLOOKUP("201115"&amp;"AllSex"&amp;"AllEth"&amp;22&amp;ref!Z12,DHB5yr,7,FALSE)</f>
        <v>32</v>
      </c>
      <c r="AA109" s="473" t="s">
        <v>85</v>
      </c>
      <c r="BD109" s="469"/>
    </row>
    <row r="110" spans="2:58" x14ac:dyDescent="0.2">
      <c r="B110" s="407"/>
      <c r="C110" s="407"/>
      <c r="D110" s="407"/>
      <c r="E110" s="407"/>
      <c r="F110" s="407"/>
      <c r="G110" s="407"/>
      <c r="H110" s="407"/>
      <c r="I110" s="407"/>
      <c r="J110" s="407"/>
      <c r="K110" s="407"/>
      <c r="L110" s="407"/>
      <c r="M110" s="407"/>
      <c r="N110" s="407"/>
      <c r="O110" s="407"/>
      <c r="W110" s="391"/>
      <c r="X110" s="286" t="s">
        <v>65</v>
      </c>
      <c r="Y110" s="286"/>
      <c r="Z110" s="286">
        <f>VLOOKUP("201115"&amp;"AllSex"&amp;"AllEth"&amp;22&amp;ref!Z13,DHB5yr,7,FALSE)</f>
        <v>8</v>
      </c>
      <c r="AA110" s="473" t="s">
        <v>85</v>
      </c>
      <c r="BD110" s="469"/>
    </row>
    <row r="111" spans="2:58" x14ac:dyDescent="0.2">
      <c r="B111" s="407"/>
      <c r="C111" s="407"/>
      <c r="D111" s="407"/>
      <c r="E111" s="407"/>
      <c r="F111" s="407"/>
      <c r="G111" s="407"/>
      <c r="H111" s="407"/>
      <c r="I111" s="407"/>
      <c r="J111" s="407"/>
      <c r="K111" s="407"/>
      <c r="L111" s="407"/>
      <c r="M111" s="407"/>
      <c r="N111" s="407"/>
      <c r="O111" s="407"/>
      <c r="W111" s="391"/>
      <c r="X111" s="286" t="s">
        <v>66</v>
      </c>
      <c r="Y111" s="286"/>
      <c r="Z111" s="286">
        <f>VLOOKUP("201115"&amp;"AllSex"&amp;"AllEth"&amp;22&amp;ref!Z14,DHB5yr,7,FALSE)</f>
        <v>25</v>
      </c>
      <c r="AA111" s="473" t="s">
        <v>85</v>
      </c>
      <c r="BD111" s="469"/>
    </row>
    <row r="112" spans="2:58" x14ac:dyDescent="0.2">
      <c r="B112" s="407"/>
      <c r="C112" s="407"/>
      <c r="D112" s="407"/>
      <c r="E112" s="407"/>
      <c r="F112" s="407"/>
      <c r="G112" s="407"/>
      <c r="H112" s="407"/>
      <c r="I112" s="407"/>
      <c r="J112" s="407"/>
      <c r="K112" s="407"/>
      <c r="L112" s="407"/>
      <c r="M112" s="407"/>
      <c r="N112" s="407"/>
      <c r="O112" s="407"/>
      <c r="W112" s="391"/>
      <c r="X112" s="286" t="s">
        <v>67</v>
      </c>
      <c r="Y112" s="286"/>
      <c r="Z112" s="303">
        <f>VLOOKUP("201115"&amp;"AllSex"&amp;"AllEth"&amp;22&amp;ref!Z15,DHB5yr,7,FALSE)</f>
        <v>23</v>
      </c>
      <c r="AA112" s="473" t="s">
        <v>85</v>
      </c>
      <c r="BD112" s="469"/>
    </row>
    <row r="113" spans="2:56" x14ac:dyDescent="0.2">
      <c r="B113" s="407"/>
      <c r="C113" s="407"/>
      <c r="D113" s="407"/>
      <c r="E113" s="407"/>
      <c r="F113" s="407"/>
      <c r="G113" s="407"/>
      <c r="H113" s="407"/>
      <c r="I113" s="407"/>
      <c r="J113" s="407"/>
      <c r="K113" s="407"/>
      <c r="L113" s="407"/>
      <c r="M113" s="407"/>
      <c r="N113" s="407"/>
      <c r="O113" s="407"/>
      <c r="W113" s="391"/>
      <c r="X113" s="286" t="s">
        <v>68</v>
      </c>
      <c r="Y113" s="286"/>
      <c r="Z113" s="303">
        <f>VLOOKUP("201115"&amp;"AllSex"&amp;"AllEth"&amp;22&amp;ref!Z16,DHB5yr,7,FALSE)</f>
        <v>10</v>
      </c>
      <c r="AA113" s="473" t="s">
        <v>85</v>
      </c>
      <c r="BD113" s="469"/>
    </row>
    <row r="114" spans="2:56" x14ac:dyDescent="0.2">
      <c r="B114" s="407"/>
      <c r="C114" s="407"/>
      <c r="D114" s="407"/>
      <c r="E114" s="407"/>
      <c r="F114" s="407"/>
      <c r="G114" s="407"/>
      <c r="H114" s="407"/>
      <c r="I114" s="407"/>
      <c r="J114" s="407"/>
      <c r="K114" s="407"/>
      <c r="L114" s="407"/>
      <c r="M114" s="407"/>
      <c r="N114" s="407"/>
      <c r="O114" s="407"/>
      <c r="W114" s="391"/>
      <c r="X114" s="286" t="s">
        <v>69</v>
      </c>
      <c r="Y114" s="286"/>
      <c r="Z114" s="303">
        <f>VLOOKUP("201115"&amp;"AllSex"&amp;"AllEth"&amp;22&amp;ref!Z17,DHB5yr,7,FALSE)</f>
        <v>10</v>
      </c>
      <c r="AA114" s="473" t="s">
        <v>85</v>
      </c>
      <c r="BD114" s="469"/>
    </row>
    <row r="115" spans="2:56" x14ac:dyDescent="0.2">
      <c r="B115" s="407"/>
      <c r="C115" s="407"/>
      <c r="D115" s="407"/>
      <c r="E115" s="407"/>
      <c r="F115" s="407"/>
      <c r="G115" s="407"/>
      <c r="H115" s="407"/>
      <c r="I115" s="407"/>
      <c r="J115" s="407"/>
      <c r="K115" s="407"/>
      <c r="L115" s="407"/>
      <c r="M115" s="407"/>
      <c r="N115" s="407"/>
      <c r="O115" s="407"/>
      <c r="W115" s="391"/>
      <c r="X115" s="286" t="s">
        <v>70</v>
      </c>
      <c r="Y115" s="286"/>
      <c r="Z115" s="303">
        <f>VLOOKUP("201115"&amp;"AllSex"&amp;"AllEth"&amp;22&amp;ref!Z18,DHB5yr,7,FALSE)</f>
        <v>9</v>
      </c>
      <c r="AA115" s="473" t="s">
        <v>85</v>
      </c>
      <c r="BD115" s="469"/>
    </row>
    <row r="116" spans="2:56" x14ac:dyDescent="0.2">
      <c r="B116" s="407"/>
      <c r="C116" s="407"/>
      <c r="D116" s="407"/>
      <c r="E116" s="407"/>
      <c r="F116" s="407"/>
      <c r="G116" s="407"/>
      <c r="H116" s="407"/>
      <c r="I116" s="407"/>
      <c r="J116" s="407"/>
      <c r="K116" s="407"/>
      <c r="L116" s="407"/>
      <c r="M116" s="407"/>
      <c r="N116" s="407"/>
      <c r="O116" s="407"/>
      <c r="W116" s="391"/>
      <c r="X116" s="286" t="s">
        <v>71</v>
      </c>
      <c r="Y116" s="286"/>
      <c r="Z116" s="303">
        <f>VLOOKUP("201115"&amp;"AllSex"&amp;"AllEth"&amp;22&amp;ref!Z19,DHB5yr,7,FALSE)</f>
        <v>60</v>
      </c>
      <c r="AA116" s="473" t="s">
        <v>85</v>
      </c>
      <c r="BD116" s="469"/>
    </row>
    <row r="117" spans="2:56" x14ac:dyDescent="0.2">
      <c r="B117" s="407"/>
      <c r="C117" s="407"/>
      <c r="D117" s="407"/>
      <c r="E117" s="407"/>
      <c r="F117" s="407"/>
      <c r="G117" s="407"/>
      <c r="H117" s="407"/>
      <c r="I117" s="407"/>
      <c r="J117" s="407"/>
      <c r="K117" s="407"/>
      <c r="L117" s="407"/>
      <c r="M117" s="407"/>
      <c r="N117" s="407"/>
      <c r="O117" s="407"/>
      <c r="W117" s="391"/>
      <c r="X117" s="286" t="s">
        <v>72</v>
      </c>
      <c r="Y117" s="286"/>
      <c r="Z117" s="303">
        <f>VLOOKUP("201115"&amp;"AllSex"&amp;"AllEth"&amp;22&amp;ref!Z20,DHB5yr,7,FALSE)</f>
        <v>16</v>
      </c>
      <c r="AA117" s="473" t="s">
        <v>85</v>
      </c>
      <c r="BD117" s="469"/>
    </row>
    <row r="118" spans="2:56" x14ac:dyDescent="0.2">
      <c r="B118" s="407"/>
      <c r="C118" s="407"/>
      <c r="D118" s="407"/>
      <c r="E118" s="407"/>
      <c r="F118" s="407"/>
      <c r="G118" s="407"/>
      <c r="H118" s="407"/>
      <c r="I118" s="407"/>
      <c r="J118" s="407"/>
      <c r="K118" s="407"/>
      <c r="L118" s="407"/>
      <c r="M118" s="407"/>
      <c r="N118" s="407"/>
      <c r="O118" s="407"/>
      <c r="W118" s="391"/>
      <c r="X118" s="286" t="s">
        <v>73</v>
      </c>
      <c r="Y118" s="286"/>
      <c r="Z118" s="303">
        <f>VLOOKUP("201115"&amp;"AllSex"&amp;"AllEth"&amp;22&amp;ref!Z21,DHB5yr,7,FALSE)</f>
        <v>44</v>
      </c>
      <c r="AA118" s="473" t="s">
        <v>85</v>
      </c>
      <c r="BD118" s="469"/>
    </row>
    <row r="119" spans="2:56" x14ac:dyDescent="0.2">
      <c r="B119" s="407"/>
      <c r="C119" s="407"/>
      <c r="D119" s="407"/>
      <c r="E119" s="407"/>
      <c r="F119" s="407"/>
      <c r="G119" s="407"/>
      <c r="H119" s="407"/>
      <c r="I119" s="407"/>
      <c r="J119" s="407"/>
      <c r="K119" s="407"/>
      <c r="L119" s="407"/>
      <c r="M119" s="407"/>
      <c r="N119" s="407"/>
      <c r="O119" s="407"/>
      <c r="W119" s="391"/>
      <c r="X119" s="286" t="s">
        <v>75</v>
      </c>
      <c r="Y119" s="286"/>
      <c r="Z119" s="260" t="s">
        <v>344</v>
      </c>
      <c r="AA119" s="473" t="s">
        <v>85</v>
      </c>
      <c r="BD119" s="469"/>
    </row>
    <row r="120" spans="2:56" x14ac:dyDescent="0.2">
      <c r="B120" s="407"/>
      <c r="C120" s="407"/>
      <c r="D120" s="407"/>
      <c r="E120" s="407"/>
      <c r="F120" s="407"/>
      <c r="G120" s="407"/>
      <c r="H120" s="407"/>
      <c r="I120" s="407"/>
      <c r="J120" s="407"/>
      <c r="K120" s="407"/>
      <c r="L120" s="407"/>
      <c r="M120" s="407"/>
      <c r="N120" s="407"/>
      <c r="O120" s="407"/>
      <c r="W120" s="391"/>
      <c r="X120" s="286"/>
      <c r="Y120" s="286"/>
      <c r="Z120" s="286"/>
      <c r="AA120" s="286"/>
      <c r="BD120" s="469"/>
    </row>
    <row r="121" spans="2:56" x14ac:dyDescent="0.2">
      <c r="B121" s="407"/>
      <c r="C121" s="407"/>
      <c r="D121" s="407"/>
      <c r="E121" s="407"/>
      <c r="F121" s="407"/>
      <c r="G121" s="407"/>
      <c r="H121" s="407"/>
      <c r="I121" s="407"/>
      <c r="J121" s="407"/>
      <c r="K121" s="407"/>
      <c r="L121" s="407"/>
      <c r="M121" s="407"/>
      <c r="N121" s="407"/>
      <c r="O121" s="407"/>
      <c r="X121" s="196" t="s">
        <v>101</v>
      </c>
      <c r="Y121" s="196"/>
      <c r="Z121" s="196"/>
      <c r="AA121" s="196"/>
      <c r="BD121" s="469"/>
    </row>
    <row r="122" spans="2:56" ht="24" customHeight="1" x14ac:dyDescent="0.2">
      <c r="B122" s="407"/>
      <c r="C122" s="407"/>
      <c r="D122" s="407"/>
      <c r="E122" s="407"/>
      <c r="F122" s="407"/>
      <c r="G122" s="407"/>
      <c r="H122" s="407"/>
      <c r="I122" s="407"/>
      <c r="J122" s="407"/>
      <c r="K122" s="407"/>
      <c r="L122" s="407"/>
      <c r="M122" s="407"/>
      <c r="N122" s="407"/>
      <c r="O122" s="407"/>
      <c r="X122" s="568" t="s">
        <v>622</v>
      </c>
      <c r="Y122" s="523"/>
      <c r="Z122" s="523"/>
      <c r="AA122" s="523"/>
    </row>
    <row r="123" spans="2:56" s="464" customFormat="1" ht="33.75" customHeight="1" x14ac:dyDescent="0.2">
      <c r="B123" s="471"/>
      <c r="C123" s="471"/>
      <c r="D123" s="471"/>
      <c r="E123" s="471"/>
      <c r="F123" s="471"/>
      <c r="G123" s="471"/>
      <c r="H123" s="471"/>
      <c r="I123" s="471"/>
      <c r="J123" s="471"/>
      <c r="K123" s="471"/>
      <c r="L123" s="471"/>
      <c r="M123" s="471"/>
      <c r="N123" s="471"/>
      <c r="O123" s="471"/>
      <c r="W123" s="470"/>
      <c r="X123" s="537" t="s">
        <v>621</v>
      </c>
      <c r="Y123" s="566"/>
      <c r="Z123" s="566"/>
      <c r="AA123" s="566"/>
      <c r="AG123" s="504"/>
      <c r="AH123" s="504"/>
      <c r="AI123" s="504"/>
      <c r="AJ123" s="504"/>
      <c r="AK123" s="504"/>
      <c r="AL123" s="504"/>
      <c r="AM123" s="504"/>
      <c r="AN123" s="504"/>
      <c r="AO123" s="504"/>
      <c r="AP123" s="504"/>
      <c r="AQ123" s="504"/>
      <c r="AS123" s="504"/>
      <c r="AT123" s="504"/>
      <c r="AU123" s="504"/>
    </row>
    <row r="124" spans="2:56" ht="12" customHeight="1" x14ac:dyDescent="0.2">
      <c r="B124" s="407"/>
      <c r="C124" s="407"/>
      <c r="D124" s="407"/>
      <c r="E124" s="407"/>
      <c r="F124" s="407"/>
      <c r="G124" s="407"/>
      <c r="H124" s="407"/>
      <c r="I124" s="407"/>
      <c r="J124" s="407"/>
      <c r="K124" s="407"/>
      <c r="L124" s="407"/>
      <c r="M124" s="407"/>
      <c r="N124" s="407"/>
      <c r="O124" s="407"/>
      <c r="X124" s="194" t="s">
        <v>139</v>
      </c>
      <c r="Y124" s="196"/>
      <c r="Z124" s="196"/>
      <c r="AA124" s="196"/>
    </row>
    <row r="125" spans="2:56" x14ac:dyDescent="0.2">
      <c r="B125" s="407"/>
      <c r="C125" s="407"/>
      <c r="D125" s="407"/>
      <c r="E125" s="407"/>
      <c r="F125" s="407"/>
      <c r="G125" s="407"/>
      <c r="H125" s="407"/>
      <c r="I125" s="407"/>
      <c r="J125" s="407"/>
      <c r="K125" s="407"/>
      <c r="L125" s="407"/>
      <c r="M125" s="407"/>
      <c r="N125" s="407"/>
      <c r="O125" s="407"/>
      <c r="W125" s="182"/>
      <c r="X125" s="289"/>
      <c r="Y125" s="289"/>
      <c r="Z125" s="289"/>
      <c r="AA125" s="289"/>
    </row>
    <row r="126" spans="2:56" x14ac:dyDescent="0.2">
      <c r="B126" s="407"/>
      <c r="C126" s="407"/>
      <c r="D126" s="407"/>
      <c r="E126" s="407"/>
      <c r="F126" s="407"/>
      <c r="G126" s="407"/>
      <c r="H126" s="407"/>
      <c r="I126" s="407"/>
      <c r="J126" s="407"/>
      <c r="K126" s="407"/>
      <c r="L126" s="407"/>
      <c r="M126" s="407"/>
      <c r="N126" s="407"/>
      <c r="O126" s="407"/>
      <c r="Z126" s="181"/>
    </row>
    <row r="127" spans="2:56" ht="12.75" customHeight="1" x14ac:dyDescent="0.2">
      <c r="B127" s="407"/>
      <c r="C127" s="407"/>
      <c r="D127" s="407"/>
      <c r="E127" s="407"/>
      <c r="F127" s="407"/>
      <c r="G127" s="407"/>
      <c r="H127" s="407"/>
      <c r="I127" s="407"/>
      <c r="J127" s="407"/>
      <c r="K127" s="407"/>
      <c r="L127" s="407"/>
      <c r="M127" s="407"/>
      <c r="N127" s="407"/>
      <c r="O127" s="407"/>
    </row>
    <row r="128" spans="2:56" x14ac:dyDescent="0.2">
      <c r="B128" s="407"/>
      <c r="C128" s="407"/>
      <c r="D128" s="407"/>
      <c r="E128" s="407"/>
      <c r="F128" s="407"/>
      <c r="G128" s="407"/>
      <c r="H128" s="407"/>
      <c r="I128" s="407"/>
      <c r="J128" s="407"/>
      <c r="K128" s="407"/>
      <c r="L128" s="407"/>
      <c r="M128" s="407"/>
      <c r="N128" s="407"/>
      <c r="O128" s="407"/>
    </row>
    <row r="129" spans="2:15" x14ac:dyDescent="0.2">
      <c r="B129" s="407"/>
      <c r="C129" s="407"/>
      <c r="D129" s="407"/>
      <c r="E129" s="407"/>
      <c r="F129" s="407"/>
      <c r="G129" s="407"/>
      <c r="H129" s="407"/>
      <c r="I129" s="407"/>
      <c r="J129" s="407"/>
      <c r="K129" s="407"/>
      <c r="L129" s="407"/>
      <c r="M129" s="407"/>
      <c r="N129" s="407"/>
      <c r="O129" s="407"/>
    </row>
    <row r="130" spans="2:15" x14ac:dyDescent="0.2">
      <c r="B130" s="407"/>
      <c r="C130" s="457"/>
      <c r="D130" s="407"/>
      <c r="E130" s="407"/>
      <c r="F130" s="407"/>
      <c r="G130" s="407"/>
      <c r="H130" s="407"/>
      <c r="I130" s="407"/>
      <c r="J130" s="407"/>
      <c r="K130" s="407"/>
      <c r="L130" s="451"/>
      <c r="M130" s="407"/>
      <c r="N130" s="407"/>
      <c r="O130" s="407"/>
    </row>
    <row r="131" spans="2:15" x14ac:dyDescent="0.2">
      <c r="B131" s="407"/>
      <c r="C131" s="407"/>
      <c r="D131" s="407"/>
      <c r="E131" s="407"/>
      <c r="F131" s="407"/>
      <c r="G131" s="407"/>
      <c r="H131" s="407"/>
      <c r="I131" s="407"/>
      <c r="J131" s="407"/>
      <c r="K131" s="407"/>
      <c r="L131" s="407"/>
      <c r="M131" s="407"/>
      <c r="N131" s="407"/>
      <c r="O131" s="407"/>
    </row>
    <row r="132" spans="2:15" x14ac:dyDescent="0.2">
      <c r="B132" s="407"/>
      <c r="C132" s="407"/>
      <c r="D132" s="407"/>
      <c r="E132" s="407"/>
      <c r="F132" s="407"/>
      <c r="G132" s="407"/>
      <c r="H132" s="407"/>
      <c r="I132" s="407"/>
      <c r="J132" s="407"/>
      <c r="K132" s="407"/>
      <c r="L132" s="407"/>
      <c r="M132" s="407"/>
      <c r="N132" s="407"/>
      <c r="O132" s="407"/>
    </row>
    <row r="133" spans="2:15" x14ac:dyDescent="0.2">
      <c r="B133" s="407"/>
      <c r="C133" s="407"/>
      <c r="D133" s="407"/>
      <c r="E133" s="407"/>
      <c r="F133" s="407"/>
      <c r="G133" s="407"/>
      <c r="H133" s="407"/>
      <c r="I133" s="407"/>
      <c r="J133" s="407"/>
      <c r="K133" s="407"/>
      <c r="L133" s="407"/>
      <c r="M133" s="407"/>
      <c r="N133" s="407"/>
      <c r="O133" s="407"/>
    </row>
  </sheetData>
  <mergeCells count="14">
    <mergeCell ref="C5:R5"/>
    <mergeCell ref="C6:R6"/>
    <mergeCell ref="C7:R7"/>
    <mergeCell ref="C8:R8"/>
    <mergeCell ref="C59:R59"/>
    <mergeCell ref="X59:AB59"/>
    <mergeCell ref="W9:AB10"/>
    <mergeCell ref="C10:P10"/>
    <mergeCell ref="X123:AA123"/>
    <mergeCell ref="C99:N99"/>
    <mergeCell ref="C98:O98"/>
    <mergeCell ref="C58:R58"/>
    <mergeCell ref="X122:AA122"/>
    <mergeCell ref="W71:AA71"/>
  </mergeCells>
  <hyperlinks>
    <hyperlink ref="W1" location="'Key findings'!A1" display="Back to Key Findings"/>
  </hyperlinks>
  <pageMargins left="0.7" right="0.7" top="0.75" bottom="0.75" header="0.3" footer="0.3"/>
  <pageSetup paperSize="9" scale="49" fitToHeight="0" orientation="landscape" r:id="rId1"/>
  <rowBreaks count="1" manualBreakCount="1">
    <brk id="66" max="29" man="1"/>
  </rowBreaks>
  <ignoredErrors>
    <ignoredError sqref="Z119"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24</vt:i4>
      </vt:variant>
    </vt:vector>
  </HeadingPairs>
  <TitlesOfParts>
    <vt:vector size="40" baseType="lpstr">
      <vt:lpstr>Intro</vt:lpstr>
      <vt:lpstr>Contents</vt:lpstr>
      <vt:lpstr>Quick facts</vt:lpstr>
      <vt:lpstr>Key findings</vt:lpstr>
      <vt:lpstr>Māori Non-Māori</vt:lpstr>
      <vt:lpstr>Age Sex</vt:lpstr>
      <vt:lpstr>Deprivation</vt:lpstr>
      <vt:lpstr>Methods</vt:lpstr>
      <vt:lpstr>DHB region</vt:lpstr>
      <vt:lpstr>Urban Rural</vt:lpstr>
      <vt:lpstr>Ethnic group</vt:lpstr>
      <vt:lpstr>International</vt:lpstr>
      <vt:lpstr>About</vt:lpstr>
      <vt:lpstr>Codes</vt:lpstr>
      <vt:lpstr>Data</vt:lpstr>
      <vt:lpstr>ref</vt:lpstr>
      <vt:lpstr>About!_Toc126059762</vt:lpstr>
      <vt:lpstr>Codes!_Toc462301296</vt:lpstr>
      <vt:lpstr>agesextable</vt:lpstr>
      <vt:lpstr>deptable</vt:lpstr>
      <vt:lpstr>DHB5yr</vt:lpstr>
      <vt:lpstr>Methodstable</vt:lpstr>
      <vt:lpstr>MPAO5yr</vt:lpstr>
      <vt:lpstr>MPAOdep5yr</vt:lpstr>
      <vt:lpstr>mpaopercmethods</vt:lpstr>
      <vt:lpstr>Percalldeaths</vt:lpstr>
      <vt:lpstr>About!Print_Area</vt:lpstr>
      <vt:lpstr>'Age Sex'!Print_Area</vt:lpstr>
      <vt:lpstr>Codes!Print_Area</vt:lpstr>
      <vt:lpstr>Contents!Print_Area</vt:lpstr>
      <vt:lpstr>Deprivation!Print_Area</vt:lpstr>
      <vt:lpstr>'DHB region'!Print_Area</vt:lpstr>
      <vt:lpstr>'Ethnic group'!Print_Area</vt:lpstr>
      <vt:lpstr>Intro!Print_Area</vt:lpstr>
      <vt:lpstr>'Key findings'!Print_Area</vt:lpstr>
      <vt:lpstr>'Māori Non-Māori'!Print_Area</vt:lpstr>
      <vt:lpstr>Methods!Print_Area</vt:lpstr>
      <vt:lpstr>'Quick facts'!Print_Area</vt:lpstr>
      <vt:lpstr>UnkDep</vt:lpstr>
      <vt:lpstr>URtable</vt:lpstr>
    </vt:vector>
  </TitlesOfParts>
  <Company>Ministry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Melissa Perks</dc:creator>
  <cp:lastModifiedBy>Melissa Perks</cp:lastModifiedBy>
  <cp:lastPrinted>2018-10-02T00:19:02Z</cp:lastPrinted>
  <dcterms:created xsi:type="dcterms:W3CDTF">2018-02-01T21:00:48Z</dcterms:created>
  <dcterms:modified xsi:type="dcterms:W3CDTF">2018-10-02T00:19:07Z</dcterms:modified>
</cp:coreProperties>
</file>